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e Files Backup\Chilkoti Lab\5. Papers, Publications &amp; Grants\Publications\1. First Author\2018 Brachytherapy Synergy for Pancreatic Cancer\Nature BME\Final Publication Formatting\Supporting Data\"/>
    </mc:Choice>
  </mc:AlternateContent>
  <xr:revisionPtr revIDLastSave="0" documentId="13_ncr:1_{C7016C8D-20C9-4B32-B31C-A02749D79E77}" xr6:coauthVersionLast="47" xr6:coauthVersionMax="47" xr10:uidLastSave="{00000000-0000-0000-0000-000000000000}"/>
  <bookViews>
    <workbookView xWindow="29610" yWindow="735" windowWidth="26250" windowHeight="14670" tabRatio="729" xr2:uid="{00000000-000D-0000-FFFF-FFFF00000000}"/>
  </bookViews>
  <sheets>
    <sheet name="RAD_DOSE Tumor Size" sheetId="5" r:id="rId1"/>
    <sheet name="RAD_DOSE Body Weight" sheetId="15" r:id="rId2"/>
    <sheet name="RAD_DOSE Radioactivity" sheetId="16" r:id="rId3"/>
    <sheet name="RAD_DOSE Survival" sheetId="18" r:id="rId4"/>
    <sheet name="RAD_DOSE Groups" sheetId="14" r:id="rId5"/>
    <sheet name="PTX_DOSE Tumor Size" sheetId="19" r:id="rId6"/>
    <sheet name="PTX_DOSE Body Weight" sheetId="20" r:id="rId7"/>
    <sheet name="PTX_DOSE Radioactivity" sheetId="21" r:id="rId8"/>
    <sheet name="PTX_DOSE Survival" sheetId="22" r:id="rId9"/>
    <sheet name="PTX_DOSE Groups" sheetId="23" r:id="rId10"/>
  </sheets>
  <definedNames>
    <definedName name="_xlnm._FilterDatabase" localSheetId="6" hidden="1">'PTX_DOSE Body Weight'!$A$4:$CU$53</definedName>
    <definedName name="_xlnm._FilterDatabase" localSheetId="9" hidden="1">'PTX_DOSE Groups'!$B$5:$K$21</definedName>
    <definedName name="_xlnm._FilterDatabase" localSheetId="7" hidden="1">'PTX_DOSE Radioactivity'!$A$4:$AX$53</definedName>
    <definedName name="_xlnm._FilterDatabase" localSheetId="8" hidden="1">'PTX_DOSE Survival'!$A$4:$AY$53</definedName>
    <definedName name="_xlnm._FilterDatabase" localSheetId="5" hidden="1">'PTX_DOSE Tumor Size'!$A$4:$DI$53</definedName>
    <definedName name="_xlnm._FilterDatabase" localSheetId="1" hidden="1">'RAD_DOSE Body Weight'!$A$4:$CK$41</definedName>
    <definedName name="_xlnm._FilterDatabase" localSheetId="4" hidden="1">'RAD_DOSE Groups'!$B$5:$K$21</definedName>
    <definedName name="_xlnm._FilterDatabase" localSheetId="2" hidden="1">'RAD_DOSE Radioactivity'!$A$4:$AX$41</definedName>
    <definedName name="_xlnm._FilterDatabase" localSheetId="3" hidden="1">'RAD_DOSE Survival'!$A$4:$AU$41</definedName>
    <definedName name="_xlnm._FilterDatabase" localSheetId="0" hidden="1">'RAD_DOSE Tumor Size'!$A$4:$CY$41</definedName>
    <definedName name="Groups">'RAD_DOSE Groups'!$C$6:$C$21</definedName>
    <definedName name="PTX_DOSE_Groups">'PTX_DOSE Groups'!$C$6:$C$21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9" l="1"/>
  <c r="M5" i="19"/>
  <c r="CX5" i="19" s="1"/>
  <c r="N5" i="19"/>
  <c r="U5" i="19"/>
  <c r="V5" i="19"/>
  <c r="Z5" i="19"/>
  <c r="AB5" i="19"/>
  <c r="AC5" i="19"/>
  <c r="BV5" i="19" s="1"/>
  <c r="AD5" i="19"/>
  <c r="AE5" i="19"/>
  <c r="AF5" i="19"/>
  <c r="AG5" i="19"/>
  <c r="BZ5" i="19" s="1"/>
  <c r="AH5" i="19"/>
  <c r="AI5" i="19"/>
  <c r="AJ5" i="19"/>
  <c r="AK5" i="19"/>
  <c r="AL5" i="19"/>
  <c r="AM5" i="19"/>
  <c r="AN5" i="19"/>
  <c r="AO5" i="19"/>
  <c r="AP5" i="19"/>
  <c r="CI5" i="19" s="1"/>
  <c r="AQ5" i="19"/>
  <c r="AR5" i="19"/>
  <c r="AS5" i="19"/>
  <c r="CL5" i="19" s="1"/>
  <c r="BT5" i="19"/>
  <c r="CE5" i="19"/>
  <c r="CJ5" i="19"/>
  <c r="CP5" i="19"/>
  <c r="CR5" i="19"/>
  <c r="CT5" i="19"/>
  <c r="DB5" i="19"/>
  <c r="DF5" i="19"/>
  <c r="J21" i="23"/>
  <c r="H21" i="23"/>
  <c r="G21" i="23" a="1"/>
  <c r="G21" i="23" s="1"/>
  <c r="F21" i="23"/>
  <c r="E21" i="23"/>
  <c r="J20" i="23"/>
  <c r="H20" i="23"/>
  <c r="G20" i="23" a="1"/>
  <c r="G20" i="23" s="1"/>
  <c r="F20" i="23"/>
  <c r="E20" i="23"/>
  <c r="J19" i="23"/>
  <c r="H19" i="23"/>
  <c r="G19" i="23" a="1"/>
  <c r="G19" i="23" s="1"/>
  <c r="F19" i="23"/>
  <c r="E19" i="23"/>
  <c r="J18" i="23"/>
  <c r="H18" i="23"/>
  <c r="G18" i="23" a="1"/>
  <c r="G18" i="23" s="1"/>
  <c r="F18" i="23"/>
  <c r="E18" i="23"/>
  <c r="J17" i="23"/>
  <c r="H17" i="23"/>
  <c r="G17" i="23"/>
  <c r="G17" i="23" a="1"/>
  <c r="F17" i="23"/>
  <c r="E17" i="23"/>
  <c r="G16" i="23" a="1"/>
  <c r="G16" i="23" s="1"/>
  <c r="F16" i="23"/>
  <c r="E16" i="23"/>
  <c r="G15" i="23" a="1"/>
  <c r="G15" i="23" s="1"/>
  <c r="F15" i="23"/>
  <c r="E15" i="23"/>
  <c r="G14" i="23" a="1"/>
  <c r="G14" i="23" s="1"/>
  <c r="F14" i="23"/>
  <c r="E14" i="23"/>
  <c r="G13" i="23"/>
  <c r="G13" i="23" a="1"/>
  <c r="F13" i="23"/>
  <c r="E13" i="23"/>
  <c r="G12" i="23" a="1"/>
  <c r="G12" i="23" s="1"/>
  <c r="F12" i="23"/>
  <c r="E12" i="23"/>
  <c r="G11" i="23" a="1"/>
  <c r="G11" i="23" s="1"/>
  <c r="F11" i="23"/>
  <c r="E11" i="23"/>
  <c r="G10" i="23" a="1"/>
  <c r="G10" i="23" s="1"/>
  <c r="F10" i="23"/>
  <c r="E10" i="23"/>
  <c r="G9" i="23" a="1"/>
  <c r="G9" i="23" s="1"/>
  <c r="F9" i="23"/>
  <c r="E9" i="23"/>
  <c r="G8" i="23" a="1"/>
  <c r="G8" i="23" s="1"/>
  <c r="F8" i="23"/>
  <c r="E8" i="23"/>
  <c r="G7" i="23" a="1"/>
  <c r="G7" i="23" s="1"/>
  <c r="F7" i="23"/>
  <c r="E7" i="23"/>
  <c r="G6" i="23" a="1"/>
  <c r="G6" i="23" s="1"/>
  <c r="F6" i="23"/>
  <c r="E6" i="23"/>
  <c r="AX121" i="22"/>
  <c r="AW121" i="22"/>
  <c r="AT121" i="22"/>
  <c r="Y121" i="22"/>
  <c r="X121" i="22"/>
  <c r="S121" i="22"/>
  <c r="N121" i="22"/>
  <c r="AT120" i="22"/>
  <c r="AM120" i="22"/>
  <c r="AJ120" i="22"/>
  <c r="X120" i="22"/>
  <c r="U120" i="22"/>
  <c r="S120" i="22"/>
  <c r="E120" i="22"/>
  <c r="AP121" i="22" s="1"/>
  <c r="AV117" i="22"/>
  <c r="AQ117" i="22"/>
  <c r="AP117" i="22"/>
  <c r="AL117" i="22"/>
  <c r="AF117" i="22"/>
  <c r="AA117" i="22"/>
  <c r="X117" i="22"/>
  <c r="V117" i="22"/>
  <c r="M117" i="22"/>
  <c r="K117" i="22"/>
  <c r="AV116" i="22"/>
  <c r="AU116" i="22"/>
  <c r="AL116" i="22"/>
  <c r="AI116" i="22"/>
  <c r="AH116" i="22"/>
  <c r="AF116" i="22"/>
  <c r="W116" i="22"/>
  <c r="R116" i="22"/>
  <c r="P116" i="22"/>
  <c r="N116" i="22"/>
  <c r="E116" i="22"/>
  <c r="AK117" i="22" s="1"/>
  <c r="AY113" i="22"/>
  <c r="AT113" i="22"/>
  <c r="AS113" i="22"/>
  <c r="AD113" i="22"/>
  <c r="AA113" i="22"/>
  <c r="Y113" i="22"/>
  <c r="M113" i="22"/>
  <c r="AY112" i="22"/>
  <c r="AU112" i="22"/>
  <c r="AJ112" i="22"/>
  <c r="AD112" i="22"/>
  <c r="AC112" i="22"/>
  <c r="P112" i="22"/>
  <c r="N112" i="22"/>
  <c r="J112" i="22"/>
  <c r="J114" i="22" s="1"/>
  <c r="E112" i="22"/>
  <c r="AO113" i="22" s="1"/>
  <c r="AL109" i="22"/>
  <c r="E108" i="22"/>
  <c r="E104" i="22"/>
  <c r="AM100" i="22"/>
  <c r="P100" i="22"/>
  <c r="E100" i="22"/>
  <c r="AP97" i="22"/>
  <c r="Z96" i="22"/>
  <c r="E96" i="22"/>
  <c r="E92" i="22"/>
  <c r="AX93" i="22" s="1"/>
  <c r="AN89" i="22"/>
  <c r="AA89" i="22"/>
  <c r="Z89" i="22"/>
  <c r="AV88" i="22"/>
  <c r="AS88" i="22"/>
  <c r="Y88" i="22"/>
  <c r="W88" i="22"/>
  <c r="V88" i="22"/>
  <c r="E88" i="22"/>
  <c r="AM89" i="22" s="1"/>
  <c r="AX85" i="22"/>
  <c r="AS85" i="22"/>
  <c r="AP85" i="22"/>
  <c r="AO85" i="22"/>
  <c r="AM85" i="22"/>
  <c r="AD85" i="22"/>
  <c r="AC85" i="22"/>
  <c r="W85" i="22"/>
  <c r="U85" i="22"/>
  <c r="M85" i="22"/>
  <c r="K85" i="22"/>
  <c r="AY84" i="22"/>
  <c r="AW84" i="22"/>
  <c r="AR84" i="22"/>
  <c r="AM84" i="22"/>
  <c r="AG84" i="22"/>
  <c r="AF84" i="22"/>
  <c r="AC84" i="22"/>
  <c r="U84" i="22"/>
  <c r="T84" i="22"/>
  <c r="Q84" i="22"/>
  <c r="L84" i="22"/>
  <c r="K84" i="22"/>
  <c r="E84" i="22"/>
  <c r="AE85" i="22" s="1"/>
  <c r="AI80" i="22"/>
  <c r="Z80" i="22"/>
  <c r="E80" i="22"/>
  <c r="AS77" i="22"/>
  <c r="AO77" i="22"/>
  <c r="AE77" i="22"/>
  <c r="AD77" i="22"/>
  <c r="X77" i="22"/>
  <c r="M77" i="22"/>
  <c r="AY76" i="22"/>
  <c r="AW76" i="22"/>
  <c r="AU76" i="22"/>
  <c r="AM76" i="22"/>
  <c r="AG76" i="22"/>
  <c r="Z76" i="22"/>
  <c r="S76" i="22"/>
  <c r="P76" i="22"/>
  <c r="O76" i="22"/>
  <c r="E76" i="22"/>
  <c r="AU77" i="22" s="1"/>
  <c r="AW73" i="22"/>
  <c r="AU73" i="22"/>
  <c r="AM73" i="22"/>
  <c r="AL73" i="22"/>
  <c r="AG73" i="22"/>
  <c r="Y73" i="22"/>
  <c r="X73" i="22"/>
  <c r="W73" i="22"/>
  <c r="N73" i="22"/>
  <c r="AX72" i="22"/>
  <c r="AW72" i="22"/>
  <c r="AN72" i="22"/>
  <c r="AM72" i="22"/>
  <c r="AL72" i="22"/>
  <c r="Z72" i="22"/>
  <c r="Y72" i="22"/>
  <c r="X72" i="22"/>
  <c r="Q72" i="22"/>
  <c r="N72" i="22"/>
  <c r="K72" i="22"/>
  <c r="E72" i="22"/>
  <c r="AB73" i="22" s="1"/>
  <c r="AM69" i="22"/>
  <c r="AL69" i="22"/>
  <c r="AK69" i="22"/>
  <c r="AX68" i="22"/>
  <c r="AW68" i="22"/>
  <c r="Z68" i="22"/>
  <c r="Y68" i="22"/>
  <c r="W68" i="22"/>
  <c r="E68" i="22"/>
  <c r="AN69" i="22" s="1"/>
  <c r="AK65" i="22"/>
  <c r="AG65" i="22"/>
  <c r="E64" i="22"/>
  <c r="AK61" i="22"/>
  <c r="AI60" i="22"/>
  <c r="Q60" i="22"/>
  <c r="E60" i="22"/>
  <c r="J58" i="22"/>
  <c r="AY57" i="22"/>
  <c r="AX57" i="22"/>
  <c r="AW57" i="22"/>
  <c r="AV57" i="22"/>
  <c r="AU57" i="22"/>
  <c r="AT57" i="22"/>
  <c r="AS57" i="22"/>
  <c r="AR57" i="22"/>
  <c r="AQ57" i="22"/>
  <c r="AP57" i="22"/>
  <c r="AO57" i="22"/>
  <c r="AN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AY56" i="22"/>
  <c r="AX56" i="22"/>
  <c r="AW56" i="22"/>
  <c r="AV56" i="22"/>
  <c r="AU56" i="22"/>
  <c r="AT56" i="22"/>
  <c r="AS56" i="22"/>
  <c r="AR56" i="22"/>
  <c r="AQ56" i="22"/>
  <c r="AP56" i="22"/>
  <c r="AO56" i="22"/>
  <c r="AN56" i="22"/>
  <c r="AM56" i="22"/>
  <c r="AL56" i="22"/>
  <c r="AK56" i="22"/>
  <c r="AJ56" i="22"/>
  <c r="AI56" i="22"/>
  <c r="AH56" i="22"/>
  <c r="AG56" i="22"/>
  <c r="AF56" i="22"/>
  <c r="AE56" i="22"/>
  <c r="AD56" i="22"/>
  <c r="AC56" i="22"/>
  <c r="AB56" i="22"/>
  <c r="AA56" i="22"/>
  <c r="Z56" i="22"/>
  <c r="Y56" i="22"/>
  <c r="X56" i="22"/>
  <c r="W56" i="22"/>
  <c r="V56" i="22"/>
  <c r="U56" i="22"/>
  <c r="T56" i="22"/>
  <c r="S56" i="22"/>
  <c r="R56" i="22"/>
  <c r="Q56" i="22"/>
  <c r="P56" i="22"/>
  <c r="O56" i="22"/>
  <c r="N56" i="22"/>
  <c r="M56" i="22"/>
  <c r="L56" i="22"/>
  <c r="K56" i="22"/>
  <c r="K58" i="22" s="1"/>
  <c r="J56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AY4" i="22"/>
  <c r="AX4" i="22"/>
  <c r="AW4" i="22"/>
  <c r="AV4" i="22"/>
  <c r="AU4" i="22"/>
  <c r="AT4" i="22"/>
  <c r="AS4" i="22"/>
  <c r="AR4" i="22"/>
  <c r="AQ4" i="22"/>
  <c r="AP4" i="22"/>
  <c r="AO4" i="22"/>
  <c r="AN4" i="22"/>
  <c r="AM4" i="22"/>
  <c r="AL4" i="22"/>
  <c r="AK4" i="22"/>
  <c r="AJ4" i="22"/>
  <c r="AI4" i="22"/>
  <c r="AH4" i="22"/>
  <c r="AG4" i="22"/>
  <c r="AF4" i="22"/>
  <c r="AE4" i="22"/>
  <c r="AD4" i="22"/>
  <c r="AC4" i="22"/>
  <c r="AB4" i="22"/>
  <c r="AA4" i="22"/>
  <c r="Z4" i="22"/>
  <c r="Y4" i="22"/>
  <c r="X4" i="22"/>
  <c r="W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AD124" i="21" a="1"/>
  <c r="AD124" i="21" s="1"/>
  <c r="X124" i="21" a="1"/>
  <c r="X124" i="21" s="1"/>
  <c r="M124" i="21" a="1"/>
  <c r="M124" i="21" s="1"/>
  <c r="AW123" i="21"/>
  <c r="V123" i="21"/>
  <c r="E123" i="21"/>
  <c r="E116" i="21"/>
  <c r="M117" i="21" s="1" a="1"/>
  <c r="M117" i="21" s="1"/>
  <c r="X110" i="21" a="1"/>
  <c r="X110" i="21" s="1"/>
  <c r="S110" i="21" a="1"/>
  <c r="S110" i="21" s="1"/>
  <c r="O110" i="21" a="1"/>
  <c r="O110" i="21" s="1"/>
  <c r="AB109" i="21"/>
  <c r="S109" i="21"/>
  <c r="R109" i="21"/>
  <c r="M109" i="21"/>
  <c r="H109" i="21"/>
  <c r="E109" i="21"/>
  <c r="E102" i="21"/>
  <c r="AB96" i="21" a="1"/>
  <c r="AB96" i="21" s="1"/>
  <c r="O96" i="21" a="1"/>
  <c r="O96" i="21" s="1"/>
  <c r="N96" i="21" a="1"/>
  <c r="N96" i="21" s="1"/>
  <c r="Z95" i="21"/>
  <c r="P95" i="21"/>
  <c r="L95" i="21"/>
  <c r="E95" i="21"/>
  <c r="V96" i="21" s="1" a="1"/>
  <c r="V96" i="21" s="1"/>
  <c r="R89" i="21" a="1"/>
  <c r="R89" i="21" s="1"/>
  <c r="L89" i="21" a="1"/>
  <c r="L89" i="21" s="1"/>
  <c r="U88" i="21"/>
  <c r="T88" i="21"/>
  <c r="H88" i="21"/>
  <c r="E88" i="21"/>
  <c r="AU89" i="21" s="1" a="1"/>
  <c r="AU89" i="21" s="1"/>
  <c r="AC82" i="21" a="1"/>
  <c r="AC82" i="21" s="1"/>
  <c r="AA82" i="21" a="1"/>
  <c r="AA82" i="21" s="1"/>
  <c r="Y82" i="21" a="1"/>
  <c r="Y82" i="21" s="1"/>
  <c r="X82" i="21" a="1"/>
  <c r="X82" i="21" s="1"/>
  <c r="U82" i="21" a="1"/>
  <c r="U82" i="21" s="1"/>
  <c r="S82" i="21" a="1"/>
  <c r="S82" i="21" s="1"/>
  <c r="Q82" i="21" a="1"/>
  <c r="Q82" i="21" s="1"/>
  <c r="P82" i="21" a="1"/>
  <c r="P82" i="21" s="1"/>
  <c r="L82" i="21" a="1"/>
  <c r="L82" i="21" s="1"/>
  <c r="AS81" i="21"/>
  <c r="AD81" i="21"/>
  <c r="Y81" i="21"/>
  <c r="V81" i="21"/>
  <c r="T81" i="21"/>
  <c r="R81" i="21"/>
  <c r="Q81" i="21"/>
  <c r="L81" i="21"/>
  <c r="I81" i="21"/>
  <c r="E81" i="21"/>
  <c r="P75" i="21" a="1"/>
  <c r="P75" i="21" s="1"/>
  <c r="L75" i="21" a="1"/>
  <c r="L75" i="21" s="1"/>
  <c r="E74" i="21"/>
  <c r="AM68" i="21" a="1"/>
  <c r="AM68" i="21" s="1"/>
  <c r="AD68" i="21" a="1"/>
  <c r="AD68" i="21" s="1"/>
  <c r="Z68" i="21" a="1"/>
  <c r="Z68" i="21" s="1"/>
  <c r="Y68" i="21" a="1"/>
  <c r="Y68" i="21" s="1"/>
  <c r="V68" i="21" a="1"/>
  <c r="V68" i="21" s="1"/>
  <c r="U68" i="21" a="1"/>
  <c r="U68" i="21" s="1"/>
  <c r="Q68" i="21" a="1"/>
  <c r="Q68" i="21" s="1"/>
  <c r="N68" i="21" a="1"/>
  <c r="N68" i="21" s="1"/>
  <c r="M68" i="21" a="1"/>
  <c r="M68" i="21" s="1"/>
  <c r="I68" i="21" a="1"/>
  <c r="I68" i="21" s="1"/>
  <c r="AO67" i="21"/>
  <c r="AM67" i="21"/>
  <c r="AC67" i="21"/>
  <c r="Y67" i="21"/>
  <c r="X67" i="21"/>
  <c r="W67" i="21"/>
  <c r="S67" i="21"/>
  <c r="Q67" i="21"/>
  <c r="P67" i="21"/>
  <c r="N67" i="21"/>
  <c r="M67" i="21"/>
  <c r="H67" i="21"/>
  <c r="E67" i="21"/>
  <c r="W68" i="21" s="1" a="1"/>
  <c r="W68" i="21" s="1"/>
  <c r="AS61" i="21" a="1"/>
  <c r="AS61" i="21" s="1"/>
  <c r="Y61" i="21" a="1"/>
  <c r="Y61" i="21" s="1"/>
  <c r="U61" i="21" a="1"/>
  <c r="U61" i="21" s="1"/>
  <c r="T61" i="21" a="1"/>
  <c r="T61" i="21" s="1"/>
  <c r="S61" i="21" a="1"/>
  <c r="S61" i="21" s="1"/>
  <c r="L61" i="21" a="1"/>
  <c r="L61" i="21" s="1"/>
  <c r="AD60" i="21"/>
  <c r="Y60" i="21"/>
  <c r="W60" i="21"/>
  <c r="T60" i="21"/>
  <c r="N60" i="21"/>
  <c r="E60" i="21"/>
  <c r="AW58" i="21"/>
  <c r="AK58" i="21"/>
  <c r="AG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I58" i="21"/>
  <c r="AU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I57" i="21"/>
  <c r="AK55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C53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C52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I67" i="21" s="1"/>
  <c r="AH51" i="21"/>
  <c r="AG51" i="21"/>
  <c r="AG67" i="21" s="1"/>
  <c r="AF51" i="21"/>
  <c r="C51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C50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C49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C48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C47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C46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C45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C44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C43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C42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C41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C40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C39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C38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C37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C36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C35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C34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C33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C32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C31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C30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C29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C28" i="21"/>
  <c r="AX27" i="21"/>
  <c r="AW27" i="21"/>
  <c r="AV27" i="21"/>
  <c r="AU27" i="21"/>
  <c r="AT27" i="21"/>
  <c r="AS27" i="21"/>
  <c r="AR27" i="21"/>
  <c r="AR60" i="21" s="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C27" i="21"/>
  <c r="AX26" i="21"/>
  <c r="AX67" i="21" s="1"/>
  <c r="AW26" i="21"/>
  <c r="AV26" i="21"/>
  <c r="AV67" i="21" s="1"/>
  <c r="AU26" i="21"/>
  <c r="AT26" i="21"/>
  <c r="AS26" i="21"/>
  <c r="AR26" i="21"/>
  <c r="AR67" i="21" s="1"/>
  <c r="AQ26" i="21"/>
  <c r="AP26" i="21"/>
  <c r="AP67" i="21" s="1"/>
  <c r="AO26" i="21"/>
  <c r="AN26" i="21"/>
  <c r="AM26" i="21"/>
  <c r="AL26" i="21"/>
  <c r="AK26" i="21"/>
  <c r="AJ26" i="21"/>
  <c r="AJ67" i="21" s="1"/>
  <c r="AJ72" i="21" s="1"/>
  <c r="AI26" i="21"/>
  <c r="AH26" i="21"/>
  <c r="AH67" i="21" s="1"/>
  <c r="AG26" i="21"/>
  <c r="AF26" i="21"/>
  <c r="AF67" i="21" s="1"/>
  <c r="C26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C25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C24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C23" i="21"/>
  <c r="AX22" i="21"/>
  <c r="AW22" i="21"/>
  <c r="AV22" i="21"/>
  <c r="AU22" i="21"/>
  <c r="AT22" i="21"/>
  <c r="AS22" i="21"/>
  <c r="AS109" i="21" s="1"/>
  <c r="AR22" i="21"/>
  <c r="AQ22" i="21"/>
  <c r="AP22" i="21"/>
  <c r="AO22" i="21"/>
  <c r="AN22" i="21"/>
  <c r="AM22" i="21"/>
  <c r="AL22" i="21"/>
  <c r="AK22" i="21"/>
  <c r="AK109" i="21" s="1"/>
  <c r="AJ22" i="21"/>
  <c r="AI22" i="21"/>
  <c r="AH22" i="21"/>
  <c r="AG22" i="21"/>
  <c r="AF22" i="21"/>
  <c r="C22" i="21"/>
  <c r="AX21" i="21"/>
  <c r="AW21" i="21"/>
  <c r="AW109" i="21" s="1"/>
  <c r="AV21" i="21"/>
  <c r="AU21" i="21"/>
  <c r="AT21" i="21"/>
  <c r="AS21" i="21"/>
  <c r="AR21" i="21"/>
  <c r="AQ21" i="21"/>
  <c r="AP21" i="21"/>
  <c r="AO21" i="21"/>
  <c r="AN21" i="21"/>
  <c r="AM21" i="21"/>
  <c r="AL21" i="21"/>
  <c r="AL109" i="21" s="1"/>
  <c r="AK21" i="21"/>
  <c r="AJ21" i="21"/>
  <c r="AJ109" i="21" s="1"/>
  <c r="AI21" i="21"/>
  <c r="AH21" i="21"/>
  <c r="AG21" i="21"/>
  <c r="AG109" i="21" s="1"/>
  <c r="AF21" i="21"/>
  <c r="C21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C20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C19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C18" i="21"/>
  <c r="AX17" i="21"/>
  <c r="AW17" i="21"/>
  <c r="AV17" i="21"/>
  <c r="AU17" i="21"/>
  <c r="AT17" i="21"/>
  <c r="AS17" i="21"/>
  <c r="AR17" i="21"/>
  <c r="AR95" i="21" s="1"/>
  <c r="AQ17" i="21"/>
  <c r="AQ95" i="21" s="1"/>
  <c r="AP17" i="21"/>
  <c r="AO17" i="21"/>
  <c r="AN17" i="21"/>
  <c r="AM17" i="21"/>
  <c r="AL17" i="21"/>
  <c r="AK17" i="21"/>
  <c r="AJ17" i="21"/>
  <c r="AI17" i="21"/>
  <c r="AH17" i="21"/>
  <c r="AG17" i="21"/>
  <c r="AF17" i="21"/>
  <c r="C17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C16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C15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C14" i="21"/>
  <c r="AX13" i="21"/>
  <c r="AW13" i="21"/>
  <c r="AV13" i="21"/>
  <c r="AU13" i="21"/>
  <c r="AT13" i="21"/>
  <c r="AT81" i="21" s="1"/>
  <c r="AS13" i="21"/>
  <c r="AR13" i="21"/>
  <c r="AR81" i="21" s="1"/>
  <c r="AQ13" i="21"/>
  <c r="AQ81" i="21" s="1"/>
  <c r="AR84" i="21" s="1"/>
  <c r="AP13" i="21"/>
  <c r="AO13" i="21"/>
  <c r="AN13" i="21"/>
  <c r="AM13" i="21"/>
  <c r="AL13" i="21"/>
  <c r="AL81" i="21" s="1"/>
  <c r="AK13" i="21"/>
  <c r="AK81" i="21" s="1"/>
  <c r="AJ13" i="21"/>
  <c r="AJ81" i="21" s="1"/>
  <c r="AI13" i="21"/>
  <c r="AI81" i="21" s="1"/>
  <c r="AH13" i="21"/>
  <c r="AH81" i="21" s="1"/>
  <c r="AG13" i="21"/>
  <c r="AF13" i="21"/>
  <c r="C13" i="21"/>
  <c r="AX12" i="21"/>
  <c r="AW12" i="21"/>
  <c r="AV12" i="21"/>
  <c r="AU12" i="21"/>
  <c r="AT12" i="21"/>
  <c r="AS12" i="21"/>
  <c r="AR12" i="21"/>
  <c r="AQ12" i="21"/>
  <c r="AP12" i="21"/>
  <c r="AP95" i="21" s="1"/>
  <c r="AO12" i="21"/>
  <c r="AN12" i="21"/>
  <c r="AM12" i="21"/>
  <c r="AL12" i="21"/>
  <c r="AK12" i="21"/>
  <c r="AJ12" i="21"/>
  <c r="AI12" i="21"/>
  <c r="AH12" i="21"/>
  <c r="AG12" i="21"/>
  <c r="AF12" i="21"/>
  <c r="AF95" i="21" s="1"/>
  <c r="C12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C11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C10" i="21"/>
  <c r="AX9" i="21"/>
  <c r="AW9" i="21"/>
  <c r="AV9" i="21"/>
  <c r="AU9" i="21"/>
  <c r="AT9" i="21"/>
  <c r="AT74" i="21" s="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C9" i="21"/>
  <c r="AX8" i="21"/>
  <c r="AW8" i="21"/>
  <c r="AV8" i="21"/>
  <c r="AU8" i="21"/>
  <c r="AT8" i="21"/>
  <c r="AS8" i="21"/>
  <c r="AR8" i="21"/>
  <c r="AQ8" i="21"/>
  <c r="AP8" i="21"/>
  <c r="AP60" i="21" s="1"/>
  <c r="AO8" i="21"/>
  <c r="AN8" i="21"/>
  <c r="AN60" i="21" s="1"/>
  <c r="AM8" i="21"/>
  <c r="AL8" i="21"/>
  <c r="AK8" i="21"/>
  <c r="AJ8" i="21"/>
  <c r="AI8" i="21"/>
  <c r="AH8" i="21"/>
  <c r="AH60" i="21" s="1"/>
  <c r="AG8" i="21"/>
  <c r="AF8" i="21"/>
  <c r="C8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C7" i="21"/>
  <c r="AX6" i="21"/>
  <c r="AX68" i="21" s="1" a="1"/>
  <c r="AX68" i="21" s="1"/>
  <c r="AW6" i="21"/>
  <c r="AV6" i="21"/>
  <c r="AV58" i="21" s="1"/>
  <c r="AU6" i="21"/>
  <c r="AU68" i="21" s="1" a="1"/>
  <c r="AU68" i="21" s="1"/>
  <c r="AT6" i="21"/>
  <c r="AS6" i="21"/>
  <c r="AS123" i="21" s="1"/>
  <c r="AR6" i="21"/>
  <c r="AQ6" i="21"/>
  <c r="AP6" i="21"/>
  <c r="AO6" i="21"/>
  <c r="AN6" i="21"/>
  <c r="AN68" i="21" s="1" a="1"/>
  <c r="AN68" i="21" s="1"/>
  <c r="AM6" i="21"/>
  <c r="AM123" i="21" s="1"/>
  <c r="AL6" i="21"/>
  <c r="AK6" i="21"/>
  <c r="AJ6" i="21"/>
  <c r="AI6" i="21"/>
  <c r="AH6" i="21"/>
  <c r="AG6" i="21"/>
  <c r="AF6" i="21"/>
  <c r="AF58" i="21" s="1"/>
  <c r="C6" i="21"/>
  <c r="AX5" i="21"/>
  <c r="AW5" i="21"/>
  <c r="AV5" i="21"/>
  <c r="AU5" i="21"/>
  <c r="AT5" i="21"/>
  <c r="AS5" i="21"/>
  <c r="AS57" i="21" s="1"/>
  <c r="AR5" i="21"/>
  <c r="AQ5" i="21"/>
  <c r="AQ75" i="21" s="1" a="1"/>
  <c r="AQ75" i="21" s="1"/>
  <c r="AP5" i="21"/>
  <c r="AO5" i="21"/>
  <c r="AN5" i="21"/>
  <c r="AM5" i="21"/>
  <c r="AL5" i="21"/>
  <c r="AK5" i="21"/>
  <c r="AK57" i="21" s="1"/>
  <c r="AJ5" i="21"/>
  <c r="AI5" i="21"/>
  <c r="AI68" i="21" s="1" a="1"/>
  <c r="AI68" i="21" s="1"/>
  <c r="AH5" i="21"/>
  <c r="AG5" i="21"/>
  <c r="AF5" i="21"/>
  <c r="C5" i="21"/>
  <c r="AX4" i="21"/>
  <c r="AX55" i="21" s="1"/>
  <c r="AU4" i="21"/>
  <c r="AU55" i="21" s="1"/>
  <c r="AT4" i="21"/>
  <c r="AT55" i="21" s="1"/>
  <c r="AR4" i="21"/>
  <c r="AR55" i="21" s="1"/>
  <c r="AM4" i="21"/>
  <c r="AM55" i="21" s="1"/>
  <c r="AL4" i="21"/>
  <c r="AL55" i="21" s="1"/>
  <c r="AK4" i="21"/>
  <c r="AJ4" i="21"/>
  <c r="AJ55" i="21" s="1"/>
  <c r="AD4" i="21"/>
  <c r="AC4" i="21"/>
  <c r="AW4" i="21" s="1"/>
  <c r="AW55" i="21" s="1"/>
  <c r="AB4" i="21"/>
  <c r="AV4" i="21" s="1"/>
  <c r="AV55" i="21" s="1"/>
  <c r="AA4" i="21"/>
  <c r="Z4" i="21"/>
  <c r="Y4" i="21"/>
  <c r="AS4" i="21" s="1"/>
  <c r="AS55" i="21" s="1"/>
  <c r="X4" i="21"/>
  <c r="W4" i="21"/>
  <c r="AQ4" i="21" s="1"/>
  <c r="AQ55" i="21" s="1"/>
  <c r="V4" i="21"/>
  <c r="AP4" i="21" s="1"/>
  <c r="AP55" i="21" s="1"/>
  <c r="U4" i="21"/>
  <c r="AO4" i="21" s="1"/>
  <c r="AO55" i="21" s="1"/>
  <c r="T4" i="21"/>
  <c r="AN4" i="21" s="1"/>
  <c r="AN55" i="21" s="1"/>
  <c r="S4" i="21"/>
  <c r="R4" i="21"/>
  <c r="Q4" i="21"/>
  <c r="P4" i="21"/>
  <c r="O4" i="21"/>
  <c r="AI4" i="21" s="1"/>
  <c r="AI55" i="21" s="1"/>
  <c r="N4" i="21"/>
  <c r="AH4" i="21" s="1"/>
  <c r="AH55" i="21" s="1"/>
  <c r="M4" i="21"/>
  <c r="AG4" i="21" s="1"/>
  <c r="AG55" i="21" s="1"/>
  <c r="L4" i="21"/>
  <c r="AF4" i="21" s="1"/>
  <c r="AF55" i="21" s="1"/>
  <c r="AX3" i="21"/>
  <c r="AW3" i="21"/>
  <c r="AV3" i="21"/>
  <c r="AU3" i="21"/>
  <c r="AT3" i="21"/>
  <c r="AS3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V104" i="20" a="1"/>
  <c r="AV104" i="20" s="1"/>
  <c r="AU104" i="20" a="1"/>
  <c r="AU104" i="20" s="1"/>
  <c r="AT104" i="20" a="1"/>
  <c r="AT104" i="20" s="1"/>
  <c r="AP104" i="20" a="1"/>
  <c r="AP104" i="20" s="1"/>
  <c r="AK104" i="20" a="1"/>
  <c r="AK104" i="20" s="1"/>
  <c r="AJ104" i="20" a="1"/>
  <c r="AJ104" i="20" s="1"/>
  <c r="Z104" i="20" a="1"/>
  <c r="Z104" i="20" s="1"/>
  <c r="Y104" i="20" a="1"/>
  <c r="Y104" i="20" s="1"/>
  <c r="U104" i="20" a="1"/>
  <c r="U104" i="20" s="1"/>
  <c r="T104" i="20" a="1"/>
  <c r="T104" i="20" s="1"/>
  <c r="P104" i="20" a="1"/>
  <c r="P104" i="20" s="1"/>
  <c r="CU103" i="20"/>
  <c r="CT103" i="20"/>
  <c r="CL103" i="20"/>
  <c r="CK103" i="20"/>
  <c r="CJ103" i="20"/>
  <c r="BZ103" i="20"/>
  <c r="BO103" i="20"/>
  <c r="BN103" i="20"/>
  <c r="BF103" i="20"/>
  <c r="BE103" i="20"/>
  <c r="AU103" i="20"/>
  <c r="AS103" i="20"/>
  <c r="AH103" i="20"/>
  <c r="AG103" i="20"/>
  <c r="Y103" i="20"/>
  <c r="W103" i="20"/>
  <c r="O103" i="20"/>
  <c r="M103" i="20"/>
  <c r="E103" i="20"/>
  <c r="BW100" i="20"/>
  <c r="E100" i="20"/>
  <c r="K101" i="20" s="1" a="1"/>
  <c r="K101" i="20" s="1"/>
  <c r="BB98" i="20" a="1"/>
  <c r="BB98" i="20" s="1"/>
  <c r="AZ98" i="20" a="1"/>
  <c r="AZ98" i="20" s="1"/>
  <c r="AY98" i="20" a="1"/>
  <c r="AY98" i="20" s="1"/>
  <c r="AX98" i="20" a="1"/>
  <c r="AX98" i="20" s="1"/>
  <c r="AU98" i="20" a="1"/>
  <c r="AU98" i="20" s="1"/>
  <c r="AT98" i="20" a="1"/>
  <c r="AT98" i="20" s="1"/>
  <c r="AS98" i="20" a="1"/>
  <c r="AS98" i="20" s="1"/>
  <c r="AR98" i="20" a="1"/>
  <c r="AR98" i="20" s="1"/>
  <c r="AN98" i="20" a="1"/>
  <c r="AN98" i="20" s="1"/>
  <c r="AM98" i="20" a="1"/>
  <c r="AM98" i="20" s="1"/>
  <c r="AL98" i="20" a="1"/>
  <c r="AL98" i="20" s="1"/>
  <c r="AH98" i="20" a="1"/>
  <c r="AH98" i="20" s="1"/>
  <c r="AG98" i="20" a="1"/>
  <c r="AG98" i="20" s="1"/>
  <c r="AE98" i="20" a="1"/>
  <c r="AE98" i="20" s="1"/>
  <c r="AD98" i="20" a="1"/>
  <c r="AD98" i="20" s="1"/>
  <c r="AA98" i="20" a="1"/>
  <c r="AA98" i="20" s="1"/>
  <c r="Z98" i="20"/>
  <c r="Z98" i="20" a="1"/>
  <c r="W98" i="20"/>
  <c r="W98" i="20" a="1"/>
  <c r="V98" i="20" a="1"/>
  <c r="V98" i="20" s="1"/>
  <c r="T98" i="20" a="1"/>
  <c r="T98" i="20" s="1"/>
  <c r="R98" i="20" a="1"/>
  <c r="R98" i="20" s="1"/>
  <c r="P98" i="20" a="1"/>
  <c r="P98" i="20" s="1"/>
  <c r="O98" i="20" a="1"/>
  <c r="O98" i="20" s="1"/>
  <c r="N98" i="20" a="1"/>
  <c r="N98" i="20" s="1"/>
  <c r="L98" i="20" a="1"/>
  <c r="L98" i="20" s="1"/>
  <c r="K98" i="20" a="1"/>
  <c r="K98" i="20" s="1"/>
  <c r="I98" i="20" a="1"/>
  <c r="I98" i="20" s="1"/>
  <c r="CT97" i="20"/>
  <c r="CQ97" i="20"/>
  <c r="CO97" i="20"/>
  <c r="CM97" i="20"/>
  <c r="CL97" i="20"/>
  <c r="CJ97" i="20"/>
  <c r="CF97" i="20"/>
  <c r="CE97" i="20"/>
  <c r="CD97" i="20"/>
  <c r="CA97" i="20"/>
  <c r="BZ97" i="20"/>
  <c r="BY97" i="20"/>
  <c r="BT97" i="20"/>
  <c r="BS97" i="20"/>
  <c r="BR97" i="20"/>
  <c r="BP97" i="20"/>
  <c r="BN97" i="20"/>
  <c r="BK97" i="20"/>
  <c r="BI97" i="20"/>
  <c r="BH97" i="20"/>
  <c r="BG97" i="20"/>
  <c r="BB97" i="20"/>
  <c r="AZ97" i="20"/>
  <c r="AY97" i="20"/>
  <c r="AW97" i="20"/>
  <c r="AT97" i="20"/>
  <c r="AS97" i="20"/>
  <c r="AP97" i="20"/>
  <c r="AO97" i="20"/>
  <c r="AM97" i="20"/>
  <c r="AK97" i="20"/>
  <c r="AJ97" i="20"/>
  <c r="AI97" i="20"/>
  <c r="AE97" i="20"/>
  <c r="AD97" i="20"/>
  <c r="AC97" i="20"/>
  <c r="AA97" i="20"/>
  <c r="Z97" i="20"/>
  <c r="W97" i="20"/>
  <c r="U97" i="20"/>
  <c r="T97" i="20"/>
  <c r="S97" i="20"/>
  <c r="Q97" i="20"/>
  <c r="N97" i="20"/>
  <c r="M97" i="20"/>
  <c r="K97" i="20"/>
  <c r="I97" i="20"/>
  <c r="H97" i="20"/>
  <c r="E97" i="20"/>
  <c r="AW95" i="20" a="1"/>
  <c r="AW95" i="20" s="1"/>
  <c r="AN95" i="20" a="1"/>
  <c r="AN95" i="20" s="1"/>
  <c r="AD95" i="20" a="1"/>
  <c r="AD95" i="20" s="1"/>
  <c r="AA95" i="20" a="1"/>
  <c r="AA95" i="20" s="1"/>
  <c r="M95" i="20" a="1"/>
  <c r="M95" i="20" s="1"/>
  <c r="CR94" i="20"/>
  <c r="CQ94" i="20"/>
  <c r="CI94" i="20"/>
  <c r="BZ94" i="20"/>
  <c r="BP94" i="20"/>
  <c r="BF94" i="20"/>
  <c r="AX94" i="20"/>
  <c r="AW94" i="20"/>
  <c r="AN94" i="20"/>
  <c r="AD94" i="20"/>
  <c r="V94" i="20"/>
  <c r="N94" i="20"/>
  <c r="M94" i="20"/>
  <c r="E94" i="20"/>
  <c r="AS95" i="20" s="1" a="1"/>
  <c r="AS95" i="20" s="1"/>
  <c r="AU92" i="20" a="1"/>
  <c r="AU92" i="20" s="1"/>
  <c r="AP92" i="20" a="1"/>
  <c r="AP92" i="20" s="1"/>
  <c r="X92" i="20" a="1"/>
  <c r="X92" i="20" s="1"/>
  <c r="S92" i="20" a="1"/>
  <c r="S92" i="20" s="1"/>
  <c r="N92" i="20" a="1"/>
  <c r="N92" i="20" s="1"/>
  <c r="CO91" i="20"/>
  <c r="CG91" i="20"/>
  <c r="CF91" i="20"/>
  <c r="BZ91" i="20"/>
  <c r="BQ91" i="20"/>
  <c r="BI91" i="20"/>
  <c r="AZ91" i="20"/>
  <c r="AS91" i="20"/>
  <c r="AR91" i="20"/>
  <c r="AJ91" i="20"/>
  <c r="AB91" i="20"/>
  <c r="T91" i="20"/>
  <c r="S91" i="20"/>
  <c r="K91" i="20"/>
  <c r="E91" i="20"/>
  <c r="AT92" i="20" s="1" a="1"/>
  <c r="AT92" i="20" s="1"/>
  <c r="AG89" i="20" a="1"/>
  <c r="AG89" i="20" s="1"/>
  <c r="CU88" i="20"/>
  <c r="CE88" i="20"/>
  <c r="AO88" i="20"/>
  <c r="AN88" i="20"/>
  <c r="E88" i="20"/>
  <c r="AZ86" i="20" a="1"/>
  <c r="AZ86" i="20" s="1"/>
  <c r="AY86" i="20" a="1"/>
  <c r="AY86" i="20" s="1"/>
  <c r="AV86" i="20" a="1"/>
  <c r="AV86" i="20" s="1"/>
  <c r="AQ86" i="20" a="1"/>
  <c r="AQ86" i="20" s="1"/>
  <c r="AI86" i="20" a="1"/>
  <c r="AI86" i="20" s="1"/>
  <c r="AF86" i="20" a="1"/>
  <c r="AF86" i="20" s="1"/>
  <c r="AE86" i="20" a="1"/>
  <c r="AE86" i="20" s="1"/>
  <c r="AA86" i="20" a="1"/>
  <c r="AA86" i="20" s="1"/>
  <c r="W86" i="20" a="1"/>
  <c r="W86" i="20" s="1"/>
  <c r="P86" i="20" a="1"/>
  <c r="P86" i="20" s="1"/>
  <c r="L86" i="20" a="1"/>
  <c r="L86" i="20" s="1"/>
  <c r="BB85" i="20"/>
  <c r="BA85" i="20"/>
  <c r="AY85" i="20"/>
  <c r="AU85" i="20"/>
  <c r="AS85" i="20"/>
  <c r="AL85" i="20"/>
  <c r="AK85" i="20"/>
  <c r="AH85" i="20"/>
  <c r="AE85" i="20"/>
  <c r="AC85" i="20"/>
  <c r="W85" i="20"/>
  <c r="S85" i="20"/>
  <c r="O85" i="20"/>
  <c r="N85" i="20"/>
  <c r="K85" i="20"/>
  <c r="I85" i="20"/>
  <c r="E85" i="20"/>
  <c r="AM86" i="20" s="1" a="1"/>
  <c r="AM86" i="20" s="1"/>
  <c r="E82" i="20"/>
  <c r="AZ80" i="20" a="1"/>
  <c r="AZ80" i="20" s="1"/>
  <c r="AW80" i="20" a="1"/>
  <c r="AW80" i="20" s="1"/>
  <c r="AN80" i="20" a="1"/>
  <c r="AN80" i="20" s="1"/>
  <c r="AJ80" i="20" a="1"/>
  <c r="AJ80" i="20" s="1"/>
  <c r="AF80" i="20" a="1"/>
  <c r="AF80" i="20" s="1"/>
  <c r="AC80" i="20" a="1"/>
  <c r="AC80" i="20" s="1"/>
  <c r="U80" i="20" a="1"/>
  <c r="U80" i="20" s="1"/>
  <c r="P80" i="20" a="1"/>
  <c r="P80" i="20" s="1"/>
  <c r="L80" i="20" a="1"/>
  <c r="L80" i="20" s="1"/>
  <c r="BA79" i="20"/>
  <c r="AR79" i="20"/>
  <c r="AM79" i="20"/>
  <c r="AH79" i="20"/>
  <c r="AE79" i="20"/>
  <c r="W79" i="20"/>
  <c r="Q79" i="20"/>
  <c r="L79" i="20"/>
  <c r="I79" i="20"/>
  <c r="E79" i="20"/>
  <c r="AU80" i="20" s="1" a="1"/>
  <c r="AU80" i="20" s="1"/>
  <c r="BA77" i="20" a="1"/>
  <c r="BA77" i="20" s="1"/>
  <c r="AY77" i="20" a="1"/>
  <c r="AY77" i="20" s="1"/>
  <c r="AX77" i="20" a="1"/>
  <c r="AX77" i="20" s="1"/>
  <c r="AU77" i="20" a="1"/>
  <c r="AU77" i="20" s="1"/>
  <c r="AS77" i="20" a="1"/>
  <c r="AS77" i="20" s="1"/>
  <c r="AR77" i="20" a="1"/>
  <c r="AR77" i="20" s="1"/>
  <c r="AQ77" i="20" a="1"/>
  <c r="AQ77" i="20" s="1"/>
  <c r="AK77" i="20"/>
  <c r="AK77" i="20" a="1"/>
  <c r="AI77" i="20" a="1"/>
  <c r="AI77" i="20" s="1"/>
  <c r="AG77" i="20" a="1"/>
  <c r="AG77" i="20" s="1"/>
  <c r="AF77" i="20" a="1"/>
  <c r="AF77" i="20" s="1"/>
  <c r="AC77" i="20" a="1"/>
  <c r="AC77" i="20" s="1"/>
  <c r="AA77" i="20" a="1"/>
  <c r="AA77" i="20" s="1"/>
  <c r="Z77" i="20" a="1"/>
  <c r="Z77" i="20" s="1"/>
  <c r="W77" i="20" a="1"/>
  <c r="W77" i="20" s="1"/>
  <c r="U77" i="20" a="1"/>
  <c r="U77" i="20" s="1"/>
  <c r="T77" i="20" a="1"/>
  <c r="T77" i="20" s="1"/>
  <c r="Q77" i="20" a="1"/>
  <c r="Q77" i="20" s="1"/>
  <c r="P77" i="20" a="1"/>
  <c r="P77" i="20" s="1"/>
  <c r="M77" i="20" a="1"/>
  <c r="M77" i="20" s="1"/>
  <c r="K77" i="20" a="1"/>
  <c r="K77" i="20" s="1"/>
  <c r="I77" i="20" a="1"/>
  <c r="I77" i="20" s="1"/>
  <c r="BB76" i="20"/>
  <c r="AZ76" i="20"/>
  <c r="AX76" i="20"/>
  <c r="AW76" i="20"/>
  <c r="AS76" i="20"/>
  <c r="AR76" i="20"/>
  <c r="AO76" i="20"/>
  <c r="AM76" i="20"/>
  <c r="AL76" i="20"/>
  <c r="AJ76" i="20"/>
  <c r="AI76" i="20"/>
  <c r="AD76" i="20"/>
  <c r="AC76" i="20"/>
  <c r="AB76" i="20"/>
  <c r="Z76" i="20"/>
  <c r="Y76" i="20"/>
  <c r="W76" i="20"/>
  <c r="U76" i="20"/>
  <c r="S76" i="20"/>
  <c r="Q76" i="20"/>
  <c r="O76" i="20"/>
  <c r="N76" i="20"/>
  <c r="L76" i="20"/>
  <c r="K76" i="20"/>
  <c r="I76" i="20"/>
  <c r="E76" i="20"/>
  <c r="E73" i="20"/>
  <c r="BB71" i="20" a="1"/>
  <c r="BB71" i="20" s="1"/>
  <c r="AY71" i="20" a="1"/>
  <c r="AY71" i="20" s="1"/>
  <c r="AX71" i="20" a="1"/>
  <c r="AX71" i="20" s="1"/>
  <c r="AU71" i="20" a="1"/>
  <c r="AU71" i="20" s="1"/>
  <c r="AQ71" i="20" a="1"/>
  <c r="AQ71" i="20" s="1"/>
  <c r="AP71" i="20" a="1"/>
  <c r="AP71" i="20" s="1"/>
  <c r="AM71" i="20" a="1"/>
  <c r="AM71" i="20" s="1"/>
  <c r="AL71" i="20" a="1"/>
  <c r="AL71" i="20" s="1"/>
  <c r="AI71" i="20" a="1"/>
  <c r="AI71" i="20" s="1"/>
  <c r="AE71" i="20" a="1"/>
  <c r="AE71" i="20" s="1"/>
  <c r="AD71" i="20"/>
  <c r="AD71" i="20" a="1"/>
  <c r="AA71" i="20" a="1"/>
  <c r="AA71" i="20" s="1"/>
  <c r="Z71" i="20"/>
  <c r="Z71" i="20" a="1"/>
  <c r="V71" i="20" a="1"/>
  <c r="V71" i="20" s="1"/>
  <c r="S71" i="20" a="1"/>
  <c r="S71" i="20" s="1"/>
  <c r="R71" i="20" a="1"/>
  <c r="R71" i="20" s="1"/>
  <c r="O71" i="20" a="1"/>
  <c r="O71" i="20" s="1"/>
  <c r="N71" i="20" a="1"/>
  <c r="N71" i="20" s="1"/>
  <c r="K71" i="20" a="1"/>
  <c r="K71" i="20" s="1"/>
  <c r="I71" i="20" a="1"/>
  <c r="I71" i="20" s="1"/>
  <c r="BB70" i="20"/>
  <c r="BA70" i="20"/>
  <c r="AZ70" i="20"/>
  <c r="AY70" i="20"/>
  <c r="AX70" i="20"/>
  <c r="AT70" i="20"/>
  <c r="AR70" i="20"/>
  <c r="AQ70" i="20"/>
  <c r="AP70" i="20"/>
  <c r="AL70" i="20"/>
  <c r="AK70" i="20"/>
  <c r="AJ70" i="20"/>
  <c r="AI70" i="20"/>
  <c r="AD70" i="20"/>
  <c r="AC70" i="20"/>
  <c r="AB70" i="20"/>
  <c r="AA70" i="20"/>
  <c r="Z70" i="20"/>
  <c r="V70" i="20"/>
  <c r="U70" i="20"/>
  <c r="S70" i="20"/>
  <c r="R70" i="20"/>
  <c r="N70" i="20"/>
  <c r="M70" i="20"/>
  <c r="L70" i="20"/>
  <c r="K70" i="20"/>
  <c r="I70" i="20"/>
  <c r="E70" i="20"/>
  <c r="AT71" i="20" s="1" a="1"/>
  <c r="AT71" i="20" s="1"/>
  <c r="BA68" i="20" a="1"/>
  <c r="BA68" i="20" s="1"/>
  <c r="AH68" i="20" a="1"/>
  <c r="AH68" i="20" s="1"/>
  <c r="AB68" i="20" a="1"/>
  <c r="AB68" i="20" s="1"/>
  <c r="AS67" i="20"/>
  <c r="AG67" i="20"/>
  <c r="M67" i="20"/>
  <c r="E67" i="20"/>
  <c r="N68" i="20" s="1" a="1"/>
  <c r="N68" i="20" s="1"/>
  <c r="AQ65" i="20" a="1"/>
  <c r="AQ65" i="20" s="1"/>
  <c r="AJ65" i="20" a="1"/>
  <c r="AJ65" i="20" s="1"/>
  <c r="X65" i="20" a="1"/>
  <c r="X65" i="20" s="1"/>
  <c r="S65" i="20" a="1"/>
  <c r="S65" i="20" s="1"/>
  <c r="BA64" i="20"/>
  <c r="AT64" i="20"/>
  <c r="AJ64" i="20"/>
  <c r="AB64" i="20"/>
  <c r="U64" i="20"/>
  <c r="M64" i="20"/>
  <c r="E64" i="20"/>
  <c r="AU65" i="20" s="1" a="1"/>
  <c r="AU65" i="20" s="1"/>
  <c r="BB62" i="20" a="1"/>
  <c r="BB62" i="20" s="1"/>
  <c r="AZ62" i="20" a="1"/>
  <c r="AZ62" i="20" s="1"/>
  <c r="AY62" i="20" a="1"/>
  <c r="AY62" i="20" s="1"/>
  <c r="AX62" i="20" a="1"/>
  <c r="AX62" i="20" s="1"/>
  <c r="AW62" i="20" a="1"/>
  <c r="AW62" i="20" s="1"/>
  <c r="AV62" i="20" a="1"/>
  <c r="AV62" i="20" s="1"/>
  <c r="AS62" i="20" a="1"/>
  <c r="AS62" i="20" s="1"/>
  <c r="AR62" i="20" a="1"/>
  <c r="AR62" i="20" s="1"/>
  <c r="AQ62" i="20" a="1"/>
  <c r="AQ62" i="20" s="1"/>
  <c r="AP62" i="20" a="1"/>
  <c r="AP62" i="20" s="1"/>
  <c r="AM62" i="20" a="1"/>
  <c r="AM62" i="20" s="1"/>
  <c r="AL62" i="20" a="1"/>
  <c r="AL62" i="20" s="1"/>
  <c r="AK62" i="20" a="1"/>
  <c r="AK62" i="20" s="1"/>
  <c r="AJ62" i="20" a="1"/>
  <c r="AJ62" i="20" s="1"/>
  <c r="AI62" i="20" a="1"/>
  <c r="AI62" i="20" s="1"/>
  <c r="AH62" i="20" a="1"/>
  <c r="AH62" i="20" s="1"/>
  <c r="AG62" i="20" a="1"/>
  <c r="AG62" i="20" s="1"/>
  <c r="AF62" i="20" a="1"/>
  <c r="AF62" i="20" s="1"/>
  <c r="AE62" i="20" a="1"/>
  <c r="AE62" i="20" s="1"/>
  <c r="AD62" i="20" a="1"/>
  <c r="AD62" i="20" s="1"/>
  <c r="AC62" i="20" a="1"/>
  <c r="AC62" i="20" s="1"/>
  <c r="AB62" i="20" a="1"/>
  <c r="AB62" i="20" s="1"/>
  <c r="Z62" i="20" a="1"/>
  <c r="Z62" i="20" s="1"/>
  <c r="Y62" i="20" a="1"/>
  <c r="Y62" i="20" s="1"/>
  <c r="W62" i="20" a="1"/>
  <c r="W62" i="20" s="1"/>
  <c r="V62" i="20" a="1"/>
  <c r="V62" i="20" s="1"/>
  <c r="U62" i="20" a="1"/>
  <c r="U62" i="20" s="1"/>
  <c r="T62" i="20" a="1"/>
  <c r="T62" i="20" s="1"/>
  <c r="S62" i="20" a="1"/>
  <c r="S62" i="20" s="1"/>
  <c r="R62" i="20" a="1"/>
  <c r="R62" i="20" s="1"/>
  <c r="P62" i="20" a="1"/>
  <c r="P62" i="20" s="1"/>
  <c r="N62" i="20"/>
  <c r="N62" i="20" a="1"/>
  <c r="M62" i="20" a="1"/>
  <c r="M62" i="20" s="1"/>
  <c r="L62" i="20" a="1"/>
  <c r="L62" i="20" s="1"/>
  <c r="K62" i="20" a="1"/>
  <c r="K62" i="20" s="1"/>
  <c r="AZ61" i="20"/>
  <c r="AY61" i="20"/>
  <c r="AX61" i="20"/>
  <c r="AW61" i="20"/>
  <c r="AU61" i="20"/>
  <c r="AS61" i="20"/>
  <c r="AR61" i="20"/>
  <c r="AO61" i="20"/>
  <c r="AM61" i="20"/>
  <c r="AK61" i="20"/>
  <c r="AJ61" i="20"/>
  <c r="AI61" i="20"/>
  <c r="AH61" i="20"/>
  <c r="AE61" i="20"/>
  <c r="AB61" i="20"/>
  <c r="AA61" i="20"/>
  <c r="Z61" i="20"/>
  <c r="Y61" i="20"/>
  <c r="W61" i="20"/>
  <c r="T61" i="20"/>
  <c r="S61" i="20"/>
  <c r="Q61" i="20"/>
  <c r="O61" i="20"/>
  <c r="M61" i="20"/>
  <c r="L61" i="20"/>
  <c r="K61" i="20"/>
  <c r="I61" i="20"/>
  <c r="H61" i="20"/>
  <c r="E61" i="20"/>
  <c r="AS59" i="20" a="1"/>
  <c r="AS59" i="20" s="1"/>
  <c r="AN59" i="20"/>
  <c r="AN59" i="20" a="1"/>
  <c r="AC59" i="20" a="1"/>
  <c r="AC59" i="20" s="1"/>
  <c r="X59" i="20" a="1"/>
  <c r="X59" i="20" s="1"/>
  <c r="CG58" i="20"/>
  <c r="BB58" i="20"/>
  <c r="AZ58" i="20"/>
  <c r="AV58" i="20"/>
  <c r="AP58" i="20"/>
  <c r="AO58" i="20"/>
  <c r="AL58" i="20"/>
  <c r="AE58" i="20"/>
  <c r="Z58" i="20"/>
  <c r="V58" i="20"/>
  <c r="T58" i="20"/>
  <c r="P58" i="20"/>
  <c r="I58" i="20"/>
  <c r="H58" i="20"/>
  <c r="E58" i="20"/>
  <c r="M59" i="20" s="1" a="1"/>
  <c r="M59" i="20" s="1"/>
  <c r="CN56" i="20"/>
  <c r="BB56" i="20"/>
  <c r="BA56" i="20"/>
  <c r="AZ56" i="20"/>
  <c r="AY56" i="20"/>
  <c r="AX56" i="20"/>
  <c r="AW56" i="20"/>
  <c r="AV56" i="20"/>
  <c r="AU56" i="20"/>
  <c r="AT56" i="20"/>
  <c r="AS56" i="20"/>
  <c r="AR56" i="20"/>
  <c r="AQ56" i="20"/>
  <c r="AP56" i="20"/>
  <c r="AO56" i="20"/>
  <c r="AN56" i="20"/>
  <c r="AM56" i="20"/>
  <c r="AL56" i="20"/>
  <c r="AK56" i="20"/>
  <c r="AJ56" i="20"/>
  <c r="AI56" i="20"/>
  <c r="AH56" i="20"/>
  <c r="AG56" i="20"/>
  <c r="AF56" i="20"/>
  <c r="AE56" i="20"/>
  <c r="AD56" i="20"/>
  <c r="AC56" i="20"/>
  <c r="AB56" i="20"/>
  <c r="AA56" i="20"/>
  <c r="Z56" i="20"/>
  <c r="Y56" i="20"/>
  <c r="X56" i="20"/>
  <c r="W56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I56" i="20"/>
  <c r="BB55" i="20"/>
  <c r="BA55" i="20"/>
  <c r="AZ55" i="20"/>
  <c r="AY55" i="20"/>
  <c r="AX55" i="20"/>
  <c r="AW55" i="20"/>
  <c r="AV55" i="20"/>
  <c r="AU55" i="20"/>
  <c r="AT55" i="20"/>
  <c r="AS55" i="20"/>
  <c r="AR55" i="20"/>
  <c r="AQ55" i="20"/>
  <c r="AP55" i="20"/>
  <c r="AN55" i="20"/>
  <c r="AM55" i="20"/>
  <c r="AL55" i="20"/>
  <c r="AK55" i="20"/>
  <c r="AJ55" i="20"/>
  <c r="AI55" i="20"/>
  <c r="AH55" i="20"/>
  <c r="AG55" i="20"/>
  <c r="AF55" i="20"/>
  <c r="AE55" i="20"/>
  <c r="AD55" i="20"/>
  <c r="AC55" i="20"/>
  <c r="AB55" i="20"/>
  <c r="AA55" i="20"/>
  <c r="Z55" i="20"/>
  <c r="Y55" i="20"/>
  <c r="X55" i="20"/>
  <c r="W55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I55" i="20"/>
  <c r="CU53" i="20"/>
  <c r="CT53" i="20"/>
  <c r="CS53" i="20"/>
  <c r="CR53" i="20"/>
  <c r="CQ53" i="20"/>
  <c r="CP53" i="20"/>
  <c r="CO53" i="20"/>
  <c r="CN53" i="20"/>
  <c r="CM53" i="20"/>
  <c r="CL53" i="20"/>
  <c r="CK53" i="20"/>
  <c r="CJ53" i="20"/>
  <c r="CI53" i="20"/>
  <c r="CH53" i="20"/>
  <c r="CG53" i="20"/>
  <c r="CF53" i="20"/>
  <c r="CE53" i="20"/>
  <c r="CD53" i="20"/>
  <c r="CC53" i="20"/>
  <c r="CB53" i="20"/>
  <c r="CA53" i="20"/>
  <c r="BZ53" i="20"/>
  <c r="BY53" i="20"/>
  <c r="BX53" i="20"/>
  <c r="BW53" i="20"/>
  <c r="BV53" i="20"/>
  <c r="BU53" i="20"/>
  <c r="BT53" i="20"/>
  <c r="BS53" i="20"/>
  <c r="BR53" i="20"/>
  <c r="BQ53" i="20"/>
  <c r="BP53" i="20"/>
  <c r="BO53" i="20"/>
  <c r="BN53" i="20"/>
  <c r="BM53" i="20"/>
  <c r="BL53" i="20"/>
  <c r="BK53" i="20"/>
  <c r="BJ53" i="20"/>
  <c r="BI53" i="20"/>
  <c r="BH53" i="20"/>
  <c r="BG53" i="20"/>
  <c r="BF53" i="20"/>
  <c r="BE53" i="20"/>
  <c r="BD53" i="20"/>
  <c r="C53" i="20"/>
  <c r="CU52" i="20"/>
  <c r="CT52" i="20"/>
  <c r="CS52" i="20"/>
  <c r="CR52" i="20"/>
  <c r="CQ52" i="20"/>
  <c r="CP52" i="20"/>
  <c r="CO52" i="20"/>
  <c r="CN52" i="20"/>
  <c r="CM52" i="20"/>
  <c r="CL52" i="20"/>
  <c r="CK52" i="20"/>
  <c r="CJ52" i="20"/>
  <c r="CI52" i="20"/>
  <c r="CH52" i="20"/>
  <c r="CG52" i="20"/>
  <c r="CF52" i="20"/>
  <c r="CE52" i="20"/>
  <c r="CD52" i="20"/>
  <c r="CC52" i="20"/>
  <c r="CB52" i="20"/>
  <c r="CA52" i="20"/>
  <c r="BZ52" i="20"/>
  <c r="BY52" i="20"/>
  <c r="BX52" i="20"/>
  <c r="BW52" i="20"/>
  <c r="BV52" i="20"/>
  <c r="BU52" i="20"/>
  <c r="BT52" i="20"/>
  <c r="BS52" i="20"/>
  <c r="BR52" i="20"/>
  <c r="BQ52" i="20"/>
  <c r="BP52" i="20"/>
  <c r="BO52" i="20"/>
  <c r="BN52" i="20"/>
  <c r="BM52" i="20"/>
  <c r="BL52" i="20"/>
  <c r="BK52" i="20"/>
  <c r="BJ52" i="20"/>
  <c r="BI52" i="20"/>
  <c r="BH52" i="20"/>
  <c r="BG52" i="20"/>
  <c r="BF52" i="20"/>
  <c r="BE52" i="20"/>
  <c r="BD52" i="20"/>
  <c r="C52" i="20"/>
  <c r="CU51" i="20"/>
  <c r="CT51" i="20"/>
  <c r="CS51" i="20"/>
  <c r="CR51" i="20"/>
  <c r="CQ51" i="20"/>
  <c r="CP51" i="20"/>
  <c r="CO51" i="20"/>
  <c r="CN51" i="20"/>
  <c r="CM51" i="20"/>
  <c r="CL51" i="20"/>
  <c r="CK51" i="20"/>
  <c r="CJ51" i="20"/>
  <c r="CI51" i="20"/>
  <c r="CH51" i="20"/>
  <c r="CG51" i="20"/>
  <c r="CF51" i="20"/>
  <c r="CE51" i="20"/>
  <c r="CD51" i="20"/>
  <c r="CC51" i="20"/>
  <c r="CB51" i="20"/>
  <c r="CA51" i="20"/>
  <c r="BZ51" i="20"/>
  <c r="BY51" i="20"/>
  <c r="BX51" i="20"/>
  <c r="BW51" i="20"/>
  <c r="BV51" i="20"/>
  <c r="BU51" i="20"/>
  <c r="BT51" i="20"/>
  <c r="BS51" i="20"/>
  <c r="BR51" i="20"/>
  <c r="BQ51" i="20"/>
  <c r="BP51" i="20"/>
  <c r="BO51" i="20"/>
  <c r="BN51" i="20"/>
  <c r="BM51" i="20"/>
  <c r="BL51" i="20"/>
  <c r="BK51" i="20"/>
  <c r="BJ51" i="20"/>
  <c r="BI51" i="20"/>
  <c r="BH51" i="20"/>
  <c r="BG51" i="20"/>
  <c r="BF51" i="20"/>
  <c r="BE51" i="20"/>
  <c r="BD51" i="20"/>
  <c r="C51" i="20"/>
  <c r="CU50" i="20"/>
  <c r="CT50" i="20"/>
  <c r="CS50" i="20"/>
  <c r="CR50" i="20"/>
  <c r="CQ50" i="20"/>
  <c r="CP50" i="20"/>
  <c r="CO50" i="20"/>
  <c r="CN50" i="20"/>
  <c r="CM50" i="20"/>
  <c r="CL50" i="20"/>
  <c r="CK50" i="20"/>
  <c r="CJ50" i="20"/>
  <c r="CI50" i="20"/>
  <c r="CH50" i="20"/>
  <c r="CG50" i="20"/>
  <c r="CF50" i="20"/>
  <c r="CE50" i="20"/>
  <c r="CD50" i="20"/>
  <c r="CC50" i="20"/>
  <c r="CB50" i="20"/>
  <c r="CA50" i="20"/>
  <c r="BZ50" i="20"/>
  <c r="BY50" i="20"/>
  <c r="BX50" i="20"/>
  <c r="BW50" i="20"/>
  <c r="BV50" i="20"/>
  <c r="BU50" i="20"/>
  <c r="BT50" i="20"/>
  <c r="BS50" i="20"/>
  <c r="BR50" i="20"/>
  <c r="BQ50" i="20"/>
  <c r="BP50" i="20"/>
  <c r="BO50" i="20"/>
  <c r="BN50" i="20"/>
  <c r="BM50" i="20"/>
  <c r="BL50" i="20"/>
  <c r="BK50" i="20"/>
  <c r="BJ50" i="20"/>
  <c r="BI50" i="20"/>
  <c r="BH50" i="20"/>
  <c r="BG50" i="20"/>
  <c r="BF50" i="20"/>
  <c r="BE50" i="20"/>
  <c r="BD50" i="20"/>
  <c r="C50" i="20"/>
  <c r="CU49" i="20"/>
  <c r="CT49" i="20"/>
  <c r="CS49" i="20"/>
  <c r="CR49" i="20"/>
  <c r="CQ49" i="20"/>
  <c r="CP49" i="20"/>
  <c r="CO49" i="20"/>
  <c r="CN49" i="20"/>
  <c r="CM49" i="20"/>
  <c r="CL49" i="20"/>
  <c r="CK49" i="20"/>
  <c r="CJ49" i="20"/>
  <c r="CI49" i="20"/>
  <c r="CH49" i="20"/>
  <c r="CG49" i="20"/>
  <c r="CF49" i="20"/>
  <c r="CE49" i="20"/>
  <c r="CD49" i="20"/>
  <c r="CC49" i="20"/>
  <c r="CB49" i="20"/>
  <c r="CA49" i="20"/>
  <c r="BZ49" i="20"/>
  <c r="BY49" i="20"/>
  <c r="BX49" i="20"/>
  <c r="BW49" i="20"/>
  <c r="BV49" i="20"/>
  <c r="BU49" i="20"/>
  <c r="BT49" i="20"/>
  <c r="BS49" i="20"/>
  <c r="BR49" i="20"/>
  <c r="BQ49" i="20"/>
  <c r="BP49" i="20"/>
  <c r="BO49" i="20"/>
  <c r="BN49" i="20"/>
  <c r="BM49" i="20"/>
  <c r="BL49" i="20"/>
  <c r="BK49" i="20"/>
  <c r="BJ49" i="20"/>
  <c r="BI49" i="20"/>
  <c r="BH49" i="20"/>
  <c r="BG49" i="20"/>
  <c r="BF49" i="20"/>
  <c r="BE49" i="20"/>
  <c r="BD49" i="20"/>
  <c r="C49" i="20"/>
  <c r="CU48" i="20"/>
  <c r="CT48" i="20"/>
  <c r="CS48" i="20"/>
  <c r="CR48" i="20"/>
  <c r="CQ48" i="20"/>
  <c r="CP48" i="20"/>
  <c r="CO48" i="20"/>
  <c r="CN48" i="20"/>
  <c r="CM48" i="20"/>
  <c r="CL48" i="20"/>
  <c r="CK48" i="20"/>
  <c r="CJ48" i="20"/>
  <c r="CI48" i="20"/>
  <c r="CH48" i="20"/>
  <c r="CG48" i="20"/>
  <c r="CF48" i="20"/>
  <c r="CE48" i="20"/>
  <c r="CD48" i="20"/>
  <c r="CC48" i="20"/>
  <c r="CB48" i="20"/>
  <c r="CA48" i="20"/>
  <c r="BZ48" i="20"/>
  <c r="BY48" i="20"/>
  <c r="BX48" i="20"/>
  <c r="BW48" i="20"/>
  <c r="BV48" i="20"/>
  <c r="BU48" i="20"/>
  <c r="BT48" i="20"/>
  <c r="BS48" i="20"/>
  <c r="BR48" i="20"/>
  <c r="BQ48" i="20"/>
  <c r="BP48" i="20"/>
  <c r="BO48" i="20"/>
  <c r="BN48" i="20"/>
  <c r="BM48" i="20"/>
  <c r="BL48" i="20"/>
  <c r="BK48" i="20"/>
  <c r="BJ48" i="20"/>
  <c r="BI48" i="20"/>
  <c r="BH48" i="20"/>
  <c r="BG48" i="20"/>
  <c r="BF48" i="20"/>
  <c r="BE48" i="20"/>
  <c r="BD48" i="20"/>
  <c r="C48" i="20"/>
  <c r="CU47" i="20"/>
  <c r="CT47" i="20"/>
  <c r="CS47" i="20"/>
  <c r="CR47" i="20"/>
  <c r="CQ47" i="20"/>
  <c r="CP47" i="20"/>
  <c r="CO47" i="20"/>
  <c r="CN47" i="20"/>
  <c r="CM47" i="20"/>
  <c r="CL47" i="20"/>
  <c r="CK47" i="20"/>
  <c r="CJ47" i="20"/>
  <c r="CI47" i="20"/>
  <c r="CH47" i="20"/>
  <c r="CG47" i="20"/>
  <c r="CF47" i="20"/>
  <c r="CE47" i="20"/>
  <c r="CD47" i="20"/>
  <c r="CC47" i="20"/>
  <c r="CB47" i="20"/>
  <c r="CA47" i="20"/>
  <c r="BZ47" i="20"/>
  <c r="BY47" i="20"/>
  <c r="BX47" i="20"/>
  <c r="BW47" i="20"/>
  <c r="BV47" i="20"/>
  <c r="BU47" i="20"/>
  <c r="BT47" i="20"/>
  <c r="BS47" i="20"/>
  <c r="BR47" i="20"/>
  <c r="BQ47" i="20"/>
  <c r="BP47" i="20"/>
  <c r="BO47" i="20"/>
  <c r="BN47" i="20"/>
  <c r="BM47" i="20"/>
  <c r="BL47" i="20"/>
  <c r="BK47" i="20"/>
  <c r="BJ47" i="20"/>
  <c r="BI47" i="20"/>
  <c r="BH47" i="20"/>
  <c r="BG47" i="20"/>
  <c r="BF47" i="20"/>
  <c r="BE47" i="20"/>
  <c r="BD47" i="20"/>
  <c r="C47" i="20"/>
  <c r="CU46" i="20"/>
  <c r="CT46" i="20"/>
  <c r="CS46" i="20"/>
  <c r="CR46" i="20"/>
  <c r="CQ46" i="20"/>
  <c r="CP46" i="20"/>
  <c r="CO46" i="20"/>
  <c r="CN46" i="20"/>
  <c r="CM46" i="20"/>
  <c r="CL46" i="20"/>
  <c r="CK46" i="20"/>
  <c r="CJ46" i="20"/>
  <c r="CI46" i="20"/>
  <c r="CH46" i="20"/>
  <c r="CG46" i="20"/>
  <c r="CF46" i="20"/>
  <c r="CE46" i="20"/>
  <c r="CD46" i="20"/>
  <c r="CC46" i="20"/>
  <c r="CB46" i="20"/>
  <c r="CA46" i="20"/>
  <c r="BZ46" i="20"/>
  <c r="BY46" i="20"/>
  <c r="BX46" i="20"/>
  <c r="BW46" i="20"/>
  <c r="BV46" i="20"/>
  <c r="BU46" i="20"/>
  <c r="BT46" i="20"/>
  <c r="BS46" i="20"/>
  <c r="BR46" i="20"/>
  <c r="BQ46" i="20"/>
  <c r="BP46" i="20"/>
  <c r="BO46" i="20"/>
  <c r="BN46" i="20"/>
  <c r="BM46" i="20"/>
  <c r="BL46" i="20"/>
  <c r="BK46" i="20"/>
  <c r="BJ46" i="20"/>
  <c r="BI46" i="20"/>
  <c r="BH46" i="20"/>
  <c r="BG46" i="20"/>
  <c r="BF46" i="20"/>
  <c r="BE46" i="20"/>
  <c r="BD46" i="20"/>
  <c r="C46" i="20"/>
  <c r="CU45" i="20"/>
  <c r="CT45" i="20"/>
  <c r="CS45" i="20"/>
  <c r="CR45" i="20"/>
  <c r="CQ45" i="20"/>
  <c r="CP45" i="20"/>
  <c r="CO45" i="20"/>
  <c r="CN45" i="20"/>
  <c r="CM45" i="20"/>
  <c r="CL45" i="20"/>
  <c r="CK45" i="20"/>
  <c r="CJ45" i="20"/>
  <c r="CI45" i="20"/>
  <c r="CH45" i="20"/>
  <c r="CG45" i="20"/>
  <c r="CF45" i="20"/>
  <c r="CE45" i="20"/>
  <c r="CD45" i="20"/>
  <c r="CC45" i="20"/>
  <c r="CB45" i="20"/>
  <c r="CA45" i="20"/>
  <c r="BZ45" i="20"/>
  <c r="BY45" i="20"/>
  <c r="BX45" i="20"/>
  <c r="BW45" i="20"/>
  <c r="BV45" i="20"/>
  <c r="BU45" i="20"/>
  <c r="BT45" i="20"/>
  <c r="BS45" i="20"/>
  <c r="BR45" i="20"/>
  <c r="BQ45" i="20"/>
  <c r="BP45" i="20"/>
  <c r="BO45" i="20"/>
  <c r="BN45" i="20"/>
  <c r="BM45" i="20"/>
  <c r="BL45" i="20"/>
  <c r="BK45" i="20"/>
  <c r="BJ45" i="20"/>
  <c r="BI45" i="20"/>
  <c r="BH45" i="20"/>
  <c r="BG45" i="20"/>
  <c r="BF45" i="20"/>
  <c r="BE45" i="20"/>
  <c r="BD45" i="20"/>
  <c r="C45" i="20"/>
  <c r="CU44" i="20"/>
  <c r="CT44" i="20"/>
  <c r="CS44" i="20"/>
  <c r="CR44" i="20"/>
  <c r="CQ44" i="20"/>
  <c r="CP44" i="20"/>
  <c r="CO44" i="20"/>
  <c r="CN44" i="20"/>
  <c r="CM44" i="20"/>
  <c r="CL44" i="20"/>
  <c r="CK44" i="20"/>
  <c r="CJ44" i="20"/>
  <c r="CI44" i="20"/>
  <c r="CH44" i="20"/>
  <c r="CG44" i="20"/>
  <c r="CF44" i="20"/>
  <c r="CE44" i="20"/>
  <c r="CD44" i="20"/>
  <c r="CC44" i="20"/>
  <c r="CB44" i="20"/>
  <c r="CA44" i="20"/>
  <c r="BZ44" i="20"/>
  <c r="BY44" i="20"/>
  <c r="BX44" i="20"/>
  <c r="BW44" i="20"/>
  <c r="BV44" i="20"/>
  <c r="BU44" i="20"/>
  <c r="BT44" i="20"/>
  <c r="BS44" i="20"/>
  <c r="BR44" i="20"/>
  <c r="BQ44" i="20"/>
  <c r="BP44" i="20"/>
  <c r="BO44" i="20"/>
  <c r="BN44" i="20"/>
  <c r="BM44" i="20"/>
  <c r="BL44" i="20"/>
  <c r="BK44" i="20"/>
  <c r="BJ44" i="20"/>
  <c r="BI44" i="20"/>
  <c r="BH44" i="20"/>
  <c r="BG44" i="20"/>
  <c r="BF44" i="20"/>
  <c r="BE44" i="20"/>
  <c r="BD44" i="20"/>
  <c r="C44" i="20"/>
  <c r="CU43" i="20"/>
  <c r="CT43" i="20"/>
  <c r="CS43" i="20"/>
  <c r="CR43" i="20"/>
  <c r="CQ43" i="20"/>
  <c r="CP43" i="20"/>
  <c r="CO43" i="20"/>
  <c r="CN43" i="20"/>
  <c r="CM43" i="20"/>
  <c r="CL43" i="20"/>
  <c r="CK43" i="20"/>
  <c r="CJ43" i="20"/>
  <c r="CI43" i="20"/>
  <c r="CH43" i="20"/>
  <c r="CG43" i="20"/>
  <c r="CF43" i="20"/>
  <c r="CE43" i="20"/>
  <c r="CD43" i="20"/>
  <c r="CC43" i="20"/>
  <c r="CB43" i="20"/>
  <c r="CA43" i="20"/>
  <c r="BZ43" i="20"/>
  <c r="BY43" i="20"/>
  <c r="BX43" i="20"/>
  <c r="BW43" i="20"/>
  <c r="BV43" i="20"/>
  <c r="BU43" i="20"/>
  <c r="BT43" i="20"/>
  <c r="BS43" i="20"/>
  <c r="BR43" i="20"/>
  <c r="BQ43" i="20"/>
  <c r="BP43" i="20"/>
  <c r="BO43" i="20"/>
  <c r="BN43" i="20"/>
  <c r="BM43" i="20"/>
  <c r="BL43" i="20"/>
  <c r="BK43" i="20"/>
  <c r="BJ43" i="20"/>
  <c r="BI43" i="20"/>
  <c r="BH43" i="20"/>
  <c r="BG43" i="20"/>
  <c r="BF43" i="20"/>
  <c r="BE43" i="20"/>
  <c r="BD43" i="20"/>
  <c r="C43" i="20"/>
  <c r="CU42" i="20"/>
  <c r="CT42" i="20"/>
  <c r="CS42" i="20"/>
  <c r="CR42" i="20"/>
  <c r="CQ42" i="20"/>
  <c r="CP42" i="20"/>
  <c r="CO42" i="20"/>
  <c r="CN42" i="20"/>
  <c r="CM42" i="20"/>
  <c r="CL42" i="20"/>
  <c r="CK42" i="20"/>
  <c r="CJ42" i="20"/>
  <c r="CI42" i="20"/>
  <c r="CH42" i="20"/>
  <c r="CG42" i="20"/>
  <c r="CF42" i="20"/>
  <c r="CE42" i="20"/>
  <c r="CD42" i="20"/>
  <c r="CC42" i="20"/>
  <c r="CB42" i="20"/>
  <c r="CA42" i="20"/>
  <c r="BZ42" i="20"/>
  <c r="BY42" i="20"/>
  <c r="BX42" i="20"/>
  <c r="BW42" i="20"/>
  <c r="BV42" i="20"/>
  <c r="BU42" i="20"/>
  <c r="BT42" i="20"/>
  <c r="BS42" i="20"/>
  <c r="BR42" i="20"/>
  <c r="BQ42" i="20"/>
  <c r="BP42" i="20"/>
  <c r="BO42" i="20"/>
  <c r="BN42" i="20"/>
  <c r="BM42" i="20"/>
  <c r="BL42" i="20"/>
  <c r="BK42" i="20"/>
  <c r="BJ42" i="20"/>
  <c r="BI42" i="20"/>
  <c r="BH42" i="20"/>
  <c r="BG42" i="20"/>
  <c r="BF42" i="20"/>
  <c r="BE42" i="20"/>
  <c r="BD42" i="20"/>
  <c r="C42" i="20"/>
  <c r="CU41" i="20"/>
  <c r="CT41" i="20"/>
  <c r="CS41" i="20"/>
  <c r="CR41" i="20"/>
  <c r="CQ41" i="20"/>
  <c r="CP41" i="20"/>
  <c r="CO41" i="20"/>
  <c r="CN41" i="20"/>
  <c r="CM41" i="20"/>
  <c r="CL41" i="20"/>
  <c r="CK41" i="20"/>
  <c r="CJ41" i="20"/>
  <c r="CI41" i="20"/>
  <c r="CH41" i="20"/>
  <c r="CG41" i="20"/>
  <c r="CF41" i="20"/>
  <c r="CE41" i="20"/>
  <c r="CD41" i="20"/>
  <c r="CC41" i="20"/>
  <c r="CB41" i="20"/>
  <c r="CA41" i="20"/>
  <c r="BZ41" i="20"/>
  <c r="BY41" i="20"/>
  <c r="BX41" i="20"/>
  <c r="BW41" i="20"/>
  <c r="BV41" i="20"/>
  <c r="BU41" i="20"/>
  <c r="BT41" i="20"/>
  <c r="BS41" i="20"/>
  <c r="BR41" i="20"/>
  <c r="BQ41" i="20"/>
  <c r="BP41" i="20"/>
  <c r="BO41" i="20"/>
  <c r="BN41" i="20"/>
  <c r="BM41" i="20"/>
  <c r="BL41" i="20"/>
  <c r="BK41" i="20"/>
  <c r="BJ41" i="20"/>
  <c r="BI41" i="20"/>
  <c r="BH41" i="20"/>
  <c r="BG41" i="20"/>
  <c r="BF41" i="20"/>
  <c r="BE41" i="20"/>
  <c r="BD41" i="20"/>
  <c r="C41" i="20"/>
  <c r="CU40" i="20"/>
  <c r="CT40" i="20"/>
  <c r="CS40" i="20"/>
  <c r="CR40" i="20"/>
  <c r="CQ40" i="20"/>
  <c r="CP40" i="20"/>
  <c r="CO40" i="20"/>
  <c r="CN40" i="20"/>
  <c r="CM40" i="20"/>
  <c r="CL40" i="20"/>
  <c r="CK40" i="20"/>
  <c r="CJ40" i="20"/>
  <c r="CI40" i="20"/>
  <c r="CH40" i="20"/>
  <c r="CG40" i="20"/>
  <c r="CF40" i="20"/>
  <c r="CE40" i="20"/>
  <c r="CD40" i="20"/>
  <c r="CC40" i="20"/>
  <c r="CB40" i="20"/>
  <c r="CA40" i="20"/>
  <c r="BZ40" i="20"/>
  <c r="BY40" i="20"/>
  <c r="BX40" i="20"/>
  <c r="BW40" i="20"/>
  <c r="BV40" i="20"/>
  <c r="BU40" i="20"/>
  <c r="BT40" i="20"/>
  <c r="BS40" i="20"/>
  <c r="BR40" i="20"/>
  <c r="BQ40" i="20"/>
  <c r="BP40" i="20"/>
  <c r="BO40" i="20"/>
  <c r="BN40" i="20"/>
  <c r="BM40" i="20"/>
  <c r="BL40" i="20"/>
  <c r="BK40" i="20"/>
  <c r="BJ40" i="20"/>
  <c r="BI40" i="20"/>
  <c r="BH40" i="20"/>
  <c r="BG40" i="20"/>
  <c r="BF40" i="20"/>
  <c r="BE40" i="20"/>
  <c r="BD40" i="20"/>
  <c r="C40" i="20"/>
  <c r="CU39" i="20"/>
  <c r="CT39" i="20"/>
  <c r="CS39" i="20"/>
  <c r="CR39" i="20"/>
  <c r="CQ39" i="20"/>
  <c r="CP39" i="20"/>
  <c r="CO39" i="20"/>
  <c r="CN39" i="20"/>
  <c r="CM39" i="20"/>
  <c r="CL39" i="20"/>
  <c r="CK39" i="20"/>
  <c r="CJ39" i="20"/>
  <c r="CI39" i="20"/>
  <c r="CH39" i="20"/>
  <c r="CG39" i="20"/>
  <c r="CF39" i="20"/>
  <c r="CE39" i="20"/>
  <c r="CD39" i="20"/>
  <c r="CC39" i="20"/>
  <c r="CB39" i="20"/>
  <c r="CA39" i="20"/>
  <c r="BZ39" i="20"/>
  <c r="BY39" i="20"/>
  <c r="BX39" i="20"/>
  <c r="BW39" i="20"/>
  <c r="BV39" i="20"/>
  <c r="BU39" i="20"/>
  <c r="BT39" i="20"/>
  <c r="BS39" i="20"/>
  <c r="BR39" i="20"/>
  <c r="BQ39" i="20"/>
  <c r="BP39" i="20"/>
  <c r="BO39" i="20"/>
  <c r="BN39" i="20"/>
  <c r="BM39" i="20"/>
  <c r="BL39" i="20"/>
  <c r="BK39" i="20"/>
  <c r="BJ39" i="20"/>
  <c r="BI39" i="20"/>
  <c r="BH39" i="20"/>
  <c r="BG39" i="20"/>
  <c r="BF39" i="20"/>
  <c r="BE39" i="20"/>
  <c r="BD39" i="20"/>
  <c r="C39" i="20"/>
  <c r="CU38" i="20"/>
  <c r="CT38" i="20"/>
  <c r="CS38" i="20"/>
  <c r="CR38" i="20"/>
  <c r="CQ38" i="20"/>
  <c r="CP38" i="20"/>
  <c r="CO38" i="20"/>
  <c r="CN38" i="20"/>
  <c r="CM38" i="20"/>
  <c r="CL38" i="20"/>
  <c r="CK38" i="20"/>
  <c r="CJ38" i="20"/>
  <c r="CI38" i="20"/>
  <c r="CH38" i="20"/>
  <c r="CG38" i="20"/>
  <c r="CF38" i="20"/>
  <c r="CE38" i="20"/>
  <c r="CD38" i="20"/>
  <c r="CC38" i="20"/>
  <c r="CB38" i="20"/>
  <c r="CA38" i="20"/>
  <c r="BZ38" i="20"/>
  <c r="BY38" i="20"/>
  <c r="BX38" i="20"/>
  <c r="BW38" i="20"/>
  <c r="BV38" i="20"/>
  <c r="BU38" i="20"/>
  <c r="BT38" i="20"/>
  <c r="BS38" i="20"/>
  <c r="BR38" i="20"/>
  <c r="BQ38" i="20"/>
  <c r="BP38" i="20"/>
  <c r="BO38" i="20"/>
  <c r="BN38" i="20"/>
  <c r="BM38" i="20"/>
  <c r="BL38" i="20"/>
  <c r="BK38" i="20"/>
  <c r="BJ38" i="20"/>
  <c r="BI38" i="20"/>
  <c r="BH38" i="20"/>
  <c r="BG38" i="20"/>
  <c r="BF38" i="20"/>
  <c r="BE38" i="20"/>
  <c r="BD38" i="20"/>
  <c r="C38" i="20"/>
  <c r="CU37" i="20"/>
  <c r="CT37" i="20"/>
  <c r="CS37" i="20"/>
  <c r="CR37" i="20"/>
  <c r="CQ37" i="20"/>
  <c r="CP37" i="20"/>
  <c r="CO37" i="20"/>
  <c r="CN37" i="20"/>
  <c r="CM37" i="20"/>
  <c r="CL37" i="20"/>
  <c r="CK37" i="20"/>
  <c r="CJ37" i="20"/>
  <c r="CI37" i="20"/>
  <c r="CG37" i="20"/>
  <c r="CF37" i="20"/>
  <c r="CE37" i="20"/>
  <c r="CD37" i="20"/>
  <c r="CC37" i="20"/>
  <c r="CB37" i="20"/>
  <c r="CA37" i="20"/>
  <c r="BZ37" i="20"/>
  <c r="BY37" i="20"/>
  <c r="BX37" i="20"/>
  <c r="BW37" i="20"/>
  <c r="BV37" i="20"/>
  <c r="BU37" i="20"/>
  <c r="BT37" i="20"/>
  <c r="BS37" i="20"/>
  <c r="BR37" i="20"/>
  <c r="BQ37" i="20"/>
  <c r="BP37" i="20"/>
  <c r="BO37" i="20"/>
  <c r="BN37" i="20"/>
  <c r="BM37" i="20"/>
  <c r="BL37" i="20"/>
  <c r="BK37" i="20"/>
  <c r="BJ37" i="20"/>
  <c r="BI37" i="20"/>
  <c r="BH37" i="20"/>
  <c r="BG37" i="20"/>
  <c r="BF37" i="20"/>
  <c r="BE37" i="20"/>
  <c r="BD37" i="20"/>
  <c r="AO37" i="20"/>
  <c r="CH37" i="20" s="1"/>
  <c r="C37" i="20"/>
  <c r="CU36" i="20"/>
  <c r="CT36" i="20"/>
  <c r="CS36" i="20"/>
  <c r="CR36" i="20"/>
  <c r="CQ36" i="20"/>
  <c r="CP36" i="20"/>
  <c r="CO36" i="20"/>
  <c r="CN36" i="20"/>
  <c r="CM36" i="20"/>
  <c r="CL36" i="20"/>
  <c r="CK36" i="20"/>
  <c r="CJ36" i="20"/>
  <c r="CI36" i="20"/>
  <c r="CH36" i="20"/>
  <c r="CG36" i="20"/>
  <c r="CF36" i="20"/>
  <c r="CE36" i="20"/>
  <c r="CD36" i="20"/>
  <c r="CC36" i="20"/>
  <c r="CB36" i="20"/>
  <c r="CA36" i="20"/>
  <c r="BZ36" i="20"/>
  <c r="BY36" i="20"/>
  <c r="BX36" i="20"/>
  <c r="BW36" i="20"/>
  <c r="BV36" i="20"/>
  <c r="BU36" i="20"/>
  <c r="BT36" i="20"/>
  <c r="BS36" i="20"/>
  <c r="BR36" i="20"/>
  <c r="BQ36" i="20"/>
  <c r="BP36" i="20"/>
  <c r="BO36" i="20"/>
  <c r="BN36" i="20"/>
  <c r="BM36" i="20"/>
  <c r="BL36" i="20"/>
  <c r="BK36" i="20"/>
  <c r="BJ36" i="20"/>
  <c r="BI36" i="20"/>
  <c r="BH36" i="20"/>
  <c r="BG36" i="20"/>
  <c r="BF36" i="20"/>
  <c r="BE36" i="20"/>
  <c r="BD36" i="20"/>
  <c r="C36" i="20"/>
  <c r="CU35" i="20"/>
  <c r="CT35" i="20"/>
  <c r="CS35" i="20"/>
  <c r="CR35" i="20"/>
  <c r="CQ35" i="20"/>
  <c r="CP35" i="20"/>
  <c r="CO35" i="20"/>
  <c r="CN35" i="20"/>
  <c r="CM35" i="20"/>
  <c r="CL35" i="20"/>
  <c r="CK35" i="20"/>
  <c r="CJ35" i="20"/>
  <c r="CI35" i="20"/>
  <c r="CG35" i="20"/>
  <c r="CF35" i="20"/>
  <c r="CE35" i="20"/>
  <c r="CD35" i="20"/>
  <c r="CC35" i="20"/>
  <c r="CB35" i="20"/>
  <c r="CA35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BM35" i="20"/>
  <c r="BL35" i="20"/>
  <c r="BK35" i="20"/>
  <c r="BJ35" i="20"/>
  <c r="BI35" i="20"/>
  <c r="BH35" i="20"/>
  <c r="BG35" i="20"/>
  <c r="BF35" i="20"/>
  <c r="BE35" i="20"/>
  <c r="BD35" i="20"/>
  <c r="AO35" i="20"/>
  <c r="C35" i="20"/>
  <c r="CU34" i="20"/>
  <c r="CT34" i="20"/>
  <c r="CS34" i="20"/>
  <c r="CR34" i="20"/>
  <c r="CQ34" i="20"/>
  <c r="CP34" i="20"/>
  <c r="CO34" i="20"/>
  <c r="CN34" i="20"/>
  <c r="CM34" i="20"/>
  <c r="CL34" i="20"/>
  <c r="CK34" i="20"/>
  <c r="CJ34" i="20"/>
  <c r="CI34" i="20"/>
  <c r="CH34" i="20"/>
  <c r="CG34" i="20"/>
  <c r="CF34" i="20"/>
  <c r="CE34" i="20"/>
  <c r="CD34" i="20"/>
  <c r="CC34" i="20"/>
  <c r="CB34" i="20"/>
  <c r="CA34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BM34" i="20"/>
  <c r="BL34" i="20"/>
  <c r="BK34" i="20"/>
  <c r="BJ34" i="20"/>
  <c r="BI34" i="20"/>
  <c r="BH34" i="20"/>
  <c r="BG34" i="20"/>
  <c r="BF34" i="20"/>
  <c r="BE34" i="20"/>
  <c r="BD34" i="20"/>
  <c r="C34" i="20"/>
  <c r="CU33" i="20"/>
  <c r="CT33" i="20"/>
  <c r="CS33" i="20"/>
  <c r="CR33" i="20"/>
  <c r="CQ33" i="20"/>
  <c r="CP33" i="20"/>
  <c r="CO33" i="20"/>
  <c r="CN33" i="20"/>
  <c r="CM33" i="20"/>
  <c r="CL33" i="20"/>
  <c r="CK33" i="20"/>
  <c r="CJ33" i="20"/>
  <c r="CI33" i="20"/>
  <c r="CH33" i="20"/>
  <c r="CG33" i="20"/>
  <c r="CF33" i="20"/>
  <c r="CE33" i="20"/>
  <c r="CD33" i="20"/>
  <c r="CC33" i="20"/>
  <c r="CB33" i="20"/>
  <c r="CA33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BM33" i="20"/>
  <c r="BL33" i="20"/>
  <c r="BK33" i="20"/>
  <c r="BJ33" i="20"/>
  <c r="BI33" i="20"/>
  <c r="BH33" i="20"/>
  <c r="BG33" i="20"/>
  <c r="BF33" i="20"/>
  <c r="BE33" i="20"/>
  <c r="BD33" i="20"/>
  <c r="C33" i="20"/>
  <c r="CU32" i="20"/>
  <c r="CU61" i="20" s="1"/>
  <c r="CT32" i="20"/>
  <c r="CT61" i="20" s="1"/>
  <c r="CS32" i="20"/>
  <c r="CR32" i="20"/>
  <c r="CQ32" i="20"/>
  <c r="CP32" i="20"/>
  <c r="CO32" i="20"/>
  <c r="CN32" i="20"/>
  <c r="CM32" i="20"/>
  <c r="CM61" i="20" s="1"/>
  <c r="CL32" i="20"/>
  <c r="CL61" i="20" s="1"/>
  <c r="CK32" i="20"/>
  <c r="CJ32" i="20"/>
  <c r="CI32" i="20"/>
  <c r="CH32" i="20"/>
  <c r="CG32" i="20"/>
  <c r="CF32" i="20"/>
  <c r="CE32" i="20"/>
  <c r="CE61" i="20" s="1"/>
  <c r="CD32" i="20"/>
  <c r="CD61" i="20" s="1"/>
  <c r="CC32" i="20"/>
  <c r="CB32" i="20"/>
  <c r="CA32" i="20"/>
  <c r="BZ32" i="20"/>
  <c r="BY32" i="20"/>
  <c r="BX32" i="20"/>
  <c r="BW32" i="20"/>
  <c r="BV32" i="20"/>
  <c r="BV61" i="20" s="1"/>
  <c r="BU32" i="20"/>
  <c r="BT32" i="20"/>
  <c r="BS32" i="20"/>
  <c r="BR32" i="20"/>
  <c r="BQ32" i="20"/>
  <c r="BP32" i="20"/>
  <c r="BO32" i="20"/>
  <c r="BO61" i="20" s="1"/>
  <c r="BN32" i="20"/>
  <c r="BN61" i="20" s="1"/>
  <c r="BM32" i="20"/>
  <c r="BL32" i="20"/>
  <c r="BK32" i="20"/>
  <c r="BJ32" i="20"/>
  <c r="BI32" i="20"/>
  <c r="BH32" i="20"/>
  <c r="BG32" i="20"/>
  <c r="BG61" i="20" s="1"/>
  <c r="BF32" i="20"/>
  <c r="BF61" i="20" s="1"/>
  <c r="BE32" i="20"/>
  <c r="BD32" i="20"/>
  <c r="C32" i="20"/>
  <c r="CU31" i="20"/>
  <c r="CT31" i="20"/>
  <c r="CS31" i="20"/>
  <c r="CR31" i="20"/>
  <c r="CQ31" i="20"/>
  <c r="CP31" i="20"/>
  <c r="CO31" i="20"/>
  <c r="CN31" i="20"/>
  <c r="CM31" i="20"/>
  <c r="CL31" i="20"/>
  <c r="CK31" i="20"/>
  <c r="CJ31" i="20"/>
  <c r="CI31" i="20"/>
  <c r="CH31" i="20"/>
  <c r="CG31" i="20"/>
  <c r="CF31" i="20"/>
  <c r="CE31" i="20"/>
  <c r="CD31" i="20"/>
  <c r="CC31" i="20"/>
  <c r="CB31" i="20"/>
  <c r="CA31" i="20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BM31" i="20"/>
  <c r="BL31" i="20"/>
  <c r="BK31" i="20"/>
  <c r="BJ31" i="20"/>
  <c r="BI31" i="20"/>
  <c r="BH31" i="20"/>
  <c r="BG31" i="20"/>
  <c r="BF31" i="20"/>
  <c r="BE31" i="20"/>
  <c r="BD31" i="20"/>
  <c r="C31" i="20"/>
  <c r="CU30" i="20"/>
  <c r="CT30" i="20"/>
  <c r="CS30" i="20"/>
  <c r="CR30" i="20"/>
  <c r="CQ30" i="20"/>
  <c r="CP30" i="20"/>
  <c r="CO30" i="20"/>
  <c r="CN30" i="20"/>
  <c r="CM30" i="20"/>
  <c r="CL30" i="20"/>
  <c r="CK30" i="20"/>
  <c r="CJ30" i="20"/>
  <c r="CI30" i="20"/>
  <c r="CH30" i="20"/>
  <c r="CG30" i="20"/>
  <c r="CF30" i="20"/>
  <c r="CE30" i="20"/>
  <c r="CD30" i="20"/>
  <c r="CC30" i="20"/>
  <c r="CB30" i="20"/>
  <c r="CA30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BM30" i="20"/>
  <c r="BL30" i="20"/>
  <c r="BK30" i="20"/>
  <c r="BJ30" i="20"/>
  <c r="BI30" i="20"/>
  <c r="BH30" i="20"/>
  <c r="BG30" i="20"/>
  <c r="BF30" i="20"/>
  <c r="BE30" i="20"/>
  <c r="BD30" i="20"/>
  <c r="C30" i="20"/>
  <c r="CU29" i="20"/>
  <c r="CT29" i="20"/>
  <c r="CS29" i="20"/>
  <c r="CR29" i="20"/>
  <c r="CQ29" i="20"/>
  <c r="CP29" i="20"/>
  <c r="CO29" i="20"/>
  <c r="CN29" i="20"/>
  <c r="CM29" i="20"/>
  <c r="CL29" i="20"/>
  <c r="CK29" i="20"/>
  <c r="CJ29" i="20"/>
  <c r="CI29" i="20"/>
  <c r="CH29" i="20"/>
  <c r="CG29" i="20"/>
  <c r="CF29" i="20"/>
  <c r="CE29" i="20"/>
  <c r="CD29" i="20"/>
  <c r="CC29" i="20"/>
  <c r="CB29" i="20"/>
  <c r="CA29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BM29" i="20"/>
  <c r="BL29" i="20"/>
  <c r="BK29" i="20"/>
  <c r="BJ29" i="20"/>
  <c r="BI29" i="20"/>
  <c r="BH29" i="20"/>
  <c r="BG29" i="20"/>
  <c r="BF29" i="20"/>
  <c r="BE29" i="20"/>
  <c r="BD29" i="20"/>
  <c r="C29" i="20"/>
  <c r="CU28" i="20"/>
  <c r="CT28" i="20"/>
  <c r="CS28" i="20"/>
  <c r="CR28" i="20"/>
  <c r="CQ28" i="20"/>
  <c r="CP28" i="20"/>
  <c r="CO28" i="20"/>
  <c r="CN28" i="20"/>
  <c r="CM28" i="20"/>
  <c r="CL28" i="20"/>
  <c r="CK28" i="20"/>
  <c r="CJ28" i="20"/>
  <c r="CI28" i="20"/>
  <c r="CH28" i="20"/>
  <c r="CG28" i="20"/>
  <c r="CF28" i="20"/>
  <c r="CE28" i="20"/>
  <c r="CD28" i="20"/>
  <c r="CC28" i="20"/>
  <c r="CB28" i="20"/>
  <c r="CA28" i="20"/>
  <c r="BZ28" i="20"/>
  <c r="BY28" i="20"/>
  <c r="BY76" i="20" s="1"/>
  <c r="BX28" i="20"/>
  <c r="BW28" i="20"/>
  <c r="BV28" i="20"/>
  <c r="BU28" i="20"/>
  <c r="BT28" i="20"/>
  <c r="BS28" i="20"/>
  <c r="BR28" i="20"/>
  <c r="BQ28" i="20"/>
  <c r="BQ76" i="20" s="1"/>
  <c r="BP28" i="20"/>
  <c r="BO28" i="20"/>
  <c r="BN28" i="20"/>
  <c r="BM28" i="20"/>
  <c r="BL28" i="20"/>
  <c r="BK28" i="20"/>
  <c r="BJ28" i="20"/>
  <c r="BI28" i="20"/>
  <c r="BI76" i="20" s="1"/>
  <c r="BH28" i="20"/>
  <c r="BG28" i="20"/>
  <c r="BF28" i="20"/>
  <c r="BE28" i="20"/>
  <c r="BD28" i="20"/>
  <c r="C28" i="20"/>
  <c r="CU27" i="20"/>
  <c r="CT27" i="20"/>
  <c r="CS27" i="20"/>
  <c r="CR27" i="20"/>
  <c r="CQ27" i="20"/>
  <c r="CP27" i="20"/>
  <c r="CO27" i="20"/>
  <c r="CN27" i="20"/>
  <c r="CM27" i="20"/>
  <c r="CL27" i="20"/>
  <c r="CK27" i="20"/>
  <c r="CJ27" i="20"/>
  <c r="CI27" i="20"/>
  <c r="CH27" i="20"/>
  <c r="CG27" i="20"/>
  <c r="CF27" i="20"/>
  <c r="CE27" i="20"/>
  <c r="CD27" i="20"/>
  <c r="CC27" i="20"/>
  <c r="CB27" i="20"/>
  <c r="CA27" i="20"/>
  <c r="BZ27" i="20"/>
  <c r="BY27" i="20"/>
  <c r="BX27" i="20"/>
  <c r="BW27" i="20"/>
  <c r="BV27" i="20"/>
  <c r="BU27" i="20"/>
  <c r="BT27" i="20"/>
  <c r="BS27" i="20"/>
  <c r="BR27" i="20"/>
  <c r="BQ27" i="20"/>
  <c r="BP27" i="20"/>
  <c r="BO27" i="20"/>
  <c r="BN27" i="20"/>
  <c r="BM27" i="20"/>
  <c r="BL27" i="20"/>
  <c r="BK27" i="20"/>
  <c r="BJ27" i="20"/>
  <c r="BI27" i="20"/>
  <c r="BH27" i="20"/>
  <c r="BG27" i="20"/>
  <c r="BF27" i="20"/>
  <c r="BE27" i="20"/>
  <c r="BD27" i="20"/>
  <c r="C27" i="20"/>
  <c r="CU26" i="20"/>
  <c r="CT26" i="20"/>
  <c r="CS26" i="20"/>
  <c r="CR26" i="20"/>
  <c r="CR61" i="20" s="1"/>
  <c r="CQ26" i="20"/>
  <c r="CP26" i="20"/>
  <c r="CO26" i="20"/>
  <c r="CO61" i="20" s="1"/>
  <c r="CN26" i="20"/>
  <c r="CN61" i="20" s="1"/>
  <c r="CM26" i="20"/>
  <c r="CL26" i="20"/>
  <c r="CK26" i="20"/>
  <c r="CJ26" i="20"/>
  <c r="CJ61" i="20" s="1"/>
  <c r="CI26" i="20"/>
  <c r="CH26" i="20"/>
  <c r="CG26" i="20"/>
  <c r="CG61" i="20" s="1"/>
  <c r="CF26" i="20"/>
  <c r="CF61" i="20" s="1"/>
  <c r="CE26" i="20"/>
  <c r="CD26" i="20"/>
  <c r="CC26" i="20"/>
  <c r="CB26" i="20"/>
  <c r="CB61" i="20" s="1"/>
  <c r="CA26" i="20"/>
  <c r="BZ26" i="20"/>
  <c r="BY26" i="20"/>
  <c r="BY61" i="20" s="1"/>
  <c r="BX26" i="20"/>
  <c r="BX61" i="20" s="1"/>
  <c r="BW26" i="20"/>
  <c r="BW61" i="20" s="1"/>
  <c r="BV26" i="20"/>
  <c r="BU26" i="20"/>
  <c r="BT26" i="20"/>
  <c r="BT61" i="20" s="1"/>
  <c r="BS26" i="20"/>
  <c r="BR26" i="20"/>
  <c r="BQ26" i="20"/>
  <c r="BQ61" i="20" s="1"/>
  <c r="BP26" i="20"/>
  <c r="BP61" i="20" s="1"/>
  <c r="BO26" i="20"/>
  <c r="BN26" i="20"/>
  <c r="BM26" i="20"/>
  <c r="BL26" i="20"/>
  <c r="BL61" i="20" s="1"/>
  <c r="BK26" i="20"/>
  <c r="BJ26" i="20"/>
  <c r="BI26" i="20"/>
  <c r="BI61" i="20" s="1"/>
  <c r="BH26" i="20"/>
  <c r="BH61" i="20" s="1"/>
  <c r="BG26" i="20"/>
  <c r="BF26" i="20"/>
  <c r="BE26" i="20"/>
  <c r="BD26" i="20"/>
  <c r="BD61" i="20" s="1"/>
  <c r="C26" i="20"/>
  <c r="CU25" i="20"/>
  <c r="CT25" i="20"/>
  <c r="CS25" i="20"/>
  <c r="CR25" i="20"/>
  <c r="CQ25" i="20"/>
  <c r="CP25" i="20"/>
  <c r="CO25" i="20"/>
  <c r="CN25" i="20"/>
  <c r="CM25" i="20"/>
  <c r="CL25" i="20"/>
  <c r="CK25" i="20"/>
  <c r="CJ25" i="20"/>
  <c r="CI25" i="20"/>
  <c r="CH25" i="20"/>
  <c r="CG25" i="20"/>
  <c r="CF25" i="20"/>
  <c r="CE25" i="20"/>
  <c r="CD25" i="20"/>
  <c r="CC25" i="20"/>
  <c r="CB25" i="20"/>
  <c r="CA25" i="20"/>
  <c r="BZ25" i="20"/>
  <c r="BY25" i="20"/>
  <c r="BX25" i="20"/>
  <c r="BW25" i="20"/>
  <c r="BV25" i="20"/>
  <c r="BU25" i="20"/>
  <c r="BT25" i="20"/>
  <c r="BS25" i="20"/>
  <c r="BR25" i="20"/>
  <c r="BQ25" i="20"/>
  <c r="BP25" i="20"/>
  <c r="BO25" i="20"/>
  <c r="BN25" i="20"/>
  <c r="BM25" i="20"/>
  <c r="BL25" i="20"/>
  <c r="BK25" i="20"/>
  <c r="BJ25" i="20"/>
  <c r="BI25" i="20"/>
  <c r="BH25" i="20"/>
  <c r="BG25" i="20"/>
  <c r="BF25" i="20"/>
  <c r="BE25" i="20"/>
  <c r="BD25" i="20"/>
  <c r="C25" i="20"/>
  <c r="CU24" i="20"/>
  <c r="CT24" i="20"/>
  <c r="CS24" i="20"/>
  <c r="CR24" i="20"/>
  <c r="CQ24" i="20"/>
  <c r="CP24" i="20"/>
  <c r="CO24" i="20"/>
  <c r="CN24" i="20"/>
  <c r="CM24" i="20"/>
  <c r="CL24" i="20"/>
  <c r="CK24" i="20"/>
  <c r="CJ24" i="20"/>
  <c r="CI24" i="20"/>
  <c r="CH24" i="20"/>
  <c r="CG24" i="20"/>
  <c r="CF24" i="20"/>
  <c r="CE24" i="20"/>
  <c r="CD24" i="20"/>
  <c r="CC24" i="20"/>
  <c r="CB24" i="20"/>
  <c r="CA24" i="20"/>
  <c r="BZ24" i="20"/>
  <c r="BY24" i="20"/>
  <c r="BX24" i="20"/>
  <c r="BW24" i="20"/>
  <c r="BV24" i="20"/>
  <c r="BU24" i="20"/>
  <c r="BT24" i="20"/>
  <c r="BS24" i="20"/>
  <c r="BR24" i="20"/>
  <c r="BQ24" i="20"/>
  <c r="BP24" i="20"/>
  <c r="BO24" i="20"/>
  <c r="BN24" i="20"/>
  <c r="BM24" i="20"/>
  <c r="BL24" i="20"/>
  <c r="BK24" i="20"/>
  <c r="BJ24" i="20"/>
  <c r="BI24" i="20"/>
  <c r="BH24" i="20"/>
  <c r="BG24" i="20"/>
  <c r="BF24" i="20"/>
  <c r="BE24" i="20"/>
  <c r="BD24" i="20"/>
  <c r="C24" i="20"/>
  <c r="CU23" i="20"/>
  <c r="CT23" i="20"/>
  <c r="CS23" i="20"/>
  <c r="CR23" i="20"/>
  <c r="CQ23" i="20"/>
  <c r="CP23" i="20"/>
  <c r="CP70" i="20" s="1"/>
  <c r="CO23" i="20"/>
  <c r="CN23" i="20"/>
  <c r="CM23" i="20"/>
  <c r="CL23" i="20"/>
  <c r="CK23" i="20"/>
  <c r="CJ23" i="20"/>
  <c r="CI23" i="20"/>
  <c r="CH23" i="20"/>
  <c r="CH70" i="20" s="1"/>
  <c r="CG23" i="20"/>
  <c r="CF23" i="20"/>
  <c r="CE23" i="20"/>
  <c r="CD23" i="20"/>
  <c r="CC23" i="20"/>
  <c r="CB23" i="20"/>
  <c r="CA23" i="20"/>
  <c r="BZ23" i="20"/>
  <c r="BZ70" i="20" s="1"/>
  <c r="BY23" i="20"/>
  <c r="BX23" i="20"/>
  <c r="BW23" i="20"/>
  <c r="BV23" i="20"/>
  <c r="BU23" i="20"/>
  <c r="BT23" i="20"/>
  <c r="BS23" i="20"/>
  <c r="BR23" i="20"/>
  <c r="BR70" i="20" s="1"/>
  <c r="BQ23" i="20"/>
  <c r="BP23" i="20"/>
  <c r="BO23" i="20"/>
  <c r="BN23" i="20"/>
  <c r="BM23" i="20"/>
  <c r="BL23" i="20"/>
  <c r="BK23" i="20"/>
  <c r="BJ23" i="20"/>
  <c r="BJ70" i="20" s="1"/>
  <c r="BI23" i="20"/>
  <c r="BH23" i="20"/>
  <c r="BG23" i="20"/>
  <c r="BF23" i="20"/>
  <c r="BE23" i="20"/>
  <c r="BD23" i="20"/>
  <c r="C23" i="20"/>
  <c r="CU22" i="20"/>
  <c r="CT22" i="20"/>
  <c r="CS22" i="20"/>
  <c r="CR22" i="20"/>
  <c r="CQ22" i="20"/>
  <c r="CP22" i="20"/>
  <c r="CO22" i="20"/>
  <c r="CN22" i="20"/>
  <c r="CM22" i="20"/>
  <c r="CL22" i="20"/>
  <c r="CK22" i="20"/>
  <c r="CJ22" i="20"/>
  <c r="CI22" i="20"/>
  <c r="CH22" i="20"/>
  <c r="CG22" i="20"/>
  <c r="CF22" i="20"/>
  <c r="CE22" i="20"/>
  <c r="CD22" i="20"/>
  <c r="CC22" i="20"/>
  <c r="CB22" i="20"/>
  <c r="CA22" i="20"/>
  <c r="BZ22" i="20"/>
  <c r="BY22" i="20"/>
  <c r="BX22" i="20"/>
  <c r="BW22" i="20"/>
  <c r="BW79" i="20" s="1"/>
  <c r="BV22" i="20"/>
  <c r="BU22" i="20"/>
  <c r="BT22" i="20"/>
  <c r="BS22" i="20"/>
  <c r="BR22" i="20"/>
  <c r="BQ22" i="20"/>
  <c r="BP22" i="20"/>
  <c r="BO22" i="20"/>
  <c r="BN22" i="20"/>
  <c r="BM22" i="20"/>
  <c r="BL22" i="20"/>
  <c r="BK22" i="20"/>
  <c r="BJ22" i="20"/>
  <c r="BI22" i="20"/>
  <c r="BH22" i="20"/>
  <c r="BG22" i="20"/>
  <c r="BF22" i="20"/>
  <c r="BE22" i="20"/>
  <c r="BD22" i="20"/>
  <c r="C22" i="20"/>
  <c r="CU21" i="20"/>
  <c r="CT21" i="20"/>
  <c r="CT79" i="20" s="1"/>
  <c r="CS21" i="20"/>
  <c r="CS79" i="20" s="1"/>
  <c r="CR21" i="20"/>
  <c r="CR79" i="20" s="1"/>
  <c r="CQ21" i="20"/>
  <c r="CP21" i="20"/>
  <c r="CO21" i="20"/>
  <c r="CN21" i="20"/>
  <c r="CM21" i="20"/>
  <c r="CL21" i="20"/>
  <c r="CL79" i="20" s="1"/>
  <c r="CK21" i="20"/>
  <c r="CK79" i="20" s="1"/>
  <c r="CJ21" i="20"/>
  <c r="CJ79" i="20" s="1"/>
  <c r="CI21" i="20"/>
  <c r="CH21" i="20"/>
  <c r="CG21" i="20"/>
  <c r="CF21" i="20"/>
  <c r="CE21" i="20"/>
  <c r="CD21" i="20"/>
  <c r="CD79" i="20" s="1"/>
  <c r="CC21" i="20"/>
  <c r="CB21" i="20"/>
  <c r="CB79" i="20" s="1"/>
  <c r="CA21" i="20"/>
  <c r="BZ21" i="20"/>
  <c r="BY21" i="20"/>
  <c r="BX21" i="20"/>
  <c r="BW21" i="20"/>
  <c r="BV21" i="20"/>
  <c r="BV79" i="20" s="1"/>
  <c r="BU21" i="20"/>
  <c r="BT21" i="20"/>
  <c r="BT79" i="20" s="1"/>
  <c r="BS21" i="20"/>
  <c r="BR21" i="20"/>
  <c r="BQ21" i="20"/>
  <c r="BP21" i="20"/>
  <c r="BO21" i="20"/>
  <c r="BN21" i="20"/>
  <c r="BN79" i="20" s="1"/>
  <c r="BM21" i="20"/>
  <c r="BM79" i="20" s="1"/>
  <c r="BL21" i="20"/>
  <c r="BL79" i="20" s="1"/>
  <c r="BK21" i="20"/>
  <c r="BJ21" i="20"/>
  <c r="BI21" i="20"/>
  <c r="BH21" i="20"/>
  <c r="BG21" i="20"/>
  <c r="BF21" i="20"/>
  <c r="BF79" i="20" s="1"/>
  <c r="BE21" i="20"/>
  <c r="BE79" i="20" s="1"/>
  <c r="BD21" i="20"/>
  <c r="BD79" i="20" s="1"/>
  <c r="C21" i="20"/>
  <c r="CU20" i="20"/>
  <c r="CT20" i="20"/>
  <c r="CS20" i="20"/>
  <c r="CR20" i="20"/>
  <c r="CQ20" i="20"/>
  <c r="CP20" i="20"/>
  <c r="CO20" i="20"/>
  <c r="CN20" i="20"/>
  <c r="CM20" i="20"/>
  <c r="CL20" i="20"/>
  <c r="CK20" i="20"/>
  <c r="CJ20" i="20"/>
  <c r="CI20" i="20"/>
  <c r="CH20" i="20"/>
  <c r="CG20" i="20"/>
  <c r="CF20" i="20"/>
  <c r="CE20" i="20"/>
  <c r="CD20" i="20"/>
  <c r="CC20" i="20"/>
  <c r="CB20" i="20"/>
  <c r="CA20" i="20"/>
  <c r="BZ20" i="20"/>
  <c r="BY20" i="20"/>
  <c r="BX20" i="20"/>
  <c r="BX67" i="20" s="1"/>
  <c r="BW20" i="20"/>
  <c r="BV20" i="20"/>
  <c r="BU20" i="20"/>
  <c r="BT20" i="20"/>
  <c r="BS20" i="20"/>
  <c r="BR20" i="20"/>
  <c r="BQ20" i="20"/>
  <c r="BP20" i="20"/>
  <c r="BO20" i="20"/>
  <c r="BN20" i="20"/>
  <c r="BM20" i="20"/>
  <c r="BL20" i="20"/>
  <c r="BK20" i="20"/>
  <c r="BJ20" i="20"/>
  <c r="BI20" i="20"/>
  <c r="BH20" i="20"/>
  <c r="BG20" i="20"/>
  <c r="BF20" i="20"/>
  <c r="BE20" i="20"/>
  <c r="BD20" i="20"/>
  <c r="C20" i="20"/>
  <c r="CU19" i="20"/>
  <c r="CT19" i="20"/>
  <c r="CS19" i="20"/>
  <c r="CR19" i="20"/>
  <c r="CQ19" i="20"/>
  <c r="CP19" i="20"/>
  <c r="CO19" i="20"/>
  <c r="CN19" i="20"/>
  <c r="CM19" i="20"/>
  <c r="CL19" i="20"/>
  <c r="CK19" i="20"/>
  <c r="CJ19" i="20"/>
  <c r="CI19" i="20"/>
  <c r="CH19" i="20"/>
  <c r="CG19" i="20"/>
  <c r="CF19" i="20"/>
  <c r="CE19" i="20"/>
  <c r="CD19" i="20"/>
  <c r="CC19" i="20"/>
  <c r="CB19" i="20"/>
  <c r="CA19" i="20"/>
  <c r="BZ19" i="20"/>
  <c r="BY19" i="20"/>
  <c r="BX19" i="20"/>
  <c r="BW19" i="20"/>
  <c r="BV19" i="20"/>
  <c r="BU19" i="20"/>
  <c r="BT19" i="20"/>
  <c r="BS19" i="20"/>
  <c r="BR19" i="20"/>
  <c r="BQ19" i="20"/>
  <c r="BP19" i="20"/>
  <c r="BO19" i="20"/>
  <c r="BN19" i="20"/>
  <c r="BM19" i="20"/>
  <c r="BL19" i="20"/>
  <c r="BK19" i="20"/>
  <c r="BJ19" i="20"/>
  <c r="BI19" i="20"/>
  <c r="BH19" i="20"/>
  <c r="BG19" i="20"/>
  <c r="BF19" i="20"/>
  <c r="BE19" i="20"/>
  <c r="BD19" i="20"/>
  <c r="C19" i="20"/>
  <c r="CU18" i="20"/>
  <c r="CT18" i="20"/>
  <c r="CS18" i="20"/>
  <c r="CR18" i="20"/>
  <c r="CQ18" i="20"/>
  <c r="CP18" i="20"/>
  <c r="CO18" i="20"/>
  <c r="CN18" i="20"/>
  <c r="CM18" i="20"/>
  <c r="CL18" i="20"/>
  <c r="CK18" i="20"/>
  <c r="CJ18" i="20"/>
  <c r="CI18" i="20"/>
  <c r="CH18" i="20"/>
  <c r="CG18" i="20"/>
  <c r="CF18" i="20"/>
  <c r="CE18" i="20"/>
  <c r="CD18" i="20"/>
  <c r="CC18" i="20"/>
  <c r="CB18" i="20"/>
  <c r="CA18" i="20"/>
  <c r="BZ18" i="20"/>
  <c r="BY18" i="20"/>
  <c r="BX18" i="20"/>
  <c r="BW18" i="20"/>
  <c r="BV18" i="20"/>
  <c r="BU18" i="20"/>
  <c r="BT18" i="20"/>
  <c r="BS18" i="20"/>
  <c r="BR18" i="20"/>
  <c r="BQ18" i="20"/>
  <c r="BP18" i="20"/>
  <c r="BO18" i="20"/>
  <c r="BN18" i="20"/>
  <c r="BM18" i="20"/>
  <c r="BL18" i="20"/>
  <c r="BK18" i="20"/>
  <c r="BJ18" i="20"/>
  <c r="BI18" i="20"/>
  <c r="BH18" i="20"/>
  <c r="BG18" i="20"/>
  <c r="BF18" i="20"/>
  <c r="BE18" i="20"/>
  <c r="BD18" i="20"/>
  <c r="C18" i="20"/>
  <c r="CU17" i="20"/>
  <c r="CT17" i="20"/>
  <c r="CS17" i="20"/>
  <c r="CR17" i="20"/>
  <c r="CR73" i="20" s="1"/>
  <c r="CQ17" i="20"/>
  <c r="CP17" i="20"/>
  <c r="CO17" i="20"/>
  <c r="CN17" i="20"/>
  <c r="CM17" i="20"/>
  <c r="CL17" i="20"/>
  <c r="CK17" i="20"/>
  <c r="CJ17" i="20"/>
  <c r="CJ73" i="20" s="1"/>
  <c r="CI17" i="20"/>
  <c r="CH17" i="20"/>
  <c r="CG17" i="20"/>
  <c r="CF17" i="20"/>
  <c r="CE17" i="20"/>
  <c r="CD17" i="20"/>
  <c r="CC17" i="20"/>
  <c r="CB17" i="20"/>
  <c r="CB73" i="20" s="1"/>
  <c r="CA17" i="20"/>
  <c r="BZ17" i="20"/>
  <c r="BY17" i="20"/>
  <c r="BX17" i="20"/>
  <c r="BW17" i="20"/>
  <c r="BV17" i="20"/>
  <c r="BU17" i="20"/>
  <c r="BT17" i="20"/>
  <c r="BT73" i="20" s="1"/>
  <c r="BS17" i="20"/>
  <c r="BR17" i="20"/>
  <c r="BQ17" i="20"/>
  <c r="BP17" i="20"/>
  <c r="BO17" i="20"/>
  <c r="BN17" i="20"/>
  <c r="BM17" i="20"/>
  <c r="BL17" i="20"/>
  <c r="BL73" i="20" s="1"/>
  <c r="BK17" i="20"/>
  <c r="BJ17" i="20"/>
  <c r="BI17" i="20"/>
  <c r="BH17" i="20"/>
  <c r="BG17" i="20"/>
  <c r="BF17" i="20"/>
  <c r="BE17" i="20"/>
  <c r="BD17" i="20"/>
  <c r="C17" i="20"/>
  <c r="CU16" i="20"/>
  <c r="CT16" i="20"/>
  <c r="CS16" i="20"/>
  <c r="CR16" i="20"/>
  <c r="CQ16" i="20"/>
  <c r="CP16" i="20"/>
  <c r="CO16" i="20"/>
  <c r="CN16" i="20"/>
  <c r="CM16" i="20"/>
  <c r="CL16" i="20"/>
  <c r="CK16" i="20"/>
  <c r="CJ16" i="20"/>
  <c r="CI16" i="20"/>
  <c r="CH16" i="20"/>
  <c r="CG16" i="20"/>
  <c r="CF16" i="20"/>
  <c r="CE16" i="20"/>
  <c r="CD16" i="20"/>
  <c r="CC16" i="20"/>
  <c r="CB16" i="20"/>
  <c r="CA16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BM16" i="20"/>
  <c r="BL16" i="20"/>
  <c r="BK16" i="20"/>
  <c r="BJ16" i="20"/>
  <c r="BI16" i="20"/>
  <c r="BH16" i="20"/>
  <c r="BG16" i="20"/>
  <c r="BF16" i="20"/>
  <c r="BE16" i="20"/>
  <c r="BD16" i="20"/>
  <c r="C16" i="20"/>
  <c r="CU15" i="20"/>
  <c r="CT15" i="20"/>
  <c r="CS15" i="20"/>
  <c r="CR15" i="20"/>
  <c r="CQ15" i="20"/>
  <c r="CP15" i="20"/>
  <c r="CO15" i="20"/>
  <c r="CN15" i="20"/>
  <c r="CM15" i="20"/>
  <c r="CL15" i="20"/>
  <c r="CK15" i="20"/>
  <c r="CJ15" i="20"/>
  <c r="CI15" i="20"/>
  <c r="CI64" i="20" s="1"/>
  <c r="CH15" i="20"/>
  <c r="CG15" i="20"/>
  <c r="CF15" i="20"/>
  <c r="CE15" i="20"/>
  <c r="CD15" i="20"/>
  <c r="CC15" i="20"/>
  <c r="CB15" i="20"/>
  <c r="CA15" i="20"/>
  <c r="CA64" i="20" s="1"/>
  <c r="BZ15" i="20"/>
  <c r="BY15" i="20"/>
  <c r="BX15" i="20"/>
  <c r="BW15" i="20"/>
  <c r="BV15" i="20"/>
  <c r="BU15" i="20"/>
  <c r="BT15" i="20"/>
  <c r="BS15" i="20"/>
  <c r="BS64" i="20" s="1"/>
  <c r="BR15" i="20"/>
  <c r="BQ15" i="20"/>
  <c r="BP15" i="20"/>
  <c r="BO15" i="20"/>
  <c r="BN15" i="20"/>
  <c r="BM15" i="20"/>
  <c r="BL15" i="20"/>
  <c r="BK15" i="20"/>
  <c r="BJ15" i="20"/>
  <c r="BI15" i="20"/>
  <c r="BH15" i="20"/>
  <c r="BG15" i="20"/>
  <c r="BF15" i="20"/>
  <c r="BE15" i="20"/>
  <c r="BD15" i="20"/>
  <c r="C15" i="20"/>
  <c r="CU14" i="20"/>
  <c r="CU70" i="20" s="1"/>
  <c r="CT14" i="20"/>
  <c r="CS14" i="20"/>
  <c r="CR14" i="20"/>
  <c r="CQ14" i="20"/>
  <c r="CP14" i="20"/>
  <c r="CO14" i="20"/>
  <c r="CO70" i="20" s="1"/>
  <c r="CN14" i="20"/>
  <c r="CN70" i="20" s="1"/>
  <c r="CM14" i="20"/>
  <c r="CM70" i="20" s="1"/>
  <c r="CL14" i="20"/>
  <c r="CK14" i="20"/>
  <c r="CJ14" i="20"/>
  <c r="CI14" i="20"/>
  <c r="CH14" i="20"/>
  <c r="CG14" i="20"/>
  <c r="CG70" i="20" s="1"/>
  <c r="CF14" i="20"/>
  <c r="CF70" i="20" s="1"/>
  <c r="CE14" i="20"/>
  <c r="CE70" i="20" s="1"/>
  <c r="CD14" i="20"/>
  <c r="CC14" i="20"/>
  <c r="CB14" i="20"/>
  <c r="CA14" i="20"/>
  <c r="BZ14" i="20"/>
  <c r="BY14" i="20"/>
  <c r="BY70" i="20" s="1"/>
  <c r="BX14" i="20"/>
  <c r="BX70" i="20" s="1"/>
  <c r="BW14" i="20"/>
  <c r="BW70" i="20" s="1"/>
  <c r="BV14" i="20"/>
  <c r="BU14" i="20"/>
  <c r="BT14" i="20"/>
  <c r="BS14" i="20"/>
  <c r="BR14" i="20"/>
  <c r="BQ14" i="20"/>
  <c r="BQ70" i="20" s="1"/>
  <c r="BP14" i="20"/>
  <c r="BP70" i="20" s="1"/>
  <c r="BO14" i="20"/>
  <c r="BO70" i="20" s="1"/>
  <c r="BN14" i="20"/>
  <c r="BM14" i="20"/>
  <c r="BL14" i="20"/>
  <c r="BK14" i="20"/>
  <c r="BJ14" i="20"/>
  <c r="BI14" i="20"/>
  <c r="BI70" i="20" s="1"/>
  <c r="BH14" i="20"/>
  <c r="BH70" i="20" s="1"/>
  <c r="BG14" i="20"/>
  <c r="BG70" i="20" s="1"/>
  <c r="BF14" i="20"/>
  <c r="BE14" i="20"/>
  <c r="BD14" i="20"/>
  <c r="C14" i="20"/>
  <c r="CU13" i="20"/>
  <c r="CT13" i="20"/>
  <c r="CS13" i="20"/>
  <c r="CR13" i="20"/>
  <c r="CQ13" i="20"/>
  <c r="CP13" i="20"/>
  <c r="CO13" i="20"/>
  <c r="CN13" i="20"/>
  <c r="CM13" i="20"/>
  <c r="CL13" i="20"/>
  <c r="CK13" i="20"/>
  <c r="CK67" i="20" s="1"/>
  <c r="CJ13" i="20"/>
  <c r="CJ67" i="20" s="1"/>
  <c r="CI13" i="20"/>
  <c r="CH13" i="20"/>
  <c r="CG13" i="20"/>
  <c r="CF13" i="20"/>
  <c r="CE13" i="20"/>
  <c r="CD13" i="20"/>
  <c r="CC13" i="20"/>
  <c r="CB13" i="20"/>
  <c r="CA13" i="20"/>
  <c r="BZ13" i="20"/>
  <c r="BY13" i="20"/>
  <c r="BX13" i="20"/>
  <c r="BW13" i="20"/>
  <c r="BV13" i="20"/>
  <c r="BU13" i="20"/>
  <c r="BT13" i="20"/>
  <c r="BS13" i="20"/>
  <c r="BR13" i="20"/>
  <c r="BQ13" i="20"/>
  <c r="BP13" i="20"/>
  <c r="BO13" i="20"/>
  <c r="BN13" i="20"/>
  <c r="BM13" i="20"/>
  <c r="BL13" i="20"/>
  <c r="BK13" i="20"/>
  <c r="BJ13" i="20"/>
  <c r="BI13" i="20"/>
  <c r="BH13" i="20"/>
  <c r="BG13" i="20"/>
  <c r="BF13" i="20"/>
  <c r="BE13" i="20"/>
  <c r="BE67" i="20" s="1"/>
  <c r="BD13" i="20"/>
  <c r="BD67" i="20" s="1"/>
  <c r="C13" i="20"/>
  <c r="CU12" i="20"/>
  <c r="CT12" i="20"/>
  <c r="CS12" i="20"/>
  <c r="CS73" i="20" s="1"/>
  <c r="CR12" i="20"/>
  <c r="CQ12" i="20"/>
  <c r="CP12" i="20"/>
  <c r="CO12" i="20"/>
  <c r="CN12" i="20"/>
  <c r="CM12" i="20"/>
  <c r="CL12" i="20"/>
  <c r="CK12" i="20"/>
  <c r="CK73" i="20" s="1"/>
  <c r="CJ12" i="20"/>
  <c r="CI12" i="20"/>
  <c r="CH12" i="20"/>
  <c r="CG12" i="20"/>
  <c r="CF12" i="20"/>
  <c r="CE12" i="20"/>
  <c r="CD12" i="20"/>
  <c r="CC12" i="20"/>
  <c r="CB12" i="20"/>
  <c r="CA12" i="20"/>
  <c r="BZ12" i="20"/>
  <c r="BY12" i="20"/>
  <c r="BX12" i="20"/>
  <c r="BW12" i="20"/>
  <c r="BV12" i="20"/>
  <c r="BU12" i="20"/>
  <c r="BT12" i="20"/>
  <c r="BS12" i="20"/>
  <c r="BR12" i="20"/>
  <c r="BQ12" i="20"/>
  <c r="BP12" i="20"/>
  <c r="BO12" i="20"/>
  <c r="BN12" i="20"/>
  <c r="BM12" i="20"/>
  <c r="BM73" i="20" s="1"/>
  <c r="BL12" i="20"/>
  <c r="BK12" i="20"/>
  <c r="BJ12" i="20"/>
  <c r="BI12" i="20"/>
  <c r="BH12" i="20"/>
  <c r="BG12" i="20"/>
  <c r="BF12" i="20"/>
  <c r="BE12" i="20"/>
  <c r="BE73" i="20" s="1"/>
  <c r="BD12" i="20"/>
  <c r="C12" i="20"/>
  <c r="CU11" i="20"/>
  <c r="CU76" i="20" s="1"/>
  <c r="CT11" i="20"/>
  <c r="CT76" i="20" s="1"/>
  <c r="CS11" i="20"/>
  <c r="CR11" i="20"/>
  <c r="CR76" i="20" s="1"/>
  <c r="CQ11" i="20"/>
  <c r="CP11" i="20"/>
  <c r="CO11" i="20"/>
  <c r="CN11" i="20"/>
  <c r="CN76" i="20" s="1"/>
  <c r="CM11" i="20"/>
  <c r="CM76" i="20" s="1"/>
  <c r="CL11" i="20"/>
  <c r="CL76" i="20" s="1"/>
  <c r="CK11" i="20"/>
  <c r="CJ11" i="20"/>
  <c r="CJ76" i="20" s="1"/>
  <c r="CI11" i="20"/>
  <c r="CH11" i="20"/>
  <c r="CG11" i="20"/>
  <c r="CF11" i="20"/>
  <c r="CF76" i="20" s="1"/>
  <c r="CE11" i="20"/>
  <c r="CE76" i="20" s="1"/>
  <c r="CD11" i="20"/>
  <c r="CD76" i="20" s="1"/>
  <c r="CC11" i="20"/>
  <c r="CB11" i="20"/>
  <c r="CB76" i="20" s="1"/>
  <c r="CA11" i="20"/>
  <c r="BZ11" i="20"/>
  <c r="BY11" i="20"/>
  <c r="BX11" i="20"/>
  <c r="BX76" i="20" s="1"/>
  <c r="BW11" i="20"/>
  <c r="BW76" i="20" s="1"/>
  <c r="BV11" i="20"/>
  <c r="BV76" i="20" s="1"/>
  <c r="BU11" i="20"/>
  <c r="BT11" i="20"/>
  <c r="BT76" i="20" s="1"/>
  <c r="BS11" i="20"/>
  <c r="BR11" i="20"/>
  <c r="BQ11" i="20"/>
  <c r="BP11" i="20"/>
  <c r="BP76" i="20" s="1"/>
  <c r="BO11" i="20"/>
  <c r="BO76" i="20" s="1"/>
  <c r="BN11" i="20"/>
  <c r="BN76" i="20" s="1"/>
  <c r="BM11" i="20"/>
  <c r="BL11" i="20"/>
  <c r="BL76" i="20" s="1"/>
  <c r="BK11" i="20"/>
  <c r="BK76" i="20" s="1"/>
  <c r="BJ11" i="20"/>
  <c r="BI11" i="20"/>
  <c r="BH11" i="20"/>
  <c r="BH76" i="20" s="1"/>
  <c r="BG11" i="20"/>
  <c r="BG76" i="20" s="1"/>
  <c r="BF11" i="20"/>
  <c r="BF76" i="20" s="1"/>
  <c r="BE11" i="20"/>
  <c r="BD11" i="20"/>
  <c r="BD76" i="20" s="1"/>
  <c r="C11" i="20"/>
  <c r="CU10" i="20"/>
  <c r="CT10" i="20"/>
  <c r="CS10" i="20"/>
  <c r="CR10" i="20"/>
  <c r="CQ10" i="20"/>
  <c r="CP10" i="20"/>
  <c r="CO10" i="20"/>
  <c r="CN10" i="20"/>
  <c r="CM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O10" i="20"/>
  <c r="BN10" i="20"/>
  <c r="BM10" i="20"/>
  <c r="BL10" i="20"/>
  <c r="BK10" i="20"/>
  <c r="BJ10" i="20"/>
  <c r="BI10" i="20"/>
  <c r="BH10" i="20"/>
  <c r="BG10" i="20"/>
  <c r="BF10" i="20"/>
  <c r="BE10" i="20"/>
  <c r="BD10" i="20"/>
  <c r="C10" i="20"/>
  <c r="CU9" i="20"/>
  <c r="CT9" i="20"/>
  <c r="CS9" i="20"/>
  <c r="CS64" i="20" s="1"/>
  <c r="CR9" i="20"/>
  <c r="CR64" i="20" s="1"/>
  <c r="CQ9" i="20"/>
  <c r="CP9" i="20"/>
  <c r="CO9" i="20"/>
  <c r="CO64" i="20" s="1"/>
  <c r="CN9" i="20"/>
  <c r="CM9" i="20"/>
  <c r="CL9" i="20"/>
  <c r="CK9" i="20"/>
  <c r="CK64" i="20" s="1"/>
  <c r="CJ9" i="20"/>
  <c r="CJ64" i="20" s="1"/>
  <c r="CI9" i="20"/>
  <c r="CH9" i="20"/>
  <c r="CG9" i="20"/>
  <c r="CF9" i="20"/>
  <c r="CE9" i="20"/>
  <c r="CD9" i="20"/>
  <c r="CC9" i="20"/>
  <c r="CC64" i="20" s="1"/>
  <c r="CB9" i="20"/>
  <c r="CA9" i="20"/>
  <c r="BZ9" i="20"/>
  <c r="BY9" i="20"/>
  <c r="BY64" i="20" s="1"/>
  <c r="BX9" i="20"/>
  <c r="BW9" i="20"/>
  <c r="BV9" i="20"/>
  <c r="BU9" i="20"/>
  <c r="BT9" i="20"/>
  <c r="BS9" i="20"/>
  <c r="BR9" i="20"/>
  <c r="BQ9" i="20"/>
  <c r="BQ64" i="20" s="1"/>
  <c r="BP9" i="20"/>
  <c r="BO9" i="20"/>
  <c r="BN9" i="20"/>
  <c r="BM9" i="20"/>
  <c r="BM64" i="20" s="1"/>
  <c r="BL9" i="20"/>
  <c r="BL64" i="20" s="1"/>
  <c r="BK9" i="20"/>
  <c r="BJ9" i="20"/>
  <c r="BI9" i="20"/>
  <c r="BI64" i="20" s="1"/>
  <c r="BH9" i="20"/>
  <c r="BG9" i="20"/>
  <c r="BF9" i="20"/>
  <c r="BE9" i="20"/>
  <c r="BE64" i="20" s="1"/>
  <c r="BD9" i="20"/>
  <c r="BD64" i="20" s="1"/>
  <c r="C9" i="20"/>
  <c r="CU8" i="20"/>
  <c r="CT8" i="20"/>
  <c r="CS8" i="20"/>
  <c r="CS58" i="20" s="1"/>
  <c r="CR8" i="20"/>
  <c r="CR58" i="20" s="1"/>
  <c r="CQ8" i="20"/>
  <c r="CP8" i="20"/>
  <c r="CO8" i="20"/>
  <c r="CN8" i="20"/>
  <c r="CM8" i="20"/>
  <c r="CM58" i="20" s="1"/>
  <c r="CL8" i="20"/>
  <c r="CK8" i="20"/>
  <c r="CJ8" i="20"/>
  <c r="CI8" i="20"/>
  <c r="CI58" i="20" s="1"/>
  <c r="CH8" i="20"/>
  <c r="CG8" i="20"/>
  <c r="CF8" i="20"/>
  <c r="CE8" i="20"/>
  <c r="CD8" i="20"/>
  <c r="CC8" i="20"/>
  <c r="CC58" i="20" s="1"/>
  <c r="CB8" i="20"/>
  <c r="CA8" i="20"/>
  <c r="BZ8" i="20"/>
  <c r="BY8" i="20"/>
  <c r="BX8" i="20"/>
  <c r="BW8" i="20"/>
  <c r="BW58" i="20" s="1"/>
  <c r="BV8" i="20"/>
  <c r="BU8" i="20"/>
  <c r="BT8" i="20"/>
  <c r="BS8" i="20"/>
  <c r="BS58" i="20" s="1"/>
  <c r="BR8" i="20"/>
  <c r="BQ8" i="20"/>
  <c r="BP8" i="20"/>
  <c r="BO8" i="20"/>
  <c r="BN8" i="20"/>
  <c r="BM8" i="20"/>
  <c r="BM58" i="20" s="1"/>
  <c r="BL8" i="20"/>
  <c r="BL58" i="20" s="1"/>
  <c r="BK8" i="20"/>
  <c r="BJ8" i="20"/>
  <c r="BI8" i="20"/>
  <c r="BH8" i="20"/>
  <c r="BG8" i="20"/>
  <c r="BG58" i="20" s="1"/>
  <c r="BF8" i="20"/>
  <c r="BE8" i="20"/>
  <c r="BD8" i="20"/>
  <c r="C8" i="20"/>
  <c r="CU7" i="20"/>
  <c r="CT7" i="20"/>
  <c r="CS7" i="20"/>
  <c r="CR7" i="20"/>
  <c r="CQ7" i="20"/>
  <c r="CP7" i="20"/>
  <c r="CO7" i="20"/>
  <c r="CN7" i="20"/>
  <c r="CM7" i="20"/>
  <c r="CL7" i="20"/>
  <c r="CK7" i="20"/>
  <c r="CJ7" i="20"/>
  <c r="CI7" i="20"/>
  <c r="CH7" i="20"/>
  <c r="CH85" i="20" s="1"/>
  <c r="CG7" i="20"/>
  <c r="CF7" i="20"/>
  <c r="CE7" i="20"/>
  <c r="CD7" i="20"/>
  <c r="CC7" i="20"/>
  <c r="CB7" i="20"/>
  <c r="CA7" i="20"/>
  <c r="BZ7" i="20"/>
  <c r="BY7" i="20"/>
  <c r="BX7" i="20"/>
  <c r="BW7" i="20"/>
  <c r="BV7" i="20"/>
  <c r="BU7" i="20"/>
  <c r="BT7" i="20"/>
  <c r="BS7" i="20"/>
  <c r="BR7" i="20"/>
  <c r="BR85" i="20" s="1"/>
  <c r="BQ7" i="20"/>
  <c r="BP7" i="20"/>
  <c r="BO7" i="20"/>
  <c r="BN7" i="20"/>
  <c r="BM7" i="20"/>
  <c r="BL7" i="20"/>
  <c r="BK7" i="20"/>
  <c r="BJ7" i="20"/>
  <c r="BI7" i="20"/>
  <c r="BH7" i="20"/>
  <c r="BG7" i="20"/>
  <c r="BF7" i="20"/>
  <c r="BE7" i="20"/>
  <c r="BD7" i="20"/>
  <c r="C7" i="20"/>
  <c r="CU6" i="20"/>
  <c r="CT6" i="20"/>
  <c r="CS6" i="20"/>
  <c r="CR6" i="20"/>
  <c r="CQ6" i="20"/>
  <c r="CP6" i="20"/>
  <c r="CO6" i="20"/>
  <c r="CN6" i="20"/>
  <c r="CN85" i="20" s="1"/>
  <c r="CM6" i="20"/>
  <c r="CL6" i="20"/>
  <c r="CK6" i="20"/>
  <c r="CJ6" i="20"/>
  <c r="CI6" i="20"/>
  <c r="CH6" i="20"/>
  <c r="CG6" i="20"/>
  <c r="CF6" i="20"/>
  <c r="CF85" i="20" s="1"/>
  <c r="CE6" i="20"/>
  <c r="CD6" i="20"/>
  <c r="CC6" i="20"/>
  <c r="CB6" i="20"/>
  <c r="CA6" i="20"/>
  <c r="BZ6" i="20"/>
  <c r="BY6" i="20"/>
  <c r="BX6" i="20"/>
  <c r="BX85" i="20" s="1"/>
  <c r="BW6" i="20"/>
  <c r="BV6" i="20"/>
  <c r="BU6" i="20"/>
  <c r="BT6" i="20"/>
  <c r="BS6" i="20"/>
  <c r="BR6" i="20"/>
  <c r="BQ6" i="20"/>
  <c r="BP6" i="20"/>
  <c r="BP85" i="20" s="1"/>
  <c r="BO6" i="20"/>
  <c r="BN6" i="20"/>
  <c r="BM6" i="20"/>
  <c r="BL6" i="20"/>
  <c r="BK6" i="20"/>
  <c r="BJ6" i="20"/>
  <c r="BI6" i="20"/>
  <c r="BH6" i="20"/>
  <c r="BH85" i="20" s="1"/>
  <c r="BG6" i="20"/>
  <c r="BF6" i="20"/>
  <c r="BE6" i="20"/>
  <c r="BD6" i="20"/>
  <c r="C6" i="20"/>
  <c r="CU5" i="20"/>
  <c r="CT5" i="20"/>
  <c r="CS5" i="20"/>
  <c r="CR5" i="20"/>
  <c r="CQ5" i="20"/>
  <c r="CP5" i="20"/>
  <c r="CO5" i="20"/>
  <c r="CN5" i="20"/>
  <c r="CM5" i="20"/>
  <c r="CL5" i="20"/>
  <c r="CK5" i="20"/>
  <c r="CJ5" i="20"/>
  <c r="CI5" i="20"/>
  <c r="CH5" i="20"/>
  <c r="CG5" i="20"/>
  <c r="CF5" i="20"/>
  <c r="CE5" i="20"/>
  <c r="CD5" i="20"/>
  <c r="CC5" i="20"/>
  <c r="CB5" i="20"/>
  <c r="CA5" i="20"/>
  <c r="BZ5" i="20"/>
  <c r="BY5" i="20"/>
  <c r="BX5" i="20"/>
  <c r="BW5" i="20"/>
  <c r="BV5" i="20"/>
  <c r="BU5" i="20"/>
  <c r="BT5" i="20"/>
  <c r="BS5" i="20"/>
  <c r="BR5" i="20"/>
  <c r="BQ5" i="20"/>
  <c r="BP5" i="20"/>
  <c r="BO5" i="20"/>
  <c r="BN5" i="20"/>
  <c r="BM5" i="20"/>
  <c r="BL5" i="20"/>
  <c r="BK5" i="20"/>
  <c r="BJ5" i="20"/>
  <c r="BI5" i="20"/>
  <c r="BH5" i="20"/>
  <c r="BG5" i="20"/>
  <c r="BF5" i="20"/>
  <c r="BE5" i="20"/>
  <c r="BD5" i="20"/>
  <c r="C5" i="20"/>
  <c r="CT4" i="20"/>
  <c r="CP4" i="20"/>
  <c r="CN4" i="20"/>
  <c r="CM4" i="20"/>
  <c r="CL4" i="20"/>
  <c r="CK4" i="20"/>
  <c r="CF4" i="20"/>
  <c r="CD4" i="20"/>
  <c r="CC4" i="20"/>
  <c r="BZ4" i="20"/>
  <c r="BX4" i="20"/>
  <c r="BR4" i="20"/>
  <c r="BP4" i="20"/>
  <c r="BN4" i="20"/>
  <c r="BJ4" i="20"/>
  <c r="BH4" i="20"/>
  <c r="BF4" i="20"/>
  <c r="BB4" i="20"/>
  <c r="CU4" i="20" s="1"/>
  <c r="BA4" i="20"/>
  <c r="AZ4" i="20"/>
  <c r="CS4" i="20" s="1"/>
  <c r="AY4" i="20"/>
  <c r="CR4" i="20" s="1"/>
  <c r="AX4" i="20"/>
  <c r="CQ4" i="20" s="1"/>
  <c r="AW4" i="20"/>
  <c r="AV4" i="20"/>
  <c r="CO4" i="20" s="1"/>
  <c r="AU4" i="20"/>
  <c r="AT4" i="20"/>
  <c r="AS4" i="20"/>
  <c r="AR4" i="20"/>
  <c r="AQ4" i="20"/>
  <c r="CJ4" i="20" s="1"/>
  <c r="AP4" i="20"/>
  <c r="CI4" i="20" s="1"/>
  <c r="AO4" i="20"/>
  <c r="CH4" i="20" s="1"/>
  <c r="AN4" i="20"/>
  <c r="CG4" i="20" s="1"/>
  <c r="AM4" i="20"/>
  <c r="AL4" i="20"/>
  <c r="CE4" i="20" s="1"/>
  <c r="AK4" i="20"/>
  <c r="AJ4" i="20"/>
  <c r="AI4" i="20"/>
  <c r="CB4" i="20" s="1"/>
  <c r="AH4" i="20"/>
  <c r="CA4" i="20" s="1"/>
  <c r="AG4" i="20"/>
  <c r="AF4" i="20"/>
  <c r="BY4" i="20" s="1"/>
  <c r="AE4" i="20"/>
  <c r="AD4" i="20"/>
  <c r="BW4" i="20" s="1"/>
  <c r="AC4" i="20"/>
  <c r="BV4" i="20" s="1"/>
  <c r="AB4" i="20"/>
  <c r="BU4" i="20" s="1"/>
  <c r="AA4" i="20"/>
  <c r="BT4" i="20" s="1"/>
  <c r="Z4" i="20"/>
  <c r="BS4" i="20" s="1"/>
  <c r="Y4" i="20"/>
  <c r="X4" i="20"/>
  <c r="BQ4" i="20" s="1"/>
  <c r="W4" i="20"/>
  <c r="V4" i="20"/>
  <c r="BO4" i="20" s="1"/>
  <c r="U4" i="20"/>
  <c r="T4" i="20"/>
  <c r="BM4" i="20" s="1"/>
  <c r="S4" i="20"/>
  <c r="BL4" i="20" s="1"/>
  <c r="R4" i="20"/>
  <c r="BK4" i="20" s="1"/>
  <c r="Q4" i="20"/>
  <c r="P4" i="20"/>
  <c r="BI4" i="20" s="1"/>
  <c r="O4" i="20"/>
  <c r="N4" i="20"/>
  <c r="BG4" i="20" s="1"/>
  <c r="M4" i="20"/>
  <c r="L4" i="20"/>
  <c r="BE4" i="20" s="1"/>
  <c r="K4" i="20"/>
  <c r="BD4" i="20" s="1"/>
  <c r="CU3" i="20"/>
  <c r="CT3" i="20"/>
  <c r="CS3" i="20"/>
  <c r="CR3" i="20"/>
  <c r="CQ3" i="20"/>
  <c r="CP3" i="20"/>
  <c r="CO3" i="20"/>
  <c r="CN3" i="20"/>
  <c r="CM3" i="20"/>
  <c r="CL3" i="20"/>
  <c r="CK3" i="20"/>
  <c r="CJ3" i="20"/>
  <c r="CI3" i="20"/>
  <c r="CH3" i="20"/>
  <c r="CG3" i="20"/>
  <c r="CF3" i="20"/>
  <c r="CE3" i="20"/>
  <c r="CD3" i="20"/>
  <c r="CC3" i="20"/>
  <c r="CB3" i="20"/>
  <c r="CA3" i="20"/>
  <c r="BZ3" i="20"/>
  <c r="BY3" i="20"/>
  <c r="BX3" i="20"/>
  <c r="BW3" i="20"/>
  <c r="BV3" i="20"/>
  <c r="BU3" i="20"/>
  <c r="BT3" i="20"/>
  <c r="BS3" i="20"/>
  <c r="BR3" i="20"/>
  <c r="BQ3" i="20"/>
  <c r="BP3" i="20"/>
  <c r="BO3" i="20"/>
  <c r="BN3" i="20"/>
  <c r="BM3" i="20"/>
  <c r="BL3" i="20"/>
  <c r="BK3" i="20"/>
  <c r="BJ3" i="20"/>
  <c r="BI3" i="20"/>
  <c r="BH3" i="20"/>
  <c r="BG3" i="20"/>
  <c r="BF3" i="20"/>
  <c r="BE3" i="20"/>
  <c r="BD3" i="20"/>
  <c r="DE109" i="19"/>
  <c r="BT109" i="19"/>
  <c r="AS109" i="19"/>
  <c r="AH109" i="19"/>
  <c r="I109" i="19"/>
  <c r="E109" i="19"/>
  <c r="BO110" i="19" s="1" a="1"/>
  <c r="BO110" i="19" s="1"/>
  <c r="DF106" i="19"/>
  <c r="DD106" i="19"/>
  <c r="CH106" i="19"/>
  <c r="CF106" i="19"/>
  <c r="AU106" i="19"/>
  <c r="AK106" i="19"/>
  <c r="V106" i="19"/>
  <c r="I106" i="19"/>
  <c r="E106" i="19"/>
  <c r="BS106" i="19" s="1"/>
  <c r="E103" i="19"/>
  <c r="BF103" i="19" s="1"/>
  <c r="E100" i="19"/>
  <c r="E97" i="19"/>
  <c r="E94" i="19"/>
  <c r="BN95" i="19" s="1" a="1"/>
  <c r="BN95" i="19" s="1"/>
  <c r="E91" i="19"/>
  <c r="BN92" i="19" s="1" a="1"/>
  <c r="BN92" i="19" s="1"/>
  <c r="BO88" i="19"/>
  <c r="Q88" i="19"/>
  <c r="E88" i="19"/>
  <c r="W89" i="19" s="1" a="1"/>
  <c r="W89" i="19" s="1"/>
  <c r="E83" i="19"/>
  <c r="BK83" i="19" s="1"/>
  <c r="E80" i="19"/>
  <c r="BC80" i="19" s="1"/>
  <c r="BP75" i="19"/>
  <c r="BF75" i="19"/>
  <c r="AZ75" i="19"/>
  <c r="I75" i="19"/>
  <c r="E75" i="19"/>
  <c r="AA76" i="19" s="1" a="1"/>
  <c r="AA76" i="19" s="1"/>
  <c r="BH72" i="19"/>
  <c r="AU72" i="19"/>
  <c r="E72" i="19"/>
  <c r="BN73" i="19" s="1" a="1"/>
  <c r="BN73" i="19" s="1"/>
  <c r="E67" i="19"/>
  <c r="BP67" i="19" s="1"/>
  <c r="E64" i="19"/>
  <c r="BO64" i="19" s="1"/>
  <c r="E61" i="19"/>
  <c r="BN62" i="19" s="1" a="1"/>
  <c r="BN62" i="19" s="1"/>
  <c r="E58" i="19"/>
  <c r="AT58" i="19" s="1"/>
  <c r="BP56" i="19"/>
  <c r="BO56" i="19"/>
  <c r="BN56" i="19"/>
  <c r="AA56" i="19"/>
  <c r="Y56" i="19"/>
  <c r="W56" i="19"/>
  <c r="T56" i="19"/>
  <c r="Q56" i="19"/>
  <c r="I56" i="19"/>
  <c r="BP55" i="19"/>
  <c r="BO55" i="19"/>
  <c r="BN55" i="19"/>
  <c r="AA55" i="19"/>
  <c r="Y55" i="19"/>
  <c r="W55" i="19"/>
  <c r="T55" i="19"/>
  <c r="Q55" i="19"/>
  <c r="I55" i="19"/>
  <c r="H55" i="19"/>
  <c r="AU53" i="19"/>
  <c r="AT53" i="19"/>
  <c r="AS53" i="19"/>
  <c r="AR53" i="19"/>
  <c r="AQ53" i="19"/>
  <c r="AP53" i="19"/>
  <c r="AO53" i="19"/>
  <c r="AN53" i="19"/>
  <c r="AM53" i="19"/>
  <c r="AL53" i="19"/>
  <c r="AK53" i="19"/>
  <c r="AJ53" i="19"/>
  <c r="AI53" i="19"/>
  <c r="AH53" i="19"/>
  <c r="AG53" i="19"/>
  <c r="AF53" i="19"/>
  <c r="AE53" i="19"/>
  <c r="AD53" i="19"/>
  <c r="AC53" i="19"/>
  <c r="AB53" i="19"/>
  <c r="Z53" i="19"/>
  <c r="U53" i="19"/>
  <c r="N53" i="19"/>
  <c r="M53" i="19"/>
  <c r="CY53" i="19" s="1"/>
  <c r="C53" i="19"/>
  <c r="AL52" i="19"/>
  <c r="AK52" i="19"/>
  <c r="AJ52" i="19"/>
  <c r="AI52" i="19"/>
  <c r="AH52" i="19"/>
  <c r="AG52" i="19"/>
  <c r="AF52" i="19"/>
  <c r="AE52" i="19"/>
  <c r="AD52" i="19"/>
  <c r="AC52" i="19"/>
  <c r="AB52" i="19"/>
  <c r="Z52" i="19"/>
  <c r="U52" i="19"/>
  <c r="M52" i="19"/>
  <c r="DB52" i="19" s="1"/>
  <c r="C52" i="19"/>
  <c r="CY51" i="19"/>
  <c r="AJ51" i="19"/>
  <c r="AI51" i="19"/>
  <c r="AH51" i="19"/>
  <c r="CA51" i="19" s="1"/>
  <c r="AG51" i="19"/>
  <c r="AF51" i="19"/>
  <c r="AE51" i="19"/>
  <c r="BX51" i="19" s="1"/>
  <c r="AD51" i="19"/>
  <c r="AC51" i="19"/>
  <c r="AB51" i="19"/>
  <c r="Z51" i="19"/>
  <c r="U51" i="19"/>
  <c r="N51" i="19"/>
  <c r="M51" i="19"/>
  <c r="CV51" i="19" s="1"/>
  <c r="C51" i="19"/>
  <c r="CS50" i="19"/>
  <c r="CJ50" i="19"/>
  <c r="AO50" i="19"/>
  <c r="AN50" i="19"/>
  <c r="AM50" i="19"/>
  <c r="AL50" i="19"/>
  <c r="AK50" i="19"/>
  <c r="AJ50" i="19"/>
  <c r="AI50" i="19"/>
  <c r="AH50" i="19"/>
  <c r="AG50" i="19"/>
  <c r="AF50" i="19"/>
  <c r="AE50" i="19"/>
  <c r="AD50" i="19"/>
  <c r="AC50" i="19"/>
  <c r="AB50" i="19"/>
  <c r="BU50" i="19" s="1"/>
  <c r="Z50" i="19"/>
  <c r="U50" i="19"/>
  <c r="N50" i="19"/>
  <c r="M50" i="19"/>
  <c r="CR50" i="19" s="1"/>
  <c r="C50" i="19"/>
  <c r="DI49" i="19"/>
  <c r="AL49" i="19"/>
  <c r="AK49" i="19"/>
  <c r="AJ49" i="19"/>
  <c r="AI49" i="19"/>
  <c r="AH49" i="19"/>
  <c r="AG49" i="19"/>
  <c r="AF49" i="19"/>
  <c r="AE49" i="19"/>
  <c r="AD49" i="19"/>
  <c r="AC49" i="19"/>
  <c r="AB49" i="19"/>
  <c r="Z49" i="19"/>
  <c r="BS49" i="19" s="1"/>
  <c r="U49" i="19"/>
  <c r="N49" i="19"/>
  <c r="M49" i="19"/>
  <c r="DE49" i="19" s="1"/>
  <c r="C49" i="19"/>
  <c r="AU48" i="19"/>
  <c r="AT48" i="19"/>
  <c r="AS48" i="19"/>
  <c r="AR48" i="19"/>
  <c r="AQ48" i="19"/>
  <c r="AP48" i="19"/>
  <c r="AO48" i="19"/>
  <c r="AN48" i="19"/>
  <c r="AM48" i="19"/>
  <c r="AL48" i="19"/>
  <c r="AK48" i="19"/>
  <c r="AJ48" i="19"/>
  <c r="AI48" i="19"/>
  <c r="AH48" i="19"/>
  <c r="AG48" i="19"/>
  <c r="AF48" i="19"/>
  <c r="AE48" i="19"/>
  <c r="AD48" i="19"/>
  <c r="AC48" i="19"/>
  <c r="AB48" i="19"/>
  <c r="Z48" i="19"/>
  <c r="U48" i="19"/>
  <c r="N48" i="19"/>
  <c r="M48" i="19"/>
  <c r="DA48" i="19" s="1"/>
  <c r="C48" i="19"/>
  <c r="AN47" i="19"/>
  <c r="AM47" i="19"/>
  <c r="AL47" i="19"/>
  <c r="AK47" i="19"/>
  <c r="CD47" i="19" s="1"/>
  <c r="AJ47" i="19"/>
  <c r="AI47" i="19"/>
  <c r="AH47" i="19"/>
  <c r="AG47" i="19"/>
  <c r="AF47" i="19"/>
  <c r="AE47" i="19"/>
  <c r="AD47" i="19"/>
  <c r="AC47" i="19"/>
  <c r="AB47" i="19"/>
  <c r="Z47" i="19"/>
  <c r="U47" i="19"/>
  <c r="M47" i="19"/>
  <c r="CM47" i="19" s="1"/>
  <c r="C47" i="19"/>
  <c r="AL46" i="19"/>
  <c r="AK46" i="19"/>
  <c r="AJ46" i="19"/>
  <c r="AI46" i="19"/>
  <c r="AH46" i="19"/>
  <c r="AG46" i="19"/>
  <c r="AF46" i="19"/>
  <c r="AE46" i="19"/>
  <c r="AD46" i="19"/>
  <c r="AC46" i="19"/>
  <c r="AB46" i="19"/>
  <c r="Z46" i="19"/>
  <c r="U46" i="19"/>
  <c r="M46" i="19"/>
  <c r="CY46" i="19" s="1"/>
  <c r="C46" i="19"/>
  <c r="AV45" i="19"/>
  <c r="AU45" i="19"/>
  <c r="AT45" i="19"/>
  <c r="AS45" i="19"/>
  <c r="AR45" i="19"/>
  <c r="AQ45" i="19"/>
  <c r="AP45" i="19"/>
  <c r="AO45" i="19"/>
  <c r="AN45" i="19"/>
  <c r="AM45" i="19"/>
  <c r="AL45" i="19"/>
  <c r="AK45" i="19"/>
  <c r="AJ45" i="19"/>
  <c r="AI45" i="19"/>
  <c r="AH45" i="19"/>
  <c r="AG45" i="19"/>
  <c r="AF45" i="19"/>
  <c r="AE45" i="19"/>
  <c r="AD45" i="19"/>
  <c r="AC45" i="19"/>
  <c r="AB45" i="19"/>
  <c r="Z45" i="19"/>
  <c r="U45" i="19"/>
  <c r="N45" i="19"/>
  <c r="M45" i="19"/>
  <c r="C45" i="19"/>
  <c r="AN44" i="19"/>
  <c r="AN58" i="19" s="1"/>
  <c r="AM44" i="19"/>
  <c r="AL44" i="19"/>
  <c r="AK44" i="19"/>
  <c r="AJ44" i="19"/>
  <c r="AI44" i="19"/>
  <c r="AH44" i="19"/>
  <c r="CA44" i="19" s="1"/>
  <c r="AG44" i="19"/>
  <c r="AF44" i="19"/>
  <c r="AE44" i="19"/>
  <c r="AD44" i="19"/>
  <c r="AC44" i="19"/>
  <c r="AB44" i="19"/>
  <c r="Z44" i="19"/>
  <c r="U44" i="19"/>
  <c r="M44" i="19"/>
  <c r="CV44" i="19" s="1"/>
  <c r="C44" i="19"/>
  <c r="AO43" i="19"/>
  <c r="AN43" i="19"/>
  <c r="AM43" i="19"/>
  <c r="AL43" i="19"/>
  <c r="AK43" i="19"/>
  <c r="AJ43" i="19"/>
  <c r="AI43" i="19"/>
  <c r="AH43" i="19"/>
  <c r="AG43" i="19"/>
  <c r="AF43" i="19"/>
  <c r="AE43" i="19"/>
  <c r="AD43" i="19"/>
  <c r="AC43" i="19"/>
  <c r="AB43" i="19"/>
  <c r="Z43" i="19"/>
  <c r="U43" i="19"/>
  <c r="N43" i="19"/>
  <c r="M43" i="19"/>
  <c r="DA43" i="19" s="1"/>
  <c r="C43" i="19"/>
  <c r="AO42" i="19"/>
  <c r="AN42" i="19"/>
  <c r="AM42" i="19"/>
  <c r="AL42" i="19"/>
  <c r="AK42" i="19"/>
  <c r="AJ42" i="19"/>
  <c r="AI42" i="19"/>
  <c r="AH42" i="19"/>
  <c r="AG42" i="19"/>
  <c r="AF42" i="19"/>
  <c r="AE42" i="19"/>
  <c r="AD42" i="19"/>
  <c r="AC42" i="19"/>
  <c r="AB42" i="19"/>
  <c r="Z42" i="19"/>
  <c r="U42" i="19"/>
  <c r="N42" i="19"/>
  <c r="M42" i="19"/>
  <c r="CO42" i="19" s="1"/>
  <c r="C42" i="19"/>
  <c r="AM41" i="19"/>
  <c r="AL41" i="19"/>
  <c r="AK41" i="19"/>
  <c r="AJ41" i="19"/>
  <c r="AI41" i="19"/>
  <c r="AH41" i="19"/>
  <c r="AG41" i="19"/>
  <c r="AF41" i="19"/>
  <c r="AE41" i="19"/>
  <c r="AD41" i="19"/>
  <c r="AC41" i="19"/>
  <c r="AB41" i="19"/>
  <c r="Z41" i="19"/>
  <c r="U41" i="19"/>
  <c r="M41" i="19"/>
  <c r="CO41" i="19" s="1"/>
  <c r="C41" i="19"/>
  <c r="AM40" i="19"/>
  <c r="AL40" i="19"/>
  <c r="AK40" i="19"/>
  <c r="AJ40" i="19"/>
  <c r="AI40" i="19"/>
  <c r="AH40" i="19"/>
  <c r="AG40" i="19"/>
  <c r="AF40" i="19"/>
  <c r="AE40" i="19"/>
  <c r="AD40" i="19"/>
  <c r="AC40" i="19"/>
  <c r="AB40" i="19"/>
  <c r="Z40" i="19"/>
  <c r="U40" i="19"/>
  <c r="M40" i="19"/>
  <c r="CX40" i="19" s="1"/>
  <c r="C40" i="19"/>
  <c r="AL39" i="19"/>
  <c r="AK39" i="19"/>
  <c r="AJ39" i="19"/>
  <c r="AI39" i="19"/>
  <c r="AH39" i="19"/>
  <c r="AG39" i="19"/>
  <c r="AF39" i="19"/>
  <c r="AE39" i="19"/>
  <c r="AD39" i="19"/>
  <c r="AC39" i="19"/>
  <c r="AB39" i="19"/>
  <c r="Z39" i="19"/>
  <c r="U39" i="19"/>
  <c r="M39" i="19"/>
  <c r="CB39" i="19" s="1"/>
  <c r="C39" i="19"/>
  <c r="AK38" i="19"/>
  <c r="AJ38" i="19"/>
  <c r="AI38" i="19"/>
  <c r="AH38" i="19"/>
  <c r="AG38" i="19"/>
  <c r="AF38" i="19"/>
  <c r="AE38" i="19"/>
  <c r="AD38" i="19"/>
  <c r="AC38" i="19"/>
  <c r="AB38" i="19"/>
  <c r="Z38" i="19"/>
  <c r="U38" i="19"/>
  <c r="M38" i="19"/>
  <c r="DE38" i="19" s="1"/>
  <c r="C38" i="19"/>
  <c r="BM37" i="19"/>
  <c r="BL37" i="19"/>
  <c r="BK37" i="19"/>
  <c r="BJ37" i="19"/>
  <c r="BI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AU37" i="19"/>
  <c r="AT37" i="19"/>
  <c r="AS37" i="19"/>
  <c r="AR37" i="19"/>
  <c r="AQ37" i="19"/>
  <c r="AP37" i="19"/>
  <c r="AO37" i="19"/>
  <c r="AN37" i="19"/>
  <c r="AM37" i="19"/>
  <c r="AL37" i="19"/>
  <c r="AK37" i="19"/>
  <c r="CD37" i="19" s="1"/>
  <c r="AJ37" i="19"/>
  <c r="AI37" i="19"/>
  <c r="AH37" i="19"/>
  <c r="AG37" i="19"/>
  <c r="AF37" i="19"/>
  <c r="AE37" i="19"/>
  <c r="AD37" i="19"/>
  <c r="AC37" i="19"/>
  <c r="AB37" i="19"/>
  <c r="Z37" i="19"/>
  <c r="U37" i="19"/>
  <c r="N37" i="19"/>
  <c r="M37" i="19"/>
  <c r="DH37" i="19" s="1"/>
  <c r="C37" i="19"/>
  <c r="AS36" i="19"/>
  <c r="AR36" i="19"/>
  <c r="AQ36" i="19"/>
  <c r="AP36" i="19"/>
  <c r="AO36" i="19"/>
  <c r="AN36" i="19"/>
  <c r="AM36" i="19"/>
  <c r="AL36" i="19"/>
  <c r="AK36" i="19"/>
  <c r="AJ36" i="19"/>
  <c r="AI36" i="19"/>
  <c r="AH36" i="19"/>
  <c r="AG36" i="19"/>
  <c r="AF36" i="19"/>
  <c r="AE36" i="19"/>
  <c r="AD36" i="19"/>
  <c r="AC36" i="19"/>
  <c r="AB36" i="19"/>
  <c r="Z36" i="19"/>
  <c r="U36" i="19"/>
  <c r="N36" i="19"/>
  <c r="M36" i="19"/>
  <c r="DF36" i="19" s="1"/>
  <c r="C36" i="19"/>
  <c r="BL35" i="19"/>
  <c r="BK35" i="19"/>
  <c r="BK59" i="19" s="1" a="1"/>
  <c r="BK59" i="19" s="1"/>
  <c r="BJ35" i="19"/>
  <c r="BI35" i="19"/>
  <c r="BH35" i="19"/>
  <c r="BG35" i="19"/>
  <c r="BF35" i="19"/>
  <c r="BE35" i="19"/>
  <c r="BD35" i="19"/>
  <c r="BC35" i="19"/>
  <c r="BC56" i="19" s="1"/>
  <c r="BB35" i="19"/>
  <c r="BA35" i="19"/>
  <c r="AZ35" i="19"/>
  <c r="AY35" i="19"/>
  <c r="CR35" i="19" s="1"/>
  <c r="AX35" i="19"/>
  <c r="AW35" i="19"/>
  <c r="AV35" i="19"/>
  <c r="AU35" i="19"/>
  <c r="AT35" i="19"/>
  <c r="AS35" i="19"/>
  <c r="AR35" i="19"/>
  <c r="AQ35" i="19"/>
  <c r="AP35" i="19"/>
  <c r="AO35" i="19"/>
  <c r="AN35" i="19"/>
  <c r="AM35" i="19"/>
  <c r="AL35" i="19"/>
  <c r="AK35" i="19"/>
  <c r="AJ35" i="19"/>
  <c r="AI35" i="19"/>
  <c r="AH35" i="19"/>
  <c r="AG35" i="19"/>
  <c r="AF35" i="19"/>
  <c r="AE35" i="19"/>
  <c r="AD35" i="19"/>
  <c r="AC35" i="19"/>
  <c r="AB35" i="19"/>
  <c r="Z35" i="19"/>
  <c r="U35" i="19"/>
  <c r="N35" i="19"/>
  <c r="M35" i="19"/>
  <c r="DH35" i="19" s="1"/>
  <c r="C35" i="19"/>
  <c r="AL34" i="19"/>
  <c r="AK34" i="19"/>
  <c r="AJ34" i="19"/>
  <c r="AI34" i="19"/>
  <c r="AH34" i="19"/>
  <c r="AG34" i="19"/>
  <c r="AF34" i="19"/>
  <c r="AE34" i="19"/>
  <c r="AD34" i="19"/>
  <c r="AC34" i="19"/>
  <c r="AB34" i="19"/>
  <c r="Z34" i="19"/>
  <c r="U34" i="19"/>
  <c r="M34" i="19"/>
  <c r="CH34" i="19" s="1"/>
  <c r="C34" i="19"/>
  <c r="BA33" i="19"/>
  <c r="AZ33" i="19"/>
  <c r="AY33" i="19"/>
  <c r="AX33" i="19"/>
  <c r="AW33" i="19"/>
  <c r="AV33" i="19"/>
  <c r="AU33" i="19"/>
  <c r="AT33" i="19"/>
  <c r="AS33" i="19"/>
  <c r="AR33" i="19"/>
  <c r="AQ33" i="19"/>
  <c r="AP33" i="19"/>
  <c r="AO33" i="19"/>
  <c r="AN33" i="19"/>
  <c r="AM33" i="19"/>
  <c r="AL33" i="19"/>
  <c r="AK33" i="19"/>
  <c r="AJ33" i="19"/>
  <c r="AI33" i="19"/>
  <c r="AH33" i="19"/>
  <c r="AG33" i="19"/>
  <c r="AF33" i="19"/>
  <c r="AE33" i="19"/>
  <c r="AD33" i="19"/>
  <c r="AC33" i="19"/>
  <c r="AB33" i="19"/>
  <c r="Z33" i="19"/>
  <c r="U33" i="19"/>
  <c r="N33" i="19"/>
  <c r="M33" i="19"/>
  <c r="CJ33" i="19" s="1"/>
  <c r="C33" i="19"/>
  <c r="AP32" i="19"/>
  <c r="AO32" i="19"/>
  <c r="AN32" i="19"/>
  <c r="AM32" i="19"/>
  <c r="AL32" i="19"/>
  <c r="AK32" i="19"/>
  <c r="AJ32" i="19"/>
  <c r="AI32" i="19"/>
  <c r="AH32" i="19"/>
  <c r="AG32" i="19"/>
  <c r="AF32" i="19"/>
  <c r="AE32" i="19"/>
  <c r="AD32" i="19"/>
  <c r="AC32" i="19"/>
  <c r="AB32" i="19"/>
  <c r="Z32" i="19"/>
  <c r="U32" i="19"/>
  <c r="N32" i="19"/>
  <c r="M32" i="19"/>
  <c r="C32" i="19"/>
  <c r="AL31" i="19"/>
  <c r="AK31" i="19"/>
  <c r="AJ31" i="19"/>
  <c r="AI31" i="19"/>
  <c r="AH31" i="19"/>
  <c r="AG31" i="19"/>
  <c r="AF31" i="19"/>
  <c r="AE31" i="19"/>
  <c r="AD31" i="19"/>
  <c r="AC31" i="19"/>
  <c r="AB31" i="19"/>
  <c r="Z31" i="19"/>
  <c r="U31" i="19"/>
  <c r="M31" i="19"/>
  <c r="CG31" i="19" s="1"/>
  <c r="C31" i="19"/>
  <c r="AU30" i="19"/>
  <c r="AT30" i="19"/>
  <c r="AT75" i="19" s="1"/>
  <c r="AS30" i="19"/>
  <c r="AR30" i="19"/>
  <c r="AQ30" i="19"/>
  <c r="AP30" i="19"/>
  <c r="AO30" i="19"/>
  <c r="AN30" i="19"/>
  <c r="AM30" i="19"/>
  <c r="AL30" i="19"/>
  <c r="AK30" i="19"/>
  <c r="AJ30" i="19"/>
  <c r="AI30" i="19"/>
  <c r="AH30" i="19"/>
  <c r="AG30" i="19"/>
  <c r="AF30" i="19"/>
  <c r="AE30" i="19"/>
  <c r="AD30" i="19"/>
  <c r="AC30" i="19"/>
  <c r="AB30" i="19"/>
  <c r="Z30" i="19"/>
  <c r="U30" i="19"/>
  <c r="N30" i="19"/>
  <c r="M30" i="19"/>
  <c r="DH30" i="19" s="1"/>
  <c r="C30" i="19"/>
  <c r="AF29" i="19"/>
  <c r="AE29" i="19"/>
  <c r="AD29" i="19"/>
  <c r="AC29" i="19"/>
  <c r="AB29" i="19"/>
  <c r="Z29" i="19"/>
  <c r="U29" i="19"/>
  <c r="M29" i="19"/>
  <c r="DI29" i="19" s="1"/>
  <c r="C29" i="19"/>
  <c r="AN28" i="19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Z28" i="19"/>
  <c r="U28" i="19"/>
  <c r="M28" i="19"/>
  <c r="BR28" i="19" s="1"/>
  <c r="C28" i="19"/>
  <c r="AL27" i="19"/>
  <c r="AK27" i="19"/>
  <c r="AJ27" i="19"/>
  <c r="AI27" i="19"/>
  <c r="AH27" i="19"/>
  <c r="AG27" i="19"/>
  <c r="AF27" i="19"/>
  <c r="AE27" i="19"/>
  <c r="AD27" i="19"/>
  <c r="AC27" i="19"/>
  <c r="AB27" i="19"/>
  <c r="Z27" i="19"/>
  <c r="U27" i="19"/>
  <c r="M27" i="19"/>
  <c r="CW27" i="19" s="1"/>
  <c r="C27" i="19"/>
  <c r="AN26" i="19"/>
  <c r="AM26" i="19"/>
  <c r="AL26" i="19"/>
  <c r="AK26" i="19"/>
  <c r="AJ26" i="19"/>
  <c r="AI26" i="19"/>
  <c r="AH26" i="19"/>
  <c r="AG26" i="19"/>
  <c r="AF26" i="19"/>
  <c r="AE26" i="19"/>
  <c r="AD26" i="19"/>
  <c r="BW26" i="19" s="1"/>
  <c r="AC26" i="19"/>
  <c r="AB26" i="19"/>
  <c r="Z26" i="19"/>
  <c r="U26" i="19"/>
  <c r="N26" i="19"/>
  <c r="M26" i="19"/>
  <c r="CL26" i="19" s="1"/>
  <c r="C26" i="19"/>
  <c r="AU25" i="19"/>
  <c r="AT25" i="19"/>
  <c r="AS25" i="19"/>
  <c r="AR25" i="19"/>
  <c r="AQ25" i="19"/>
  <c r="AP25" i="19"/>
  <c r="AO25" i="19"/>
  <c r="AN25" i="19"/>
  <c r="AM25" i="19"/>
  <c r="AL25" i="19"/>
  <c r="AK25" i="19"/>
  <c r="AJ25" i="19"/>
  <c r="AI25" i="19"/>
  <c r="AH25" i="19"/>
  <c r="AG25" i="19"/>
  <c r="AF25" i="19"/>
  <c r="AE25" i="19"/>
  <c r="AD25" i="19"/>
  <c r="AC25" i="19"/>
  <c r="AB25" i="19"/>
  <c r="Z25" i="19"/>
  <c r="U25" i="19"/>
  <c r="N25" i="19"/>
  <c r="M25" i="19"/>
  <c r="CQ25" i="19" s="1"/>
  <c r="C25" i="19"/>
  <c r="AP24" i="19"/>
  <c r="AO24" i="19"/>
  <c r="AN24" i="19"/>
  <c r="AM24" i="19"/>
  <c r="AL24" i="19"/>
  <c r="AK24" i="19"/>
  <c r="AJ24" i="19"/>
  <c r="AI24" i="19"/>
  <c r="AH24" i="19"/>
  <c r="AG24" i="19"/>
  <c r="AF24" i="19"/>
  <c r="AE24" i="19"/>
  <c r="AD24" i="19"/>
  <c r="AC24" i="19"/>
  <c r="AB24" i="19"/>
  <c r="Z24" i="19"/>
  <c r="U24" i="19"/>
  <c r="M24" i="19"/>
  <c r="DE24" i="19" s="1"/>
  <c r="C24" i="19"/>
  <c r="AN23" i="19"/>
  <c r="AM23" i="19"/>
  <c r="AL23" i="19"/>
  <c r="AK23" i="19"/>
  <c r="AJ23" i="19"/>
  <c r="AI23" i="19"/>
  <c r="AH23" i="19"/>
  <c r="AG23" i="19"/>
  <c r="AF23" i="19"/>
  <c r="AE23" i="19"/>
  <c r="AD23" i="19"/>
  <c r="AC23" i="19"/>
  <c r="AB23" i="19"/>
  <c r="Z23" i="19"/>
  <c r="U23" i="19"/>
  <c r="M23" i="19"/>
  <c r="C23" i="19"/>
  <c r="CM22" i="19"/>
  <c r="AQ22" i="19"/>
  <c r="AP22" i="19"/>
  <c r="AO22" i="19"/>
  <c r="AN22" i="19"/>
  <c r="AM22" i="19"/>
  <c r="AL22" i="19"/>
  <c r="AK22" i="19"/>
  <c r="AJ22" i="19"/>
  <c r="AI22" i="19"/>
  <c r="AH22" i="19"/>
  <c r="CA22" i="19" s="1"/>
  <c r="AG22" i="19"/>
  <c r="AF22" i="19"/>
  <c r="AE22" i="19"/>
  <c r="AD22" i="19"/>
  <c r="AC22" i="19"/>
  <c r="BV22" i="19" s="1"/>
  <c r="AB22" i="19"/>
  <c r="Z22" i="19"/>
  <c r="V22" i="19"/>
  <c r="U22" i="19"/>
  <c r="N22" i="19"/>
  <c r="M22" i="19"/>
  <c r="DB22" i="19" s="1"/>
  <c r="C22" i="19"/>
  <c r="BB21" i="19"/>
  <c r="BA21" i="19"/>
  <c r="AZ21" i="19"/>
  <c r="AY21" i="19"/>
  <c r="AX21" i="19"/>
  <c r="AW21" i="19"/>
  <c r="AW83" i="19" s="1"/>
  <c r="AV21" i="19"/>
  <c r="AU21" i="19"/>
  <c r="AT21" i="19"/>
  <c r="AS21" i="19"/>
  <c r="AR21" i="19"/>
  <c r="CK21" i="19" s="1"/>
  <c r="AQ21" i="19"/>
  <c r="AP21" i="19"/>
  <c r="AO21" i="19"/>
  <c r="AN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Z21" i="19"/>
  <c r="BS21" i="19" s="1"/>
  <c r="U21" i="19"/>
  <c r="N21" i="19"/>
  <c r="M21" i="19"/>
  <c r="V21" i="19" s="1"/>
  <c r="C21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Z20" i="19"/>
  <c r="U20" i="19"/>
  <c r="N20" i="19"/>
  <c r="M20" i="19"/>
  <c r="DI20" i="19" s="1"/>
  <c r="C20" i="19"/>
  <c r="AN19" i="19"/>
  <c r="AM19" i="19"/>
  <c r="AL19" i="19"/>
  <c r="AK19" i="19"/>
  <c r="AJ19" i="19"/>
  <c r="AI19" i="19"/>
  <c r="AH19" i="19"/>
  <c r="AG19" i="19"/>
  <c r="AF19" i="19"/>
  <c r="AE19" i="19"/>
  <c r="AD19" i="19"/>
  <c r="AC19" i="19"/>
  <c r="AB19" i="19"/>
  <c r="Z19" i="19"/>
  <c r="U19" i="19"/>
  <c r="M19" i="19"/>
  <c r="CH19" i="19" s="1"/>
  <c r="C19" i="19"/>
  <c r="AN18" i="19"/>
  <c r="AM18" i="19"/>
  <c r="AL18" i="19"/>
  <c r="AK18" i="19"/>
  <c r="AJ18" i="19"/>
  <c r="AI18" i="19"/>
  <c r="AH18" i="19"/>
  <c r="AG18" i="19"/>
  <c r="AF18" i="19"/>
  <c r="AE18" i="19"/>
  <c r="AD18" i="19"/>
  <c r="AC18" i="19"/>
  <c r="AB18" i="19"/>
  <c r="Z18" i="19"/>
  <c r="U18" i="19"/>
  <c r="M18" i="19"/>
  <c r="BT18" i="19" s="1"/>
  <c r="C18" i="19"/>
  <c r="AO17" i="19"/>
  <c r="AN17" i="19"/>
  <c r="AM17" i="19"/>
  <c r="AL17" i="19"/>
  <c r="AK17" i="19"/>
  <c r="AJ17" i="19"/>
  <c r="AI17" i="19"/>
  <c r="AH17" i="19"/>
  <c r="AG17" i="19"/>
  <c r="AF17" i="19"/>
  <c r="AE17" i="19"/>
  <c r="AD17" i="19"/>
  <c r="AC17" i="19"/>
  <c r="AB17" i="19"/>
  <c r="Z17" i="19"/>
  <c r="U17" i="19"/>
  <c r="N17" i="19"/>
  <c r="M17" i="19"/>
  <c r="DF17" i="19" s="1"/>
  <c r="C17" i="19"/>
  <c r="AJ16" i="19"/>
  <c r="AI16" i="19"/>
  <c r="AH16" i="19"/>
  <c r="AG16" i="19"/>
  <c r="AF16" i="19"/>
  <c r="BY16" i="19" s="1"/>
  <c r="AE16" i="19"/>
  <c r="AD16" i="19"/>
  <c r="AC16" i="19"/>
  <c r="AB16" i="19"/>
  <c r="Z16" i="19"/>
  <c r="U16" i="19"/>
  <c r="M16" i="19"/>
  <c r="CW16" i="19" s="1"/>
  <c r="C16" i="19"/>
  <c r="CT15" i="19"/>
  <c r="CQ15" i="19"/>
  <c r="BR15" i="19"/>
  <c r="AJ15" i="19"/>
  <c r="AI15" i="19"/>
  <c r="AH15" i="19"/>
  <c r="AG15" i="19"/>
  <c r="AF15" i="19"/>
  <c r="AE15" i="19"/>
  <c r="BX15" i="19" s="1"/>
  <c r="AD15" i="19"/>
  <c r="AC15" i="19"/>
  <c r="BV15" i="19" s="1"/>
  <c r="AB15" i="19"/>
  <c r="Z15" i="19"/>
  <c r="BS15" i="19" s="1"/>
  <c r="U15" i="19"/>
  <c r="M15" i="19"/>
  <c r="CR15" i="19" s="1"/>
  <c r="C15" i="19"/>
  <c r="AN14" i="19"/>
  <c r="AM14" i="19"/>
  <c r="AL14" i="19"/>
  <c r="AK14" i="19"/>
  <c r="AJ14" i="19"/>
  <c r="AI14" i="19"/>
  <c r="AH14" i="19"/>
  <c r="AG14" i="19"/>
  <c r="AF14" i="19"/>
  <c r="AE14" i="19"/>
  <c r="AD14" i="19"/>
  <c r="AC14" i="19"/>
  <c r="AB14" i="19"/>
  <c r="Z14" i="19"/>
  <c r="U14" i="19"/>
  <c r="M14" i="19"/>
  <c r="DD14" i="19" s="1"/>
  <c r="C14" i="19"/>
  <c r="AT13" i="19"/>
  <c r="AS13" i="19"/>
  <c r="AR13" i="19"/>
  <c r="AQ13" i="19"/>
  <c r="AP13" i="19"/>
  <c r="AO13" i="19"/>
  <c r="AN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Z13" i="19"/>
  <c r="U13" i="19"/>
  <c r="N13" i="19"/>
  <c r="M13" i="19"/>
  <c r="DE13" i="19" s="1"/>
  <c r="C13" i="19"/>
  <c r="AS12" i="19"/>
  <c r="AR12" i="19"/>
  <c r="AQ12" i="19"/>
  <c r="AP12" i="19"/>
  <c r="AO12" i="19"/>
  <c r="AN12" i="19"/>
  <c r="AM12" i="19"/>
  <c r="AL12" i="19"/>
  <c r="AK12" i="19"/>
  <c r="AJ12" i="19"/>
  <c r="AI12" i="19"/>
  <c r="AH12" i="19"/>
  <c r="AG12" i="19"/>
  <c r="AF12" i="19"/>
  <c r="AE12" i="19"/>
  <c r="AD12" i="19"/>
  <c r="AC12" i="19"/>
  <c r="AB12" i="19"/>
  <c r="Z12" i="19"/>
  <c r="U12" i="19"/>
  <c r="N12" i="19"/>
  <c r="M12" i="19"/>
  <c r="DA12" i="19" s="1"/>
  <c r="C12" i="19"/>
  <c r="AM11" i="19"/>
  <c r="AL11" i="19"/>
  <c r="AK11" i="19"/>
  <c r="AJ11" i="19"/>
  <c r="AI11" i="19"/>
  <c r="AH11" i="19"/>
  <c r="AG11" i="19"/>
  <c r="AF11" i="19"/>
  <c r="AE11" i="19"/>
  <c r="AD11" i="19"/>
  <c r="AC11" i="19"/>
  <c r="AB11" i="19"/>
  <c r="Z11" i="19"/>
  <c r="U11" i="19"/>
  <c r="M11" i="19"/>
  <c r="DG11" i="19" s="1"/>
  <c r="C11" i="19"/>
  <c r="AN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Z10" i="19"/>
  <c r="U10" i="19"/>
  <c r="M10" i="19"/>
  <c r="DD10" i="19" s="1"/>
  <c r="C10" i="19"/>
  <c r="DD9" i="19"/>
  <c r="CW9" i="19"/>
  <c r="CK9" i="19"/>
  <c r="AN9" i="19"/>
  <c r="AM9" i="19"/>
  <c r="AL9" i="19"/>
  <c r="CE9" i="19" s="1"/>
  <c r="AK9" i="19"/>
  <c r="AJ9" i="19"/>
  <c r="AI9" i="19"/>
  <c r="AH9" i="19"/>
  <c r="AG9" i="19"/>
  <c r="AF9" i="19"/>
  <c r="AE9" i="19"/>
  <c r="AD9" i="19"/>
  <c r="AC9" i="19"/>
  <c r="BV9" i="19" s="1"/>
  <c r="AB9" i="19"/>
  <c r="BU9" i="19" s="1"/>
  <c r="Z9" i="19"/>
  <c r="U9" i="19"/>
  <c r="R9" i="19"/>
  <c r="M9" i="19"/>
  <c r="CX9" i="19" s="1"/>
  <c r="C9" i="19"/>
  <c r="AL8" i="19"/>
  <c r="AK8" i="19"/>
  <c r="AJ8" i="19"/>
  <c r="AI8" i="19"/>
  <c r="AH8" i="19"/>
  <c r="AG8" i="19"/>
  <c r="AF8" i="19"/>
  <c r="AE8" i="19"/>
  <c r="AD8" i="19"/>
  <c r="AC8" i="19"/>
  <c r="AB8" i="19"/>
  <c r="Z8" i="19"/>
  <c r="U8" i="19"/>
  <c r="M8" i="19"/>
  <c r="C8" i="19"/>
  <c r="AU7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Z7" i="19"/>
  <c r="U7" i="19"/>
  <c r="N7" i="19"/>
  <c r="M7" i="19"/>
  <c r="C7" i="19"/>
  <c r="DE6" i="19"/>
  <c r="AY6" i="19"/>
  <c r="AX6" i="19"/>
  <c r="AW6" i="19"/>
  <c r="AV6" i="19"/>
  <c r="AU6" i="19"/>
  <c r="AT6" i="19"/>
  <c r="AS6" i="19"/>
  <c r="AR6" i="19"/>
  <c r="AQ6" i="19"/>
  <c r="AP6" i="19"/>
  <c r="CI6" i="19" s="1"/>
  <c r="AO6" i="19"/>
  <c r="AN6" i="19"/>
  <c r="AM6" i="19"/>
  <c r="AL6" i="19"/>
  <c r="AK6" i="19"/>
  <c r="AJ6" i="19"/>
  <c r="AI6" i="19"/>
  <c r="AH6" i="19"/>
  <c r="AG6" i="19"/>
  <c r="AF6" i="19"/>
  <c r="AE6" i="19"/>
  <c r="AD6" i="19"/>
  <c r="AC6" i="19"/>
  <c r="AB6" i="19"/>
  <c r="BU6" i="19" s="1"/>
  <c r="Z6" i="19"/>
  <c r="U6" i="19"/>
  <c r="O6" i="19"/>
  <c r="R6" i="19" s="1"/>
  <c r="N6" i="19"/>
  <c r="M6" i="19"/>
  <c r="DI6" i="19" s="1"/>
  <c r="C6" i="19"/>
  <c r="CQ4" i="19"/>
  <c r="BP4" i="19"/>
  <c r="DI4" i="19" s="1"/>
  <c r="BO4" i="19"/>
  <c r="DH4" i="19" s="1"/>
  <c r="BN4" i="19"/>
  <c r="DG4" i="19" s="1"/>
  <c r="BM4" i="19"/>
  <c r="DF4" i="19" s="1"/>
  <c r="BL4" i="19"/>
  <c r="DE4" i="19" s="1"/>
  <c r="BK4" i="19"/>
  <c r="DD4" i="19" s="1"/>
  <c r="BJ4" i="19"/>
  <c r="DC4" i="19" s="1"/>
  <c r="BI4" i="19"/>
  <c r="DB4" i="19" s="1"/>
  <c r="BH4" i="19"/>
  <c r="DA4" i="19" s="1"/>
  <c r="BG4" i="19"/>
  <c r="CZ4" i="19" s="1"/>
  <c r="BF4" i="19"/>
  <c r="CY4" i="19" s="1"/>
  <c r="BE4" i="19"/>
  <c r="CX4" i="19" s="1"/>
  <c r="BD4" i="19"/>
  <c r="CW4" i="19" s="1"/>
  <c r="BC4" i="19"/>
  <c r="CV4" i="19" s="1"/>
  <c r="BB4" i="19"/>
  <c r="CU4" i="19" s="1"/>
  <c r="BA4" i="19"/>
  <c r="CT4" i="19" s="1"/>
  <c r="AZ4" i="19"/>
  <c r="CS4" i="19" s="1"/>
  <c r="AY4" i="19"/>
  <c r="CR4" i="19" s="1"/>
  <c r="AX4" i="19"/>
  <c r="AW4" i="19"/>
  <c r="CP4" i="19" s="1"/>
  <c r="AV4" i="19"/>
  <c r="CO4" i="19" s="1"/>
  <c r="AU4" i="19"/>
  <c r="CN4" i="19" s="1"/>
  <c r="AT4" i="19"/>
  <c r="CM4" i="19" s="1"/>
  <c r="AS4" i="19"/>
  <c r="CL4" i="19" s="1"/>
  <c r="AR4" i="19"/>
  <c r="CK4" i="19" s="1"/>
  <c r="AQ4" i="19"/>
  <c r="CJ4" i="19" s="1"/>
  <c r="AP4" i="19"/>
  <c r="CI4" i="19" s="1"/>
  <c r="AO4" i="19"/>
  <c r="CH4" i="19" s="1"/>
  <c r="AN4" i="19"/>
  <c r="CG4" i="19" s="1"/>
  <c r="AM4" i="19"/>
  <c r="CF4" i="19" s="1"/>
  <c r="AL4" i="19"/>
  <c r="CE4" i="19" s="1"/>
  <c r="AK4" i="19"/>
  <c r="AJ4" i="19"/>
  <c r="CC4" i="19" s="1"/>
  <c r="AI4" i="19"/>
  <c r="CB4" i="19" s="1"/>
  <c r="AH4" i="19"/>
  <c r="AG4" i="19"/>
  <c r="AF4" i="19"/>
  <c r="AE4" i="19"/>
  <c r="DR60" i="19" s="1"/>
  <c r="AD4" i="19"/>
  <c r="DQ60" i="19" s="1"/>
  <c r="AC4" i="19"/>
  <c r="BV4" i="19" s="1"/>
  <c r="AB4" i="19"/>
  <c r="BU4" i="19" s="1"/>
  <c r="AA4" i="19"/>
  <c r="BT4" i="19" s="1"/>
  <c r="Z4" i="19"/>
  <c r="DM60" i="19" s="1"/>
  <c r="Y4" i="19"/>
  <c r="BR4" i="19" s="1"/>
  <c r="DI3" i="19"/>
  <c r="DH3" i="19"/>
  <c r="DG3" i="19"/>
  <c r="DF3" i="19"/>
  <c r="DE3" i="19"/>
  <c r="DD3" i="19"/>
  <c r="DC3" i="19"/>
  <c r="DB3" i="19"/>
  <c r="DA3" i="19"/>
  <c r="CZ3" i="19"/>
  <c r="CY3" i="19"/>
  <c r="CX3" i="19"/>
  <c r="CW3" i="19"/>
  <c r="CV3" i="19"/>
  <c r="CU3" i="19"/>
  <c r="CT3" i="19"/>
  <c r="CS3" i="19"/>
  <c r="CR3" i="19"/>
  <c r="CQ3" i="19"/>
  <c r="CP3" i="19"/>
  <c r="CO3" i="19"/>
  <c r="CN3" i="19"/>
  <c r="CM3" i="19"/>
  <c r="CL3" i="19"/>
  <c r="CK3" i="19"/>
  <c r="CJ3" i="19"/>
  <c r="CI3" i="19"/>
  <c r="CH3" i="19"/>
  <c r="CG3" i="19"/>
  <c r="CF3" i="19"/>
  <c r="CE3" i="19"/>
  <c r="CD3" i="19"/>
  <c r="CC3" i="19"/>
  <c r="CB3" i="19"/>
  <c r="CA3" i="19"/>
  <c r="BZ3" i="19"/>
  <c r="BY3" i="19"/>
  <c r="BX3" i="19"/>
  <c r="BW3" i="19"/>
  <c r="BV3" i="19"/>
  <c r="BU3" i="19"/>
  <c r="BT3" i="19"/>
  <c r="BS3" i="19"/>
  <c r="BR3" i="19"/>
  <c r="AQ88" i="19" l="1"/>
  <c r="AF92" i="22"/>
  <c r="V93" i="22"/>
  <c r="BD88" i="19"/>
  <c r="H88" i="19"/>
  <c r="BL88" i="19"/>
  <c r="AN116" i="21"/>
  <c r="Y92" i="22"/>
  <c r="R88" i="19"/>
  <c r="AA89" i="19" a="1"/>
  <c r="AA89" i="19" s="1"/>
  <c r="AM92" i="22"/>
  <c r="AO88" i="19"/>
  <c r="U93" i="22"/>
  <c r="AY88" i="19"/>
  <c r="Y116" i="21"/>
  <c r="AA93" i="22"/>
  <c r="BC88" i="19"/>
  <c r="I117" i="21" a="1"/>
  <c r="I117" i="21" s="1"/>
  <c r="AI116" i="21"/>
  <c r="AI118" i="21" s="1"/>
  <c r="DH15" i="19"/>
  <c r="CR21" i="19"/>
  <c r="CI22" i="19"/>
  <c r="BI83" i="19"/>
  <c r="Y88" i="19"/>
  <c r="BG88" i="19"/>
  <c r="W91" i="19"/>
  <c r="BP95" i="19" a="1"/>
  <c r="BP95" i="19" s="1"/>
  <c r="AJ106" i="19"/>
  <c r="CR106" i="19"/>
  <c r="AK109" i="19"/>
  <c r="DH5" i="19"/>
  <c r="AV94" i="19"/>
  <c r="Y84" i="19" a="1"/>
  <c r="Y84" i="19" s="1"/>
  <c r="AZ91" i="19"/>
  <c r="DF26" i="19"/>
  <c r="AX61" i="19"/>
  <c r="AA84" i="19" a="1"/>
  <c r="AA84" i="19" s="1"/>
  <c r="BB91" i="19"/>
  <c r="AP75" i="19"/>
  <c r="BW10" i="19"/>
  <c r="CH49" i="19"/>
  <c r="CQ53" i="19"/>
  <c r="AW88" i="19"/>
  <c r="Q89" i="19" a="1"/>
  <c r="Q89" i="19" s="1"/>
  <c r="BH91" i="19"/>
  <c r="BG106" i="19"/>
  <c r="Q107" i="19" a="1"/>
  <c r="Q107" i="19" s="1"/>
  <c r="BV109" i="19"/>
  <c r="CZ5" i="19"/>
  <c r="CG5" i="19"/>
  <c r="BY5" i="19"/>
  <c r="S5" i="19"/>
  <c r="CX10" i="19"/>
  <c r="AB58" i="19"/>
  <c r="DB19" i="19"/>
  <c r="BS47" i="19"/>
  <c r="CB47" i="19"/>
  <c r="CQ49" i="19"/>
  <c r="Q92" i="19" a="1"/>
  <c r="Q92" i="19" s="1"/>
  <c r="BH106" i="19"/>
  <c r="CR109" i="19"/>
  <c r="H91" i="19"/>
  <c r="DH17" i="19"/>
  <c r="AG91" i="19"/>
  <c r="BV31" i="19"/>
  <c r="BW4" i="19"/>
  <c r="AC58" i="19"/>
  <c r="AT67" i="19"/>
  <c r="CH15" i="19"/>
  <c r="CA19" i="19"/>
  <c r="BJ92" i="19" a="1"/>
  <c r="BJ92" i="19" s="1"/>
  <c r="P38" i="19"/>
  <c r="CR49" i="19"/>
  <c r="O88" i="19"/>
  <c r="BB88" i="19"/>
  <c r="BN89" i="19" a="1"/>
  <c r="BN89" i="19" s="1"/>
  <c r="T92" i="19" a="1"/>
  <c r="T92" i="19" s="1"/>
  <c r="H106" i="19"/>
  <c r="H109" i="19"/>
  <c r="CZ109" i="19"/>
  <c r="BW5" i="19"/>
  <c r="AY64" i="19"/>
  <c r="AZ74" i="20" a="1"/>
  <c r="AZ74" i="20" s="1"/>
  <c r="U74" i="20" a="1"/>
  <c r="U74" i="20" s="1"/>
  <c r="K74" i="20" a="1"/>
  <c r="K74" i="20" s="1"/>
  <c r="AN73" i="20"/>
  <c r="Y73" i="20"/>
  <c r="M73" i="20"/>
  <c r="AN74" i="20" a="1"/>
  <c r="AN74" i="20" s="1"/>
  <c r="O74" i="20" a="1"/>
  <c r="O74" i="20" s="1"/>
  <c r="AV73" i="20"/>
  <c r="AF73" i="20"/>
  <c r="Q73" i="20"/>
  <c r="AC73" i="20"/>
  <c r="AT73" i="20"/>
  <c r="BA74" i="20" a="1"/>
  <c r="BA74" i="20" s="1"/>
  <c r="H64" i="19"/>
  <c r="AX94" i="19"/>
  <c r="CC73" i="20"/>
  <c r="BD73" i="20"/>
  <c r="N64" i="20"/>
  <c r="AF64" i="20"/>
  <c r="AU64" i="20"/>
  <c r="H73" i="20"/>
  <c r="AD73" i="20"/>
  <c r="AW73" i="20"/>
  <c r="T74" i="20" a="1"/>
  <c r="T74" i="20" s="1"/>
  <c r="BC64" i="19"/>
  <c r="I67" i="19"/>
  <c r="O80" i="19"/>
  <c r="T65" i="20" a="1"/>
  <c r="T65" i="20" s="1"/>
  <c r="U68" i="20" a="1"/>
  <c r="U68" i="20" s="1"/>
  <c r="W67" i="20"/>
  <c r="AM64" i="19"/>
  <c r="N64" i="19"/>
  <c r="BF64" i="19"/>
  <c r="T67" i="19"/>
  <c r="AA80" i="19"/>
  <c r="AT88" i="19"/>
  <c r="BM88" i="19"/>
  <c r="Y91" i="19"/>
  <c r="BO92" i="19" a="1"/>
  <c r="BO92" i="19" s="1"/>
  <c r="BC94" i="19"/>
  <c r="AC106" i="19"/>
  <c r="BZ106" i="19"/>
  <c r="Y109" i="19"/>
  <c r="CH109" i="19"/>
  <c r="CO82" i="20"/>
  <c r="BO67" i="20"/>
  <c r="AO68" i="20" a="1"/>
  <c r="AO68" i="20" s="1"/>
  <c r="AF58" i="20"/>
  <c r="AU62" i="20" a="1"/>
  <c r="AU62" i="20" s="1"/>
  <c r="AN62" i="20" a="1"/>
  <c r="AN62" i="20" s="1"/>
  <c r="AA62" i="20" a="1"/>
  <c r="AA62" i="20" s="1"/>
  <c r="O62" i="20" a="1"/>
  <c r="O62" i="20" s="1"/>
  <c r="BA61" i="20"/>
  <c r="AQ61" i="20"/>
  <c r="AG61" i="20"/>
  <c r="U61" i="20"/>
  <c r="R61" i="20"/>
  <c r="AC61" i="20"/>
  <c r="AP61" i="20"/>
  <c r="I62" i="20" a="1"/>
  <c r="I62" i="20" s="1"/>
  <c r="Q62" i="20" a="1"/>
  <c r="Q62" i="20" s="1"/>
  <c r="X62" i="20" a="1"/>
  <c r="X62" i="20" s="1"/>
  <c r="AT62" i="20" a="1"/>
  <c r="AT62" i="20" s="1"/>
  <c r="BA62" i="20" a="1"/>
  <c r="BA62" i="20" s="1"/>
  <c r="P64" i="20"/>
  <c r="AH64" i="20"/>
  <c r="AV64" i="20"/>
  <c r="AN65" i="20" a="1"/>
  <c r="AN65" i="20" s="1"/>
  <c r="K67" i="20"/>
  <c r="P68" i="20" a="1"/>
  <c r="P68" i="20" s="1"/>
  <c r="N73" i="20"/>
  <c r="AE73" i="20"/>
  <c r="BA73" i="20"/>
  <c r="Y74" i="20" a="1"/>
  <c r="Y74" i="20" s="1"/>
  <c r="BB77" i="20" a="1"/>
  <c r="BB77" i="20" s="1"/>
  <c r="AV77" i="20" a="1"/>
  <c r="AV77" i="20" s="1"/>
  <c r="AP77" i="20" a="1"/>
  <c r="AP77" i="20" s="1"/>
  <c r="AJ77" i="20" a="1"/>
  <c r="AJ77" i="20" s="1"/>
  <c r="AD77" i="20" a="1"/>
  <c r="AD77" i="20" s="1"/>
  <c r="X77" i="20" a="1"/>
  <c r="X77" i="20" s="1"/>
  <c r="S77" i="20" a="1"/>
  <c r="S77" i="20" s="1"/>
  <c r="AY76" i="20"/>
  <c r="AP76" i="20"/>
  <c r="AG76" i="20"/>
  <c r="AW77" i="20" a="1"/>
  <c r="AW77" i="20" s="1"/>
  <c r="AN77" i="20" a="1"/>
  <c r="AN77" i="20" s="1"/>
  <c r="AH77" i="20" a="1"/>
  <c r="AH77" i="20" s="1"/>
  <c r="AB77" i="20" a="1"/>
  <c r="AB77" i="20" s="1"/>
  <c r="V77" i="20" a="1"/>
  <c r="V77" i="20" s="1"/>
  <c r="O77" i="20" a="1"/>
  <c r="O77" i="20" s="1"/>
  <c r="BA76" i="20"/>
  <c r="AQ76" i="20"/>
  <c r="AE76" i="20"/>
  <c r="V76" i="20"/>
  <c r="M76" i="20"/>
  <c r="AZ77" i="20" a="1"/>
  <c r="AZ77" i="20" s="1"/>
  <c r="AT77" i="20" a="1"/>
  <c r="AT77" i="20" s="1"/>
  <c r="AL77" i="20" a="1"/>
  <c r="AL77" i="20" s="1"/>
  <c r="AE77" i="20" a="1"/>
  <c r="AE77" i="20" s="1"/>
  <c r="Y77" i="20" a="1"/>
  <c r="Y77" i="20" s="1"/>
  <c r="R77" i="20" a="1"/>
  <c r="R77" i="20" s="1"/>
  <c r="L77" i="20" a="1"/>
  <c r="L77" i="20" s="1"/>
  <c r="AU76" i="20"/>
  <c r="AK76" i="20"/>
  <c r="AA76" i="20"/>
  <c r="R76" i="20"/>
  <c r="H76" i="20"/>
  <c r="T76" i="20"/>
  <c r="AH76" i="20"/>
  <c r="AT76" i="20"/>
  <c r="N77" i="20" a="1"/>
  <c r="N77" i="20" s="1"/>
  <c r="AM77" i="20" a="1"/>
  <c r="AM77" i="20" s="1"/>
  <c r="M79" i="20"/>
  <c r="AJ79" i="20"/>
  <c r="O80" i="20" a="1"/>
  <c r="O80" i="20" s="1"/>
  <c r="AG80" i="20" a="1"/>
  <c r="AG80" i="20" s="1"/>
  <c r="BA80" i="20" a="1"/>
  <c r="BA80" i="20" s="1"/>
  <c r="V85" i="20"/>
  <c r="AM85" i="20"/>
  <c r="O86" i="20" a="1"/>
  <c r="O86" i="20" s="1"/>
  <c r="U91" i="20"/>
  <c r="BH91" i="20"/>
  <c r="CN91" i="20"/>
  <c r="AF92" i="20" a="1"/>
  <c r="AF92" i="20" s="1"/>
  <c r="W94" i="20"/>
  <c r="BO94" i="20"/>
  <c r="CS94" i="20"/>
  <c r="AJ95" i="20" a="1"/>
  <c r="AJ95" i="20" s="1"/>
  <c r="AQ80" i="19"/>
  <c r="O73" i="20"/>
  <c r="AK73" i="20"/>
  <c r="BB73" i="20"/>
  <c r="AC74" i="20" a="1"/>
  <c r="AC74" i="20" s="1"/>
  <c r="AE82" i="20"/>
  <c r="BJ82" i="20"/>
  <c r="AG101" i="20" a="1"/>
  <c r="AG101" i="20" s="1"/>
  <c r="BU100" i="20"/>
  <c r="CP100" i="20"/>
  <c r="T100" i="20"/>
  <c r="AV101" i="20" a="1"/>
  <c r="AV101" i="20" s="1"/>
  <c r="BB100" i="20"/>
  <c r="T101" i="20" a="1"/>
  <c r="T101" i="20" s="1"/>
  <c r="Z100" i="20"/>
  <c r="X101" i="20" a="1"/>
  <c r="X101" i="20" s="1"/>
  <c r="AM103" i="21" a="1"/>
  <c r="AM103" i="21" s="1"/>
  <c r="AD103" i="21" a="1"/>
  <c r="AD103" i="21" s="1"/>
  <c r="AC103" i="21" a="1"/>
  <c r="AC103" i="21" s="1"/>
  <c r="O102" i="21"/>
  <c r="AD102" i="21"/>
  <c r="AA102" i="21"/>
  <c r="Y64" i="19"/>
  <c r="BJ64" i="19"/>
  <c r="Y67" i="19"/>
  <c r="AZ80" i="19"/>
  <c r="H94" i="19"/>
  <c r="BH94" i="19"/>
  <c r="BA103" i="19"/>
  <c r="V64" i="20"/>
  <c r="AK64" i="20"/>
  <c r="BB64" i="20"/>
  <c r="AA65" i="20" a="1"/>
  <c r="AA65" i="20" s="1"/>
  <c r="X67" i="20"/>
  <c r="P73" i="20"/>
  <c r="AL73" i="20"/>
  <c r="AG74" i="20" a="1"/>
  <c r="AG74" i="20" s="1"/>
  <c r="U79" i="20"/>
  <c r="AP79" i="20"/>
  <c r="S80" i="20" a="1"/>
  <c r="S80" i="20" s="1"/>
  <c r="AK80" i="20" a="1"/>
  <c r="AK80" i="20" s="1"/>
  <c r="AN86" i="20" a="1"/>
  <c r="AN86" i="20" s="1"/>
  <c r="X86" i="20" a="1"/>
  <c r="X86" i="20" s="1"/>
  <c r="I86" i="20" a="1"/>
  <c r="I86" i="20" s="1"/>
  <c r="AQ85" i="20"/>
  <c r="AD85" i="20"/>
  <c r="R85" i="20"/>
  <c r="AJ86" i="20" a="1"/>
  <c r="AJ86" i="20" s="1"/>
  <c r="S86" i="20" a="1"/>
  <c r="S86" i="20" s="1"/>
  <c r="AX85" i="20"/>
  <c r="AI85" i="20"/>
  <c r="U85" i="20"/>
  <c r="AU86" i="20" a="1"/>
  <c r="AU86" i="20" s="1"/>
  <c r="AB86" i="20" a="1"/>
  <c r="AB86" i="20" s="1"/>
  <c r="K86" i="20" a="1"/>
  <c r="K86" i="20" s="1"/>
  <c r="AP85" i="20"/>
  <c r="AA85" i="20"/>
  <c r="M85" i="20"/>
  <c r="Z85" i="20"/>
  <c r="AT85" i="20"/>
  <c r="T86" i="20" a="1"/>
  <c r="T86" i="20" s="1"/>
  <c r="AR86" i="20" a="1"/>
  <c r="AR86" i="20" s="1"/>
  <c r="AC91" i="20"/>
  <c r="BP91" i="20"/>
  <c r="CP91" i="20"/>
  <c r="AM94" i="20"/>
  <c r="BR94" i="20"/>
  <c r="U95" i="20" a="1"/>
  <c r="U95" i="20" s="1"/>
  <c r="AB100" i="20"/>
  <c r="BN64" i="19"/>
  <c r="BR73" i="20"/>
  <c r="BZ73" i="20"/>
  <c r="CH73" i="20"/>
  <c r="CP73" i="20"/>
  <c r="AS64" i="20"/>
  <c r="AE64" i="20"/>
  <c r="O64" i="20"/>
  <c r="W64" i="20"/>
  <c r="AL64" i="20"/>
  <c r="K65" i="20" a="1"/>
  <c r="K65" i="20" s="1"/>
  <c r="AE65" i="20" a="1"/>
  <c r="AE65" i="20" s="1"/>
  <c r="AV65" i="20" a="1"/>
  <c r="AV65" i="20" s="1"/>
  <c r="U73" i="20"/>
  <c r="AM73" i="20"/>
  <c r="L74" i="20" a="1"/>
  <c r="L74" i="20" s="1"/>
  <c r="AR74" i="20" a="1"/>
  <c r="AR74" i="20" s="1"/>
  <c r="AT100" i="20"/>
  <c r="O64" i="19"/>
  <c r="BG64" i="19"/>
  <c r="W67" i="19"/>
  <c r="AO64" i="19"/>
  <c r="W68" i="19" a="1"/>
  <c r="W68" i="19" s="1"/>
  <c r="I94" i="19"/>
  <c r="BK94" i="19"/>
  <c r="BZ103" i="19"/>
  <c r="BF61" i="19"/>
  <c r="AR64" i="19"/>
  <c r="BP64" i="19"/>
  <c r="BO68" i="19" a="1"/>
  <c r="BO68" i="19" s="1"/>
  <c r="BK91" i="19"/>
  <c r="Q94" i="19"/>
  <c r="I95" i="19" a="1"/>
  <c r="I95" i="19" s="1"/>
  <c r="BB106" i="19"/>
  <c r="CX106" i="19"/>
  <c r="BO107" i="19" a="1"/>
  <c r="BO107" i="19" s="1"/>
  <c r="BE109" i="19"/>
  <c r="BK73" i="20"/>
  <c r="BS73" i="20"/>
  <c r="CA73" i="20"/>
  <c r="CQ73" i="20"/>
  <c r="BN67" i="20"/>
  <c r="CT67" i="20"/>
  <c r="I64" i="20"/>
  <c r="X64" i="20"/>
  <c r="AP64" i="20"/>
  <c r="O65" i="20" a="1"/>
  <c r="O65" i="20" s="1"/>
  <c r="AF65" i="20" a="1"/>
  <c r="AF65" i="20" s="1"/>
  <c r="AY65" i="20" a="1"/>
  <c r="AY65" i="20" s="1"/>
  <c r="AH67" i="20"/>
  <c r="AT68" i="20" a="1"/>
  <c r="AT68" i="20" s="1"/>
  <c r="W73" i="20"/>
  <c r="AO73" i="20"/>
  <c r="M74" i="20" a="1"/>
  <c r="M74" i="20" s="1"/>
  <c r="AV74" i="20" a="1"/>
  <c r="AV74" i="20" s="1"/>
  <c r="Y79" i="20"/>
  <c r="AS79" i="20"/>
  <c r="X80" i="20" a="1"/>
  <c r="X80" i="20" s="1"/>
  <c r="AB92" i="20" a="1"/>
  <c r="AB92" i="20" s="1"/>
  <c r="I92" i="20" a="1"/>
  <c r="I92" i="20" s="1"/>
  <c r="BY91" i="20"/>
  <c r="BA91" i="20"/>
  <c r="AI91" i="20"/>
  <c r="L91" i="20"/>
  <c r="AY92" i="20" a="1"/>
  <c r="AY92" i="20" s="1"/>
  <c r="W92" i="20" a="1"/>
  <c r="W92" i="20" s="1"/>
  <c r="CH91" i="20"/>
  <c r="BJ91" i="20"/>
  <c r="AK91" i="20"/>
  <c r="M91" i="20"/>
  <c r="AL92" i="20" a="1"/>
  <c r="AL92" i="20" s="1"/>
  <c r="K92" i="20" a="1"/>
  <c r="K92" i="20" s="1"/>
  <c r="BX91" i="20"/>
  <c r="AY91" i="20"/>
  <c r="AA91" i="20"/>
  <c r="AQ91" i="20"/>
  <c r="BR91" i="20"/>
  <c r="O92" i="20" a="1"/>
  <c r="O92" i="20" s="1"/>
  <c r="BB95" i="20" a="1"/>
  <c r="BB95" i="20" s="1"/>
  <c r="AI95" i="20" a="1"/>
  <c r="AI95" i="20" s="1"/>
  <c r="Q95" i="20" a="1"/>
  <c r="Q95" i="20" s="1"/>
  <c r="CH94" i="20"/>
  <c r="BG94" i="20"/>
  <c r="AF94" i="20"/>
  <c r="K94" i="20"/>
  <c r="AR95" i="20" a="1"/>
  <c r="AR95" i="20" s="1"/>
  <c r="V95" i="20" a="1"/>
  <c r="V95" i="20" s="1"/>
  <c r="CJ94" i="20"/>
  <c r="BH94" i="20"/>
  <c r="AE94" i="20"/>
  <c r="AE95" i="20" a="1"/>
  <c r="AE95" i="20" s="1"/>
  <c r="L95" i="20" a="1"/>
  <c r="L95" i="20" s="1"/>
  <c r="BX94" i="20"/>
  <c r="AV94" i="20"/>
  <c r="U94" i="20"/>
  <c r="AO94" i="20"/>
  <c r="CA94" i="20"/>
  <c r="Z95" i="20" a="1"/>
  <c r="Z95" i="20" s="1"/>
  <c r="BA95" i="20" a="1"/>
  <c r="BA95" i="20" s="1"/>
  <c r="AU100" i="20"/>
  <c r="BG94" i="19"/>
  <c r="BJ80" i="19"/>
  <c r="AJ64" i="19"/>
  <c r="I62" i="19" a="1"/>
  <c r="I62" i="19" s="1"/>
  <c r="AT64" i="19"/>
  <c r="T65" i="19" a="1"/>
  <c r="T65" i="19" s="1"/>
  <c r="BM91" i="19"/>
  <c r="T94" i="19"/>
  <c r="Q95" i="19" a="1"/>
  <c r="Q95" i="19" s="1"/>
  <c r="BI109" i="19"/>
  <c r="L64" i="20"/>
  <c r="Z64" i="20"/>
  <c r="AR64" i="20"/>
  <c r="P65" i="20" a="1"/>
  <c r="P65" i="20" s="1"/>
  <c r="AI65" i="20" a="1"/>
  <c r="AI65" i="20" s="1"/>
  <c r="AZ65" i="20" a="1"/>
  <c r="AZ65" i="20" s="1"/>
  <c r="AQ67" i="20"/>
  <c r="AV68" i="20" a="1"/>
  <c r="AV68" i="20" s="1"/>
  <c r="X73" i="20"/>
  <c r="AS73" i="20"/>
  <c r="Q74" i="20" a="1"/>
  <c r="Q74" i="20" s="1"/>
  <c r="AW74" i="20" a="1"/>
  <c r="AW74" i="20" s="1"/>
  <c r="AS80" i="20" a="1"/>
  <c r="AS80" i="20" s="1"/>
  <c r="AE80" i="20" a="1"/>
  <c r="AE80" i="20" s="1"/>
  <c r="Q80" i="20" a="1"/>
  <c r="Q80" i="20" s="1"/>
  <c r="AU79" i="20"/>
  <c r="AG79" i="20"/>
  <c r="T79" i="20"/>
  <c r="AR80" i="20" a="1"/>
  <c r="AR80" i="20" s="1"/>
  <c r="AB80" i="20" a="1"/>
  <c r="AB80" i="20" s="1"/>
  <c r="M80" i="20" a="1"/>
  <c r="M80" i="20" s="1"/>
  <c r="AO79" i="20"/>
  <c r="X79" i="20"/>
  <c r="H79" i="20"/>
  <c r="AY80" i="20" a="1"/>
  <c r="AY80" i="20" s="1"/>
  <c r="AI80" i="20" a="1"/>
  <c r="AI80" i="20" s="1"/>
  <c r="T80" i="20" a="1"/>
  <c r="T80" i="20" s="1"/>
  <c r="AW79" i="20"/>
  <c r="AF79" i="20"/>
  <c r="O79" i="20"/>
  <c r="AB79" i="20"/>
  <c r="AZ79" i="20"/>
  <c r="Y80" i="20" a="1"/>
  <c r="Y80" i="20" s="1"/>
  <c r="AV80" i="20" a="1"/>
  <c r="AV80" i="20" s="1"/>
  <c r="BV100" i="20"/>
  <c r="AD75" i="21" a="1"/>
  <c r="AD75" i="21" s="1"/>
  <c r="V75" i="21" a="1"/>
  <c r="V75" i="21" s="1"/>
  <c r="N75" i="21" a="1"/>
  <c r="N75" i="21" s="1"/>
  <c r="AC74" i="21"/>
  <c r="R74" i="21"/>
  <c r="AC75" i="21" a="1"/>
  <c r="AC75" i="21" s="1"/>
  <c r="U75" i="21" a="1"/>
  <c r="U75" i="21" s="1"/>
  <c r="M75" i="21" a="1"/>
  <c r="M75" i="21" s="1"/>
  <c r="AB74" i="21"/>
  <c r="P74" i="21"/>
  <c r="Z75" i="21" a="1"/>
  <c r="Z75" i="21" s="1"/>
  <c r="R75" i="21" a="1"/>
  <c r="R75" i="21" s="1"/>
  <c r="AU74" i="21"/>
  <c r="W74" i="21"/>
  <c r="M74" i="21"/>
  <c r="X75" i="21" a="1"/>
  <c r="X75" i="21" s="1"/>
  <c r="I75" i="21" a="1"/>
  <c r="I75" i="21" s="1"/>
  <c r="T74" i="21"/>
  <c r="T75" i="21" a="1"/>
  <c r="T75" i="21" s="1"/>
  <c r="AL74" i="21"/>
  <c r="N74" i="21"/>
  <c r="S75" i="21" a="1"/>
  <c r="S75" i="21" s="1"/>
  <c r="AD74" i="21"/>
  <c r="L74" i="21"/>
  <c r="AA75" i="21" a="1"/>
  <c r="AA75" i="21" s="1"/>
  <c r="O75" i="21" a="1"/>
  <c r="O75" i="21" s="1"/>
  <c r="V74" i="21"/>
  <c r="AM74" i="21"/>
  <c r="AP75" i="21" a="1"/>
  <c r="AP75" i="21" s="1"/>
  <c r="Z74" i="21"/>
  <c r="AB75" i="21" a="1"/>
  <c r="AB75" i="21" s="1"/>
  <c r="X74" i="21"/>
  <c r="Y75" i="21" a="1"/>
  <c r="Y75" i="21" s="1"/>
  <c r="U74" i="21"/>
  <c r="W75" i="21" a="1"/>
  <c r="W75" i="21" s="1"/>
  <c r="O74" i="21"/>
  <c r="Q75" i="21" a="1"/>
  <c r="Q75" i="21" s="1"/>
  <c r="H74" i="21"/>
  <c r="CS97" i="20"/>
  <c r="AW98" i="20" a="1"/>
  <c r="AW98" i="20" s="1"/>
  <c r="AQ98" i="20" a="1"/>
  <c r="AQ98" i="20" s="1"/>
  <c r="AJ98" i="20" a="1"/>
  <c r="AJ98" i="20" s="1"/>
  <c r="X98" i="20" a="1"/>
  <c r="X98" i="20" s="1"/>
  <c r="S98" i="20" a="1"/>
  <c r="S98" i="20" s="1"/>
  <c r="M98" i="20" a="1"/>
  <c r="M98" i="20" s="1"/>
  <c r="CP97" i="20"/>
  <c r="CG97" i="20"/>
  <c r="BX97" i="20"/>
  <c r="BO97" i="20"/>
  <c r="BF97" i="20"/>
  <c r="AU97" i="20"/>
  <c r="AP98" i="20" a="1"/>
  <c r="AP98" i="20" s="1"/>
  <c r="AI98" i="20" a="1"/>
  <c r="AI98" i="20" s="1"/>
  <c r="AB98" i="20" a="1"/>
  <c r="AB98" i="20" s="1"/>
  <c r="CR97" i="20"/>
  <c r="CH97" i="20"/>
  <c r="BW97" i="20"/>
  <c r="BL97" i="20"/>
  <c r="BA97" i="20"/>
  <c r="AQ97" i="20"/>
  <c r="AH97" i="20"/>
  <c r="Y97" i="20"/>
  <c r="O97" i="20"/>
  <c r="R97" i="20"/>
  <c r="AB97" i="20"/>
  <c r="AL97" i="20"/>
  <c r="AX97" i="20"/>
  <c r="BJ97" i="20"/>
  <c r="BV97" i="20"/>
  <c r="CI97" i="20"/>
  <c r="CU97" i="20"/>
  <c r="Q98" i="20" a="1"/>
  <c r="Q98" i="20" s="1"/>
  <c r="Y98" i="20" a="1"/>
  <c r="Y98" i="20" s="1"/>
  <c r="AF98" i="20" a="1"/>
  <c r="AF98" i="20" s="1"/>
  <c r="AV98" i="20" a="1"/>
  <c r="AV98" i="20" s="1"/>
  <c r="AV105" i="22"/>
  <c r="AS105" i="22"/>
  <c r="AE105" i="22"/>
  <c r="O105" i="22"/>
  <c r="AP104" i="22"/>
  <c r="AB104" i="22"/>
  <c r="M104" i="22"/>
  <c r="AP105" i="22"/>
  <c r="AA105" i="22"/>
  <c r="N105" i="22"/>
  <c r="AO104" i="22"/>
  <c r="AA104" i="22"/>
  <c r="K104" i="22"/>
  <c r="AO105" i="22"/>
  <c r="Z105" i="22"/>
  <c r="M105" i="22"/>
  <c r="AM104" i="22"/>
  <c r="X104" i="22"/>
  <c r="J104" i="22"/>
  <c r="J106" i="22" s="1"/>
  <c r="AN105" i="22"/>
  <c r="X105" i="22"/>
  <c r="AY104" i="22"/>
  <c r="AK104" i="22"/>
  <c r="W104" i="22"/>
  <c r="H104" i="22"/>
  <c r="AY105" i="22"/>
  <c r="AI105" i="22"/>
  <c r="V105" i="22"/>
  <c r="AV104" i="22"/>
  <c r="AG104" i="22"/>
  <c r="S104" i="22"/>
  <c r="AK105" i="22"/>
  <c r="AS104" i="22"/>
  <c r="AG105" i="22"/>
  <c r="AJ104" i="22"/>
  <c r="AF105" i="22"/>
  <c r="AF104" i="22"/>
  <c r="W105" i="22"/>
  <c r="AC104" i="22"/>
  <c r="R105" i="22"/>
  <c r="T104" i="22"/>
  <c r="Q105" i="22"/>
  <c r="R104" i="22"/>
  <c r="AX105" i="22"/>
  <c r="AX104" i="22"/>
  <c r="O104" i="22"/>
  <c r="AU104" i="22"/>
  <c r="T70" i="20"/>
  <c r="AH70" i="20"/>
  <c r="AS70" i="20"/>
  <c r="W71" i="20" a="1"/>
  <c r="W71" i="20" s="1"/>
  <c r="AH71" i="20" a="1"/>
  <c r="AH71" i="20" s="1"/>
  <c r="M89" i="20" a="1"/>
  <c r="M89" i="20" s="1"/>
  <c r="AH88" i="20"/>
  <c r="L97" i="20"/>
  <c r="V97" i="20"/>
  <c r="AG97" i="20"/>
  <c r="AR97" i="20"/>
  <c r="BD97" i="20"/>
  <c r="BQ97" i="20"/>
  <c r="CB97" i="20"/>
  <c r="CN97" i="20"/>
  <c r="U98" i="20" a="1"/>
  <c r="U98" i="20" s="1"/>
  <c r="AC98" i="20" a="1"/>
  <c r="AC98" i="20" s="1"/>
  <c r="AK98" i="20" a="1"/>
  <c r="AK98" i="20" s="1"/>
  <c r="BA98" i="20" a="1"/>
  <c r="BA98" i="20" s="1"/>
  <c r="AT105" i="22"/>
  <c r="AW60" i="22"/>
  <c r="AU60" i="22"/>
  <c r="X60" i="22"/>
  <c r="AG81" i="22"/>
  <c r="AD81" i="22"/>
  <c r="AN80" i="22"/>
  <c r="AN101" i="22"/>
  <c r="AA101" i="22"/>
  <c r="AH100" i="22"/>
  <c r="X101" i="22"/>
  <c r="W100" i="22"/>
  <c r="V101" i="22"/>
  <c r="S100" i="22"/>
  <c r="R101" i="22"/>
  <c r="R100" i="22"/>
  <c r="AW101" i="22"/>
  <c r="AT100" i="22"/>
  <c r="N100" i="22"/>
  <c r="AW109" i="22"/>
  <c r="S109" i="22"/>
  <c r="AA108" i="22"/>
  <c r="AX109" i="22"/>
  <c r="R109" i="22"/>
  <c r="U108" i="22"/>
  <c r="AV109" i="22"/>
  <c r="AV108" i="22"/>
  <c r="P108" i="22"/>
  <c r="AN109" i="22"/>
  <c r="AU108" i="22"/>
  <c r="L108" i="22"/>
  <c r="AF109" i="22"/>
  <c r="AM108" i="22"/>
  <c r="AB108" i="22"/>
  <c r="AZ104" i="20" a="1"/>
  <c r="AZ104" i="20" s="1"/>
  <c r="AE104" i="20" a="1"/>
  <c r="AE104" i="20" s="1"/>
  <c r="O104" i="20" a="1"/>
  <c r="O104" i="20" s="1"/>
  <c r="CB103" i="20"/>
  <c r="BD103" i="20"/>
  <c r="X103" i="20"/>
  <c r="AI103" i="20"/>
  <c r="BP103" i="20"/>
  <c r="I104" i="20" a="1"/>
  <c r="I104" i="20" s="1"/>
  <c r="AD104" i="20" a="1"/>
  <c r="AD104" i="20" s="1"/>
  <c r="BA104" i="20" a="1"/>
  <c r="BA104" i="20" s="1"/>
  <c r="AV74" i="21"/>
  <c r="I61" i="21" a="1"/>
  <c r="I61" i="21" s="1"/>
  <c r="O60" i="21"/>
  <c r="AD61" i="21" a="1"/>
  <c r="AD61" i="21" s="1"/>
  <c r="Q61" i="21" a="1"/>
  <c r="Q61" i="21" s="1"/>
  <c r="X60" i="21"/>
  <c r="AQ60" i="21"/>
  <c r="Z61" i="21" a="1"/>
  <c r="Z61" i="21" s="1"/>
  <c r="AN60" i="22"/>
  <c r="U81" i="22"/>
  <c r="AP100" i="22"/>
  <c r="AL108" i="22"/>
  <c r="K103" i="20"/>
  <c r="AQ103" i="20"/>
  <c r="BX103" i="20"/>
  <c r="N104" i="20" a="1"/>
  <c r="N104" i="20" s="1"/>
  <c r="AF104" i="20" a="1"/>
  <c r="AF104" i="20" s="1"/>
  <c r="AG75" i="21" a="1"/>
  <c r="AG75" i="21" s="1"/>
  <c r="AK75" i="21" a="1"/>
  <c r="AK75" i="21" s="1"/>
  <c r="AG74" i="21"/>
  <c r="AO74" i="21"/>
  <c r="AO76" i="21" s="1"/>
  <c r="AW74" i="21"/>
  <c r="AG60" i="21"/>
  <c r="AW60" i="21"/>
  <c r="AK74" i="21"/>
  <c r="AS74" i="21"/>
  <c r="I60" i="21"/>
  <c r="AB61" i="21" a="1"/>
  <c r="AB61" i="21" s="1"/>
  <c r="O82" i="21" a="1"/>
  <c r="O82" i="21" s="1"/>
  <c r="AA81" i="21"/>
  <c r="N81" i="21"/>
  <c r="W82" i="21" a="1"/>
  <c r="W82" i="21" s="1"/>
  <c r="M82" i="21" a="1"/>
  <c r="M82" i="21" s="1"/>
  <c r="Z81" i="21"/>
  <c r="M81" i="21"/>
  <c r="AB82" i="21" a="1"/>
  <c r="AB82" i="21" s="1"/>
  <c r="I82" i="21" a="1"/>
  <c r="I82" i="21" s="1"/>
  <c r="U81" i="21"/>
  <c r="H81" i="21"/>
  <c r="AB81" i="21"/>
  <c r="T82" i="21" a="1"/>
  <c r="T82" i="21" s="1"/>
  <c r="Z109" i="21"/>
  <c r="Y110" i="21" a="1"/>
  <c r="Y110" i="21" s="1"/>
  <c r="T109" i="21"/>
  <c r="T110" i="21" a="1"/>
  <c r="T110" i="21" s="1"/>
  <c r="Q109" i="21"/>
  <c r="V110" i="21" a="1"/>
  <c r="V110" i="21" s="1"/>
  <c r="Y61" i="22"/>
  <c r="AU100" i="22"/>
  <c r="AQ108" i="22"/>
  <c r="AV93" i="22"/>
  <c r="K93" i="22"/>
  <c r="W92" i="22"/>
  <c r="AN93" i="22"/>
  <c r="AX92" i="22"/>
  <c r="U92" i="22"/>
  <c r="AJ93" i="22"/>
  <c r="AV92" i="22"/>
  <c r="R92" i="22"/>
  <c r="AH93" i="22"/>
  <c r="AT92" i="22"/>
  <c r="Q92" i="22"/>
  <c r="X93" i="22"/>
  <c r="AK92" i="22"/>
  <c r="AC97" i="22"/>
  <c r="AD97" i="22"/>
  <c r="O97" i="22"/>
  <c r="K97" i="22"/>
  <c r="AK96" i="22"/>
  <c r="L96" i="22"/>
  <c r="AF101" i="22"/>
  <c r="U109" i="22"/>
  <c r="AI74" i="21"/>
  <c r="AI79" i="21" s="1"/>
  <c r="AQ74" i="21"/>
  <c r="AQ102" i="21"/>
  <c r="AI86" i="21"/>
  <c r="AI83" i="21"/>
  <c r="P60" i="21"/>
  <c r="P61" i="21" a="1"/>
  <c r="P61" i="21" s="1"/>
  <c r="AI61" i="21" a="1"/>
  <c r="AI61" i="21" s="1"/>
  <c r="AN61" i="22"/>
  <c r="AS101" i="22"/>
  <c r="AC109" i="22"/>
  <c r="O67" i="21"/>
  <c r="Z67" i="21"/>
  <c r="O68" i="21" a="1"/>
  <c r="O68" i="21" s="1"/>
  <c r="AC68" i="21" a="1"/>
  <c r="AC68" i="21" s="1"/>
  <c r="X88" i="21"/>
  <c r="AB95" i="21"/>
  <c r="AL68" i="22"/>
  <c r="AI72" i="22"/>
  <c r="Q73" i="22"/>
  <c r="AN73" i="22"/>
  <c r="W76" i="22"/>
  <c r="AX76" i="22"/>
  <c r="AK77" i="22"/>
  <c r="S84" i="22"/>
  <c r="AN84" i="22"/>
  <c r="V85" i="22"/>
  <c r="AQ85" i="22"/>
  <c r="AE88" i="22"/>
  <c r="AR89" i="22"/>
  <c r="O112" i="22"/>
  <c r="AI112" i="22"/>
  <c r="J113" i="22"/>
  <c r="AC113" i="22"/>
  <c r="AV113" i="22"/>
  <c r="U116" i="22"/>
  <c r="AK116" i="22"/>
  <c r="L117" i="22"/>
  <c r="AB117" i="22"/>
  <c r="AS117" i="22"/>
  <c r="Z120" i="22"/>
  <c r="U121" i="22"/>
  <c r="S112" i="22"/>
  <c r="AK112" i="22"/>
  <c r="N113" i="22"/>
  <c r="AJ113" i="22"/>
  <c r="X116" i="22"/>
  <c r="AQ116" i="22"/>
  <c r="P117" i="22"/>
  <c r="AG117" i="22"/>
  <c r="AW117" i="22"/>
  <c r="T96" i="21" a="1"/>
  <c r="T96" i="21" s="1"/>
  <c r="M69" i="22"/>
  <c r="AH76" i="22"/>
  <c r="U77" i="22"/>
  <c r="AT77" i="22"/>
  <c r="R89" i="22"/>
  <c r="T112" i="22"/>
  <c r="AM112" i="22"/>
  <c r="S113" i="22"/>
  <c r="AK113" i="22"/>
  <c r="K116" i="22"/>
  <c r="AA116" i="22"/>
  <c r="AR116" i="22"/>
  <c r="R117" i="22"/>
  <c r="AH117" i="22"/>
  <c r="AQ120" i="22"/>
  <c r="AL121" i="22"/>
  <c r="AI60" i="21"/>
  <c r="V67" i="21"/>
  <c r="AQ67" i="21"/>
  <c r="I95" i="21"/>
  <c r="K68" i="22"/>
  <c r="W69" i="22"/>
  <c r="W72" i="22"/>
  <c r="AU72" i="22"/>
  <c r="J76" i="22"/>
  <c r="J78" i="22" s="1"/>
  <c r="AI76" i="22"/>
  <c r="W77" i="22"/>
  <c r="AE84" i="22"/>
  <c r="J85" i="22"/>
  <c r="H88" i="22"/>
  <c r="T89" i="22"/>
  <c r="X112" i="22"/>
  <c r="AS112" i="22"/>
  <c r="T113" i="22"/>
  <c r="AN113" i="22"/>
  <c r="L116" i="22"/>
  <c r="AB116" i="22"/>
  <c r="AS116" i="22"/>
  <c r="U117" i="22"/>
  <c r="O120" i="22"/>
  <c r="AS120" i="22"/>
  <c r="AA112" i="22"/>
  <c r="AT112" i="22"/>
  <c r="X113" i="22"/>
  <c r="BX4" i="19"/>
  <c r="BT6" i="19"/>
  <c r="CL9" i="19"/>
  <c r="DA15" i="19"/>
  <c r="CB19" i="19"/>
  <c r="DI21" i="19"/>
  <c r="BU22" i="19"/>
  <c r="BS22" i="19"/>
  <c r="CI35" i="19"/>
  <c r="CE37" i="19"/>
  <c r="CU37" i="19"/>
  <c r="BU49" i="19"/>
  <c r="CC49" i="19"/>
  <c r="CZ49" i="19"/>
  <c r="DF53" i="19"/>
  <c r="DG5" i="19"/>
  <c r="CY5" i="19"/>
  <c r="CQ5" i="19"/>
  <c r="CH5" i="19"/>
  <c r="BU5" i="19"/>
  <c r="CV22" i="19"/>
  <c r="BU24" i="19"/>
  <c r="DD48" i="19"/>
  <c r="DE5" i="19"/>
  <c r="CW5" i="19"/>
  <c r="CO5" i="19"/>
  <c r="CD5" i="19"/>
  <c r="BS5" i="19"/>
  <c r="CF5" i="19"/>
  <c r="CF94" i="19" s="1"/>
  <c r="BX5" i="19"/>
  <c r="P5" i="19"/>
  <c r="DH9" i="19"/>
  <c r="BX10" i="19"/>
  <c r="CF22" i="19"/>
  <c r="DD22" i="19"/>
  <c r="S37" i="19"/>
  <c r="BZ37" i="19"/>
  <c r="CG43" i="19"/>
  <c r="BT49" i="19"/>
  <c r="DD5" i="19"/>
  <c r="CV5" i="19"/>
  <c r="CN5" i="19"/>
  <c r="CC5" i="19"/>
  <c r="BR5" i="19"/>
  <c r="O5" i="19"/>
  <c r="CT18" i="19"/>
  <c r="O22" i="19"/>
  <c r="R22" i="19" s="1"/>
  <c r="DE22" i="19"/>
  <c r="BW24" i="19"/>
  <c r="BW33" i="19"/>
  <c r="BU34" i="19"/>
  <c r="CL38" i="19"/>
  <c r="O43" i="19"/>
  <c r="R43" i="19" s="1"/>
  <c r="CG49" i="19"/>
  <c r="DC5" i="19"/>
  <c r="CU5" i="19"/>
  <c r="CM5" i="19"/>
  <c r="CB5" i="19"/>
  <c r="CB27" i="19"/>
  <c r="CV10" i="19"/>
  <c r="CB37" i="19"/>
  <c r="CJ37" i="19"/>
  <c r="BY39" i="19"/>
  <c r="CZ48" i="19"/>
  <c r="U91" i="19"/>
  <c r="CB43" i="19"/>
  <c r="CD53" i="19"/>
  <c r="DI5" i="19"/>
  <c r="DA5" i="19"/>
  <c r="DA94" i="19" s="1"/>
  <c r="CS5" i="19"/>
  <c r="CK5" i="19"/>
  <c r="CB7" i="19"/>
  <c r="DI7" i="19"/>
  <c r="BL58" i="19"/>
  <c r="BO58" i="19"/>
  <c r="AR58" i="19"/>
  <c r="BM58" i="19"/>
  <c r="AP58" i="19"/>
  <c r="BJ58" i="19"/>
  <c r="AA58" i="19"/>
  <c r="BE58" i="19"/>
  <c r="R58" i="19"/>
  <c r="Y59" i="19" a="1"/>
  <c r="Y59" i="19" s="1"/>
  <c r="AY58" i="19"/>
  <c r="CA5" i="19"/>
  <c r="CA94" i="19" s="1"/>
  <c r="DD7" i="19"/>
  <c r="BS11" i="19"/>
  <c r="AH75" i="19"/>
  <c r="CX19" i="19"/>
  <c r="CS19" i="19"/>
  <c r="CP19" i="19"/>
  <c r="CJ19" i="19"/>
  <c r="DG19" i="19"/>
  <c r="BR19" i="19"/>
  <c r="P19" i="19"/>
  <c r="CH25" i="19"/>
  <c r="DI25" i="19"/>
  <c r="BX45" i="19"/>
  <c r="H58" i="19"/>
  <c r="BC61" i="19"/>
  <c r="BN75" i="19"/>
  <c r="AW75" i="19"/>
  <c r="BM75" i="19"/>
  <c r="AV75" i="19"/>
  <c r="BK75" i="19"/>
  <c r="Y75" i="19"/>
  <c r="BO76" i="19" a="1"/>
  <c r="BO76" i="19" s="1"/>
  <c r="BI75" i="19"/>
  <c r="T75" i="19"/>
  <c r="W76" i="19" a="1"/>
  <c r="W76" i="19" s="1"/>
  <c r="BB75" i="19"/>
  <c r="CZ32" i="19"/>
  <c r="CV32" i="19"/>
  <c r="CL32" i="19"/>
  <c r="CK32" i="19"/>
  <c r="DI32" i="19"/>
  <c r="CM13" i="19"/>
  <c r="DC25" i="19"/>
  <c r="DS60" i="19"/>
  <c r="BY4" i="19"/>
  <c r="CV45" i="19"/>
  <c r="CJ45" i="19"/>
  <c r="V45" i="19"/>
  <c r="BB58" i="19"/>
  <c r="CS7" i="19"/>
  <c r="BU12" i="19"/>
  <c r="DG6" i="19"/>
  <c r="DF6" i="19"/>
  <c r="CW6" i="19"/>
  <c r="CU6" i="19"/>
  <c r="CT6" i="19"/>
  <c r="BX20" i="19"/>
  <c r="BW50" i="19"/>
  <c r="BD58" i="19"/>
  <c r="Y62" i="19" a="1"/>
  <c r="Y62" i="19" s="1"/>
  <c r="BE75" i="19"/>
  <c r="CX12" i="19"/>
  <c r="CG20" i="19"/>
  <c r="BS32" i="19"/>
  <c r="BT32" i="19"/>
  <c r="CF50" i="19"/>
  <c r="W59" i="19" a="1"/>
  <c r="W59" i="19" s="1"/>
  <c r="DF12" i="19"/>
  <c r="BW25" i="19"/>
  <c r="CE25" i="19"/>
  <c r="CM25" i="19"/>
  <c r="BU32" i="19"/>
  <c r="CY32" i="19"/>
  <c r="CC45" i="19"/>
  <c r="DB50" i="19"/>
  <c r="DI50" i="19"/>
  <c r="DF50" i="19"/>
  <c r="BR50" i="19"/>
  <c r="V50" i="19"/>
  <c r="CY50" i="19"/>
  <c r="CU50" i="19"/>
  <c r="O50" i="19"/>
  <c r="R50" i="19" s="1"/>
  <c r="CO50" i="19"/>
  <c r="BO59" i="19" a="1"/>
  <c r="BO59" i="19" s="1"/>
  <c r="CL13" i="19"/>
  <c r="AA62" i="19" a="1"/>
  <c r="AA62" i="19" s="1"/>
  <c r="BP61" i="19"/>
  <c r="AT61" i="19"/>
  <c r="BL61" i="19"/>
  <c r="W61" i="19"/>
  <c r="BI61" i="19"/>
  <c r="T61" i="19"/>
  <c r="BG61" i="19"/>
  <c r="H61" i="19"/>
  <c r="Q62" i="19" a="1"/>
  <c r="Q62" i="19" s="1"/>
  <c r="AZ61" i="19"/>
  <c r="AB61" i="19"/>
  <c r="CM44" i="19"/>
  <c r="CJ48" i="19"/>
  <c r="T84" i="19" a="1"/>
  <c r="T84" i="19" s="1"/>
  <c r="AF106" i="19"/>
  <c r="BD106" i="19"/>
  <c r="CB106" i="19"/>
  <c r="CZ106" i="19"/>
  <c r="AJ109" i="19"/>
  <c r="BP109" i="19"/>
  <c r="CU109" i="19"/>
  <c r="BF100" i="19"/>
  <c r="AF91" i="19"/>
  <c r="AN91" i="19"/>
  <c r="AV65" i="19" a="1"/>
  <c r="AV65" i="19" s="1"/>
  <c r="CA7" i="19"/>
  <c r="CI7" i="19"/>
  <c r="BW9" i="19"/>
  <c r="CN9" i="19"/>
  <c r="CL10" i="19"/>
  <c r="AJ80" i="19"/>
  <c r="Z75" i="19"/>
  <c r="N67" i="19"/>
  <c r="BW15" i="19"/>
  <c r="CI25" i="19"/>
  <c r="AE61" i="19"/>
  <c r="AM61" i="19"/>
  <c r="AU75" i="19"/>
  <c r="CC32" i="19"/>
  <c r="BD56" i="19"/>
  <c r="BL65" i="19" a="1"/>
  <c r="BL65" i="19" s="1"/>
  <c r="BY38" i="19"/>
  <c r="CV49" i="19"/>
  <c r="BY50" i="19"/>
  <c r="V53" i="19"/>
  <c r="CA53" i="19"/>
  <c r="CI53" i="19"/>
  <c r="CV53" i="19"/>
  <c r="AV64" i="19"/>
  <c r="Q65" i="19" a="1"/>
  <c r="Q65" i="19" s="1"/>
  <c r="I81" i="19" a="1"/>
  <c r="I81" i="19" s="1"/>
  <c r="AR88" i="19"/>
  <c r="BJ88" i="19"/>
  <c r="BP89" i="19" a="1"/>
  <c r="BP89" i="19" s="1"/>
  <c r="BD91" i="19"/>
  <c r="Y92" i="19" a="1"/>
  <c r="Y92" i="19" s="1"/>
  <c r="AA94" i="19"/>
  <c r="BO94" i="19"/>
  <c r="P106" i="19"/>
  <c r="AN106" i="19"/>
  <c r="BM106" i="19"/>
  <c r="CK106" i="19"/>
  <c r="DI106" i="19"/>
  <c r="Q109" i="19"/>
  <c r="AU109" i="19"/>
  <c r="CD109" i="19"/>
  <c r="DF109" i="19"/>
  <c r="W110" i="19" a="1"/>
  <c r="W110" i="19" s="1"/>
  <c r="AO91" i="19"/>
  <c r="CS9" i="19"/>
  <c r="CS18" i="19"/>
  <c r="BV19" i="19"/>
  <c r="CD19" i="19"/>
  <c r="CW30" i="19"/>
  <c r="BS43" i="19"/>
  <c r="CK43" i="19"/>
  <c r="BR49" i="19"/>
  <c r="CX49" i="19"/>
  <c r="BP81" i="19" a="1"/>
  <c r="BP81" i="19" s="1"/>
  <c r="BF91" i="19"/>
  <c r="AA92" i="19" a="1"/>
  <c r="AA92" i="19" s="1"/>
  <c r="S106" i="19"/>
  <c r="AS106" i="19"/>
  <c r="BP106" i="19"/>
  <c r="CO106" i="19"/>
  <c r="S109" i="19"/>
  <c r="AW109" i="19"/>
  <c r="CF109" i="19"/>
  <c r="CC7" i="19"/>
  <c r="CD12" i="19"/>
  <c r="AO83" i="19"/>
  <c r="BU7" i="19"/>
  <c r="U72" i="19"/>
  <c r="BU43" i="19"/>
  <c r="CC43" i="19"/>
  <c r="CZ43" i="19"/>
  <c r="CI45" i="19"/>
  <c r="BV48" i="19"/>
  <c r="CD48" i="19"/>
  <c r="CA50" i="19"/>
  <c r="CD52" i="19"/>
  <c r="BS6" i="19"/>
  <c r="CJ6" i="19"/>
  <c r="BV7" i="19"/>
  <c r="CL7" i="19"/>
  <c r="BT9" i="19"/>
  <c r="DB9" i="19"/>
  <c r="CC13" i="19"/>
  <c r="BX19" i="19"/>
  <c r="CF19" i="19"/>
  <c r="CA21" i="19"/>
  <c r="CQ21" i="19"/>
  <c r="CU22" i="19"/>
  <c r="BV25" i="19"/>
  <c r="CD25" i="19"/>
  <c r="CL25" i="19"/>
  <c r="CA26" i="19"/>
  <c r="DG26" i="19"/>
  <c r="DE42" i="19"/>
  <c r="O49" i="19"/>
  <c r="R49" i="19" s="1"/>
  <c r="CF49" i="19"/>
  <c r="DH49" i="19"/>
  <c r="BS50" i="19"/>
  <c r="CB50" i="19"/>
  <c r="Y80" i="19"/>
  <c r="BF83" i="19"/>
  <c r="Q91" i="19"/>
  <c r="BI91" i="19"/>
  <c r="BA94" i="19"/>
  <c r="Y95" i="19" a="1"/>
  <c r="Y95" i="19" s="1"/>
  <c r="W106" i="19"/>
  <c r="AV106" i="19"/>
  <c r="BU106" i="19"/>
  <c r="CS106" i="19"/>
  <c r="BN107" i="19" a="1"/>
  <c r="BN107" i="19" s="1"/>
  <c r="Z109" i="19"/>
  <c r="BG109" i="19"/>
  <c r="CO109" i="19"/>
  <c r="AG88" i="19"/>
  <c r="AG67" i="19"/>
  <c r="AO67" i="19"/>
  <c r="BY13" i="19"/>
  <c r="DC13" i="19"/>
  <c r="CZ15" i="19"/>
  <c r="DD15" i="19"/>
  <c r="CI15" i="19"/>
  <c r="CS15" i="19"/>
  <c r="CG15" i="19"/>
  <c r="DG15" i="19"/>
  <c r="CF17" i="19"/>
  <c r="CC18" i="19"/>
  <c r="CE18" i="19"/>
  <c r="DE18" i="19"/>
  <c r="DG21" i="19"/>
  <c r="CY21" i="19"/>
  <c r="S21" i="19"/>
  <c r="DD21" i="19"/>
  <c r="BW21" i="19"/>
  <c r="CM21" i="19"/>
  <c r="CZ21" i="19"/>
  <c r="BV23" i="19"/>
  <c r="CD23" i="19"/>
  <c r="O25" i="19"/>
  <c r="R25" i="19" s="1"/>
  <c r="O26" i="19"/>
  <c r="R26" i="19" s="1"/>
  <c r="BZ26" i="19"/>
  <c r="BU29" i="19"/>
  <c r="CJ29" i="19"/>
  <c r="CW38" i="19"/>
  <c r="BV46" i="19"/>
  <c r="CD46" i="19"/>
  <c r="BV52" i="19"/>
  <c r="AG58" i="19"/>
  <c r="AL91" i="19"/>
  <c r="CB13" i="19"/>
  <c r="CB67" i="19" s="1"/>
  <c r="CD18" i="19"/>
  <c r="AE83" i="19"/>
  <c r="AM83" i="19"/>
  <c r="BR21" i="19"/>
  <c r="DA38" i="19"/>
  <c r="BO72" i="19"/>
  <c r="AW72" i="19"/>
  <c r="BK72" i="19"/>
  <c r="AR72" i="19"/>
  <c r="W73" i="19" a="1"/>
  <c r="W73" i="19" s="1"/>
  <c r="BB72" i="19"/>
  <c r="H72" i="19"/>
  <c r="BD72" i="19"/>
  <c r="AY72" i="19"/>
  <c r="BM72" i="19"/>
  <c r="N72" i="19"/>
  <c r="BF72" i="19"/>
  <c r="CG6" i="19"/>
  <c r="DE52" i="19"/>
  <c r="CM52" i="19"/>
  <c r="CR52" i="19"/>
  <c r="CX52" i="19"/>
  <c r="CB52" i="19"/>
  <c r="CV52" i="19"/>
  <c r="DG52" i="19"/>
  <c r="CH52" i="19"/>
  <c r="AD58" i="19"/>
  <c r="CS13" i="19"/>
  <c r="DI14" i="19"/>
  <c r="AE88" i="19"/>
  <c r="O7" i="19"/>
  <c r="R7" i="19" s="1"/>
  <c r="CS10" i="19"/>
  <c r="CK10" i="19"/>
  <c r="DB10" i="19"/>
  <c r="AD91" i="19"/>
  <c r="AT55" i="19"/>
  <c r="CB10" i="19"/>
  <c r="DD13" i="19"/>
  <c r="CL18" i="19"/>
  <c r="BS20" i="19"/>
  <c r="CB20" i="19"/>
  <c r="CJ20" i="19"/>
  <c r="AU83" i="19"/>
  <c r="DA21" i="19"/>
  <c r="CM24" i="19"/>
  <c r="CV24" i="19"/>
  <c r="CP25" i="19"/>
  <c r="CJ26" i="19"/>
  <c r="BW30" i="19"/>
  <c r="CE30" i="19"/>
  <c r="AX67" i="19"/>
  <c r="BJ56" i="19"/>
  <c r="CE6" i="19"/>
  <c r="BS9" i="19"/>
  <c r="AI64" i="19"/>
  <c r="CJ10" i="19"/>
  <c r="AO75" i="19"/>
  <c r="CK13" i="19"/>
  <c r="AE72" i="19"/>
  <c r="CF14" i="19"/>
  <c r="CB15" i="19"/>
  <c r="CP15" i="19"/>
  <c r="P17" i="19"/>
  <c r="BZ17" i="19"/>
  <c r="CM18" i="19"/>
  <c r="DH19" i="19"/>
  <c r="CO19" i="19"/>
  <c r="CY19" i="19"/>
  <c r="CZ19" i="19"/>
  <c r="BU20" i="19"/>
  <c r="CC20" i="19"/>
  <c r="CK20" i="19"/>
  <c r="P21" i="19"/>
  <c r="BT21" i="19"/>
  <c r="DC21" i="19"/>
  <c r="CA24" i="19"/>
  <c r="AP72" i="19"/>
  <c r="BS25" i="19"/>
  <c r="CJ25" i="19"/>
  <c r="CS25" i="19"/>
  <c r="Z61" i="19"/>
  <c r="AI61" i="19"/>
  <c r="BS35" i="19"/>
  <c r="CB35" i="19"/>
  <c r="CJ35" i="19"/>
  <c r="CE38" i="19"/>
  <c r="CY43" i="19"/>
  <c r="CT43" i="19"/>
  <c r="DH43" i="19"/>
  <c r="BY44" i="19"/>
  <c r="BS45" i="19"/>
  <c r="BX46" i="19"/>
  <c r="CG46" i="19"/>
  <c r="DG51" i="19"/>
  <c r="BR51" i="19"/>
  <c r="CB51" i="19"/>
  <c r="DF51" i="19"/>
  <c r="DA53" i="19"/>
  <c r="CW53" i="19"/>
  <c r="BT53" i="19"/>
  <c r="DI53" i="19"/>
  <c r="BU53" i="19"/>
  <c r="BR53" i="19"/>
  <c r="S53" i="19"/>
  <c r="CR53" i="19"/>
  <c r="R72" i="19"/>
  <c r="BY23" i="19"/>
  <c r="CG23" i="19"/>
  <c r="CU30" i="19"/>
  <c r="DB38" i="19"/>
  <c r="CI38" i="19"/>
  <c r="V38" i="19"/>
  <c r="CT38" i="19"/>
  <c r="CG38" i="19"/>
  <c r="DG38" i="19"/>
  <c r="CC44" i="19"/>
  <c r="CG52" i="19"/>
  <c r="W72" i="19"/>
  <c r="AS67" i="19"/>
  <c r="CI52" i="19"/>
  <c r="CQ97" i="19"/>
  <c r="BP97" i="19"/>
  <c r="AN97" i="19"/>
  <c r="AK67" i="19"/>
  <c r="BR23" i="19"/>
  <c r="CI23" i="19"/>
  <c r="CJ23" i="19"/>
  <c r="CM38" i="19"/>
  <c r="CN52" i="19"/>
  <c r="AC67" i="19"/>
  <c r="DI18" i="19"/>
  <c r="DF18" i="19"/>
  <c r="CN18" i="19"/>
  <c r="BR18" i="19"/>
  <c r="S18" i="19"/>
  <c r="DB18" i="19"/>
  <c r="CU18" i="19"/>
  <c r="AE64" i="19"/>
  <c r="AI72" i="19"/>
  <c r="CA18" i="19"/>
  <c r="DC18" i="19"/>
  <c r="CS23" i="19"/>
  <c r="CZ26" i="19"/>
  <c r="P26" i="19"/>
  <c r="CV26" i="19"/>
  <c r="BS38" i="19"/>
  <c r="CO38" i="19"/>
  <c r="CS45" i="19"/>
  <c r="DI45" i="19"/>
  <c r="BT45" i="19"/>
  <c r="BS46" i="19"/>
  <c r="CB46" i="19"/>
  <c r="BS52" i="19"/>
  <c r="CU52" i="19"/>
  <c r="Q73" i="19" a="1"/>
  <c r="Q73" i="19" s="1"/>
  <c r="I84" i="19" a="1"/>
  <c r="I84" i="19" s="1"/>
  <c r="BH83" i="19"/>
  <c r="Q83" i="19"/>
  <c r="BO84" i="19" a="1"/>
  <c r="BO84" i="19" s="1"/>
  <c r="BN83" i="19"/>
  <c r="BE83" i="19"/>
  <c r="H83" i="19"/>
  <c r="W84" i="19" a="1"/>
  <c r="W84" i="19" s="1"/>
  <c r="BJ83" i="19"/>
  <c r="W83" i="19"/>
  <c r="BM83" i="19"/>
  <c r="T83" i="19"/>
  <c r="BL83" i="19"/>
  <c r="I83" i="19"/>
  <c r="BD83" i="19"/>
  <c r="BP83" i="19"/>
  <c r="Y83" i="19"/>
  <c r="BP84" i="19" a="1"/>
  <c r="BP84" i="19" s="1"/>
  <c r="CQ14" i="19"/>
  <c r="CA23" i="19"/>
  <c r="DB46" i="19"/>
  <c r="DH46" i="19"/>
  <c r="DP60" i="19"/>
  <c r="AL58" i="19"/>
  <c r="DH13" i="19"/>
  <c r="CR13" i="19"/>
  <c r="BT13" i="19"/>
  <c r="P13" i="19"/>
  <c r="DB13" i="19"/>
  <c r="AY56" i="19"/>
  <c r="CT7" i="19"/>
  <c r="CR7" i="19"/>
  <c r="BX13" i="19"/>
  <c r="CF13" i="19"/>
  <c r="BR13" i="19"/>
  <c r="CT13" i="19"/>
  <c r="BU18" i="19"/>
  <c r="CD4" i="19"/>
  <c r="DF9" i="19"/>
  <c r="DC9" i="19"/>
  <c r="CM9" i="19"/>
  <c r="BR9" i="19"/>
  <c r="S9" i="19"/>
  <c r="CV9" i="19"/>
  <c r="CO9" i="19"/>
  <c r="DE10" i="19"/>
  <c r="O13" i="19"/>
  <c r="R13" i="19" s="1"/>
  <c r="BU13" i="19"/>
  <c r="DA13" i="19"/>
  <c r="CF15" i="19"/>
  <c r="DB15" i="19"/>
  <c r="BS18" i="19"/>
  <c r="CB18" i="19"/>
  <c r="BV18" i="19"/>
  <c r="DD18" i="19"/>
  <c r="CS21" i="19"/>
  <c r="BU23" i="19"/>
  <c r="CC23" i="19"/>
  <c r="DA23" i="19"/>
  <c r="BX24" i="19"/>
  <c r="CF24" i="19"/>
  <c r="CG25" i="19"/>
  <c r="N61" i="19"/>
  <c r="CG26" i="19"/>
  <c r="DC32" i="19"/>
  <c r="CR32" i="19"/>
  <c r="BY32" i="19"/>
  <c r="CM32" i="19"/>
  <c r="DB35" i="19"/>
  <c r="O35" i="19"/>
  <c r="R35" i="19" s="1"/>
  <c r="BY35" i="19"/>
  <c r="CG35" i="19"/>
  <c r="CO35" i="19"/>
  <c r="BU38" i="19"/>
  <c r="CU38" i="19"/>
  <c r="CU64" i="19" s="1"/>
  <c r="DB48" i="19"/>
  <c r="P48" i="19"/>
  <c r="DI48" i="19"/>
  <c r="CC48" i="19"/>
  <c r="O48" i="19"/>
  <c r="R48" i="19" s="1"/>
  <c r="BT48" i="19"/>
  <c r="CU48" i="19"/>
  <c r="CH48" i="19"/>
  <c r="BU52" i="19"/>
  <c r="CZ52" i="19"/>
  <c r="Y73" i="19" a="1"/>
  <c r="Y73" i="19" s="1"/>
  <c r="BC83" i="19"/>
  <c r="AD100" i="19"/>
  <c r="CO100" i="19"/>
  <c r="CI103" i="19"/>
  <c r="AC103" i="19"/>
  <c r="BS103" i="19"/>
  <c r="V103" i="19"/>
  <c r="BI103" i="19"/>
  <c r="M103" i="19"/>
  <c r="CR103" i="19"/>
  <c r="AU103" i="19"/>
  <c r="DF103" i="19"/>
  <c r="AP100" i="19"/>
  <c r="DB100" i="19"/>
  <c r="Y103" i="19"/>
  <c r="CD9" i="19"/>
  <c r="AF88" i="19"/>
  <c r="AN88" i="19"/>
  <c r="AB72" i="19"/>
  <c r="AR83" i="19"/>
  <c r="CG24" i="19"/>
  <c r="AK61" i="19"/>
  <c r="AK58" i="19"/>
  <c r="AP61" i="19"/>
  <c r="CG33" i="19"/>
  <c r="CO33" i="19"/>
  <c r="BV35" i="19"/>
  <c r="CL35" i="19"/>
  <c r="BA67" i="19"/>
  <c r="CF44" i="19"/>
  <c r="CK48" i="19"/>
  <c r="P49" i="19"/>
  <c r="CU49" i="19"/>
  <c r="CC53" i="19"/>
  <c r="AX100" i="19"/>
  <c r="AL103" i="19"/>
  <c r="BO104" i="19" a="1"/>
  <c r="BO104" i="19" s="1"/>
  <c r="BH100" i="19"/>
  <c r="W101" i="19" a="1"/>
  <c r="W101" i="19" s="1"/>
  <c r="DH100" i="19"/>
  <c r="CB100" i="19"/>
  <c r="AV100" i="19"/>
  <c r="P100" i="19"/>
  <c r="CZ100" i="19"/>
  <c r="BU100" i="19"/>
  <c r="AL100" i="19"/>
  <c r="CW100" i="19"/>
  <c r="BL100" i="19"/>
  <c r="AF100" i="19"/>
  <c r="BO101" i="19" a="1"/>
  <c r="BO101" i="19" s="1"/>
  <c r="CG100" i="19"/>
  <c r="BB100" i="19"/>
  <c r="U100" i="19"/>
  <c r="BW100" i="19"/>
  <c r="AG64" i="19"/>
  <c r="AF75" i="19"/>
  <c r="AN75" i="19"/>
  <c r="CW12" i="19"/>
  <c r="BU15" i="19"/>
  <c r="CC15" i="19"/>
  <c r="BZ18" i="19"/>
  <c r="BW19" i="19"/>
  <c r="CE19" i="19"/>
  <c r="AF83" i="19"/>
  <c r="AN83" i="19"/>
  <c r="AV83" i="19"/>
  <c r="CL22" i="19"/>
  <c r="BU25" i="19"/>
  <c r="CC25" i="19"/>
  <c r="CK25" i="19"/>
  <c r="CH35" i="19"/>
  <c r="AW67" i="19"/>
  <c r="BU37" i="19"/>
  <c r="CC37" i="19"/>
  <c r="CK37" i="19"/>
  <c r="CS37" i="19"/>
  <c r="BH56" i="19"/>
  <c r="CA38" i="19"/>
  <c r="CG48" i="19"/>
  <c r="BV49" i="19"/>
  <c r="CD49" i="19"/>
  <c r="CI49" i="19"/>
  <c r="BP68" i="19" a="1"/>
  <c r="BP68" i="19" s="1"/>
  <c r="I68" i="19" a="1"/>
  <c r="I68" i="19" s="1"/>
  <c r="H67" i="19"/>
  <c r="AA68" i="19" a="1"/>
  <c r="AA68" i="19" s="1"/>
  <c r="BN67" i="19"/>
  <c r="T68" i="19" a="1"/>
  <c r="T68" i="19" s="1"/>
  <c r="Q67" i="19"/>
  <c r="Y68" i="19" a="1"/>
  <c r="Y68" i="19" s="1"/>
  <c r="BJ75" i="19"/>
  <c r="BA75" i="19"/>
  <c r="Q75" i="19"/>
  <c r="BP76" i="19" a="1"/>
  <c r="BP76" i="19" s="1"/>
  <c r="I76" i="19" a="1"/>
  <c r="I76" i="19" s="1"/>
  <c r="BH75" i="19"/>
  <c r="AX75" i="19"/>
  <c r="H75" i="19"/>
  <c r="Y76" i="19" a="1"/>
  <c r="Y76" i="19" s="1"/>
  <c r="BL75" i="19"/>
  <c r="BC75" i="19"/>
  <c r="W75" i="19"/>
  <c r="BD75" i="19"/>
  <c r="T76" i="19" a="1"/>
  <c r="T76" i="19" s="1"/>
  <c r="R100" i="19"/>
  <c r="CE100" i="19"/>
  <c r="BN101" i="19" a="1"/>
  <c r="BN101" i="19" s="1"/>
  <c r="CK103" i="19"/>
  <c r="BW45" i="19"/>
  <c r="CE45" i="19"/>
  <c r="CM45" i="19"/>
  <c r="BZ48" i="19"/>
  <c r="CY49" i="19"/>
  <c r="CK49" i="19"/>
  <c r="S49" i="19"/>
  <c r="DD49" i="19"/>
  <c r="CO49" i="19"/>
  <c r="V49" i="19"/>
  <c r="BW49" i="19"/>
  <c r="CN49" i="19"/>
  <c r="DF49" i="19"/>
  <c r="CH53" i="19"/>
  <c r="AA100" i="19"/>
  <c r="CM100" i="19"/>
  <c r="BP101" i="19" a="1"/>
  <c r="BP101" i="19" s="1"/>
  <c r="CV103" i="19"/>
  <c r="CB48" i="19"/>
  <c r="CA49" i="19"/>
  <c r="CN50" i="19"/>
  <c r="DH50" i="19"/>
  <c r="BV51" i="19"/>
  <c r="T58" i="19"/>
  <c r="BA58" i="19"/>
  <c r="BN58" i="19"/>
  <c r="I61" i="19"/>
  <c r="BA61" i="19"/>
  <c r="BO61" i="19"/>
  <c r="AQ64" i="19"/>
  <c r="BE64" i="19"/>
  <c r="I65" i="19" a="1"/>
  <c r="I65" i="19" s="1"/>
  <c r="Q80" i="19"/>
  <c r="BL80" i="19"/>
  <c r="N88" i="19"/>
  <c r="AP88" i="19"/>
  <c r="AZ88" i="19"/>
  <c r="BK88" i="19"/>
  <c r="T91" i="19"/>
  <c r="BE91" i="19"/>
  <c r="BN91" i="19"/>
  <c r="AT94" i="19"/>
  <c r="BF94" i="19"/>
  <c r="BP94" i="19"/>
  <c r="U106" i="19"/>
  <c r="AG106" i="19"/>
  <c r="AT106" i="19"/>
  <c r="BE106" i="19"/>
  <c r="BR106" i="19"/>
  <c r="CD106" i="19"/>
  <c r="CP106" i="19"/>
  <c r="DB106" i="19"/>
  <c r="I107" i="19" a="1"/>
  <c r="I107" i="19" s="1"/>
  <c r="U109" i="19"/>
  <c r="AI109" i="19"/>
  <c r="AT109" i="19"/>
  <c r="BF109" i="19"/>
  <c r="BS109" i="19"/>
  <c r="CE109" i="19"/>
  <c r="CP109" i="19"/>
  <c r="DD109" i="19"/>
  <c r="I110" i="19" a="1"/>
  <c r="I110" i="19" s="1"/>
  <c r="AY94" i="19"/>
  <c r="BI94" i="19"/>
  <c r="W95" i="19" a="1"/>
  <c r="W95" i="19" s="1"/>
  <c r="M106" i="19"/>
  <c r="AA106" i="19"/>
  <c r="AL106" i="19"/>
  <c r="AW106" i="19"/>
  <c r="BI106" i="19"/>
  <c r="BX106" i="19"/>
  <c r="CI106" i="19"/>
  <c r="CT106" i="19"/>
  <c r="DG106" i="19"/>
  <c r="Y107" i="19" a="1"/>
  <c r="Y107" i="19" s="1"/>
  <c r="N109" i="19"/>
  <c r="AA109" i="19"/>
  <c r="AL109" i="19"/>
  <c r="AX109" i="19"/>
  <c r="BJ109" i="19"/>
  <c r="BX109" i="19"/>
  <c r="CI109" i="19"/>
  <c r="CV109" i="19"/>
  <c r="DG109" i="19"/>
  <c r="Y110" i="19" a="1"/>
  <c r="Y110" i="19" s="1"/>
  <c r="AS58" i="19"/>
  <c r="BF58" i="19"/>
  <c r="BM59" i="19" a="1"/>
  <c r="BM59" i="19" s="1"/>
  <c r="AV61" i="19"/>
  <c r="BH61" i="19"/>
  <c r="T62" i="19" a="1"/>
  <c r="T62" i="19" s="1"/>
  <c r="W64" i="19"/>
  <c r="AW64" i="19"/>
  <c r="BL64" i="19"/>
  <c r="BP65" i="19" a="1"/>
  <c r="BP65" i="19" s="1"/>
  <c r="AT80" i="19"/>
  <c r="W88" i="19"/>
  <c r="AU88" i="19"/>
  <c r="BF88" i="19"/>
  <c r="BP88" i="19"/>
  <c r="BA91" i="19"/>
  <c r="BJ91" i="19"/>
  <c r="R94" i="19"/>
  <c r="AZ94" i="19"/>
  <c r="BJ94" i="19"/>
  <c r="N106" i="19"/>
  <c r="AB106" i="19"/>
  <c r="AM106" i="19"/>
  <c r="AY106" i="19"/>
  <c r="BL106" i="19"/>
  <c r="BY106" i="19"/>
  <c r="CJ106" i="19"/>
  <c r="CW106" i="19"/>
  <c r="DH106" i="19"/>
  <c r="AA107" i="19" a="1"/>
  <c r="AA107" i="19" s="1"/>
  <c r="P109" i="19"/>
  <c r="AB109" i="19"/>
  <c r="AM109" i="19"/>
  <c r="AZ109" i="19"/>
  <c r="BM109" i="19"/>
  <c r="BY109" i="19"/>
  <c r="CL109" i="19"/>
  <c r="CW109" i="19"/>
  <c r="DH109" i="19"/>
  <c r="AA110" i="19" a="1"/>
  <c r="AA110" i="19" s="1"/>
  <c r="AC109" i="19"/>
  <c r="AO109" i="19"/>
  <c r="BB109" i="19"/>
  <c r="BN109" i="19"/>
  <c r="BZ109" i="19"/>
  <c r="CM109" i="19"/>
  <c r="CX109" i="19"/>
  <c r="BN110" i="19" a="1"/>
  <c r="BN110" i="19" s="1"/>
  <c r="CB45" i="19"/>
  <c r="BY49" i="19"/>
  <c r="CI50" i="19"/>
  <c r="BS51" i="19"/>
  <c r="Q58" i="19"/>
  <c r="AW58" i="19"/>
  <c r="AY61" i="19"/>
  <c r="BJ61" i="19"/>
  <c r="AA64" i="19"/>
  <c r="BB64" i="19"/>
  <c r="AA88" i="19"/>
  <c r="AX88" i="19"/>
  <c r="BH88" i="19"/>
  <c r="I91" i="19"/>
  <c r="BC91" i="19"/>
  <c r="BL91" i="19"/>
  <c r="W94" i="19"/>
  <c r="BB94" i="19"/>
  <c r="BL94" i="19"/>
  <c r="R106" i="19"/>
  <c r="AD106" i="19"/>
  <c r="AQ106" i="19"/>
  <c r="BC106" i="19"/>
  <c r="BO106" i="19"/>
  <c r="CA106" i="19"/>
  <c r="CN106" i="19"/>
  <c r="CY106" i="19"/>
  <c r="R109" i="19"/>
  <c r="AD109" i="19"/>
  <c r="AR109" i="19"/>
  <c r="BC109" i="19"/>
  <c r="BO109" i="19"/>
  <c r="CB109" i="19"/>
  <c r="CN109" i="19"/>
  <c r="CY109" i="19"/>
  <c r="BX28" i="19"/>
  <c r="CS28" i="19"/>
  <c r="CF40" i="19"/>
  <c r="CP29" i="19"/>
  <c r="DF39" i="19"/>
  <c r="DH39" i="19"/>
  <c r="CR39" i="19"/>
  <c r="BW39" i="19"/>
  <c r="V39" i="19"/>
  <c r="CS39" i="19"/>
  <c r="BU39" i="19"/>
  <c r="S39" i="19"/>
  <c r="CQ39" i="19"/>
  <c r="BS39" i="19"/>
  <c r="DI39" i="19"/>
  <c r="CM39" i="19"/>
  <c r="DG39" i="19"/>
  <c r="CK39" i="19"/>
  <c r="DA39" i="19"/>
  <c r="CI39" i="19"/>
  <c r="DD41" i="19"/>
  <c r="DE41" i="19"/>
  <c r="CU41" i="19"/>
  <c r="CL41" i="19"/>
  <c r="CA41" i="19"/>
  <c r="DF41" i="19"/>
  <c r="CT41" i="19"/>
  <c r="CJ41" i="19"/>
  <c r="BV41" i="19"/>
  <c r="V41" i="19"/>
  <c r="DC41" i="19"/>
  <c r="CR41" i="19"/>
  <c r="CG41" i="19"/>
  <c r="DB41" i="19"/>
  <c r="CQ41" i="19"/>
  <c r="CE41" i="19"/>
  <c r="DA41" i="19"/>
  <c r="CP41" i="19"/>
  <c r="CD41" i="19"/>
  <c r="CY41" i="19"/>
  <c r="CM41" i="19"/>
  <c r="BW41" i="19"/>
  <c r="DH42" i="19"/>
  <c r="S28" i="19"/>
  <c r="P29" i="19"/>
  <c r="BR41" i="19"/>
  <c r="BY28" i="19"/>
  <c r="CY28" i="19"/>
  <c r="S29" i="19"/>
  <c r="S80" i="19" s="1"/>
  <c r="BR29" i="19"/>
  <c r="CS29" i="19"/>
  <c r="BS30" i="19"/>
  <c r="DB30" i="19"/>
  <c r="CU39" i="19"/>
  <c r="CB40" i="19"/>
  <c r="S41" i="19"/>
  <c r="BZ41" i="19"/>
  <c r="BT41" i="19"/>
  <c r="CX41" i="19"/>
  <c r="BV42" i="19"/>
  <c r="CE39" i="19"/>
  <c r="CS41" i="19"/>
  <c r="DI91" i="19"/>
  <c r="CR29" i="19"/>
  <c r="BT40" i="19"/>
  <c r="DG10" i="19"/>
  <c r="O30" i="19"/>
  <c r="R30" i="19" s="1"/>
  <c r="DG30" i="19"/>
  <c r="BY41" i="19"/>
  <c r="BY42" i="19"/>
  <c r="DC28" i="19"/>
  <c r="DD28" i="19"/>
  <c r="CT28" i="19"/>
  <c r="CK28" i="19"/>
  <c r="BT28" i="19"/>
  <c r="V28" i="19"/>
  <c r="DB28" i="19"/>
  <c r="CR28" i="19"/>
  <c r="CH28" i="19"/>
  <c r="CZ28" i="19"/>
  <c r="DA28" i="19"/>
  <c r="CQ28" i="19"/>
  <c r="CG28" i="19"/>
  <c r="CP28" i="19"/>
  <c r="BZ28" i="19"/>
  <c r="DH28" i="19"/>
  <c r="CX28" i="19"/>
  <c r="CN28" i="19"/>
  <c r="BU28" i="19"/>
  <c r="DC29" i="19"/>
  <c r="DH29" i="19"/>
  <c r="CW29" i="19"/>
  <c r="CL29" i="19"/>
  <c r="CB29" i="19"/>
  <c r="DA29" i="19"/>
  <c r="CO29" i="19"/>
  <c r="CC29" i="19"/>
  <c r="CK29" i="19"/>
  <c r="CZ29" i="19"/>
  <c r="CN29" i="19"/>
  <c r="BZ29" i="19"/>
  <c r="CX29" i="19"/>
  <c r="BY29" i="19"/>
  <c r="DF29" i="19"/>
  <c r="CT29" i="19"/>
  <c r="CH29" i="19"/>
  <c r="BT29" i="19"/>
  <c r="P40" i="19"/>
  <c r="CF41" i="19"/>
  <c r="CA14" i="19"/>
  <c r="CY14" i="19"/>
  <c r="CG17" i="19"/>
  <c r="CI28" i="19"/>
  <c r="CV29" i="19"/>
  <c r="CF30" i="19"/>
  <c r="CY39" i="19"/>
  <c r="CZ41" i="19"/>
  <c r="CB42" i="19"/>
  <c r="BZ4" i="19"/>
  <c r="DT60" i="19"/>
  <c r="DI94" i="19"/>
  <c r="BX94" i="19"/>
  <c r="DC6" i="19"/>
  <c r="CQ6" i="19"/>
  <c r="CB6" i="19"/>
  <c r="S6" i="19"/>
  <c r="CZ6" i="19"/>
  <c r="CK6" i="19"/>
  <c r="P6" i="19"/>
  <c r="DA6" i="19"/>
  <c r="CL6" i="19"/>
  <c r="BW6" i="19"/>
  <c r="BV6" i="19"/>
  <c r="DH6" i="19"/>
  <c r="CC6" i="19"/>
  <c r="CX6" i="19"/>
  <c r="BS10" i="19"/>
  <c r="CF11" i="19"/>
  <c r="CI14" i="19"/>
  <c r="DA14" i="19"/>
  <c r="CD17" i="19"/>
  <c r="CP17" i="19"/>
  <c r="CJ28" i="19"/>
  <c r="DF28" i="19"/>
  <c r="CD29" i="19"/>
  <c r="DB29" i="19"/>
  <c r="CH30" i="19"/>
  <c r="CZ39" i="19"/>
  <c r="CW40" i="19"/>
  <c r="BS41" i="19"/>
  <c r="CB41" i="19"/>
  <c r="CH41" i="19"/>
  <c r="DG41" i="19"/>
  <c r="CC42" i="19"/>
  <c r="CI42" i="19"/>
  <c r="BX40" i="19"/>
  <c r="CV28" i="19"/>
  <c r="BR40" i="19"/>
  <c r="P14" i="19"/>
  <c r="CT14" i="19"/>
  <c r="DI30" i="19"/>
  <c r="CZ30" i="19"/>
  <c r="CQ30" i="19"/>
  <c r="CB30" i="19"/>
  <c r="DF30" i="19"/>
  <c r="CV30" i="19"/>
  <c r="CI30" i="19"/>
  <c r="P30" i="19"/>
  <c r="DE30" i="19"/>
  <c r="CT30" i="19"/>
  <c r="BZ30" i="19"/>
  <c r="DC30" i="19"/>
  <c r="DD30" i="19"/>
  <c r="CR30" i="19"/>
  <c r="BX30" i="19"/>
  <c r="CP30" i="19"/>
  <c r="V30" i="19"/>
  <c r="BT30" i="19"/>
  <c r="CY30" i="19"/>
  <c r="CN30" i="19"/>
  <c r="BR30" i="19"/>
  <c r="S30" i="19"/>
  <c r="CX30" i="19"/>
  <c r="S40" i="19"/>
  <c r="CW41" i="19"/>
  <c r="DA10" i="19"/>
  <c r="CR10" i="19"/>
  <c r="CI10" i="19"/>
  <c r="BR10" i="19"/>
  <c r="P10" i="19"/>
  <c r="DI10" i="19"/>
  <c r="CZ10" i="19"/>
  <c r="CQ10" i="19"/>
  <c r="CH10" i="19"/>
  <c r="S10" i="19"/>
  <c r="DH10" i="19"/>
  <c r="CY10" i="19"/>
  <c r="CP10" i="19"/>
  <c r="CC10" i="19"/>
  <c r="DF10" i="19"/>
  <c r="CW10" i="19"/>
  <c r="CN10" i="19"/>
  <c r="CA10" i="19"/>
  <c r="CO10" i="19"/>
  <c r="CH14" i="19"/>
  <c r="CZ14" i="19"/>
  <c r="CN17" i="19"/>
  <c r="DE28" i="19"/>
  <c r="CP40" i="19"/>
  <c r="BS42" i="19"/>
  <c r="CA4" i="19"/>
  <c r="DU60" i="19"/>
  <c r="DL60" i="19"/>
  <c r="CD6" i="19"/>
  <c r="CY6" i="19"/>
  <c r="DG7" i="19"/>
  <c r="DC7" i="19"/>
  <c r="CQ7" i="19"/>
  <c r="BY7" i="19"/>
  <c r="DA7" i="19"/>
  <c r="P7" i="19"/>
  <c r="DB7" i="19"/>
  <c r="CK7" i="19"/>
  <c r="BT7" i="19"/>
  <c r="CJ7" i="19"/>
  <c r="BS7" i="19"/>
  <c r="CU7" i="19"/>
  <c r="CG7" i="19"/>
  <c r="BX7" i="19"/>
  <c r="CF7" i="19"/>
  <c r="CN7" i="19"/>
  <c r="CZ7" i="19"/>
  <c r="V10" i="19"/>
  <c r="BT10" i="19"/>
  <c r="CT10" i="19"/>
  <c r="BV14" i="19"/>
  <c r="CD14" i="19"/>
  <c r="CK14" i="19"/>
  <c r="BW17" i="19"/>
  <c r="CE17" i="19"/>
  <c r="DC19" i="19"/>
  <c r="DF19" i="19"/>
  <c r="CW19" i="19"/>
  <c r="CN19" i="19"/>
  <c r="BZ19" i="19"/>
  <c r="BS19" i="19"/>
  <c r="DE19" i="19"/>
  <c r="CV19" i="19"/>
  <c r="CL19" i="19"/>
  <c r="BT19" i="19"/>
  <c r="DD19" i="19"/>
  <c r="CK19" i="19"/>
  <c r="V19" i="19"/>
  <c r="CT19" i="19"/>
  <c r="DA19" i="19"/>
  <c r="CR19" i="19"/>
  <c r="CI19" i="19"/>
  <c r="S19" i="19"/>
  <c r="CQ19" i="19"/>
  <c r="DI19" i="19"/>
  <c r="CL28" i="19"/>
  <c r="DG28" i="19"/>
  <c r="CF29" i="19"/>
  <c r="DD29" i="19"/>
  <c r="CJ30" i="19"/>
  <c r="DA34" i="19"/>
  <c r="CI34" i="19"/>
  <c r="V34" i="19"/>
  <c r="BW34" i="19"/>
  <c r="DI34" i="19"/>
  <c r="CW34" i="19"/>
  <c r="CU34" i="19"/>
  <c r="DI37" i="19"/>
  <c r="DB37" i="19"/>
  <c r="CL37" i="19"/>
  <c r="BT37" i="19"/>
  <c r="CP37" i="19"/>
  <c r="BV37" i="19"/>
  <c r="CT37" i="19"/>
  <c r="BW37" i="19"/>
  <c r="CR37" i="19"/>
  <c r="CR67" i="19" s="1"/>
  <c r="BR37" i="19"/>
  <c r="V37" i="19"/>
  <c r="CM37" i="19"/>
  <c r="DF37" i="19"/>
  <c r="CH37" i="19"/>
  <c r="P37" i="19"/>
  <c r="CX37" i="19"/>
  <c r="DC39" i="19"/>
  <c r="CI41" i="19"/>
  <c r="DH41" i="19"/>
  <c r="DA45" i="19"/>
  <c r="DD45" i="19"/>
  <c r="CQ45" i="19"/>
  <c r="BY45" i="19"/>
  <c r="DH45" i="19"/>
  <c r="CT45" i="19"/>
  <c r="CA45" i="19"/>
  <c r="DG45" i="19"/>
  <c r="CP45" i="19"/>
  <c r="BR45" i="19"/>
  <c r="DE45" i="19"/>
  <c r="CO45" i="19"/>
  <c r="O45" i="19"/>
  <c r="R45" i="19" s="1"/>
  <c r="DB45" i="19"/>
  <c r="CK45" i="19"/>
  <c r="CY45" i="19"/>
  <c r="CG45" i="19"/>
  <c r="CX45" i="19"/>
  <c r="CF28" i="19"/>
  <c r="DD40" i="19"/>
  <c r="CR40" i="19"/>
  <c r="BY40" i="19"/>
  <c r="V40" i="19"/>
  <c r="DF40" i="19"/>
  <c r="CH40" i="19"/>
  <c r="CO40" i="19"/>
  <c r="CJ40" i="19"/>
  <c r="DH40" i="19"/>
  <c r="CG40" i="19"/>
  <c r="CZ40" i="19"/>
  <c r="BZ40" i="19"/>
  <c r="DG14" i="19"/>
  <c r="DG72" i="19" s="1"/>
  <c r="CX14" i="19"/>
  <c r="CO14" i="19"/>
  <c r="BZ14" i="19"/>
  <c r="CV14" i="19"/>
  <c r="DF14" i="19"/>
  <c r="CW14" i="19"/>
  <c r="CN14" i="19"/>
  <c r="BY14" i="19"/>
  <c r="DE14" i="19"/>
  <c r="CL14" i="19"/>
  <c r="BT14" i="19"/>
  <c r="V14" i="19"/>
  <c r="DB14" i="19"/>
  <c r="CS14" i="19"/>
  <c r="CJ14" i="19"/>
  <c r="S14" i="19"/>
  <c r="S72" i="19" s="1"/>
  <c r="CR14" i="19"/>
  <c r="P28" i="19"/>
  <c r="DB42" i="19"/>
  <c r="DG42" i="19"/>
  <c r="CN42" i="19"/>
  <c r="O42" i="19"/>
  <c r="R42" i="19" s="1"/>
  <c r="CV42" i="19"/>
  <c r="CY42" i="19"/>
  <c r="BU42" i="19"/>
  <c r="CW42" i="19"/>
  <c r="P42" i="19"/>
  <c r="CR42" i="19"/>
  <c r="CM42" i="19"/>
  <c r="BR14" i="19"/>
  <c r="CW28" i="19"/>
  <c r="CJ39" i="19"/>
  <c r="P41" i="19"/>
  <c r="U56" i="19"/>
  <c r="BW14" i="19"/>
  <c r="CP14" i="19"/>
  <c r="DH14" i="19"/>
  <c r="DD17" i="19"/>
  <c r="CY17" i="19"/>
  <c r="BX17" i="19"/>
  <c r="BX75" i="19" s="1"/>
  <c r="CX17" i="19"/>
  <c r="BV17" i="19"/>
  <c r="CW17" i="19"/>
  <c r="BU17" i="19"/>
  <c r="CO17" i="19"/>
  <c r="O17" i="19"/>
  <c r="R17" i="19" s="1"/>
  <c r="DG17" i="19"/>
  <c r="DH27" i="19"/>
  <c r="CL27" i="19"/>
  <c r="CO28" i="19"/>
  <c r="DI28" i="19"/>
  <c r="CG29" i="19"/>
  <c r="DE29" i="19"/>
  <c r="CO30" i="19"/>
  <c r="DG34" i="19"/>
  <c r="CG37" i="19"/>
  <c r="CO37" i="19"/>
  <c r="CW37" i="19"/>
  <c r="DE37" i="19"/>
  <c r="CZ37" i="19"/>
  <c r="BT39" i="19"/>
  <c r="DE40" i="19"/>
  <c r="CK41" i="19"/>
  <c r="DI41" i="19"/>
  <c r="DI88" i="19" s="1"/>
  <c r="DA42" i="19"/>
  <c r="CZ45" i="19"/>
  <c r="DH47" i="19"/>
  <c r="CV47" i="19"/>
  <c r="DF47" i="19"/>
  <c r="BZ47" i="19"/>
  <c r="BU47" i="19"/>
  <c r="BW7" i="19"/>
  <c r="CE7" i="19"/>
  <c r="CM7" i="19"/>
  <c r="BV10" i="19"/>
  <c r="CD10" i="19"/>
  <c r="BV12" i="19"/>
  <c r="DG12" i="19"/>
  <c r="U67" i="19"/>
  <c r="BY17" i="19"/>
  <c r="BY19" i="19"/>
  <c r="CG19" i="19"/>
  <c r="U83" i="19"/>
  <c r="CG30" i="19"/>
  <c r="DH31" i="19"/>
  <c r="DD31" i="19"/>
  <c r="CS31" i="19"/>
  <c r="BX31" i="19"/>
  <c r="DF32" i="19"/>
  <c r="DG32" i="19"/>
  <c r="CW32" i="19"/>
  <c r="CN32" i="19"/>
  <c r="CA32" i="19"/>
  <c r="S32" i="19"/>
  <c r="DA32" i="19"/>
  <c r="CQ32" i="19"/>
  <c r="CB32" i="19"/>
  <c r="P32" i="19"/>
  <c r="BW32" i="19"/>
  <c r="CE32" i="19"/>
  <c r="BX32" i="19"/>
  <c r="CO32" i="19"/>
  <c r="DB32" i="19"/>
  <c r="DA33" i="19"/>
  <c r="CU33" i="19"/>
  <c r="BU33" i="19"/>
  <c r="CI33" i="19"/>
  <c r="CF37" i="19"/>
  <c r="CN37" i="19"/>
  <c r="CV37" i="19"/>
  <c r="DD37" i="19"/>
  <c r="CE42" i="19"/>
  <c r="BV45" i="19"/>
  <c r="CD45" i="19"/>
  <c r="CL45" i="19"/>
  <c r="V31" i="19"/>
  <c r="CH31" i="19"/>
  <c r="O32" i="19"/>
  <c r="R32" i="19" s="1"/>
  <c r="CF32" i="19"/>
  <c r="CS32" i="19"/>
  <c r="DD32" i="19"/>
  <c r="S33" i="19"/>
  <c r="CH33" i="19"/>
  <c r="CP33" i="19"/>
  <c r="CW33" i="19"/>
  <c r="BU40" i="19"/>
  <c r="CC40" i="19"/>
  <c r="BU41" i="19"/>
  <c r="CC41" i="19"/>
  <c r="CG42" i="19"/>
  <c r="CF45" i="19"/>
  <c r="CN45" i="19"/>
  <c r="BW47" i="19"/>
  <c r="CF10" i="19"/>
  <c r="BU11" i="19"/>
  <c r="BY15" i="19"/>
  <c r="CX15" i="19"/>
  <c r="DI15" i="19"/>
  <c r="CP20" i="19"/>
  <c r="CB21" i="19"/>
  <c r="DE21" i="19"/>
  <c r="BZ7" i="19"/>
  <c r="CH7" i="19"/>
  <c r="BS8" i="19"/>
  <c r="CB8" i="19"/>
  <c r="CF9" i="19"/>
  <c r="CT9" i="19"/>
  <c r="DE9" i="19"/>
  <c r="BV11" i="19"/>
  <c r="CD11" i="19"/>
  <c r="V12" i="19"/>
  <c r="CM12" i="19"/>
  <c r="CD13" i="19"/>
  <c r="CU13" i="19"/>
  <c r="BS14" i="19"/>
  <c r="S15" i="19"/>
  <c r="BZ15" i="19"/>
  <c r="CK15" i="19"/>
  <c r="CY15" i="19"/>
  <c r="CB17" i="19"/>
  <c r="BX18" i="19"/>
  <c r="CF18" i="19"/>
  <c r="CJ18" i="19"/>
  <c r="CV18" i="19"/>
  <c r="BZ20" i="19"/>
  <c r="CZ20" i="19"/>
  <c r="BU21" i="19"/>
  <c r="CC21" i="19"/>
  <c r="CV21" i="19"/>
  <c r="S23" i="19"/>
  <c r="DG25" i="19"/>
  <c r="DA25" i="19"/>
  <c r="BZ25" i="19"/>
  <c r="P25" i="19"/>
  <c r="CF25" i="19"/>
  <c r="CN25" i="19"/>
  <c r="CX25" i="19"/>
  <c r="BV28" i="19"/>
  <c r="CD28" i="19"/>
  <c r="CR31" i="19"/>
  <c r="CH32" i="19"/>
  <c r="CI32" i="19"/>
  <c r="CT32" i="19"/>
  <c r="DE32" i="19"/>
  <c r="DH33" i="19"/>
  <c r="CA37" i="19"/>
  <c r="CI37" i="19"/>
  <c r="CQ37" i="19"/>
  <c r="CY37" i="19"/>
  <c r="DD43" i="19"/>
  <c r="DI43" i="19"/>
  <c r="CQ43" i="19"/>
  <c r="P43" i="19"/>
  <c r="DC43" i="19"/>
  <c r="CI43" i="19"/>
  <c r="BW43" i="19"/>
  <c r="CE43" i="19"/>
  <c r="CO43" i="19"/>
  <c r="BX47" i="19"/>
  <c r="CF47" i="19"/>
  <c r="DE48" i="19"/>
  <c r="CR48" i="19"/>
  <c r="BY48" i="19"/>
  <c r="CP48" i="19"/>
  <c r="CM48" i="19"/>
  <c r="CL48" i="19"/>
  <c r="DD51" i="19"/>
  <c r="DI51" i="19"/>
  <c r="CK51" i="19"/>
  <c r="CW51" i="19"/>
  <c r="BT51" i="19"/>
  <c r="CM51" i="19"/>
  <c r="O51" i="19"/>
  <c r="R51" i="19" s="1"/>
  <c r="CE51" i="19"/>
  <c r="DE53" i="19"/>
  <c r="CT53" i="19"/>
  <c r="CG53" i="19"/>
  <c r="P53" i="19"/>
  <c r="CZ53" i="19"/>
  <c r="CP53" i="19"/>
  <c r="BX53" i="19"/>
  <c r="DH53" i="19"/>
  <c r="CS53" i="19"/>
  <c r="BZ53" i="19"/>
  <c r="BW53" i="19"/>
  <c r="CE53" i="19"/>
  <c r="CM53" i="19"/>
  <c r="CK53" i="19"/>
  <c r="DB53" i="19"/>
  <c r="BZ12" i="19"/>
  <c r="CE12" i="19"/>
  <c r="CJ15" i="19"/>
  <c r="BV16" i="19"/>
  <c r="DF21" i="19"/>
  <c r="CW21" i="19"/>
  <c r="CJ21" i="19"/>
  <c r="CU21" i="19"/>
  <c r="DH23" i="19"/>
  <c r="CR23" i="19"/>
  <c r="DB23" i="19"/>
  <c r="DB72" i="19" s="1"/>
  <c r="CC28" i="19"/>
  <c r="CP6" i="19"/>
  <c r="CC8" i="19"/>
  <c r="BY9" i="19"/>
  <c r="CG9" i="19"/>
  <c r="CJ9" i="19"/>
  <c r="CU9" i="19"/>
  <c r="U88" i="19"/>
  <c r="BW11" i="19"/>
  <c r="CE11" i="19"/>
  <c r="CJ12" i="19"/>
  <c r="CO12" i="19"/>
  <c r="BW13" i="19"/>
  <c r="CE13" i="19"/>
  <c r="CJ13" i="19"/>
  <c r="CV13" i="19"/>
  <c r="CC14" i="19"/>
  <c r="CA15" i="19"/>
  <c r="CO15" i="19"/>
  <c r="BX16" i="19"/>
  <c r="CC17" i="19"/>
  <c r="P18" i="19"/>
  <c r="BY18" i="19"/>
  <c r="CG18" i="19"/>
  <c r="CK18" i="19"/>
  <c r="CW18" i="19"/>
  <c r="BU19" i="19"/>
  <c r="CC19" i="19"/>
  <c r="O21" i="19"/>
  <c r="R21" i="19" s="1"/>
  <c r="CI21" i="19"/>
  <c r="CX21" i="19"/>
  <c r="DH21" i="19"/>
  <c r="BZ23" i="19"/>
  <c r="BY25" i="19"/>
  <c r="DB25" i="19"/>
  <c r="BW28" i="19"/>
  <c r="CE28" i="19"/>
  <c r="CK30" i="19"/>
  <c r="DB31" i="19"/>
  <c r="V32" i="19"/>
  <c r="CJ32" i="19"/>
  <c r="CU32" i="19"/>
  <c r="DH32" i="19"/>
  <c r="DI33" i="19"/>
  <c r="CE34" i="19"/>
  <c r="DH38" i="19"/>
  <c r="DC38" i="19"/>
  <c r="CQ38" i="19"/>
  <c r="CC38" i="19"/>
  <c r="CY38" i="19"/>
  <c r="CK38" i="19"/>
  <c r="BW38" i="19"/>
  <c r="CS38" i="19"/>
  <c r="DI38" i="19"/>
  <c r="BW40" i="19"/>
  <c r="CE40" i="19"/>
  <c r="CA42" i="19"/>
  <c r="BX43" i="19"/>
  <c r="CF43" i="19"/>
  <c r="CR43" i="19"/>
  <c r="DG44" i="19"/>
  <c r="DE44" i="19"/>
  <c r="BT44" i="19"/>
  <c r="BZ45" i="19"/>
  <c r="CH45" i="19"/>
  <c r="CS48" i="19"/>
  <c r="DB49" i="19"/>
  <c r="DC49" i="19"/>
  <c r="CS49" i="19"/>
  <c r="CJ49" i="19"/>
  <c r="BX49" i="19"/>
  <c r="DG49" i="19"/>
  <c r="CW49" i="19"/>
  <c r="CM49" i="19"/>
  <c r="CB49" i="19"/>
  <c r="CE49" i="19"/>
  <c r="CP49" i="19"/>
  <c r="DA49" i="19"/>
  <c r="DA50" i="19"/>
  <c r="DD50" i="19"/>
  <c r="CP50" i="19"/>
  <c r="CE50" i="19"/>
  <c r="CZ50" i="19"/>
  <c r="CK50" i="19"/>
  <c r="CG50" i="19"/>
  <c r="CX50" i="19"/>
  <c r="CO51" i="19"/>
  <c r="CL53" i="19"/>
  <c r="DD53" i="19"/>
  <c r="CE21" i="19"/>
  <c r="CC22" i="19"/>
  <c r="BW23" i="19"/>
  <c r="CC24" i="19"/>
  <c r="CU26" i="19"/>
  <c r="CA28" i="19"/>
  <c r="BW29" i="19"/>
  <c r="CH42" i="19"/>
  <c r="BX48" i="19"/>
  <c r="CF48" i="19"/>
  <c r="CN48" i="19"/>
  <c r="CH50" i="19"/>
  <c r="DD52" i="19"/>
  <c r="CQ52" i="19"/>
  <c r="CF52" i="19"/>
  <c r="DH52" i="19"/>
  <c r="CW52" i="19"/>
  <c r="CL52" i="19"/>
  <c r="BX52" i="19"/>
  <c r="P52" i="19"/>
  <c r="BY52" i="19"/>
  <c r="CP52" i="19"/>
  <c r="DF52" i="19"/>
  <c r="BZ52" i="19"/>
  <c r="CJ53" i="19"/>
  <c r="BV30" i="19"/>
  <c r="CD30" i="19"/>
  <c r="CL30" i="19"/>
  <c r="CG32" i="19"/>
  <c r="CA34" i="19"/>
  <c r="BX35" i="19"/>
  <c r="CF35" i="19"/>
  <c r="BS37" i="19"/>
  <c r="BZ38" i="19"/>
  <c r="CA39" i="19"/>
  <c r="BX42" i="19"/>
  <c r="CF42" i="19"/>
  <c r="BW44" i="19"/>
  <c r="CE44" i="19"/>
  <c r="BU45" i="19"/>
  <c r="BZ46" i="19"/>
  <c r="CP46" i="19"/>
  <c r="BV50" i="19"/>
  <c r="CF53" i="19"/>
  <c r="CN53" i="19"/>
  <c r="CI94" i="19"/>
  <c r="BS94" i="19"/>
  <c r="BY94" i="19"/>
  <c r="AI110" i="19" a="1"/>
  <c r="AI110" i="19" s="1"/>
  <c r="AI107" i="19" a="1"/>
  <c r="AI107" i="19" s="1"/>
  <c r="AI76" i="19" a="1"/>
  <c r="AI76" i="19" s="1"/>
  <c r="AI92" i="19" a="1"/>
  <c r="AI92" i="19" s="1"/>
  <c r="AI84" i="19" a="1"/>
  <c r="AI84" i="19" s="1"/>
  <c r="AI94" i="19"/>
  <c r="AI68" i="19" a="1"/>
  <c r="AI68" i="19" s="1"/>
  <c r="AI55" i="19"/>
  <c r="AI62" i="19" a="1"/>
  <c r="AI62" i="19" s="1"/>
  <c r="AI59" i="19" a="1"/>
  <c r="AI59" i="19" s="1"/>
  <c r="AI56" i="19"/>
  <c r="AQ110" i="19" a="1"/>
  <c r="AQ110" i="19" s="1"/>
  <c r="AQ92" i="19" a="1"/>
  <c r="AQ92" i="19" s="1"/>
  <c r="AQ107" i="19" a="1"/>
  <c r="AQ107" i="19" s="1"/>
  <c r="AQ94" i="19"/>
  <c r="AQ89" i="19" a="1"/>
  <c r="AQ89" i="19" s="1"/>
  <c r="AQ76" i="19" a="1"/>
  <c r="AQ76" i="19" s="1"/>
  <c r="AQ84" i="19" a="1"/>
  <c r="AQ84" i="19" s="1"/>
  <c r="AQ68" i="19" a="1"/>
  <c r="AQ68" i="19" s="1"/>
  <c r="AQ56" i="19"/>
  <c r="AQ62" i="19" a="1"/>
  <c r="AQ62" i="19" s="1"/>
  <c r="AQ59" i="19" a="1"/>
  <c r="AQ59" i="19" s="1"/>
  <c r="AQ55" i="19"/>
  <c r="CZ94" i="19"/>
  <c r="H6" i="23"/>
  <c r="M58" i="19"/>
  <c r="DD8" i="19"/>
  <c r="CV8" i="19"/>
  <c r="CN8" i="19"/>
  <c r="CF8" i="19"/>
  <c r="CR8" i="19"/>
  <c r="BZ11" i="19"/>
  <c r="CS11" i="19"/>
  <c r="DB11" i="19"/>
  <c r="CD24" i="19"/>
  <c r="CH36" i="19"/>
  <c r="AF59" i="19" a="1"/>
  <c r="AF59" i="19" s="1"/>
  <c r="DV60" i="19"/>
  <c r="AB110" i="19" a="1"/>
  <c r="AB110" i="19" s="1"/>
  <c r="AB95" i="19" a="1"/>
  <c r="AB95" i="19" s="1"/>
  <c r="AB107" i="19" a="1"/>
  <c r="AB107" i="19" s="1"/>
  <c r="AB94" i="19"/>
  <c r="AB89" i="19" a="1"/>
  <c r="AB89" i="19" s="1"/>
  <c r="AB76" i="19" a="1"/>
  <c r="AB76" i="19" s="1"/>
  <c r="AB104" i="19" a="1"/>
  <c r="AB104" i="19" s="1"/>
  <c r="AB68" i="19" a="1"/>
  <c r="AB68" i="19" s="1"/>
  <c r="AB84" i="19" a="1"/>
  <c r="AB84" i="19" s="1"/>
  <c r="AB65" i="19" a="1"/>
  <c r="AB65" i="19" s="1"/>
  <c r="AB56" i="19"/>
  <c r="AB55" i="19"/>
  <c r="AJ110" i="19" a="1"/>
  <c r="AJ110" i="19" s="1"/>
  <c r="AJ107" i="19" a="1"/>
  <c r="AJ107" i="19" s="1"/>
  <c r="AJ95" i="19" a="1"/>
  <c r="AJ95" i="19" s="1"/>
  <c r="AJ84" i="19" a="1"/>
  <c r="AJ84" i="19" s="1"/>
  <c r="AJ94" i="19"/>
  <c r="AJ89" i="19" a="1"/>
  <c r="AJ89" i="19" s="1"/>
  <c r="AJ76" i="19" a="1"/>
  <c r="AJ76" i="19" s="1"/>
  <c r="AJ68" i="19" a="1"/>
  <c r="AJ68" i="19" s="1"/>
  <c r="AJ81" i="19" a="1"/>
  <c r="AJ81" i="19" s="1"/>
  <c r="AJ56" i="19"/>
  <c r="AR110" i="19" a="1"/>
  <c r="AR110" i="19" s="1"/>
  <c r="AR94" i="19"/>
  <c r="AR107" i="19" a="1"/>
  <c r="AR107" i="19" s="1"/>
  <c r="AR76" i="19" a="1"/>
  <c r="AR76" i="19" s="1"/>
  <c r="AR84" i="19" a="1"/>
  <c r="AR84" i="19" s="1"/>
  <c r="AR68" i="19" a="1"/>
  <c r="AR68" i="19" s="1"/>
  <c r="AR55" i="19"/>
  <c r="AR65" i="19" a="1"/>
  <c r="AR65" i="19" s="1"/>
  <c r="AR56" i="19"/>
  <c r="CR94" i="19"/>
  <c r="BX8" i="19"/>
  <c r="DB8" i="19"/>
  <c r="P11" i="19"/>
  <c r="CK11" i="19"/>
  <c r="P16" i="19"/>
  <c r="BU16" i="19"/>
  <c r="DG20" i="19"/>
  <c r="CY20" i="19"/>
  <c r="CQ20" i="19"/>
  <c r="BY20" i="19"/>
  <c r="CH20" i="19"/>
  <c r="CR20" i="19"/>
  <c r="DA20" i="19"/>
  <c r="AG83" i="19"/>
  <c r="CD22" i="19"/>
  <c r="DF24" i="19"/>
  <c r="CX24" i="19"/>
  <c r="CP24" i="19"/>
  <c r="BR24" i="19"/>
  <c r="BV24" i="19"/>
  <c r="CE24" i="19"/>
  <c r="CN24" i="19"/>
  <c r="CW24" i="19"/>
  <c r="DG24" i="19"/>
  <c r="AF61" i="19"/>
  <c r="DC27" i="19"/>
  <c r="CU27" i="19"/>
  <c r="CM27" i="19"/>
  <c r="DG27" i="19"/>
  <c r="CY27" i="19"/>
  <c r="CQ27" i="19"/>
  <c r="CI27" i="19"/>
  <c r="S27" i="19"/>
  <c r="BR27" i="19"/>
  <c r="CC27" i="19"/>
  <c r="CN27" i="19"/>
  <c r="CX27" i="19"/>
  <c r="DI27" i="19"/>
  <c r="BS31" i="19"/>
  <c r="BZ32" i="19"/>
  <c r="BZ33" i="19"/>
  <c r="CD35" i="19"/>
  <c r="CT35" i="19"/>
  <c r="BV36" i="19"/>
  <c r="CL36" i="19"/>
  <c r="DB36" i="19"/>
  <c r="BY37" i="19"/>
  <c r="BZ39" i="19"/>
  <c r="BX41" i="19"/>
  <c r="BX88" i="19" s="1"/>
  <c r="BZ42" i="19"/>
  <c r="AV67" i="19"/>
  <c r="DC16" i="19"/>
  <c r="CU16" i="19"/>
  <c r="CM16" i="19"/>
  <c r="CE16" i="19"/>
  <c r="V16" i="19"/>
  <c r="CL16" i="19"/>
  <c r="CX36" i="19"/>
  <c r="BS44" i="19"/>
  <c r="BY6" i="19"/>
  <c r="CH6" i="19"/>
  <c r="BW12" i="19"/>
  <c r="CP12" i="19"/>
  <c r="CD16" i="19"/>
  <c r="Z91" i="19"/>
  <c r="BZ6" i="19"/>
  <c r="CD7" i="19"/>
  <c r="CD91" i="19" s="1"/>
  <c r="DE7" i="19"/>
  <c r="S8" i="19"/>
  <c r="H8" i="23"/>
  <c r="DG9" i="19"/>
  <c r="CY9" i="19"/>
  <c r="CQ9" i="19"/>
  <c r="CI9" i="19"/>
  <c r="V9" i="19"/>
  <c r="BX9" i="19"/>
  <c r="CP9" i="19"/>
  <c r="CZ9" i="19"/>
  <c r="DI9" i="19"/>
  <c r="Z88" i="19"/>
  <c r="AI88" i="19"/>
  <c r="S11" i="19"/>
  <c r="CC11" i="19"/>
  <c r="CL11" i="19"/>
  <c r="CU11" i="19"/>
  <c r="DD11" i="19"/>
  <c r="N75" i="19"/>
  <c r="BY12" i="19"/>
  <c r="CH12" i="19"/>
  <c r="CQ12" i="19"/>
  <c r="CZ12" i="19"/>
  <c r="DI12" i="19"/>
  <c r="V13" i="19"/>
  <c r="AH67" i="19"/>
  <c r="CA13" i="19"/>
  <c r="AP67" i="19"/>
  <c r="CI13" i="19"/>
  <c r="BV13" i="19"/>
  <c r="CN13" i="19"/>
  <c r="CW13" i="19"/>
  <c r="DF13" i="19"/>
  <c r="AG72" i="19"/>
  <c r="DC15" i="19"/>
  <c r="CU15" i="19"/>
  <c r="CM15" i="19"/>
  <c r="CE15" i="19"/>
  <c r="V15" i="19"/>
  <c r="BT15" i="19"/>
  <c r="CL15" i="19"/>
  <c r="CV15" i="19"/>
  <c r="DE15" i="19"/>
  <c r="S16" i="19"/>
  <c r="CF16" i="19"/>
  <c r="CO16" i="19"/>
  <c r="CX16" i="19"/>
  <c r="DG16" i="19"/>
  <c r="S17" i="19"/>
  <c r="CH17" i="19"/>
  <c r="CQ17" i="19"/>
  <c r="CZ17" i="19"/>
  <c r="DI17" i="19"/>
  <c r="BW18" i="19"/>
  <c r="CO18" i="19"/>
  <c r="CX18" i="19"/>
  <c r="DH18" i="19"/>
  <c r="CS20" i="19"/>
  <c r="DB20" i="19"/>
  <c r="AH83" i="19"/>
  <c r="AP83" i="19"/>
  <c r="AX83" i="19"/>
  <c r="AX55" i="19"/>
  <c r="CN21" i="19"/>
  <c r="CE22" i="19"/>
  <c r="CN22" i="19"/>
  <c r="CW22" i="19"/>
  <c r="DF22" i="19"/>
  <c r="V23" i="19"/>
  <c r="BS23" i="19"/>
  <c r="CB23" i="19"/>
  <c r="CK23" i="19"/>
  <c r="CT23" i="19"/>
  <c r="DC23" i="19"/>
  <c r="P24" i="19"/>
  <c r="CO24" i="19"/>
  <c r="CY24" i="19"/>
  <c r="DH24" i="19"/>
  <c r="BR25" i="19"/>
  <c r="CA25" i="19"/>
  <c r="CT25" i="19"/>
  <c r="DE25" i="19"/>
  <c r="U61" i="19"/>
  <c r="BR26" i="19"/>
  <c r="CB26" i="19"/>
  <c r="CM26" i="19"/>
  <c r="CX26" i="19"/>
  <c r="DH26" i="19"/>
  <c r="P27" i="19"/>
  <c r="BT27" i="19"/>
  <c r="CD27" i="19"/>
  <c r="CO27" i="19"/>
  <c r="CZ27" i="19"/>
  <c r="CB28" i="19"/>
  <c r="BS29" i="19"/>
  <c r="CA30" i="19"/>
  <c r="BY31" i="19"/>
  <c r="CJ31" i="19"/>
  <c r="CT31" i="19"/>
  <c r="DE31" i="19"/>
  <c r="BY33" i="19"/>
  <c r="CK33" i="19"/>
  <c r="CY33" i="19"/>
  <c r="BY34" i="19"/>
  <c r="CK34" i="19"/>
  <c r="CX34" i="19"/>
  <c r="BE110" i="19" a="1"/>
  <c r="BE110" i="19" s="1"/>
  <c r="BE107" i="19" a="1"/>
  <c r="BE107" i="19" s="1"/>
  <c r="BE95" i="19" a="1"/>
  <c r="BE95" i="19" s="1"/>
  <c r="BE56" i="19"/>
  <c r="BE55" i="19"/>
  <c r="BE84" i="19" a="1"/>
  <c r="BE84" i="19" s="1"/>
  <c r="BE92" i="19" a="1"/>
  <c r="BE92" i="19" s="1"/>
  <c r="BE68" i="19" a="1"/>
  <c r="BE68" i="19" s="1"/>
  <c r="BE67" i="19"/>
  <c r="BE76" i="19" a="1"/>
  <c r="BE76" i="19" s="1"/>
  <c r="BE73" i="19" a="1"/>
  <c r="BE73" i="19" s="1"/>
  <c r="BE59" i="19" a="1"/>
  <c r="BE59" i="19" s="1"/>
  <c r="BR35" i="19"/>
  <c r="CX35" i="19"/>
  <c r="P36" i="19"/>
  <c r="CG36" i="19"/>
  <c r="BW36" i="19"/>
  <c r="CM36" i="19"/>
  <c r="DC36" i="19"/>
  <c r="DC37" i="19"/>
  <c r="BV38" i="19"/>
  <c r="AR59" i="19" a="1"/>
  <c r="AR59" i="19" s="1"/>
  <c r="AD62" i="19" a="1"/>
  <c r="AD62" i="19" s="1"/>
  <c r="BZ8" i="19"/>
  <c r="BT16" i="19"/>
  <c r="DE16" i="19"/>
  <c r="CE27" i="19"/>
  <c r="BZ49" i="19"/>
  <c r="BS53" i="19"/>
  <c r="CB53" i="19"/>
  <c r="P8" i="19"/>
  <c r="CA8" i="19"/>
  <c r="CS8" i="19"/>
  <c r="CA11" i="19"/>
  <c r="CT11" i="19"/>
  <c r="DC11" i="19"/>
  <c r="DH12" i="19"/>
  <c r="AN72" i="19"/>
  <c r="CN16" i="19"/>
  <c r="DF16" i="19"/>
  <c r="DN60" i="19"/>
  <c r="DW60" i="19"/>
  <c r="I16" i="23" a="1"/>
  <c r="I16" i="23" s="1"/>
  <c r="I19" i="23" a="1"/>
  <c r="I19" i="23" s="1"/>
  <c r="I14" i="23" a="1"/>
  <c r="I14" i="23" s="1"/>
  <c r="I17" i="23" a="1"/>
  <c r="I17" i="23" s="1"/>
  <c r="I9" i="23" a="1"/>
  <c r="I9" i="23" s="1"/>
  <c r="I20" i="23" a="1"/>
  <c r="I20" i="23" s="1"/>
  <c r="I18" i="23" a="1"/>
  <c r="I18" i="23" s="1"/>
  <c r="I10" i="23" a="1"/>
  <c r="I10" i="23" s="1"/>
  <c r="I21" i="23" a="1"/>
  <c r="I21" i="23" s="1"/>
  <c r="I13" i="23" a="1"/>
  <c r="I13" i="23" s="1"/>
  <c r="I6" i="23" a="1"/>
  <c r="I6" i="23" s="1"/>
  <c r="H16" i="23"/>
  <c r="I15" i="23" a="1"/>
  <c r="I15" i="23" s="1"/>
  <c r="I11" i="23" a="1"/>
  <c r="I11" i="23" s="1"/>
  <c r="I12" i="23" a="1"/>
  <c r="I12" i="23" s="1"/>
  <c r="I8" i="23" a="1"/>
  <c r="I8" i="23" s="1"/>
  <c r="I7" i="23" a="1"/>
  <c r="I7" i="23" s="1"/>
  <c r="M110" i="19" a="1"/>
  <c r="M110" i="19" s="1"/>
  <c r="M107" i="19" a="1"/>
  <c r="M107" i="19" s="1"/>
  <c r="M94" i="19"/>
  <c r="M95" i="19" a="1"/>
  <c r="M95" i="19" s="1"/>
  <c r="M92" i="19" a="1"/>
  <c r="M92" i="19" s="1"/>
  <c r="M89" i="19" a="1"/>
  <c r="M89" i="19" s="1"/>
  <c r="M65" i="19" a="1"/>
  <c r="M65" i="19" s="1"/>
  <c r="M81" i="19" a="1"/>
  <c r="M81" i="19" s="1"/>
  <c r="M55" i="19"/>
  <c r="M56" i="19"/>
  <c r="AC110" i="19" a="1"/>
  <c r="AC110" i="19" s="1"/>
  <c r="AC107" i="19" a="1"/>
  <c r="AC107" i="19" s="1"/>
  <c r="AC95" i="19" a="1"/>
  <c r="AC95" i="19" s="1"/>
  <c r="AC76" i="19" a="1"/>
  <c r="AC76" i="19" s="1"/>
  <c r="AC92" i="19" a="1"/>
  <c r="AC92" i="19" s="1"/>
  <c r="AC84" i="19" a="1"/>
  <c r="AC84" i="19" s="1"/>
  <c r="AC65" i="19" a="1"/>
  <c r="AC65" i="19" s="1"/>
  <c r="AC56" i="19"/>
  <c r="AC62" i="19" a="1"/>
  <c r="AC62" i="19" s="1"/>
  <c r="AC68" i="19" a="1"/>
  <c r="AC68" i="19" s="1"/>
  <c r="AC59" i="19" a="1"/>
  <c r="AC59" i="19" s="1"/>
  <c r="AC55" i="19"/>
  <c r="AK107" i="19" a="1"/>
  <c r="AK107" i="19" s="1"/>
  <c r="AK94" i="19"/>
  <c r="AK92" i="19" a="1"/>
  <c r="AK92" i="19" s="1"/>
  <c r="AK76" i="19" a="1"/>
  <c r="AK76" i="19" s="1"/>
  <c r="AK84" i="19" a="1"/>
  <c r="AK84" i="19" s="1"/>
  <c r="AK68" i="19" a="1"/>
  <c r="AK68" i="19" s="1"/>
  <c r="AK81" i="19" a="1"/>
  <c r="AK81" i="19" s="1"/>
  <c r="AK95" i="19" a="1"/>
  <c r="AK95" i="19" s="1"/>
  <c r="AK65" i="19" a="1"/>
  <c r="AK65" i="19" s="1"/>
  <c r="AK56" i="19"/>
  <c r="AK55" i="19"/>
  <c r="AS110" i="19" a="1"/>
  <c r="AS110" i="19" s="1"/>
  <c r="AS94" i="19"/>
  <c r="AS107" i="19" a="1"/>
  <c r="AS107" i="19" s="1"/>
  <c r="AS95" i="19" a="1"/>
  <c r="AS95" i="19" s="1"/>
  <c r="AS84" i="19" a="1"/>
  <c r="AS84" i="19" s="1"/>
  <c r="AS104" i="19" a="1"/>
  <c r="AS104" i="19" s="1"/>
  <c r="AS76" i="19" a="1"/>
  <c r="AS76" i="19" s="1"/>
  <c r="AS81" i="19" a="1"/>
  <c r="AS81" i="19" s="1"/>
  <c r="AS68" i="19" a="1"/>
  <c r="AS68" i="19" s="1"/>
  <c r="AS55" i="19"/>
  <c r="AS56" i="19"/>
  <c r="AS62" i="19" a="1"/>
  <c r="AS62" i="19" s="1"/>
  <c r="AY110" i="19" a="1"/>
  <c r="AY110" i="19" s="1"/>
  <c r="AY89" i="19" a="1"/>
  <c r="AY89" i="19" s="1"/>
  <c r="AY76" i="19" a="1"/>
  <c r="AY76" i="19" s="1"/>
  <c r="AY92" i="19" a="1"/>
  <c r="AY92" i="19" s="1"/>
  <c r="AY68" i="19" a="1"/>
  <c r="AY68" i="19" s="1"/>
  <c r="AY84" i="19" a="1"/>
  <c r="AY84" i="19" s="1"/>
  <c r="AY55" i="19"/>
  <c r="CR6" i="19"/>
  <c r="V7" i="19"/>
  <c r="CV7" i="19"/>
  <c r="CK8" i="19"/>
  <c r="CT8" i="19"/>
  <c r="DC8" i="19"/>
  <c r="BS4" i="19"/>
  <c r="DO60" i="19"/>
  <c r="N107" i="19" a="1"/>
  <c r="N107" i="19" s="1"/>
  <c r="N94" i="19"/>
  <c r="N68" i="19" a="1"/>
  <c r="N68" i="19" s="1"/>
  <c r="N92" i="19" a="1"/>
  <c r="N92" i="19" s="1"/>
  <c r="N101" i="19" a="1"/>
  <c r="N101" i="19" s="1"/>
  <c r="N110" i="19" a="1"/>
  <c r="N110" i="19" s="1"/>
  <c r="N89" i="19" a="1"/>
  <c r="N89" i="19" s="1"/>
  <c r="N76" i="19" a="1"/>
  <c r="N76" i="19" s="1"/>
  <c r="N84" i="19" a="1"/>
  <c r="N84" i="19" s="1"/>
  <c r="N55" i="19"/>
  <c r="N56" i="19"/>
  <c r="N59" i="19" a="1"/>
  <c r="N59" i="19" s="1"/>
  <c r="H15" i="23"/>
  <c r="M91" i="19"/>
  <c r="DD6" i="19"/>
  <c r="CV6" i="19"/>
  <c r="V6" i="19"/>
  <c r="AB91" i="19"/>
  <c r="AJ91" i="19"/>
  <c r="AR91" i="19"/>
  <c r="BR6" i="19"/>
  <c r="CA6" i="19"/>
  <c r="CS6" i="19"/>
  <c r="DB6" i="19"/>
  <c r="CW7" i="19"/>
  <c r="BT8" i="19"/>
  <c r="CL8" i="19"/>
  <c r="CU8" i="19"/>
  <c r="DE8" i="19"/>
  <c r="P9" i="19"/>
  <c r="CH9" i="19"/>
  <c r="CR9" i="19"/>
  <c r="DA9" i="19"/>
  <c r="AB88" i="19"/>
  <c r="AJ88" i="19"/>
  <c r="BU10" i="19"/>
  <c r="CM11" i="19"/>
  <c r="CV11" i="19"/>
  <c r="DE11" i="19"/>
  <c r="O12" i="19"/>
  <c r="AC75" i="19"/>
  <c r="AK75" i="19"/>
  <c r="AS75" i="19"/>
  <c r="CI12" i="19"/>
  <c r="CR12" i="19"/>
  <c r="Z67" i="19"/>
  <c r="BS13" i="19"/>
  <c r="CO13" i="19"/>
  <c r="CX13" i="19"/>
  <c r="CB14" i="19"/>
  <c r="P15" i="19"/>
  <c r="CD15" i="19"/>
  <c r="CN15" i="19"/>
  <c r="CW15" i="19"/>
  <c r="DF15" i="19"/>
  <c r="CG16" i="19"/>
  <c r="CP16" i="19"/>
  <c r="CY16" i="19"/>
  <c r="DH16" i="19"/>
  <c r="CI17" i="19"/>
  <c r="CR17" i="19"/>
  <c r="DA17" i="19"/>
  <c r="CP18" i="19"/>
  <c r="CZ18" i="19"/>
  <c r="O20" i="19"/>
  <c r="R20" i="19" s="1"/>
  <c r="BR20" i="19"/>
  <c r="CT20" i="19"/>
  <c r="DC20" i="19"/>
  <c r="CF21" i="19"/>
  <c r="CO21" i="19"/>
  <c r="S22" i="19"/>
  <c r="BW22" i="19"/>
  <c r="CO22" i="19"/>
  <c r="CX22" i="19"/>
  <c r="DG22" i="19"/>
  <c r="BT23" i="19"/>
  <c r="CL23" i="19"/>
  <c r="CU23" i="19"/>
  <c r="DE23" i="19"/>
  <c r="DE72" i="19" s="1"/>
  <c r="S24" i="19"/>
  <c r="CQ24" i="19"/>
  <c r="CZ24" i="19"/>
  <c r="CZ72" i="19" s="1"/>
  <c r="DI24" i="19"/>
  <c r="S25" i="19"/>
  <c r="CU25" i="19"/>
  <c r="DF25" i="19"/>
  <c r="V26" i="19"/>
  <c r="AH61" i="19"/>
  <c r="BS26" i="19"/>
  <c r="CD26" i="19"/>
  <c r="CN26" i="19"/>
  <c r="CY26" i="19"/>
  <c r="BU27" i="19"/>
  <c r="CF27" i="19"/>
  <c r="CP27" i="19"/>
  <c r="DA27" i="19"/>
  <c r="BV29" i="19"/>
  <c r="BY30" i="19"/>
  <c r="CM30" i="19"/>
  <c r="BZ31" i="19"/>
  <c r="CK31" i="19"/>
  <c r="CV31" i="19"/>
  <c r="DF31" i="19"/>
  <c r="CA33" i="19"/>
  <c r="CA83" i="19" s="1"/>
  <c r="CM33" i="19"/>
  <c r="CZ33" i="19"/>
  <c r="BZ34" i="19"/>
  <c r="CM34" i="19"/>
  <c r="CY34" i="19"/>
  <c r="V35" i="19"/>
  <c r="BF110" i="19" a="1"/>
  <c r="BF110" i="19" s="1"/>
  <c r="BF107" i="19" a="1"/>
  <c r="BF107" i="19" s="1"/>
  <c r="BF101" i="19" a="1"/>
  <c r="BF101" i="19" s="1"/>
  <c r="BF92" i="19" a="1"/>
  <c r="BF92" i="19" s="1"/>
  <c r="BF65" i="19" a="1"/>
  <c r="BF65" i="19" s="1"/>
  <c r="BF95" i="19" a="1"/>
  <c r="BF95" i="19" s="1"/>
  <c r="BF73" i="19" a="1"/>
  <c r="BF73" i="19" s="1"/>
  <c r="BF56" i="19"/>
  <c r="BF67" i="19"/>
  <c r="BF55" i="19"/>
  <c r="CY35" i="19"/>
  <c r="BX36" i="19"/>
  <c r="CN36" i="19"/>
  <c r="DD36" i="19"/>
  <c r="BU46" i="19"/>
  <c r="CC46" i="19"/>
  <c r="CC47" i="19"/>
  <c r="BW48" i="19"/>
  <c r="CE48" i="19"/>
  <c r="BW52" i="19"/>
  <c r="CE52" i="19"/>
  <c r="AJ55" i="19"/>
  <c r="AL62" i="19" a="1"/>
  <c r="AL62" i="19" s="1"/>
  <c r="Z64" i="19"/>
  <c r="Z95" i="19" a="1"/>
  <c r="Z95" i="19" s="1"/>
  <c r="Z92" i="19" a="1"/>
  <c r="Z92" i="19" s="1"/>
  <c r="Z94" i="19"/>
  <c r="Z73" i="19" a="1"/>
  <c r="Z73" i="19" s="1"/>
  <c r="Z55" i="19"/>
  <c r="Z56" i="19"/>
  <c r="Z65" i="19" a="1"/>
  <c r="Z65" i="19" s="1"/>
  <c r="Z62" i="19" a="1"/>
  <c r="Z62" i="19" s="1"/>
  <c r="AN56" i="19"/>
  <c r="BR8" i="19"/>
  <c r="CJ8" i="19"/>
  <c r="AH88" i="19"/>
  <c r="BR11" i="19"/>
  <c r="H11" i="23"/>
  <c r="M75" i="19"/>
  <c r="DD12" i="19"/>
  <c r="CV12" i="19"/>
  <c r="CN12" i="19"/>
  <c r="CG12" i="19"/>
  <c r="CY12" i="19"/>
  <c r="CY75" i="19" s="1"/>
  <c r="AE110" i="19" a="1"/>
  <c r="AE110" i="19" s="1"/>
  <c r="AE84" i="19" a="1"/>
  <c r="AE84" i="19" s="1"/>
  <c r="AE68" i="19" a="1"/>
  <c r="AE68" i="19" s="1"/>
  <c r="AE94" i="19"/>
  <c r="AE76" i="19" a="1"/>
  <c r="AE76" i="19" s="1"/>
  <c r="AE59" i="19" a="1"/>
  <c r="AE59" i="19" s="1"/>
  <c r="AE89" i="19" a="1"/>
  <c r="AE89" i="19" s="1"/>
  <c r="AE55" i="19"/>
  <c r="AE62" i="19" a="1"/>
  <c r="AE62" i="19" s="1"/>
  <c r="AE56" i="19"/>
  <c r="AM107" i="19" a="1"/>
  <c r="AM107" i="19" s="1"/>
  <c r="AM110" i="19" a="1"/>
  <c r="AM110" i="19" s="1"/>
  <c r="AM89" i="19" a="1"/>
  <c r="AM89" i="19" s="1"/>
  <c r="AM94" i="19"/>
  <c r="AM84" i="19" a="1"/>
  <c r="AM84" i="19" s="1"/>
  <c r="AM92" i="19" a="1"/>
  <c r="AM92" i="19" s="1"/>
  <c r="AM68" i="19" a="1"/>
  <c r="AM68" i="19" s="1"/>
  <c r="AM56" i="19"/>
  <c r="AM76" i="19" a="1"/>
  <c r="AM76" i="19" s="1"/>
  <c r="AM55" i="19"/>
  <c r="AM62" i="19" a="1"/>
  <c r="AM62" i="19" s="1"/>
  <c r="AM59" i="19" a="1"/>
  <c r="AM59" i="19" s="1"/>
  <c r="BT94" i="19"/>
  <c r="CU94" i="19"/>
  <c r="DD94" i="19"/>
  <c r="N91" i="19"/>
  <c r="AC91" i="19"/>
  <c r="AK91" i="19"/>
  <c r="AS91" i="19"/>
  <c r="DF7" i="19"/>
  <c r="CX7" i="19"/>
  <c r="CP7" i="19"/>
  <c r="BR7" i="19"/>
  <c r="S7" i="19"/>
  <c r="CO7" i="19"/>
  <c r="CY7" i="19"/>
  <c r="DH7" i="19"/>
  <c r="V8" i="19"/>
  <c r="BU8" i="19"/>
  <c r="CD8" i="19"/>
  <c r="CM8" i="19"/>
  <c r="CW8" i="19"/>
  <c r="DF8" i="19"/>
  <c r="BZ9" i="19"/>
  <c r="CB11" i="19"/>
  <c r="CN11" i="19"/>
  <c r="CW11" i="19"/>
  <c r="DF11" i="19"/>
  <c r="P12" i="19"/>
  <c r="P75" i="19" s="1"/>
  <c r="AD75" i="19"/>
  <c r="AL75" i="19"/>
  <c r="BR12" i="19"/>
  <c r="CA12" i="19"/>
  <c r="CS12" i="19"/>
  <c r="DB12" i="19"/>
  <c r="H9" i="23"/>
  <c r="M67" i="19"/>
  <c r="DG13" i="19"/>
  <c r="CY13" i="19"/>
  <c r="CQ13" i="19"/>
  <c r="S13" i="19"/>
  <c r="AB67" i="19"/>
  <c r="AJ67" i="19"/>
  <c r="AR67" i="19"/>
  <c r="CG13" i="19"/>
  <c r="CP13" i="19"/>
  <c r="CZ13" i="19"/>
  <c r="DI13" i="19"/>
  <c r="Z72" i="19"/>
  <c r="CH16" i="19"/>
  <c r="CQ16" i="19"/>
  <c r="CZ16" i="19"/>
  <c r="DI16" i="19"/>
  <c r="V17" i="19"/>
  <c r="BR17" i="19"/>
  <c r="CA17" i="19"/>
  <c r="CJ17" i="19"/>
  <c r="CS17" i="19"/>
  <c r="DB17" i="19"/>
  <c r="DG18" i="19"/>
  <c r="CY18" i="19"/>
  <c r="CQ18" i="19"/>
  <c r="CI18" i="19"/>
  <c r="V18" i="19"/>
  <c r="CH18" i="19"/>
  <c r="CR18" i="19"/>
  <c r="DA18" i="19"/>
  <c r="P20" i="19"/>
  <c r="BT20" i="19"/>
  <c r="CL20" i="19"/>
  <c r="CU20" i="19"/>
  <c r="DD20" i="19"/>
  <c r="N83" i="19"/>
  <c r="AB83" i="19"/>
  <c r="AJ83" i="19"/>
  <c r="AZ110" i="19" a="1"/>
  <c r="AZ110" i="19" s="1"/>
  <c r="AZ107" i="19" a="1"/>
  <c r="AZ107" i="19" s="1"/>
  <c r="AZ89" i="19" a="1"/>
  <c r="AZ89" i="19" s="1"/>
  <c r="AZ83" i="19"/>
  <c r="AZ76" i="19" a="1"/>
  <c r="AZ76" i="19" s="1"/>
  <c r="AZ95" i="19" a="1"/>
  <c r="AZ95" i="19" s="1"/>
  <c r="AZ84" i="19" a="1"/>
  <c r="AZ84" i="19" s="1"/>
  <c r="AZ68" i="19" a="1"/>
  <c r="AZ68" i="19" s="1"/>
  <c r="AZ56" i="19"/>
  <c r="AZ55" i="19"/>
  <c r="BX21" i="19"/>
  <c r="CG21" i="19"/>
  <c r="CP21" i="19"/>
  <c r="BX22" i="19"/>
  <c r="CG22" i="19"/>
  <c r="CP22" i="19"/>
  <c r="CY22" i="19"/>
  <c r="DI22" i="19"/>
  <c r="DI83" i="19" s="1"/>
  <c r="CM23" i="19"/>
  <c r="CW23" i="19"/>
  <c r="DF23" i="19"/>
  <c r="BZ24" i="19"/>
  <c r="CH24" i="19"/>
  <c r="BY24" i="19"/>
  <c r="CI24" i="19"/>
  <c r="CR24" i="19"/>
  <c r="DA24" i="19"/>
  <c r="CW25" i="19"/>
  <c r="BT26" i="19"/>
  <c r="CE26" i="19"/>
  <c r="CP26" i="19"/>
  <c r="V27" i="19"/>
  <c r="CA27" i="19"/>
  <c r="BV27" i="19"/>
  <c r="CG27" i="19"/>
  <c r="CR27" i="19"/>
  <c r="DB27" i="19"/>
  <c r="BX29" i="19"/>
  <c r="BW31" i="19"/>
  <c r="CE31" i="19"/>
  <c r="CB31" i="19"/>
  <c r="CL31" i="19"/>
  <c r="CW31" i="19"/>
  <c r="CB33" i="19"/>
  <c r="CO34" i="19"/>
  <c r="BG110" i="19" a="1"/>
  <c r="BG110" i="19" s="1"/>
  <c r="BG107" i="19" a="1"/>
  <c r="BG107" i="19" s="1"/>
  <c r="BG92" i="19" a="1"/>
  <c r="BG92" i="19" s="1"/>
  <c r="BG84" i="19" a="1"/>
  <c r="BG84" i="19" s="1"/>
  <c r="BG89" i="19" a="1"/>
  <c r="BG89" i="19" s="1"/>
  <c r="BG76" i="19" a="1"/>
  <c r="BG76" i="19" s="1"/>
  <c r="BG68" i="19" a="1"/>
  <c r="BG68" i="19" s="1"/>
  <c r="BG56" i="19"/>
  <c r="BG55" i="19"/>
  <c r="BG62" i="19" a="1"/>
  <c r="BG62" i="19" s="1"/>
  <c r="BT35" i="19"/>
  <c r="CZ35" i="19"/>
  <c r="V36" i="19"/>
  <c r="CA36" i="19"/>
  <c r="CI36" i="19"/>
  <c r="BZ36" i="19"/>
  <c r="CP36" i="19"/>
  <c r="CC39" i="19"/>
  <c r="CQ94" i="19"/>
  <c r="CI8" i="19"/>
  <c r="DA8" i="19"/>
  <c r="CI11" i="19"/>
  <c r="CC16" i="19"/>
  <c r="CA31" i="19"/>
  <c r="DI36" i="19"/>
  <c r="DA36" i="19"/>
  <c r="CS36" i="19"/>
  <c r="DH36" i="19"/>
  <c r="CZ36" i="19"/>
  <c r="CR36" i="19"/>
  <c r="BT36" i="19"/>
  <c r="S36" i="19"/>
  <c r="DG36" i="19"/>
  <c r="CY36" i="19"/>
  <c r="CQ36" i="19"/>
  <c r="DE36" i="19"/>
  <c r="CW36" i="19"/>
  <c r="CO36" i="19"/>
  <c r="O36" i="19"/>
  <c r="R36" i="19" s="1"/>
  <c r="BR36" i="19"/>
  <c r="CB44" i="19"/>
  <c r="CV94" i="19"/>
  <c r="DE94" i="19"/>
  <c r="Z58" i="19"/>
  <c r="AI58" i="19"/>
  <c r="BV8" i="19"/>
  <c r="CE8" i="19"/>
  <c r="CO8" i="19"/>
  <c r="CX8" i="19"/>
  <c r="DG8" i="19"/>
  <c r="CB9" i="19"/>
  <c r="CG10" i="19"/>
  <c r="CO11" i="19"/>
  <c r="CX11" i="19"/>
  <c r="AE75" i="19"/>
  <c r="BX12" i="19"/>
  <c r="AM75" i="19"/>
  <c r="CF12" i="19"/>
  <c r="BS12" i="19"/>
  <c r="CB12" i="19"/>
  <c r="CK12" i="19"/>
  <c r="CT12" i="19"/>
  <c r="DC12" i="19"/>
  <c r="CH13" i="19"/>
  <c r="BU14" i="19"/>
  <c r="BU72" i="19" s="1"/>
  <c r="BZ16" i="19"/>
  <c r="CI16" i="19"/>
  <c r="CR16" i="19"/>
  <c r="DA16" i="19"/>
  <c r="BS17" i="19"/>
  <c r="CK17" i="19"/>
  <c r="CT17" i="19"/>
  <c r="S20" i="19"/>
  <c r="CD20" i="19"/>
  <c r="CD67" i="19" s="1"/>
  <c r="CM20" i="19"/>
  <c r="CV20" i="19"/>
  <c r="DE20" i="19"/>
  <c r="AC83" i="19"/>
  <c r="BV21" i="19"/>
  <c r="AK83" i="19"/>
  <c r="CD21" i="19"/>
  <c r="AS83" i="19"/>
  <c r="CL21" i="19"/>
  <c r="BA110" i="19" a="1"/>
  <c r="BA110" i="19" s="1"/>
  <c r="BA107" i="19" a="1"/>
  <c r="BA107" i="19" s="1"/>
  <c r="BA76" i="19" a="1"/>
  <c r="BA76" i="19" s="1"/>
  <c r="BA104" i="19" a="1"/>
  <c r="BA104" i="19" s="1"/>
  <c r="BA83" i="19"/>
  <c r="BA92" i="19" a="1"/>
  <c r="BA92" i="19" s="1"/>
  <c r="BA84" i="19" a="1"/>
  <c r="BA84" i="19" s="1"/>
  <c r="BA65" i="19" a="1"/>
  <c r="BA65" i="19" s="1"/>
  <c r="BA68" i="19" a="1"/>
  <c r="BA68" i="19" s="1"/>
  <c r="BA55" i="19"/>
  <c r="BA59" i="19" a="1"/>
  <c r="BA59" i="19" s="1"/>
  <c r="CT21" i="19"/>
  <c r="BA56" i="19"/>
  <c r="BY21" i="19"/>
  <c r="CH21" i="19"/>
  <c r="BY22" i="19"/>
  <c r="CH22" i="19"/>
  <c r="CQ22" i="19"/>
  <c r="DA22" i="19"/>
  <c r="CE23" i="19"/>
  <c r="CO23" i="19"/>
  <c r="CX23" i="19"/>
  <c r="CX72" i="19" s="1"/>
  <c r="DG23" i="19"/>
  <c r="V24" i="19"/>
  <c r="CJ24" i="19"/>
  <c r="CS24" i="19"/>
  <c r="DB24" i="19"/>
  <c r="CB25" i="19"/>
  <c r="H7" i="23"/>
  <c r="DE26" i="19"/>
  <c r="CW26" i="19"/>
  <c r="CO26" i="19"/>
  <c r="S26" i="19"/>
  <c r="M61" i="19"/>
  <c r="DI26" i="19"/>
  <c r="DA26" i="19"/>
  <c r="CS26" i="19"/>
  <c r="CK26" i="19"/>
  <c r="CC26" i="19"/>
  <c r="BV26" i="19"/>
  <c r="CF26" i="19"/>
  <c r="CQ26" i="19"/>
  <c r="DB26" i="19"/>
  <c r="BS27" i="19"/>
  <c r="BX27" i="19"/>
  <c r="CH27" i="19"/>
  <c r="CS27" i="19"/>
  <c r="DD27" i="19"/>
  <c r="BS28" i="19"/>
  <c r="DC31" i="19"/>
  <c r="CU31" i="19"/>
  <c r="CM31" i="19"/>
  <c r="DG31" i="19"/>
  <c r="CY31" i="19"/>
  <c r="CQ31" i="19"/>
  <c r="CI31" i="19"/>
  <c r="S31" i="19"/>
  <c r="BR31" i="19"/>
  <c r="CC31" i="19"/>
  <c r="CN31" i="19"/>
  <c r="CX31" i="19"/>
  <c r="DI31" i="19"/>
  <c r="BV32" i="19"/>
  <c r="CD32" i="19"/>
  <c r="DF33" i="19"/>
  <c r="CX33" i="19"/>
  <c r="BR33" i="19"/>
  <c r="P33" i="19"/>
  <c r="DD33" i="19"/>
  <c r="CV33" i="19"/>
  <c r="DB33" i="19"/>
  <c r="V33" i="19"/>
  <c r="BV33" i="19"/>
  <c r="CD33" i="19"/>
  <c r="CL33" i="19"/>
  <c r="CT33" i="19"/>
  <c r="CC33" i="19"/>
  <c r="CQ33" i="19"/>
  <c r="DC33" i="19"/>
  <c r="DD34" i="19"/>
  <c r="CV34" i="19"/>
  <c r="CN34" i="19"/>
  <c r="CF34" i="19"/>
  <c r="DB34" i="19"/>
  <c r="CT34" i="19"/>
  <c r="CL34" i="19"/>
  <c r="CD34" i="19"/>
  <c r="BV34" i="19"/>
  <c r="DH34" i="19"/>
  <c r="CZ34" i="19"/>
  <c r="CR34" i="19"/>
  <c r="CJ34" i="19"/>
  <c r="BT34" i="19"/>
  <c r="CC34" i="19"/>
  <c r="CP34" i="19"/>
  <c r="DC34" i="19"/>
  <c r="BU35" i="19"/>
  <c r="CC35" i="19"/>
  <c r="CK35" i="19"/>
  <c r="BS36" i="19"/>
  <c r="CB36" i="19"/>
  <c r="AQ61" i="19"/>
  <c r="CJ36" i="19"/>
  <c r="CD36" i="19"/>
  <c r="CT36" i="19"/>
  <c r="CA40" i="19"/>
  <c r="BD55" i="19"/>
  <c r="AY62" i="19" a="1"/>
  <c r="AY62" i="19" s="1"/>
  <c r="AB81" i="19" a="1"/>
  <c r="AB81" i="19" s="1"/>
  <c r="AW110" i="19" a="1"/>
  <c r="AW110" i="19" s="1"/>
  <c r="AW95" i="19" a="1"/>
  <c r="AW95" i="19" s="1"/>
  <c r="AW107" i="19" a="1"/>
  <c r="AW107" i="19" s="1"/>
  <c r="AW56" i="19"/>
  <c r="AW55" i="19"/>
  <c r="AW92" i="19" a="1"/>
  <c r="AW92" i="19" s="1"/>
  <c r="AW84" i="19" a="1"/>
  <c r="AW84" i="19" s="1"/>
  <c r="AW91" i="19"/>
  <c r="AW68" i="19" a="1"/>
  <c r="AW68" i="19" s="1"/>
  <c r="AW76" i="19" a="1"/>
  <c r="AW76" i="19" s="1"/>
  <c r="AW73" i="19" a="1"/>
  <c r="AW73" i="19" s="1"/>
  <c r="AW59" i="19" a="1"/>
  <c r="AW59" i="19" s="1"/>
  <c r="AW62" i="19" a="1"/>
  <c r="AW62" i="19" s="1"/>
  <c r="AW65" i="19" a="1"/>
  <c r="AW65" i="19" s="1"/>
  <c r="H12" i="23"/>
  <c r="DH11" i="19"/>
  <c r="CZ11" i="19"/>
  <c r="CR11" i="19"/>
  <c r="CJ11" i="19"/>
  <c r="CJ80" i="19" s="1"/>
  <c r="BT11" i="19"/>
  <c r="V11" i="19"/>
  <c r="BW27" i="19"/>
  <c r="J16" i="23"/>
  <c r="AF107" i="19" a="1"/>
  <c r="AF107" i="19" s="1"/>
  <c r="AF84" i="19" a="1"/>
  <c r="AF84" i="19" s="1"/>
  <c r="AF68" i="19" a="1"/>
  <c r="AF68" i="19" s="1"/>
  <c r="AF95" i="19" a="1"/>
  <c r="AF95" i="19" s="1"/>
  <c r="AF89" i="19" a="1"/>
  <c r="AF89" i="19" s="1"/>
  <c r="AF94" i="19"/>
  <c r="AF76" i="19" a="1"/>
  <c r="AF76" i="19" s="1"/>
  <c r="AF73" i="19" a="1"/>
  <c r="AF73" i="19" s="1"/>
  <c r="AF55" i="19"/>
  <c r="AF56" i="19"/>
  <c r="AF65" i="19" a="1"/>
  <c r="AF65" i="19" s="1"/>
  <c r="AN110" i="19" a="1"/>
  <c r="AN110" i="19" s="1"/>
  <c r="AN94" i="19"/>
  <c r="AN95" i="19" a="1"/>
  <c r="AN95" i="19" s="1"/>
  <c r="AN107" i="19" a="1"/>
  <c r="AN107" i="19" s="1"/>
  <c r="AN84" i="19" a="1"/>
  <c r="AN84" i="19" s="1"/>
  <c r="AN68" i="19" a="1"/>
  <c r="AN68" i="19" s="1"/>
  <c r="AN89" i="19" a="1"/>
  <c r="AN89" i="19" s="1"/>
  <c r="AN76" i="19" a="1"/>
  <c r="AN76" i="19" s="1"/>
  <c r="AN73" i="19" a="1"/>
  <c r="AN73" i="19" s="1"/>
  <c r="AN55" i="19"/>
  <c r="AN59" i="19" a="1"/>
  <c r="AN59" i="19" s="1"/>
  <c r="AN104" i="19" a="1"/>
  <c r="AN104" i="19" s="1"/>
  <c r="BU94" i="19"/>
  <c r="CM94" i="19"/>
  <c r="AT95" i="19" a="1"/>
  <c r="AT95" i="19" s="1"/>
  <c r="AT110" i="19" a="1"/>
  <c r="AT110" i="19" s="1"/>
  <c r="AT92" i="19" a="1"/>
  <c r="AT92" i="19" s="1"/>
  <c r="AT89" i="19" a="1"/>
  <c r="AT89" i="19" s="1"/>
  <c r="AT107" i="19" a="1"/>
  <c r="AT107" i="19" s="1"/>
  <c r="AT91" i="19"/>
  <c r="AT56" i="19"/>
  <c r="AT81" i="19" a="1"/>
  <c r="AT81" i="19" s="1"/>
  <c r="U110" i="19" a="1"/>
  <c r="U110" i="19" s="1"/>
  <c r="U95" i="19" a="1"/>
  <c r="U95" i="19" s="1"/>
  <c r="U107" i="19" a="1"/>
  <c r="U107" i="19" s="1"/>
  <c r="U94" i="19"/>
  <c r="U81" i="19" a="1"/>
  <c r="U81" i="19" s="1"/>
  <c r="U89" i="19" a="1"/>
  <c r="U89" i="19" s="1"/>
  <c r="U62" i="19" a="1"/>
  <c r="U62" i="19" s="1"/>
  <c r="U55" i="19"/>
  <c r="AG110" i="19" a="1"/>
  <c r="AG110" i="19" s="1"/>
  <c r="AG95" i="19" a="1"/>
  <c r="AG95" i="19" s="1"/>
  <c r="AG92" i="19" a="1"/>
  <c r="AG92" i="19" s="1"/>
  <c r="AG68" i="19" a="1"/>
  <c r="AG68" i="19" s="1"/>
  <c r="AG56" i="19"/>
  <c r="AG55" i="19"/>
  <c r="AG104" i="19" a="1"/>
  <c r="AG104" i="19" s="1"/>
  <c r="AG76" i="19" a="1"/>
  <c r="AG76" i="19" s="1"/>
  <c r="AG84" i="19" a="1"/>
  <c r="AG84" i="19" s="1"/>
  <c r="AG73" i="19" a="1"/>
  <c r="AG73" i="19" s="1"/>
  <c r="AG62" i="19" a="1"/>
  <c r="AG62" i="19" s="1"/>
  <c r="AG59" i="19" a="1"/>
  <c r="AG59" i="19" s="1"/>
  <c r="AO95" i="19" a="1"/>
  <c r="AO95" i="19" s="1"/>
  <c r="AO84" i="19" a="1"/>
  <c r="AO84" i="19" s="1"/>
  <c r="AO56" i="19"/>
  <c r="AO55" i="19"/>
  <c r="AO68" i="19" a="1"/>
  <c r="AO68" i="19" s="1"/>
  <c r="AO92" i="19" a="1"/>
  <c r="AO92" i="19" s="1"/>
  <c r="AO107" i="19" a="1"/>
  <c r="AO107" i="19" s="1"/>
  <c r="AO76" i="19" a="1"/>
  <c r="AO76" i="19" s="1"/>
  <c r="AO73" i="19" a="1"/>
  <c r="AO73" i="19" s="1"/>
  <c r="AO59" i="19" a="1"/>
  <c r="AO59" i="19" s="1"/>
  <c r="CE94" i="19"/>
  <c r="CN94" i="19"/>
  <c r="DG94" i="19"/>
  <c r="AE91" i="19"/>
  <c r="BX6" i="19"/>
  <c r="AM91" i="19"/>
  <c r="CF6" i="19"/>
  <c r="AU110" i="19" a="1"/>
  <c r="AU110" i="19" s="1"/>
  <c r="AU68" i="19" a="1"/>
  <c r="AU68" i="19" s="1"/>
  <c r="AU92" i="19" a="1"/>
  <c r="AU92" i="19" s="1"/>
  <c r="AU89" i="19" a="1"/>
  <c r="AU89" i="19" s="1"/>
  <c r="AU76" i="19" a="1"/>
  <c r="AU76" i="19" s="1"/>
  <c r="AU91" i="19"/>
  <c r="AU84" i="19" a="1"/>
  <c r="AU84" i="19" s="1"/>
  <c r="AU56" i="19"/>
  <c r="AU62" i="19" a="1"/>
  <c r="AU62" i="19" s="1"/>
  <c r="AU59" i="19" a="1"/>
  <c r="AU59" i="19" s="1"/>
  <c r="CN6" i="19"/>
  <c r="AU55" i="19"/>
  <c r="CM6" i="19"/>
  <c r="BW8" i="19"/>
  <c r="CG8" i="19"/>
  <c r="CP8" i="19"/>
  <c r="CY8" i="19"/>
  <c r="DH8" i="19"/>
  <c r="AH64" i="19"/>
  <c r="CC9" i="19"/>
  <c r="BY10" i="19"/>
  <c r="BX11" i="19"/>
  <c r="CG11" i="19"/>
  <c r="CP11" i="19"/>
  <c r="CY11" i="19"/>
  <c r="DI11" i="19"/>
  <c r="DI80" i="19" s="1"/>
  <c r="S12" i="19"/>
  <c r="BT12" i="19"/>
  <c r="CC12" i="19"/>
  <c r="CL12" i="19"/>
  <c r="CU12" i="19"/>
  <c r="DE12" i="19"/>
  <c r="AD67" i="19"/>
  <c r="AL67" i="19"/>
  <c r="BZ13" i="19"/>
  <c r="CJ67" i="19"/>
  <c r="BR16" i="19"/>
  <c r="CA16" i="19"/>
  <c r="CJ16" i="19"/>
  <c r="CS16" i="19"/>
  <c r="DB16" i="19"/>
  <c r="DC17" i="19"/>
  <c r="CU17" i="19"/>
  <c r="CM17" i="19"/>
  <c r="BT17" i="19"/>
  <c r="CL17" i="19"/>
  <c r="CV17" i="19"/>
  <c r="DE17" i="19"/>
  <c r="BV20" i="19"/>
  <c r="CE20" i="19"/>
  <c r="CN20" i="19"/>
  <c r="CW20" i="19"/>
  <c r="DF20" i="19"/>
  <c r="AD83" i="19"/>
  <c r="AL83" i="19"/>
  <c r="AT83" i="19"/>
  <c r="BB110" i="19" a="1"/>
  <c r="BB110" i="19" s="1"/>
  <c r="BB95" i="19" a="1"/>
  <c r="BB95" i="19" s="1"/>
  <c r="BB107" i="19" a="1"/>
  <c r="BB107" i="19" s="1"/>
  <c r="BB83" i="19"/>
  <c r="BB89" i="19" a="1"/>
  <c r="BB89" i="19" s="1"/>
  <c r="BB81" i="19" a="1"/>
  <c r="BB81" i="19" s="1"/>
  <c r="BB65" i="19" a="1"/>
  <c r="BB65" i="19" s="1"/>
  <c r="BB55" i="19"/>
  <c r="BB62" i="19" a="1"/>
  <c r="BB62" i="19" s="1"/>
  <c r="BB56" i="19"/>
  <c r="BZ21" i="19"/>
  <c r="CB22" i="19"/>
  <c r="CJ22" i="19"/>
  <c r="BZ22" i="19"/>
  <c r="CS22" i="19"/>
  <c r="CP23" i="19"/>
  <c r="CY23" i="19"/>
  <c r="BS24" i="19"/>
  <c r="CB24" i="19"/>
  <c r="CK24" i="19"/>
  <c r="CT24" i="19"/>
  <c r="DC24" i="19"/>
  <c r="DD25" i="19"/>
  <c r="CV25" i="19"/>
  <c r="DH25" i="19"/>
  <c r="CZ25" i="19"/>
  <c r="CR25" i="19"/>
  <c r="BT25" i="19"/>
  <c r="V25" i="19"/>
  <c r="CO25" i="19"/>
  <c r="CY25" i="19"/>
  <c r="CH26" i="19"/>
  <c r="CR26" i="19"/>
  <c r="DC26" i="19"/>
  <c r="BY27" i="19"/>
  <c r="CJ27" i="19"/>
  <c r="CT27" i="19"/>
  <c r="DE27" i="19"/>
  <c r="P31" i="19"/>
  <c r="BT31" i="19"/>
  <c r="CD31" i="19"/>
  <c r="CO31" i="19"/>
  <c r="CZ31" i="19"/>
  <c r="BS33" i="19"/>
  <c r="CE33" i="19"/>
  <c r="CR33" i="19"/>
  <c r="DE33" i="19"/>
  <c r="P34" i="19"/>
  <c r="BX34" i="19"/>
  <c r="BR34" i="19"/>
  <c r="CQ34" i="19"/>
  <c r="DE34" i="19"/>
  <c r="S35" i="19"/>
  <c r="P35" i="19"/>
  <c r="DI35" i="19"/>
  <c r="BI110" i="19" a="1"/>
  <c r="BI110" i="19" s="1"/>
  <c r="BI92" i="19" a="1"/>
  <c r="BI92" i="19" s="1"/>
  <c r="BI107" i="19" a="1"/>
  <c r="BI107" i="19" s="1"/>
  <c r="BI76" i="19" a="1"/>
  <c r="BI76" i="19" s="1"/>
  <c r="BI67" i="19"/>
  <c r="BI104" i="19" a="1"/>
  <c r="BI104" i="19" s="1"/>
  <c r="BI95" i="19" a="1"/>
  <c r="BI95" i="19" s="1"/>
  <c r="BI84" i="19" a="1"/>
  <c r="BI84" i="19" s="1"/>
  <c r="BI68" i="19" a="1"/>
  <c r="BI68" i="19" s="1"/>
  <c r="BI56" i="19"/>
  <c r="BI59" i="19" a="1"/>
  <c r="BI59" i="19" s="1"/>
  <c r="BI55" i="19"/>
  <c r="BI62" i="19" a="1"/>
  <c r="BI62" i="19" s="1"/>
  <c r="BZ35" i="19"/>
  <c r="CP35" i="19"/>
  <c r="DF35" i="19"/>
  <c r="BU36" i="19"/>
  <c r="CC36" i="19"/>
  <c r="AR61" i="19"/>
  <c r="CK36" i="19"/>
  <c r="CE36" i="19"/>
  <c r="CU36" i="19"/>
  <c r="CB38" i="19"/>
  <c r="CD38" i="19"/>
  <c r="BW42" i="19"/>
  <c r="M64" i="19"/>
  <c r="CV16" i="19"/>
  <c r="V94" i="19"/>
  <c r="AH110" i="19" a="1"/>
  <c r="AH110" i="19" s="1"/>
  <c r="AH107" i="19" a="1"/>
  <c r="AH107" i="19" s="1"/>
  <c r="AH94" i="19"/>
  <c r="AH95" i="19" a="1"/>
  <c r="AH95" i="19" s="1"/>
  <c r="AH89" i="19" a="1"/>
  <c r="AH89" i="19" s="1"/>
  <c r="AH92" i="19" a="1"/>
  <c r="AH92" i="19" s="1"/>
  <c r="AH73" i="19" a="1"/>
  <c r="AH73" i="19" s="1"/>
  <c r="AH56" i="19"/>
  <c r="AH55" i="19"/>
  <c r="AH65" i="19" a="1"/>
  <c r="AH65" i="19" s="1"/>
  <c r="AH62" i="19" a="1"/>
  <c r="AH62" i="19" s="1"/>
  <c r="AP94" i="19"/>
  <c r="AP92" i="19" a="1"/>
  <c r="AP92" i="19" s="1"/>
  <c r="AP95" i="19" a="1"/>
  <c r="AP95" i="19" s="1"/>
  <c r="AP89" i="19" a="1"/>
  <c r="AP89" i="19" s="1"/>
  <c r="AP73" i="19" a="1"/>
  <c r="AP73" i="19" s="1"/>
  <c r="AP62" i="19" a="1"/>
  <c r="AP62" i="19" s="1"/>
  <c r="AP55" i="19"/>
  <c r="AP56" i="19"/>
  <c r="BW94" i="19"/>
  <c r="CO94" i="19"/>
  <c r="R56" i="19"/>
  <c r="R55" i="19"/>
  <c r="AV110" i="19" a="1"/>
  <c r="AV110" i="19" s="1"/>
  <c r="AV95" i="19" a="1"/>
  <c r="AV95" i="19" s="1"/>
  <c r="AV107" i="19" a="1"/>
  <c r="AV107" i="19" s="1"/>
  <c r="AV89" i="19" a="1"/>
  <c r="AV89" i="19" s="1"/>
  <c r="AV84" i="19" a="1"/>
  <c r="AV84" i="19" s="1"/>
  <c r="AV91" i="19"/>
  <c r="AV68" i="19" a="1"/>
  <c r="AV68" i="19" s="1"/>
  <c r="AV76" i="19" a="1"/>
  <c r="AV76" i="19" s="1"/>
  <c r="AV56" i="19"/>
  <c r="AV59" i="19" a="1"/>
  <c r="AV59" i="19" s="1"/>
  <c r="AV55" i="19"/>
  <c r="AV73" i="19" a="1"/>
  <c r="AV73" i="19" s="1"/>
  <c r="CO6" i="19"/>
  <c r="BY8" i="19"/>
  <c r="CH8" i="19"/>
  <c r="CQ8" i="19"/>
  <c r="CZ8" i="19"/>
  <c r="DI8" i="19"/>
  <c r="BZ10" i="19"/>
  <c r="BY11" i="19"/>
  <c r="CH11" i="19"/>
  <c r="CQ11" i="19"/>
  <c r="DA11" i="19"/>
  <c r="U75" i="19"/>
  <c r="AG75" i="19"/>
  <c r="AE67" i="19"/>
  <c r="AM67" i="19"/>
  <c r="BX14" i="19"/>
  <c r="CG14" i="19"/>
  <c r="BW16" i="19"/>
  <c r="BS16" i="19"/>
  <c r="CB16" i="19"/>
  <c r="CB58" i="19" s="1"/>
  <c r="CK16" i="19"/>
  <c r="CT16" i="19"/>
  <c r="DD16" i="19"/>
  <c r="V20" i="19"/>
  <c r="CA20" i="19"/>
  <c r="CI20" i="19"/>
  <c r="BW20" i="19"/>
  <c r="CF20" i="19"/>
  <c r="CO20" i="19"/>
  <c r="CX20" i="19"/>
  <c r="DH20" i="19"/>
  <c r="DH22" i="19"/>
  <c r="CZ22" i="19"/>
  <c r="CR22" i="19"/>
  <c r="BT22" i="19"/>
  <c r="P22" i="19"/>
  <c r="BR22" i="19"/>
  <c r="CK22" i="19"/>
  <c r="CT22" i="19"/>
  <c r="DC22" i="19"/>
  <c r="DD23" i="19"/>
  <c r="CV23" i="19"/>
  <c r="CN23" i="19"/>
  <c r="P23" i="19"/>
  <c r="P72" i="19" s="1"/>
  <c r="BX23" i="19"/>
  <c r="CF23" i="19"/>
  <c r="CH23" i="19"/>
  <c r="CQ23" i="19"/>
  <c r="CZ23" i="19"/>
  <c r="DI23" i="19"/>
  <c r="BT24" i="19"/>
  <c r="CL24" i="19"/>
  <c r="CU24" i="19"/>
  <c r="DD24" i="19"/>
  <c r="BX25" i="19"/>
  <c r="AD61" i="19"/>
  <c r="BX26" i="19"/>
  <c r="CI26" i="19"/>
  <c r="CT26" i="19"/>
  <c r="DD26" i="19"/>
  <c r="BZ27" i="19"/>
  <c r="CK27" i="19"/>
  <c r="CV27" i="19"/>
  <c r="DF27" i="19"/>
  <c r="BU30" i="19"/>
  <c r="CC30" i="19"/>
  <c r="BU31" i="19"/>
  <c r="CF31" i="19"/>
  <c r="CP31" i="19"/>
  <c r="DA31" i="19"/>
  <c r="O33" i="19"/>
  <c r="R33" i="19" s="1"/>
  <c r="BX33" i="19"/>
  <c r="CF33" i="19"/>
  <c r="CN33" i="19"/>
  <c r="BT33" i="19"/>
  <c r="CS33" i="19"/>
  <c r="DG33" i="19"/>
  <c r="S34" i="19"/>
  <c r="BS34" i="19"/>
  <c r="CG34" i="19"/>
  <c r="CS34" i="19"/>
  <c r="DF34" i="19"/>
  <c r="BW35" i="19"/>
  <c r="CE35" i="19"/>
  <c r="CM35" i="19"/>
  <c r="CA35" i="19"/>
  <c r="CQ35" i="19"/>
  <c r="DG35" i="19"/>
  <c r="CF36" i="19"/>
  <c r="CV36" i="19"/>
  <c r="BX37" i="19"/>
  <c r="AD56" i="19"/>
  <c r="U65" i="19" a="1"/>
  <c r="U65" i="19" s="1"/>
  <c r="BY43" i="19"/>
  <c r="BU44" i="19"/>
  <c r="CN44" i="19"/>
  <c r="DF44" i="19"/>
  <c r="CH46" i="19"/>
  <c r="BV47" i="19"/>
  <c r="CN47" i="19"/>
  <c r="DG47" i="19"/>
  <c r="BK56" i="19"/>
  <c r="CW44" i="19"/>
  <c r="BY46" i="19"/>
  <c r="CQ46" i="19"/>
  <c r="CZ46" i="19"/>
  <c r="CE47" i="19"/>
  <c r="CX47" i="19"/>
  <c r="BX50" i="19"/>
  <c r="AD107" i="19" a="1"/>
  <c r="AD107" i="19" s="1"/>
  <c r="AD94" i="19"/>
  <c r="AD89" i="19" a="1"/>
  <c r="AD89" i="19" s="1"/>
  <c r="AD92" i="19" a="1"/>
  <c r="AD92" i="19" s="1"/>
  <c r="AD110" i="19" a="1"/>
  <c r="AD110" i="19" s="1"/>
  <c r="AL110" i="19" a="1"/>
  <c r="AL110" i="19" s="1"/>
  <c r="AL95" i="19" a="1"/>
  <c r="AL95" i="19" s="1"/>
  <c r="AL107" i="19" a="1"/>
  <c r="AL107" i="19" s="1"/>
  <c r="AL92" i="19" a="1"/>
  <c r="AL92" i="19" s="1"/>
  <c r="AL89" i="19" a="1"/>
  <c r="AL89" i="19" s="1"/>
  <c r="AH91" i="19"/>
  <c r="AP91" i="19"/>
  <c r="AX107" i="19" a="1"/>
  <c r="AX107" i="19" s="1"/>
  <c r="AX95" i="19" a="1"/>
  <c r="AX95" i="19" s="1"/>
  <c r="AX92" i="19" a="1"/>
  <c r="AX92" i="19" s="1"/>
  <c r="AX91" i="19"/>
  <c r="AX101" i="19" a="1"/>
  <c r="AX101" i="19" s="1"/>
  <c r="AX89" i="19" a="1"/>
  <c r="AX89" i="19" s="1"/>
  <c r="AX73" i="19" a="1"/>
  <c r="AX73" i="19" s="1"/>
  <c r="CA9" i="19"/>
  <c r="H14" i="23"/>
  <c r="M88" i="19"/>
  <c r="AL88" i="19"/>
  <c r="CE10" i="19"/>
  <c r="CM10" i="19"/>
  <c r="CU10" i="19"/>
  <c r="DC10" i="19"/>
  <c r="AH80" i="19"/>
  <c r="AB75" i="19"/>
  <c r="AJ75" i="19"/>
  <c r="AR75" i="19"/>
  <c r="AF67" i="19"/>
  <c r="AN67" i="19"/>
  <c r="H10" i="23"/>
  <c r="AL72" i="19"/>
  <c r="CE14" i="19"/>
  <c r="CM14" i="19"/>
  <c r="CU14" i="19"/>
  <c r="DC14" i="19"/>
  <c r="CM19" i="19"/>
  <c r="CU19" i="19"/>
  <c r="H13" i="23"/>
  <c r="M83" i="19"/>
  <c r="Z83" i="19"/>
  <c r="DB21" i="19"/>
  <c r="BU26" i="19"/>
  <c r="CM28" i="19"/>
  <c r="CU28" i="19"/>
  <c r="V29" i="19"/>
  <c r="CA29" i="19"/>
  <c r="CI29" i="19"/>
  <c r="CQ29" i="19"/>
  <c r="CY29" i="19"/>
  <c r="DG29" i="19"/>
  <c r="CS30" i="19"/>
  <c r="DA30" i="19"/>
  <c r="BR32" i="19"/>
  <c r="CP32" i="19"/>
  <c r="CX32" i="19"/>
  <c r="CB34" i="19"/>
  <c r="AZ67" i="19"/>
  <c r="BH107" i="19" a="1"/>
  <c r="BH107" i="19" s="1"/>
  <c r="BH110" i="19" a="1"/>
  <c r="BH110" i="19" s="1"/>
  <c r="BH89" i="19" a="1"/>
  <c r="BH89" i="19" s="1"/>
  <c r="BH76" i="19" a="1"/>
  <c r="BH76" i="19" s="1"/>
  <c r="BH95" i="19" a="1"/>
  <c r="BH95" i="19" s="1"/>
  <c r="BH81" i="19" a="1"/>
  <c r="BH81" i="19" s="1"/>
  <c r="BH84" i="19" a="1"/>
  <c r="BH84" i="19" s="1"/>
  <c r="BH68" i="19" a="1"/>
  <c r="BH68" i="19" s="1"/>
  <c r="CS35" i="19"/>
  <c r="DA35" i="19"/>
  <c r="BY36" i="19"/>
  <c r="BM110" i="19" a="1"/>
  <c r="BM110" i="19" s="1"/>
  <c r="BM68" i="19" a="1"/>
  <c r="BM68" i="19" s="1"/>
  <c r="BM67" i="19"/>
  <c r="BM56" i="19"/>
  <c r="BM55" i="19"/>
  <c r="BM95" i="19" a="1"/>
  <c r="BM95" i="19" s="1"/>
  <c r="BM76" i="19" a="1"/>
  <c r="BM76" i="19" s="1"/>
  <c r="BM73" i="19" a="1"/>
  <c r="BM73" i="19" s="1"/>
  <c r="BM92" i="19" a="1"/>
  <c r="BM92" i="19" s="1"/>
  <c r="BM84" i="19" a="1"/>
  <c r="BM84" i="19" s="1"/>
  <c r="BX38" i="19"/>
  <c r="CF38" i="19"/>
  <c r="CN38" i="19"/>
  <c r="CV38" i="19"/>
  <c r="DD38" i="19"/>
  <c r="BV39" i="19"/>
  <c r="CD39" i="19"/>
  <c r="CL39" i="19"/>
  <c r="CT39" i="19"/>
  <c r="DB39" i="19"/>
  <c r="BS40" i="19"/>
  <c r="CI40" i="19"/>
  <c r="CQ40" i="19"/>
  <c r="CY40" i="19"/>
  <c r="DG40" i="19"/>
  <c r="CN41" i="19"/>
  <c r="CV41" i="19"/>
  <c r="S42" i="19"/>
  <c r="CQ42" i="19"/>
  <c r="CZ42" i="19"/>
  <c r="DI42" i="19"/>
  <c r="S43" i="19"/>
  <c r="BZ43" i="19"/>
  <c r="CH43" i="19"/>
  <c r="CA43" i="19"/>
  <c r="CJ43" i="19"/>
  <c r="CS43" i="19"/>
  <c r="DB43" i="19"/>
  <c r="BV44" i="19"/>
  <c r="CD44" i="19"/>
  <c r="CO44" i="19"/>
  <c r="CX44" i="19"/>
  <c r="S45" i="19"/>
  <c r="CR45" i="19"/>
  <c r="CI46" i="19"/>
  <c r="CR46" i="19"/>
  <c r="CP47" i="19"/>
  <c r="CY47" i="19"/>
  <c r="S48" i="19"/>
  <c r="BR48" i="19"/>
  <c r="CT48" i="19"/>
  <c r="DC48" i="19"/>
  <c r="S50" i="19"/>
  <c r="CQ50" i="19"/>
  <c r="P51" i="19"/>
  <c r="CC51" i="19"/>
  <c r="CN51" i="19"/>
  <c r="CX51" i="19"/>
  <c r="DH51" i="19"/>
  <c r="DI52" i="19"/>
  <c r="DA52" i="19"/>
  <c r="CS52" i="19"/>
  <c r="CK52" i="19"/>
  <c r="V52" i="19"/>
  <c r="DC52" i="19"/>
  <c r="CT52" i="19"/>
  <c r="CJ52" i="19"/>
  <c r="CA52" i="19"/>
  <c r="BR52" i="19"/>
  <c r="BT52" i="19"/>
  <c r="CO52" i="19"/>
  <c r="CY52" i="19"/>
  <c r="BY53" i="19"/>
  <c r="AL55" i="19"/>
  <c r="BL56" i="19"/>
  <c r="BN59" i="19" a="1"/>
  <c r="BN59" i="19" s="1"/>
  <c r="BJ59" i="19" a="1"/>
  <c r="BJ59" i="19" s="1"/>
  <c r="BF59" i="19" a="1"/>
  <c r="BF59" i="19" s="1"/>
  <c r="BB59" i="19" a="1"/>
  <c r="BB59" i="19" s="1"/>
  <c r="AX59" i="19" a="1"/>
  <c r="AX59" i="19" s="1"/>
  <c r="AT59" i="19" a="1"/>
  <c r="AT59" i="19" s="1"/>
  <c r="AP59" i="19" a="1"/>
  <c r="AP59" i="19" s="1"/>
  <c r="AL59" i="19" a="1"/>
  <c r="AL59" i="19" s="1"/>
  <c r="AH59" i="19" a="1"/>
  <c r="AH59" i="19" s="1"/>
  <c r="AD59" i="19" a="1"/>
  <c r="AD59" i="19" s="1"/>
  <c r="Z59" i="19" a="1"/>
  <c r="Z59" i="19" s="1"/>
  <c r="U59" i="19" a="1"/>
  <c r="U59" i="19" s="1"/>
  <c r="Q59" i="19" a="1"/>
  <c r="Q59" i="19" s="1"/>
  <c r="M59" i="19" a="1"/>
  <c r="M59" i="19" s="1"/>
  <c r="BK58" i="19"/>
  <c r="BC58" i="19"/>
  <c r="AU58" i="19"/>
  <c r="AM58" i="19"/>
  <c r="AE58" i="19"/>
  <c r="N58" i="19"/>
  <c r="BH59" i="19" a="1"/>
  <c r="BH59" i="19" s="1"/>
  <c r="AY59" i="19" a="1"/>
  <c r="AY59" i="19" s="1"/>
  <c r="AK59" i="19" a="1"/>
  <c r="AK59" i="19" s="1"/>
  <c r="AB59" i="19" a="1"/>
  <c r="AB59" i="19" s="1"/>
  <c r="BI58" i="19"/>
  <c r="AZ58" i="19"/>
  <c r="AQ58" i="19"/>
  <c r="AH58" i="19"/>
  <c r="Y58" i="19"/>
  <c r="O58" i="19"/>
  <c r="BP59" i="19" a="1"/>
  <c r="BP59" i="19" s="1"/>
  <c r="BG59" i="19" a="1"/>
  <c r="BG59" i="19" s="1"/>
  <c r="AS59" i="19" a="1"/>
  <c r="AS59" i="19" s="1"/>
  <c r="AJ59" i="19" a="1"/>
  <c r="AJ59" i="19" s="1"/>
  <c r="AA59" i="19" a="1"/>
  <c r="AA59" i="19" s="1"/>
  <c r="I59" i="19" a="1"/>
  <c r="I59" i="19" s="1"/>
  <c r="BP58" i="19"/>
  <c r="BG58" i="19"/>
  <c r="AX58" i="19"/>
  <c r="AO58" i="19"/>
  <c r="AF58" i="19"/>
  <c r="U58" i="19"/>
  <c r="I58" i="19"/>
  <c r="W58" i="19"/>
  <c r="AJ58" i="19"/>
  <c r="AV58" i="19"/>
  <c r="BH58" i="19"/>
  <c r="T59" i="19" a="1"/>
  <c r="T59" i="19" s="1"/>
  <c r="AZ59" i="19" a="1"/>
  <c r="AZ59" i="19" s="1"/>
  <c r="BL59" i="19" a="1"/>
  <c r="BL59" i="19" s="1"/>
  <c r="BH67" i="19"/>
  <c r="DB44" i="19"/>
  <c r="CT44" i="19"/>
  <c r="CL44" i="19"/>
  <c r="BX44" i="19"/>
  <c r="CG44" i="19"/>
  <c r="CP44" i="19"/>
  <c r="CY44" i="19"/>
  <c r="DH44" i="19"/>
  <c r="DI46" i="19"/>
  <c r="DA46" i="19"/>
  <c r="CS46" i="19"/>
  <c r="CK46" i="19"/>
  <c r="V46" i="19"/>
  <c r="BR46" i="19"/>
  <c r="CA46" i="19"/>
  <c r="CJ46" i="19"/>
  <c r="CT46" i="19"/>
  <c r="DC46" i="19"/>
  <c r="DE47" i="19"/>
  <c r="DE80" i="19" s="1"/>
  <c r="CW47" i="19"/>
  <c r="CO47" i="19"/>
  <c r="CO80" i="19" s="1"/>
  <c r="S47" i="19"/>
  <c r="CH47" i="19"/>
  <c r="CQ47" i="19"/>
  <c r="CZ47" i="19"/>
  <c r="DI47" i="19"/>
  <c r="BZ50" i="19"/>
  <c r="BH55" i="19"/>
  <c r="AN61" i="19"/>
  <c r="BH65" i="19" a="1"/>
  <c r="BH65" i="19" s="1"/>
  <c r="BB67" i="19"/>
  <c r="BJ110" i="19" a="1"/>
  <c r="BJ110" i="19" s="1"/>
  <c r="BJ107" i="19" a="1"/>
  <c r="BJ107" i="19" s="1"/>
  <c r="BJ89" i="19" a="1"/>
  <c r="BJ89" i="19" s="1"/>
  <c r="BJ67" i="19"/>
  <c r="BJ55" i="19"/>
  <c r="BJ101" i="19" a="1"/>
  <c r="BJ101" i="19" s="1"/>
  <c r="CU35" i="19"/>
  <c r="DC35" i="19"/>
  <c r="DG37" i="19"/>
  <c r="BR38" i="19"/>
  <c r="CH38" i="19"/>
  <c r="CP38" i="19"/>
  <c r="CX38" i="19"/>
  <c r="DF38" i="19"/>
  <c r="BX39" i="19"/>
  <c r="CF39" i="19"/>
  <c r="CN39" i="19"/>
  <c r="CV39" i="19"/>
  <c r="DD39" i="19"/>
  <c r="CK40" i="19"/>
  <c r="CS40" i="19"/>
  <c r="DA40" i="19"/>
  <c r="DI40" i="19"/>
  <c r="V42" i="19"/>
  <c r="BR42" i="19"/>
  <c r="CJ42" i="19"/>
  <c r="CS42" i="19"/>
  <c r="BT43" i="19"/>
  <c r="CL43" i="19"/>
  <c r="CU43" i="19"/>
  <c r="P44" i="19"/>
  <c r="CH44" i="19"/>
  <c r="CQ44" i="19"/>
  <c r="CZ44" i="19"/>
  <c r="DI44" i="19"/>
  <c r="P46" i="19"/>
  <c r="CL46" i="19"/>
  <c r="CU46" i="19"/>
  <c r="DD46" i="19"/>
  <c r="P47" i="19"/>
  <c r="BY47" i="19"/>
  <c r="CG47" i="19"/>
  <c r="CI47" i="19"/>
  <c r="CR47" i="19"/>
  <c r="DA47" i="19"/>
  <c r="V48" i="19"/>
  <c r="CA48" i="19"/>
  <c r="CI48" i="19"/>
  <c r="CI91" i="19" s="1"/>
  <c r="BU48" i="19"/>
  <c r="CV48" i="19"/>
  <c r="S51" i="19"/>
  <c r="BU51" i="19"/>
  <c r="CF51" i="19"/>
  <c r="CP51" i="19"/>
  <c r="CZ51" i="19"/>
  <c r="AD55" i="19"/>
  <c r="AU67" i="19"/>
  <c r="BC84" i="19" a="1"/>
  <c r="BC84" i="19" s="1"/>
  <c r="BC92" i="19" a="1"/>
  <c r="BC92" i="19" s="1"/>
  <c r="BC68" i="19" a="1"/>
  <c r="BC68" i="19" s="1"/>
  <c r="BC107" i="19" a="1"/>
  <c r="BC107" i="19" s="1"/>
  <c r="BC101" i="19" a="1"/>
  <c r="BC101" i="19" s="1"/>
  <c r="BC89" i="19" a="1"/>
  <c r="BC89" i="19" s="1"/>
  <c r="BC67" i="19"/>
  <c r="BC76" i="19" a="1"/>
  <c r="BC76" i="19" s="1"/>
  <c r="BK107" i="19" a="1"/>
  <c r="BK107" i="19" s="1"/>
  <c r="BK84" i="19" a="1"/>
  <c r="BK84" i="19" s="1"/>
  <c r="BK68" i="19" a="1"/>
  <c r="BK68" i="19" s="1"/>
  <c r="BK101" i="19" a="1"/>
  <c r="BK101" i="19" s="1"/>
  <c r="BK89" i="19" a="1"/>
  <c r="BK89" i="19" s="1"/>
  <c r="BK67" i="19"/>
  <c r="CN35" i="19"/>
  <c r="CV35" i="19"/>
  <c r="DD35" i="19"/>
  <c r="CG39" i="19"/>
  <c r="CO39" i="19"/>
  <c r="CW39" i="19"/>
  <c r="DE39" i="19"/>
  <c r="BV40" i="19"/>
  <c r="BV88" i="19" s="1"/>
  <c r="CD40" i="19"/>
  <c r="CL40" i="19"/>
  <c r="CT40" i="19"/>
  <c r="DB40" i="19"/>
  <c r="DF42" i="19"/>
  <c r="CX42" i="19"/>
  <c r="CP42" i="19"/>
  <c r="CK42" i="19"/>
  <c r="CT42" i="19"/>
  <c r="DC42" i="19"/>
  <c r="DF43" i="19"/>
  <c r="CX43" i="19"/>
  <c r="CP43" i="19"/>
  <c r="BR43" i="19"/>
  <c r="V43" i="19"/>
  <c r="CD43" i="19"/>
  <c r="CM43" i="19"/>
  <c r="CV43" i="19"/>
  <c r="DE43" i="19"/>
  <c r="S44" i="19"/>
  <c r="BZ44" i="19"/>
  <c r="CI44" i="19"/>
  <c r="CR44" i="19"/>
  <c r="DA44" i="19"/>
  <c r="S46" i="19"/>
  <c r="BT46" i="19"/>
  <c r="CM46" i="19"/>
  <c r="CV46" i="19"/>
  <c r="DE46" i="19"/>
  <c r="BR47" i="19"/>
  <c r="CA47" i="19"/>
  <c r="CJ47" i="19"/>
  <c r="CS47" i="19"/>
  <c r="DB47" i="19"/>
  <c r="DG48" i="19"/>
  <c r="CY48" i="19"/>
  <c r="CQ48" i="19"/>
  <c r="BS48" i="19"/>
  <c r="CW48" i="19"/>
  <c r="DF48" i="19"/>
  <c r="BW51" i="19"/>
  <c r="CG51" i="19"/>
  <c r="CQ51" i="19"/>
  <c r="DC51" i="19"/>
  <c r="BK55" i="19"/>
  <c r="BK76" i="19" a="1"/>
  <c r="BK76" i="19" s="1"/>
  <c r="BY26" i="19"/>
  <c r="CE29" i="19"/>
  <c r="CM29" i="19"/>
  <c r="CU29" i="19"/>
  <c r="BD110" i="19" a="1"/>
  <c r="BD110" i="19" s="1"/>
  <c r="BD68" i="19" a="1"/>
  <c r="BD68" i="19" s="1"/>
  <c r="BD67" i="19"/>
  <c r="BD95" i="19" a="1"/>
  <c r="BD95" i="19" s="1"/>
  <c r="BD89" i="19" a="1"/>
  <c r="BD89" i="19" s="1"/>
  <c r="BD76" i="19" a="1"/>
  <c r="BD76" i="19" s="1"/>
  <c r="BD84" i="19" a="1"/>
  <c r="BD84" i="19" s="1"/>
  <c r="BD73" i="19" a="1"/>
  <c r="BD73" i="19" s="1"/>
  <c r="BD104" i="19" a="1"/>
  <c r="BD104" i="19" s="1"/>
  <c r="BL95" i="19" a="1"/>
  <c r="BL95" i="19" s="1"/>
  <c r="BL107" i="19" a="1"/>
  <c r="BL107" i="19" s="1"/>
  <c r="BL84" i="19" a="1"/>
  <c r="BL84" i="19" s="1"/>
  <c r="BL68" i="19" a="1"/>
  <c r="BL68" i="19" s="1"/>
  <c r="BL104" i="19" a="1"/>
  <c r="BL104" i="19" s="1"/>
  <c r="BL89" i="19" a="1"/>
  <c r="BL89" i="19" s="1"/>
  <c r="BL76" i="19" a="1"/>
  <c r="BL76" i="19" s="1"/>
  <c r="BL73" i="19" a="1"/>
  <c r="BL73" i="19" s="1"/>
  <c r="BL67" i="19"/>
  <c r="CW35" i="19"/>
  <c r="DE35" i="19"/>
  <c r="O37" i="19"/>
  <c r="R37" i="19" s="1"/>
  <c r="DA37" i="19"/>
  <c r="S38" i="19"/>
  <c r="BT38" i="19"/>
  <c r="CJ38" i="19"/>
  <c r="CR38" i="19"/>
  <c r="CZ38" i="19"/>
  <c r="P39" i="19"/>
  <c r="BR39" i="19"/>
  <c r="CH39" i="19"/>
  <c r="CP39" i="19"/>
  <c r="CX39" i="19"/>
  <c r="CM40" i="19"/>
  <c r="CU40" i="19"/>
  <c r="DC40" i="19"/>
  <c r="BT42" i="19"/>
  <c r="CL42" i="19"/>
  <c r="CU42" i="19"/>
  <c r="DD42" i="19"/>
  <c r="BV43" i="19"/>
  <c r="CN43" i="19"/>
  <c r="CW43" i="19"/>
  <c r="DG43" i="19"/>
  <c r="BR44" i="19"/>
  <c r="CJ44" i="19"/>
  <c r="CS44" i="19"/>
  <c r="DC44" i="19"/>
  <c r="DC45" i="19"/>
  <c r="CU45" i="19"/>
  <c r="P45" i="19"/>
  <c r="CW45" i="19"/>
  <c r="DF45" i="19"/>
  <c r="CE46" i="19"/>
  <c r="CN46" i="19"/>
  <c r="CW46" i="19"/>
  <c r="DF46" i="19"/>
  <c r="V47" i="19"/>
  <c r="CK47" i="19"/>
  <c r="CT47" i="19"/>
  <c r="DC47" i="19"/>
  <c r="CO48" i="19"/>
  <c r="CX48" i="19"/>
  <c r="DH48" i="19"/>
  <c r="DE50" i="19"/>
  <c r="CW50" i="19"/>
  <c r="DC50" i="19"/>
  <c r="CT50" i="19"/>
  <c r="CL50" i="19"/>
  <c r="P50" i="19"/>
  <c r="BT50" i="19"/>
  <c r="CC50" i="19"/>
  <c r="CM50" i="19"/>
  <c r="CV50" i="19"/>
  <c r="CV83" i="19" s="1"/>
  <c r="DG50" i="19"/>
  <c r="V51" i="19"/>
  <c r="CH51" i="19"/>
  <c r="CS51" i="19"/>
  <c r="CC52" i="19"/>
  <c r="BL55" i="19"/>
  <c r="AL56" i="19"/>
  <c r="BC59" i="19" a="1"/>
  <c r="BC59" i="19" s="1"/>
  <c r="CN40" i="19"/>
  <c r="CV40" i="19"/>
  <c r="CD42" i="19"/>
  <c r="V44" i="19"/>
  <c r="CK44" i="19"/>
  <c r="CU44" i="19"/>
  <c r="DD44" i="19"/>
  <c r="BW46" i="19"/>
  <c r="CF46" i="19"/>
  <c r="CO46" i="19"/>
  <c r="CX46" i="19"/>
  <c r="DG46" i="19"/>
  <c r="BT47" i="19"/>
  <c r="CL47" i="19"/>
  <c r="CU47" i="19"/>
  <c r="DD47" i="19"/>
  <c r="CD50" i="19"/>
  <c r="DB51" i="19"/>
  <c r="CT51" i="19"/>
  <c r="CL51" i="19"/>
  <c r="CD51" i="19"/>
  <c r="DA51" i="19"/>
  <c r="CR51" i="19"/>
  <c r="CI51" i="19"/>
  <c r="BZ51" i="19"/>
  <c r="BY51" i="19"/>
  <c r="CJ51" i="19"/>
  <c r="CU51" i="19"/>
  <c r="DE51" i="19"/>
  <c r="BC55" i="19"/>
  <c r="AX56" i="19"/>
  <c r="BD59" i="19" a="1"/>
  <c r="BD59" i="19" s="1"/>
  <c r="AX62" i="19" a="1"/>
  <c r="AX62" i="19" s="1"/>
  <c r="BM62" i="19" a="1"/>
  <c r="BM62" i="19" s="1"/>
  <c r="AL65" i="19" a="1"/>
  <c r="AL65" i="19" s="1"/>
  <c r="CL49" i="19"/>
  <c r="CT49" i="19"/>
  <c r="DC53" i="19"/>
  <c r="CU53" i="19"/>
  <c r="O53" i="19"/>
  <c r="R53" i="19" s="1"/>
  <c r="R91" i="19" s="1"/>
  <c r="BV53" i="19"/>
  <c r="CO53" i="19"/>
  <c r="CX53" i="19"/>
  <c r="DG53" i="19"/>
  <c r="Q61" i="19"/>
  <c r="AA61" i="19"/>
  <c r="AJ61" i="19"/>
  <c r="AS61" i="19"/>
  <c r="BB61" i="19"/>
  <c r="BK61" i="19"/>
  <c r="N62" i="19" a="1"/>
  <c r="N62" i="19" s="1"/>
  <c r="AO62" i="19" a="1"/>
  <c r="AO62" i="19" s="1"/>
  <c r="BE62" i="19" a="1"/>
  <c r="BE62" i="19" s="1"/>
  <c r="BJ62" i="19" a="1"/>
  <c r="BJ62" i="19" s="1"/>
  <c r="BO62" i="19" a="1"/>
  <c r="BO62" i="19" s="1"/>
  <c r="Q64" i="19"/>
  <c r="AD64" i="19"/>
  <c r="AN64" i="19"/>
  <c r="AX64" i="19"/>
  <c r="BH64" i="19"/>
  <c r="AN65" i="19" a="1"/>
  <c r="AN65" i="19" s="1"/>
  <c r="AS65" i="19" a="1"/>
  <c r="AS65" i="19" s="1"/>
  <c r="AX65" i="19" a="1"/>
  <c r="AX65" i="19" s="1"/>
  <c r="BI65" i="19" a="1"/>
  <c r="BI65" i="19" s="1"/>
  <c r="BN65" i="19" a="1"/>
  <c r="BN65" i="19" s="1"/>
  <c r="Y65" i="19" a="1"/>
  <c r="Y65" i="19" s="1"/>
  <c r="AD65" i="19" a="1"/>
  <c r="AD65" i="19" s="1"/>
  <c r="BP62" i="19" a="1"/>
  <c r="BP62" i="19" s="1"/>
  <c r="BL62" i="19" a="1"/>
  <c r="BL62" i="19" s="1"/>
  <c r="BH62" i="19" a="1"/>
  <c r="BH62" i="19" s="1"/>
  <c r="BD62" i="19" a="1"/>
  <c r="BD62" i="19" s="1"/>
  <c r="AZ62" i="19" a="1"/>
  <c r="AZ62" i="19" s="1"/>
  <c r="AV62" i="19" a="1"/>
  <c r="AV62" i="19" s="1"/>
  <c r="AR62" i="19" a="1"/>
  <c r="AR62" i="19" s="1"/>
  <c r="AN62" i="19" a="1"/>
  <c r="AN62" i="19" s="1"/>
  <c r="AJ62" i="19" a="1"/>
  <c r="AJ62" i="19" s="1"/>
  <c r="AF62" i="19" a="1"/>
  <c r="AF62" i="19" s="1"/>
  <c r="AB62" i="19" a="1"/>
  <c r="AB62" i="19" s="1"/>
  <c r="W62" i="19" a="1"/>
  <c r="W62" i="19" s="1"/>
  <c r="BC62" i="19" a="1"/>
  <c r="BC62" i="19" s="1"/>
  <c r="AT62" i="19" a="1"/>
  <c r="AT62" i="19" s="1"/>
  <c r="AK62" i="19" a="1"/>
  <c r="AK62" i="19" s="1"/>
  <c r="M62" i="19" a="1"/>
  <c r="M62" i="19" s="1"/>
  <c r="BM61" i="19"/>
  <c r="BE61" i="19"/>
  <c r="AW61" i="19"/>
  <c r="AO61" i="19"/>
  <c r="AG61" i="19"/>
  <c r="Y61" i="19"/>
  <c r="AC61" i="19"/>
  <c r="AL61" i="19"/>
  <c r="AU61" i="19"/>
  <c r="BD61" i="19"/>
  <c r="BN61" i="19"/>
  <c r="BA62" i="19" a="1"/>
  <c r="BA62" i="19" s="1"/>
  <c r="BF62" i="19" a="1"/>
  <c r="BF62" i="19" s="1"/>
  <c r="BK62" i="19" a="1"/>
  <c r="BK62" i="19" s="1"/>
  <c r="BO65" i="19" a="1"/>
  <c r="BO65" i="19" s="1"/>
  <c r="BK65" i="19" a="1"/>
  <c r="BK65" i="19" s="1"/>
  <c r="BG65" i="19" a="1"/>
  <c r="BG65" i="19" s="1"/>
  <c r="BC65" i="19" a="1"/>
  <c r="BC65" i="19" s="1"/>
  <c r="AY65" i="19" a="1"/>
  <c r="AY65" i="19" s="1"/>
  <c r="AU65" i="19" a="1"/>
  <c r="AU65" i="19" s="1"/>
  <c r="AQ65" i="19" a="1"/>
  <c r="AQ65" i="19" s="1"/>
  <c r="AM65" i="19" a="1"/>
  <c r="AM65" i="19" s="1"/>
  <c r="AI65" i="19" a="1"/>
  <c r="AI65" i="19" s="1"/>
  <c r="AE65" i="19" a="1"/>
  <c r="AE65" i="19" s="1"/>
  <c r="AA65" i="19" a="1"/>
  <c r="AA65" i="19" s="1"/>
  <c r="R65" i="19" a="1"/>
  <c r="R65" i="19" s="1"/>
  <c r="N65" i="19" a="1"/>
  <c r="N65" i="19" s="1"/>
  <c r="BI64" i="19"/>
  <c r="BA64" i="19"/>
  <c r="AS64" i="19"/>
  <c r="AK64" i="19"/>
  <c r="AC64" i="19"/>
  <c r="T64" i="19"/>
  <c r="I64" i="19"/>
  <c r="BM65" i="19" a="1"/>
  <c r="BM65" i="19" s="1"/>
  <c r="BD65" i="19" a="1"/>
  <c r="BD65" i="19" s="1"/>
  <c r="AP65" i="19" a="1"/>
  <c r="AP65" i="19" s="1"/>
  <c r="AG65" i="19" a="1"/>
  <c r="AG65" i="19" s="1"/>
  <c r="W65" i="19" a="1"/>
  <c r="W65" i="19" s="1"/>
  <c r="BM64" i="19"/>
  <c r="BD64" i="19"/>
  <c r="AU64" i="19"/>
  <c r="AL64" i="19"/>
  <c r="AB64" i="19"/>
  <c r="R64" i="19"/>
  <c r="U64" i="19"/>
  <c r="AF64" i="19"/>
  <c r="AP64" i="19"/>
  <c r="AZ64" i="19"/>
  <c r="BK64" i="19"/>
  <c r="AJ65" i="19" a="1"/>
  <c r="AJ65" i="19" s="1"/>
  <c r="AO65" i="19" a="1"/>
  <c r="AO65" i="19" s="1"/>
  <c r="AT65" i="19" a="1"/>
  <c r="AT65" i="19" s="1"/>
  <c r="AZ65" i="19" a="1"/>
  <c r="AZ65" i="19" s="1"/>
  <c r="BE65" i="19" a="1"/>
  <c r="BE65" i="19" s="1"/>
  <c r="BJ65" i="19" a="1"/>
  <c r="BJ65" i="19" s="1"/>
  <c r="BN98" i="19" a="1"/>
  <c r="BN98" i="19" s="1"/>
  <c r="BJ98" i="19" a="1"/>
  <c r="BJ98" i="19" s="1"/>
  <c r="BF98" i="19" a="1"/>
  <c r="BF98" i="19" s="1"/>
  <c r="BB98" i="19" a="1"/>
  <c r="BB98" i="19" s="1"/>
  <c r="AX98" i="19" a="1"/>
  <c r="AX98" i="19" s="1"/>
  <c r="AT98" i="19" a="1"/>
  <c r="AT98" i="19" s="1"/>
  <c r="AP98" i="19" a="1"/>
  <c r="AP98" i="19" s="1"/>
  <c r="AL98" i="19" a="1"/>
  <c r="AL98" i="19" s="1"/>
  <c r="AH98" i="19" a="1"/>
  <c r="AH98" i="19" s="1"/>
  <c r="AD98" i="19" a="1"/>
  <c r="AD98" i="19" s="1"/>
  <c r="Z98" i="19" a="1"/>
  <c r="Z98" i="19" s="1"/>
  <c r="U98" i="19" a="1"/>
  <c r="U98" i="19" s="1"/>
  <c r="Q98" i="19" a="1"/>
  <c r="Q98" i="19" s="1"/>
  <c r="M98" i="19" a="1"/>
  <c r="M98" i="19" s="1"/>
  <c r="DH97" i="19"/>
  <c r="CZ97" i="19"/>
  <c r="CR97" i="19"/>
  <c r="CJ97" i="19"/>
  <c r="CB97" i="19"/>
  <c r="BT97" i="19"/>
  <c r="BK97" i="19"/>
  <c r="BC97" i="19"/>
  <c r="AU97" i="19"/>
  <c r="AM97" i="19"/>
  <c r="AE97" i="19"/>
  <c r="V97" i="19"/>
  <c r="N97" i="19"/>
  <c r="BI98" i="19" a="1"/>
  <c r="BI98" i="19" s="1"/>
  <c r="AZ98" i="19" a="1"/>
  <c r="AZ98" i="19" s="1"/>
  <c r="AQ98" i="19" a="1"/>
  <c r="AQ98" i="19" s="1"/>
  <c r="AC98" i="19" a="1"/>
  <c r="AC98" i="19" s="1"/>
  <c r="DF97" i="19"/>
  <c r="CW97" i="19"/>
  <c r="CN97" i="19"/>
  <c r="CE97" i="19"/>
  <c r="BV97" i="19"/>
  <c r="BL97" i="19"/>
  <c r="BB97" i="19"/>
  <c r="AS97" i="19"/>
  <c r="AJ97" i="19"/>
  <c r="AA97" i="19"/>
  <c r="Q97" i="19"/>
  <c r="AW98" i="19" a="1"/>
  <c r="AW98" i="19" s="1"/>
  <c r="AR98" i="19" a="1"/>
  <c r="AR98" i="19" s="1"/>
  <c r="AM98" i="19" a="1"/>
  <c r="AM98" i="19" s="1"/>
  <c r="AG98" i="19" a="1"/>
  <c r="AG98" i="19" s="1"/>
  <c r="AB98" i="19" a="1"/>
  <c r="AB98" i="19" s="1"/>
  <c r="DE97" i="19"/>
  <c r="CU97" i="19"/>
  <c r="CK97" i="19"/>
  <c r="BZ97" i="19"/>
  <c r="BO97" i="19"/>
  <c r="BE97" i="19"/>
  <c r="AT97" i="19"/>
  <c r="AI97" i="19"/>
  <c r="Y97" i="19"/>
  <c r="M97" i="19"/>
  <c r="BL98" i="19" a="1"/>
  <c r="BL98" i="19" s="1"/>
  <c r="BG98" i="19" a="1"/>
  <c r="BG98" i="19" s="1"/>
  <c r="DD97" i="19"/>
  <c r="CT97" i="19"/>
  <c r="CI97" i="19"/>
  <c r="BY97" i="19"/>
  <c r="BN97" i="19"/>
  <c r="BD97" i="19"/>
  <c r="AR97" i="19"/>
  <c r="AH97" i="19"/>
  <c r="W97" i="19"/>
  <c r="I97" i="19"/>
  <c r="BA98" i="19" a="1"/>
  <c r="BA98" i="19" s="1"/>
  <c r="AV98" i="19" a="1"/>
  <c r="AV98" i="19" s="1"/>
  <c r="AK98" i="19" a="1"/>
  <c r="AK98" i="19" s="1"/>
  <c r="AF98" i="19" a="1"/>
  <c r="AF98" i="19" s="1"/>
  <c r="AA98" i="19" a="1"/>
  <c r="AA98" i="19" s="1"/>
  <c r="DC97" i="19"/>
  <c r="CS97" i="19"/>
  <c r="CH97" i="19"/>
  <c r="BX97" i="19"/>
  <c r="BM97" i="19"/>
  <c r="BA97" i="19"/>
  <c r="AQ97" i="19"/>
  <c r="AG97" i="19"/>
  <c r="U97" i="19"/>
  <c r="H97" i="19"/>
  <c r="BE98" i="19" a="1"/>
  <c r="BE98" i="19" s="1"/>
  <c r="AO98" i="19" a="1"/>
  <c r="AO98" i="19" s="1"/>
  <c r="AJ98" i="19" a="1"/>
  <c r="AJ98" i="19" s="1"/>
  <c r="AE98" i="19" a="1"/>
  <c r="AE98" i="19" s="1"/>
  <c r="N98" i="19" a="1"/>
  <c r="N98" i="19" s="1"/>
  <c r="DA97" i="19"/>
  <c r="CP97" i="19"/>
  <c r="CF97" i="19"/>
  <c r="BU97" i="19"/>
  <c r="BI97" i="19"/>
  <c r="AY97" i="19"/>
  <c r="AO97" i="19"/>
  <c r="AD97" i="19"/>
  <c r="S97" i="19"/>
  <c r="AS98" i="19" a="1"/>
  <c r="AS98" i="19" s="1"/>
  <c r="AN98" i="19" a="1"/>
  <c r="AN98" i="19" s="1"/>
  <c r="AI98" i="19" a="1"/>
  <c r="AI98" i="19" s="1"/>
  <c r="W98" i="19" a="1"/>
  <c r="W98" i="19" s="1"/>
  <c r="DI97" i="19"/>
  <c r="CX97" i="19"/>
  <c r="CM97" i="19"/>
  <c r="CC97" i="19"/>
  <c r="BR97" i="19"/>
  <c r="BG97" i="19"/>
  <c r="AW97" i="19"/>
  <c r="AL97" i="19"/>
  <c r="AB97" i="19"/>
  <c r="P97" i="19"/>
  <c r="CO97" i="19"/>
  <c r="BJ97" i="19"/>
  <c r="AK97" i="19"/>
  <c r="BD98" i="19" a="1"/>
  <c r="BD98" i="19" s="1"/>
  <c r="CL97" i="19"/>
  <c r="BH97" i="19"/>
  <c r="AF97" i="19"/>
  <c r="BP98" i="19" a="1"/>
  <c r="BP98" i="19" s="1"/>
  <c r="BC98" i="19" a="1"/>
  <c r="BC98" i="19" s="1"/>
  <c r="I98" i="19" a="1"/>
  <c r="I98" i="19" s="1"/>
  <c r="CG97" i="19"/>
  <c r="BF97" i="19"/>
  <c r="AC97" i="19"/>
  <c r="BO98" i="19" a="1"/>
  <c r="BO98" i="19" s="1"/>
  <c r="Y98" i="19" a="1"/>
  <c r="Y98" i="19" s="1"/>
  <c r="DG97" i="19"/>
  <c r="CD97" i="19"/>
  <c r="AZ97" i="19"/>
  <c r="Z97" i="19"/>
  <c r="BM98" i="19" a="1"/>
  <c r="BM98" i="19" s="1"/>
  <c r="AY98" i="19" a="1"/>
  <c r="AY98" i="19" s="1"/>
  <c r="DB97" i="19"/>
  <c r="CA97" i="19"/>
  <c r="AX97" i="19"/>
  <c r="T97" i="19"/>
  <c r="BK98" i="19" a="1"/>
  <c r="BK98" i="19" s="1"/>
  <c r="T98" i="19" a="1"/>
  <c r="T98" i="19" s="1"/>
  <c r="CY97" i="19"/>
  <c r="BW97" i="19"/>
  <c r="AV97" i="19"/>
  <c r="R97" i="19"/>
  <c r="AU98" i="19" a="1"/>
  <c r="AU98" i="19" s="1"/>
  <c r="CV97" i="19"/>
  <c r="BS97" i="19"/>
  <c r="AP97" i="19"/>
  <c r="O97" i="19"/>
  <c r="BH98" i="19" a="1"/>
  <c r="BH98" i="19" s="1"/>
  <c r="O72" i="19"/>
  <c r="Y72" i="19"/>
  <c r="AH72" i="19"/>
  <c r="AQ72" i="19"/>
  <c r="AZ72" i="19"/>
  <c r="BJ72" i="19"/>
  <c r="I73" i="19" a="1"/>
  <c r="I73" i="19" s="1"/>
  <c r="U73" i="19" a="1"/>
  <c r="U73" i="19" s="1"/>
  <c r="AJ73" i="19" a="1"/>
  <c r="AJ73" i="19" s="1"/>
  <c r="AS73" i="19" a="1"/>
  <c r="AS73" i="19" s="1"/>
  <c r="BB73" i="19" a="1"/>
  <c r="BB73" i="19" s="1"/>
  <c r="BP73" i="19" a="1"/>
  <c r="BP73" i="19" s="1"/>
  <c r="R80" i="19"/>
  <c r="AB80" i="19"/>
  <c r="AL80" i="19"/>
  <c r="AU80" i="19"/>
  <c r="BD80" i="19"/>
  <c r="BM80" i="19"/>
  <c r="W81" i="19" a="1"/>
  <c r="W81" i="19" s="1"/>
  <c r="AG81" i="19" a="1"/>
  <c r="AG81" i="19" s="1"/>
  <c r="AP81" i="19" a="1"/>
  <c r="AP81" i="19" s="1"/>
  <c r="BD81" i="19" a="1"/>
  <c r="BD81" i="19" s="1"/>
  <c r="BM81" i="19" a="1"/>
  <c r="BM81" i="19" s="1"/>
  <c r="DE103" i="19"/>
  <c r="CW103" i="19"/>
  <c r="CO103" i="19"/>
  <c r="CG103" i="19"/>
  <c r="BY103" i="19"/>
  <c r="BP103" i="19"/>
  <c r="BH103" i="19"/>
  <c r="AZ103" i="19"/>
  <c r="AR103" i="19"/>
  <c r="AJ103" i="19"/>
  <c r="AB103" i="19"/>
  <c r="S103" i="19"/>
  <c r="H103" i="19"/>
  <c r="BN104" i="19" a="1"/>
  <c r="BN104" i="19" s="1"/>
  <c r="BE104" i="19" a="1"/>
  <c r="BE104" i="19" s="1"/>
  <c r="AZ104" i="19" a="1"/>
  <c r="AZ104" i="19" s="1"/>
  <c r="AQ104" i="19" a="1"/>
  <c r="AQ104" i="19" s="1"/>
  <c r="AH104" i="19" a="1"/>
  <c r="AH104" i="19" s="1"/>
  <c r="Y104" i="19" a="1"/>
  <c r="Y104" i="19" s="1"/>
  <c r="DG103" i="19"/>
  <c r="CX103" i="19"/>
  <c r="CN103" i="19"/>
  <c r="CE103" i="19"/>
  <c r="BV103" i="19"/>
  <c r="BL103" i="19"/>
  <c r="BC103" i="19"/>
  <c r="AT103" i="19"/>
  <c r="AK103" i="19"/>
  <c r="AA103" i="19"/>
  <c r="Q103" i="19"/>
  <c r="AJ104" i="19" a="1"/>
  <c r="AJ104" i="19" s="1"/>
  <c r="AE104" i="19" a="1"/>
  <c r="AE104" i="19" s="1"/>
  <c r="Z104" i="19" a="1"/>
  <c r="Z104" i="19" s="1"/>
  <c r="T104" i="19" a="1"/>
  <c r="T104" i="19" s="1"/>
  <c r="N104" i="19" a="1"/>
  <c r="N104" i="19" s="1"/>
  <c r="DA103" i="19"/>
  <c r="CQ103" i="19"/>
  <c r="CF103" i="19"/>
  <c r="BU103" i="19"/>
  <c r="BJ103" i="19"/>
  <c r="AY103" i="19"/>
  <c r="AO103" i="19"/>
  <c r="AE103" i="19"/>
  <c r="T103" i="19"/>
  <c r="BH104" i="19" a="1"/>
  <c r="BH104" i="19" s="1"/>
  <c r="AW104" i="19" a="1"/>
  <c r="AW104" i="19" s="1"/>
  <c r="AK104" i="19" a="1"/>
  <c r="AK104" i="19" s="1"/>
  <c r="W104" i="19" a="1"/>
  <c r="W104" i="19" s="1"/>
  <c r="I104" i="19" a="1"/>
  <c r="I104" i="19" s="1"/>
  <c r="DB103" i="19"/>
  <c r="CP103" i="19"/>
  <c r="CC103" i="19"/>
  <c r="BR103" i="19"/>
  <c r="BE103" i="19"/>
  <c r="AS103" i="19"/>
  <c r="AG103" i="19"/>
  <c r="U103" i="19"/>
  <c r="BB104" i="19" a="1"/>
  <c r="BB104" i="19" s="1"/>
  <c r="AV104" i="19" a="1"/>
  <c r="AV104" i="19" s="1"/>
  <c r="AP104" i="19" a="1"/>
  <c r="AP104" i="19" s="1"/>
  <c r="AD104" i="19" a="1"/>
  <c r="AD104" i="19" s="1"/>
  <c r="Q104" i="19" a="1"/>
  <c r="Q104" i="19" s="1"/>
  <c r="CZ103" i="19"/>
  <c r="CM103" i="19"/>
  <c r="CB103" i="19"/>
  <c r="BO103" i="19"/>
  <c r="BD103" i="19"/>
  <c r="AQ103" i="19"/>
  <c r="AF103" i="19"/>
  <c r="R103" i="19"/>
  <c r="BM104" i="19" a="1"/>
  <c r="BM104" i="19" s="1"/>
  <c r="BG104" i="19" a="1"/>
  <c r="BG104" i="19" s="1"/>
  <c r="AU104" i="19" a="1"/>
  <c r="AU104" i="19" s="1"/>
  <c r="AO104" i="19" a="1"/>
  <c r="AO104" i="19" s="1"/>
  <c r="AI104" i="19" a="1"/>
  <c r="AI104" i="19" s="1"/>
  <c r="AC104" i="19" a="1"/>
  <c r="AC104" i="19" s="1"/>
  <c r="CY103" i="19"/>
  <c r="CL103" i="19"/>
  <c r="CA103" i="19"/>
  <c r="BN103" i="19"/>
  <c r="BB103" i="19"/>
  <c r="AP103" i="19"/>
  <c r="AD103" i="19"/>
  <c r="P103" i="19"/>
  <c r="BF104" i="19" a="1"/>
  <c r="BF104" i="19" s="1"/>
  <c r="AY104" i="19" a="1"/>
  <c r="AY104" i="19" s="1"/>
  <c r="U104" i="19" a="1"/>
  <c r="U104" i="19" s="1"/>
  <c r="DH103" i="19"/>
  <c r="CU103" i="19"/>
  <c r="CJ103" i="19"/>
  <c r="BX103" i="19"/>
  <c r="BK103" i="19"/>
  <c r="AX103" i="19"/>
  <c r="AM103" i="19"/>
  <c r="Z103" i="19"/>
  <c r="N103" i="19"/>
  <c r="BP104" i="19" a="1"/>
  <c r="BP104" i="19" s="1"/>
  <c r="BJ104" i="19" a="1"/>
  <c r="BJ104" i="19" s="1"/>
  <c r="AX104" i="19" a="1"/>
  <c r="AX104" i="19" s="1"/>
  <c r="AR104" i="19" a="1"/>
  <c r="AR104" i="19" s="1"/>
  <c r="AL104" i="19" a="1"/>
  <c r="AL104" i="19" s="1"/>
  <c r="AF104" i="19" a="1"/>
  <c r="AF104" i="19" s="1"/>
  <c r="M104" i="19" a="1"/>
  <c r="M104" i="19" s="1"/>
  <c r="DD103" i="19"/>
  <c r="CS103" i="19"/>
  <c r="CH103" i="19"/>
  <c r="BT103" i="19"/>
  <c r="BG103" i="19"/>
  <c r="AV103" i="19"/>
  <c r="AI103" i="19"/>
  <c r="W103" i="19"/>
  <c r="I103" i="19"/>
  <c r="AN103" i="19"/>
  <c r="BW103" i="19"/>
  <c r="DC103" i="19"/>
  <c r="AA104" i="19" a="1"/>
  <c r="AA104" i="19" s="1"/>
  <c r="BO81" i="19" a="1"/>
  <c r="BO81" i="19" s="1"/>
  <c r="BK81" i="19" a="1"/>
  <c r="BK81" i="19" s="1"/>
  <c r="BG81" i="19" a="1"/>
  <c r="BG81" i="19" s="1"/>
  <c r="BC81" i="19" a="1"/>
  <c r="BC81" i="19" s="1"/>
  <c r="AY81" i="19" a="1"/>
  <c r="AY81" i="19" s="1"/>
  <c r="AU81" i="19" a="1"/>
  <c r="AU81" i="19" s="1"/>
  <c r="AQ81" i="19" a="1"/>
  <c r="AQ81" i="19" s="1"/>
  <c r="AM81" i="19" a="1"/>
  <c r="AM81" i="19" s="1"/>
  <c r="AI81" i="19" a="1"/>
  <c r="AI81" i="19" s="1"/>
  <c r="AE81" i="19" a="1"/>
  <c r="AE81" i="19" s="1"/>
  <c r="AA81" i="19" a="1"/>
  <c r="AA81" i="19" s="1"/>
  <c r="N81" i="19" a="1"/>
  <c r="N81" i="19" s="1"/>
  <c r="BZ80" i="19"/>
  <c r="BR80" i="19"/>
  <c r="BI80" i="19"/>
  <c r="BA80" i="19"/>
  <c r="AS80" i="19"/>
  <c r="AK80" i="19"/>
  <c r="AC80" i="19"/>
  <c r="T80" i="19"/>
  <c r="I80" i="19"/>
  <c r="AD80" i="19"/>
  <c r="AM80" i="19"/>
  <c r="AV80" i="19"/>
  <c r="BE80" i="19"/>
  <c r="BN80" i="19"/>
  <c r="AC81" i="19" a="1"/>
  <c r="AC81" i="19" s="1"/>
  <c r="AL81" i="19" a="1"/>
  <c r="AL81" i="19" s="1"/>
  <c r="AZ81" i="19" a="1"/>
  <c r="AZ81" i="19" s="1"/>
  <c r="BI81" i="19" a="1"/>
  <c r="BI81" i="19" s="1"/>
  <c r="Q72" i="19"/>
  <c r="AA72" i="19"/>
  <c r="AJ72" i="19"/>
  <c r="AT72" i="19"/>
  <c r="BC72" i="19"/>
  <c r="BL72" i="19"/>
  <c r="M73" i="19" a="1"/>
  <c r="M73" i="19" s="1"/>
  <c r="AB73" i="19" a="1"/>
  <c r="AB73" i="19" s="1"/>
  <c r="AK73" i="19" a="1"/>
  <c r="AK73" i="19" s="1"/>
  <c r="AT73" i="19" a="1"/>
  <c r="AT73" i="19" s="1"/>
  <c r="BH73" i="19" a="1"/>
  <c r="BH73" i="19" s="1"/>
  <c r="H80" i="19"/>
  <c r="U80" i="19"/>
  <c r="AE80" i="19"/>
  <c r="AN80" i="19"/>
  <c r="AW80" i="19"/>
  <c r="BF80" i="19"/>
  <c r="BO80" i="19"/>
  <c r="Y81" i="19" a="1"/>
  <c r="Y81" i="19" s="1"/>
  <c r="AH81" i="19" a="1"/>
  <c r="AH81" i="19" s="1"/>
  <c r="AV81" i="19" a="1"/>
  <c r="AV81" i="19" s="1"/>
  <c r="BE81" i="19" a="1"/>
  <c r="BE81" i="19" s="1"/>
  <c r="BN81" i="19" a="1"/>
  <c r="BN81" i="19" s="1"/>
  <c r="O103" i="19"/>
  <c r="AW103" i="19"/>
  <c r="CD103" i="19"/>
  <c r="DI103" i="19"/>
  <c r="AT104" i="19" a="1"/>
  <c r="AT104" i="19" s="1"/>
  <c r="BK104" i="19" a="1"/>
  <c r="BK104" i="19" s="1"/>
  <c r="M80" i="19"/>
  <c r="AF80" i="19"/>
  <c r="AO80" i="19"/>
  <c r="AX80" i="19"/>
  <c r="BG80" i="19"/>
  <c r="BP80" i="19"/>
  <c r="CA80" i="19"/>
  <c r="T81" i="19" a="1"/>
  <c r="T81" i="19" s="1"/>
  <c r="AD81" i="19" a="1"/>
  <c r="AD81" i="19" s="1"/>
  <c r="AR81" i="19" a="1"/>
  <c r="AR81" i="19" s="1"/>
  <c r="BA81" i="19" a="1"/>
  <c r="BA81" i="19" s="1"/>
  <c r="BJ81" i="19" a="1"/>
  <c r="BJ81" i="19" s="1"/>
  <c r="BO73" i="19" a="1"/>
  <c r="BO73" i="19" s="1"/>
  <c r="BK73" i="19" a="1"/>
  <c r="BK73" i="19" s="1"/>
  <c r="BG73" i="19" a="1"/>
  <c r="BG73" i="19" s="1"/>
  <c r="BC73" i="19" a="1"/>
  <c r="BC73" i="19" s="1"/>
  <c r="AY73" i="19" a="1"/>
  <c r="AY73" i="19" s="1"/>
  <c r="AU73" i="19" a="1"/>
  <c r="AU73" i="19" s="1"/>
  <c r="AQ73" i="19" a="1"/>
  <c r="AQ73" i="19" s="1"/>
  <c r="AM73" i="19" a="1"/>
  <c r="AM73" i="19" s="1"/>
  <c r="AI73" i="19" a="1"/>
  <c r="AI73" i="19" s="1"/>
  <c r="AE73" i="19" a="1"/>
  <c r="AE73" i="19" s="1"/>
  <c r="AA73" i="19" a="1"/>
  <c r="AA73" i="19" s="1"/>
  <c r="N73" i="19" a="1"/>
  <c r="N73" i="19" s="1"/>
  <c r="BI72" i="19"/>
  <c r="BA72" i="19"/>
  <c r="AS72" i="19"/>
  <c r="AK72" i="19"/>
  <c r="AC72" i="19"/>
  <c r="T72" i="19"/>
  <c r="I72" i="19"/>
  <c r="AD72" i="19"/>
  <c r="AM72" i="19"/>
  <c r="AV72" i="19"/>
  <c r="BE72" i="19"/>
  <c r="BN72" i="19"/>
  <c r="CG72" i="19"/>
  <c r="AC73" i="19" a="1"/>
  <c r="AC73" i="19" s="1"/>
  <c r="AL73" i="19" a="1"/>
  <c r="AL73" i="19" s="1"/>
  <c r="AZ73" i="19" a="1"/>
  <c r="AZ73" i="19" s="1"/>
  <c r="BI73" i="19" a="1"/>
  <c r="BI73" i="19" s="1"/>
  <c r="N80" i="19"/>
  <c r="W80" i="19"/>
  <c r="AG80" i="19"/>
  <c r="AP80" i="19"/>
  <c r="AY80" i="19"/>
  <c r="BH80" i="19"/>
  <c r="DC80" i="19"/>
  <c r="Z81" i="19" a="1"/>
  <c r="Z81" i="19" s="1"/>
  <c r="AN81" i="19" a="1"/>
  <c r="AN81" i="19" s="1"/>
  <c r="AW81" i="19" a="1"/>
  <c r="AW81" i="19" s="1"/>
  <c r="BF81" i="19" a="1"/>
  <c r="BF81" i="19" s="1"/>
  <c r="M72" i="19"/>
  <c r="AF72" i="19"/>
  <c r="AO72" i="19"/>
  <c r="AX72" i="19"/>
  <c r="BG72" i="19"/>
  <c r="BP72" i="19"/>
  <c r="CS72" i="19"/>
  <c r="T73" i="19" a="1"/>
  <c r="T73" i="19" s="1"/>
  <c r="AD73" i="19" a="1"/>
  <c r="AD73" i="19" s="1"/>
  <c r="AR73" i="19" a="1"/>
  <c r="AR73" i="19" s="1"/>
  <c r="BA73" i="19" a="1"/>
  <c r="BA73" i="19" s="1"/>
  <c r="BJ73" i="19" a="1"/>
  <c r="BJ73" i="19" s="1"/>
  <c r="Z80" i="19"/>
  <c r="AI80" i="19"/>
  <c r="AR80" i="19"/>
  <c r="BB80" i="19"/>
  <c r="BK80" i="19"/>
  <c r="CV80" i="19"/>
  <c r="Q81" i="19" a="1"/>
  <c r="Q81" i="19" s="1"/>
  <c r="AF81" i="19" a="1"/>
  <c r="AF81" i="19" s="1"/>
  <c r="AO81" i="19" a="1"/>
  <c r="AO81" i="19" s="1"/>
  <c r="AX81" i="19" a="1"/>
  <c r="AX81" i="19" s="1"/>
  <c r="BL81" i="19" a="1"/>
  <c r="BL81" i="19" s="1"/>
  <c r="BM89" i="19" a="1"/>
  <c r="BM89" i="19" s="1"/>
  <c r="BI89" i="19" a="1"/>
  <c r="BI89" i="19" s="1"/>
  <c r="BE89" i="19" a="1"/>
  <c r="BE89" i="19" s="1"/>
  <c r="BA89" i="19" a="1"/>
  <c r="BA89" i="19" s="1"/>
  <c r="AW89" i="19" a="1"/>
  <c r="AW89" i="19" s="1"/>
  <c r="AS89" i="19" a="1"/>
  <c r="AS89" i="19" s="1"/>
  <c r="AO89" i="19" a="1"/>
  <c r="AO89" i="19" s="1"/>
  <c r="AK89" i="19" a="1"/>
  <c r="AK89" i="19" s="1"/>
  <c r="AG89" i="19" a="1"/>
  <c r="AG89" i="19" s="1"/>
  <c r="AC89" i="19" a="1"/>
  <c r="AC89" i="19" s="1"/>
  <c r="Y89" i="19" a="1"/>
  <c r="Y89" i="19" s="1"/>
  <c r="T89" i="19" a="1"/>
  <c r="T89" i="19" s="1"/>
  <c r="I89" i="19" a="1"/>
  <c r="I89" i="19" s="1"/>
  <c r="BI88" i="19"/>
  <c r="BA88" i="19"/>
  <c r="AS88" i="19"/>
  <c r="AK88" i="19"/>
  <c r="AC88" i="19"/>
  <c r="T88" i="19"/>
  <c r="I88" i="19"/>
  <c r="AD88" i="19"/>
  <c r="AM88" i="19"/>
  <c r="AV88" i="19"/>
  <c r="BE88" i="19"/>
  <c r="BN88" i="19"/>
  <c r="Z89" i="19" a="1"/>
  <c r="Z89" i="19" s="1"/>
  <c r="AI89" i="19" a="1"/>
  <c r="AI89" i="19" s="1"/>
  <c r="AR89" i="19" a="1"/>
  <c r="AR89" i="19" s="1"/>
  <c r="BF89" i="19" a="1"/>
  <c r="BF89" i="19" s="1"/>
  <c r="BO89" i="19" a="1"/>
  <c r="BO89" i="19" s="1"/>
  <c r="BM101" i="19" a="1"/>
  <c r="BM101" i="19" s="1"/>
  <c r="BI101" i="19" a="1"/>
  <c r="BI101" i="19" s="1"/>
  <c r="BE101" i="19" a="1"/>
  <c r="BE101" i="19" s="1"/>
  <c r="BA101" i="19" a="1"/>
  <c r="BA101" i="19" s="1"/>
  <c r="AW101" i="19" a="1"/>
  <c r="AW101" i="19" s="1"/>
  <c r="AS101" i="19" a="1"/>
  <c r="AS101" i="19" s="1"/>
  <c r="AO101" i="19" a="1"/>
  <c r="AO101" i="19" s="1"/>
  <c r="AK101" i="19" a="1"/>
  <c r="AK101" i="19" s="1"/>
  <c r="AG101" i="19" a="1"/>
  <c r="AG101" i="19" s="1"/>
  <c r="AC101" i="19" a="1"/>
  <c r="AC101" i="19" s="1"/>
  <c r="Y101" i="19" a="1"/>
  <c r="Y101" i="19" s="1"/>
  <c r="T101" i="19" a="1"/>
  <c r="T101" i="19" s="1"/>
  <c r="I101" i="19" a="1"/>
  <c r="I101" i="19" s="1"/>
  <c r="DF100" i="19"/>
  <c r="CX100" i="19"/>
  <c r="CP100" i="19"/>
  <c r="CH100" i="19"/>
  <c r="BZ100" i="19"/>
  <c r="BR100" i="19"/>
  <c r="BI100" i="19"/>
  <c r="BA100" i="19"/>
  <c r="AS100" i="19"/>
  <c r="AK100" i="19"/>
  <c r="AC100" i="19"/>
  <c r="T100" i="19"/>
  <c r="I100" i="19"/>
  <c r="BH101" i="19" a="1"/>
  <c r="BH101" i="19" s="1"/>
  <c r="AY101" i="19" a="1"/>
  <c r="AY101" i="19" s="1"/>
  <c r="AP101" i="19" a="1"/>
  <c r="AP101" i="19" s="1"/>
  <c r="AB101" i="19" a="1"/>
  <c r="AB101" i="19" s="1"/>
  <c r="DD100" i="19"/>
  <c r="CU100" i="19"/>
  <c r="CL100" i="19"/>
  <c r="CC100" i="19"/>
  <c r="BT100" i="19"/>
  <c r="BJ100" i="19"/>
  <c r="AZ100" i="19"/>
  <c r="AQ100" i="19"/>
  <c r="AH100" i="19"/>
  <c r="Y100" i="19"/>
  <c r="O100" i="19"/>
  <c r="AR101" i="19" a="1"/>
  <c r="AR101" i="19" s="1"/>
  <c r="AM101" i="19" a="1"/>
  <c r="AM101" i="19" s="1"/>
  <c r="AH101" i="19" a="1"/>
  <c r="AH101" i="19" s="1"/>
  <c r="Q101" i="19" a="1"/>
  <c r="Q101" i="19" s="1"/>
  <c r="DG100" i="19"/>
  <c r="CV100" i="19"/>
  <c r="CK100" i="19"/>
  <c r="CA100" i="19"/>
  <c r="BO100" i="19"/>
  <c r="BE100" i="19"/>
  <c r="AU100" i="19"/>
  <c r="AJ100" i="19"/>
  <c r="Z100" i="19"/>
  <c r="N100" i="19"/>
  <c r="BL101" i="19" a="1"/>
  <c r="BL101" i="19" s="1"/>
  <c r="BG101" i="19" a="1"/>
  <c r="BG101" i="19" s="1"/>
  <c r="BB101" i="19" a="1"/>
  <c r="BB101" i="19" s="1"/>
  <c r="DE100" i="19"/>
  <c r="CT100" i="19"/>
  <c r="CJ100" i="19"/>
  <c r="BY100" i="19"/>
  <c r="BN100" i="19"/>
  <c r="BD100" i="19"/>
  <c r="AT100" i="19"/>
  <c r="AI100" i="19"/>
  <c r="W100" i="19"/>
  <c r="M100" i="19"/>
  <c r="AV101" i="19" a="1"/>
  <c r="AV101" i="19" s="1"/>
  <c r="AQ101" i="19" a="1"/>
  <c r="AQ101" i="19" s="1"/>
  <c r="AL101" i="19" a="1"/>
  <c r="AL101" i="19" s="1"/>
  <c r="AF101" i="19" a="1"/>
  <c r="AF101" i="19" s="1"/>
  <c r="AA101" i="19" a="1"/>
  <c r="AA101" i="19" s="1"/>
  <c r="U101" i="19" a="1"/>
  <c r="U101" i="19" s="1"/>
  <c r="DC100" i="19"/>
  <c r="CS100" i="19"/>
  <c r="CI100" i="19"/>
  <c r="BX100" i="19"/>
  <c r="BM100" i="19"/>
  <c r="BC100" i="19"/>
  <c r="AR100" i="19"/>
  <c r="AG100" i="19"/>
  <c r="V100" i="19"/>
  <c r="H100" i="19"/>
  <c r="AZ101" i="19" a="1"/>
  <c r="AZ101" i="19" s="1"/>
  <c r="AU101" i="19" a="1"/>
  <c r="AU101" i="19" s="1"/>
  <c r="AJ101" i="19" a="1"/>
  <c r="AJ101" i="19" s="1"/>
  <c r="AE101" i="19" a="1"/>
  <c r="AE101" i="19" s="1"/>
  <c r="Z101" i="19" a="1"/>
  <c r="Z101" i="19" s="1"/>
  <c r="DA100" i="19"/>
  <c r="CQ100" i="19"/>
  <c r="CF100" i="19"/>
  <c r="BV100" i="19"/>
  <c r="BK100" i="19"/>
  <c r="AY100" i="19"/>
  <c r="AO100" i="19"/>
  <c r="AE100" i="19"/>
  <c r="S100" i="19"/>
  <c r="BD101" i="19" a="1"/>
  <c r="BD101" i="19" s="1"/>
  <c r="AN101" i="19" a="1"/>
  <c r="AN101" i="19" s="1"/>
  <c r="AI101" i="19" a="1"/>
  <c r="AI101" i="19" s="1"/>
  <c r="AD101" i="19" a="1"/>
  <c r="AD101" i="19" s="1"/>
  <c r="M101" i="19" a="1"/>
  <c r="M101" i="19" s="1"/>
  <c r="DI100" i="19"/>
  <c r="CY100" i="19"/>
  <c r="CN100" i="19"/>
  <c r="CD100" i="19"/>
  <c r="BS100" i="19"/>
  <c r="BG100" i="19"/>
  <c r="AW100" i="19"/>
  <c r="AM100" i="19"/>
  <c r="AB100" i="19"/>
  <c r="Q100" i="19"/>
  <c r="AN100" i="19"/>
  <c r="BP100" i="19"/>
  <c r="CR100" i="19"/>
  <c r="AT101" i="19" a="1"/>
  <c r="AT101" i="19" s="1"/>
  <c r="AH103" i="19"/>
  <c r="BM103" i="19"/>
  <c r="CT103" i="19"/>
  <c r="AM104" i="19" a="1"/>
  <c r="AM104" i="19" s="1"/>
  <c r="BC104" i="19" a="1"/>
  <c r="BC104" i="19" s="1"/>
  <c r="BD98" i="20" a="1"/>
  <c r="BD98" i="20" s="1"/>
  <c r="BD86" i="20" a="1"/>
  <c r="BD86" i="20" s="1"/>
  <c r="BD55" i="20"/>
  <c r="BD92" i="20" a="1"/>
  <c r="BD92" i="20" s="1"/>
  <c r="BD77" i="20" a="1"/>
  <c r="BD77" i="20" s="1"/>
  <c r="BD56" i="20"/>
  <c r="BD71" i="20" a="1"/>
  <c r="BD71" i="20" s="1"/>
  <c r="BD62" i="20" a="1"/>
  <c r="BD62" i="20" s="1"/>
  <c r="BL104" i="20" a="1"/>
  <c r="BL104" i="20" s="1"/>
  <c r="BL98" i="20" a="1"/>
  <c r="BL98" i="20" s="1"/>
  <c r="BL86" i="20" a="1"/>
  <c r="BL86" i="20" s="1"/>
  <c r="BL55" i="20"/>
  <c r="BL80" i="20" a="1"/>
  <c r="BL80" i="20" s="1"/>
  <c r="BL65" i="20" a="1"/>
  <c r="BL65" i="20" s="1"/>
  <c r="BL95" i="20" a="1"/>
  <c r="BL95" i="20" s="1"/>
  <c r="BL71" i="20" a="1"/>
  <c r="BL71" i="20" s="1"/>
  <c r="BL62" i="20" a="1"/>
  <c r="BL62" i="20" s="1"/>
  <c r="BL56" i="20"/>
  <c r="BL77" i="20" a="1"/>
  <c r="BL77" i="20" s="1"/>
  <c r="BT98" i="20" a="1"/>
  <c r="BT98" i="20" s="1"/>
  <c r="BT77" i="20" a="1"/>
  <c r="BT77" i="20" s="1"/>
  <c r="BT86" i="20" a="1"/>
  <c r="BT86" i="20" s="1"/>
  <c r="BT55" i="20"/>
  <c r="BT62" i="20" a="1"/>
  <c r="BT62" i="20" s="1"/>
  <c r="BT56" i="20"/>
  <c r="BT71" i="20" a="1"/>
  <c r="BT71" i="20" s="1"/>
  <c r="CB98" i="20" a="1"/>
  <c r="CB98" i="20" s="1"/>
  <c r="CB104" i="20" a="1"/>
  <c r="CB104" i="20" s="1"/>
  <c r="CB86" i="20" a="1"/>
  <c r="CB86" i="20" s="1"/>
  <c r="CB77" i="20" a="1"/>
  <c r="CB77" i="20" s="1"/>
  <c r="CB55" i="20"/>
  <c r="CB92" i="20" a="1"/>
  <c r="CB92" i="20" s="1"/>
  <c r="CB80" i="20" a="1"/>
  <c r="CB80" i="20" s="1"/>
  <c r="CB65" i="20" a="1"/>
  <c r="CB65" i="20" s="1"/>
  <c r="CB62" i="20" a="1"/>
  <c r="CB62" i="20" s="1"/>
  <c r="CB71" i="20" a="1"/>
  <c r="CB71" i="20" s="1"/>
  <c r="CB56" i="20"/>
  <c r="CJ98" i="20" a="1"/>
  <c r="CJ98" i="20" s="1"/>
  <c r="CJ86" i="20" a="1"/>
  <c r="CJ86" i="20" s="1"/>
  <c r="CJ55" i="20"/>
  <c r="CJ77" i="20" a="1"/>
  <c r="CJ77" i="20" s="1"/>
  <c r="CJ56" i="20"/>
  <c r="CJ71" i="20" a="1"/>
  <c r="CJ71" i="20" s="1"/>
  <c r="CJ62" i="20" a="1"/>
  <c r="CJ62" i="20" s="1"/>
  <c r="CJ92" i="20" a="1"/>
  <c r="CJ92" i="20" s="1"/>
  <c r="CR104" i="20" a="1"/>
  <c r="CR104" i="20" s="1"/>
  <c r="CR95" i="20" a="1"/>
  <c r="CR95" i="20" s="1"/>
  <c r="CR86" i="20" a="1"/>
  <c r="CR86" i="20" s="1"/>
  <c r="CR55" i="20"/>
  <c r="CR98" i="20" a="1"/>
  <c r="CR98" i="20" s="1"/>
  <c r="CR80" i="20" a="1"/>
  <c r="CR80" i="20" s="1"/>
  <c r="CR77" i="20" a="1"/>
  <c r="CR77" i="20" s="1"/>
  <c r="CR65" i="20" a="1"/>
  <c r="CR65" i="20" s="1"/>
  <c r="CR71" i="20" a="1"/>
  <c r="CR71" i="20" s="1"/>
  <c r="CR62" i="20" a="1"/>
  <c r="CR62" i="20" s="1"/>
  <c r="CR56" i="20"/>
  <c r="BG71" i="20" a="1"/>
  <c r="BG71" i="20" s="1"/>
  <c r="BG85" i="20"/>
  <c r="BG77" i="20" a="1"/>
  <c r="BG77" i="20" s="1"/>
  <c r="BG62" i="20" a="1"/>
  <c r="BG62" i="20" s="1"/>
  <c r="BG74" i="20" a="1"/>
  <c r="BG74" i="20" s="1"/>
  <c r="BG55" i="20"/>
  <c r="BG56" i="20"/>
  <c r="BO85" i="20"/>
  <c r="BO56" i="20"/>
  <c r="BO74" i="20" a="1"/>
  <c r="BO74" i="20" s="1"/>
  <c r="BO62" i="20" a="1"/>
  <c r="BO62" i="20" s="1"/>
  <c r="BO71" i="20" a="1"/>
  <c r="BO71" i="20" s="1"/>
  <c r="BO55" i="20"/>
  <c r="BO68" i="20" a="1"/>
  <c r="BO68" i="20" s="1"/>
  <c r="BW77" i="20" a="1"/>
  <c r="BW77" i="20" s="1"/>
  <c r="BW85" i="20"/>
  <c r="BW92" i="20" a="1"/>
  <c r="BW92" i="20" s="1"/>
  <c r="BW62" i="20" a="1"/>
  <c r="BW62" i="20" s="1"/>
  <c r="BW55" i="20"/>
  <c r="BW56" i="20"/>
  <c r="BW71" i="20" a="1"/>
  <c r="BW71" i="20" s="1"/>
  <c r="BW74" i="20" a="1"/>
  <c r="BW74" i="20" s="1"/>
  <c r="CE98" i="20" a="1"/>
  <c r="CE98" i="20" s="1"/>
  <c r="CE77" i="20" a="1"/>
  <c r="CE77" i="20" s="1"/>
  <c r="CE71" i="20" a="1"/>
  <c r="CE71" i="20" s="1"/>
  <c r="CE55" i="20"/>
  <c r="CE85" i="20"/>
  <c r="CE62" i="20" a="1"/>
  <c r="CE62" i="20" s="1"/>
  <c r="CE56" i="20"/>
  <c r="CM85" i="20"/>
  <c r="CM71" i="20" a="1"/>
  <c r="CM71" i="20" s="1"/>
  <c r="CM62" i="20" a="1"/>
  <c r="CM62" i="20" s="1"/>
  <c r="CM74" i="20" a="1"/>
  <c r="CM74" i="20" s="1"/>
  <c r="CM77" i="20" a="1"/>
  <c r="CM77" i="20" s="1"/>
  <c r="CM55" i="20"/>
  <c r="CM56" i="20"/>
  <c r="CU85" i="20"/>
  <c r="CU56" i="20"/>
  <c r="CU74" i="20" a="1"/>
  <c r="CU74" i="20" s="1"/>
  <c r="CU62" i="20" a="1"/>
  <c r="CU62" i="20" s="1"/>
  <c r="CU71" i="20" a="1"/>
  <c r="CU71" i="20" s="1"/>
  <c r="CU68" i="20" a="1"/>
  <c r="CU68" i="20" s="1"/>
  <c r="CU55" i="20"/>
  <c r="BP55" i="20"/>
  <c r="BE98" i="20" a="1"/>
  <c r="BE98" i="20" s="1"/>
  <c r="BE56" i="20"/>
  <c r="BE92" i="20" a="1"/>
  <c r="BE92" i="20" s="1"/>
  <c r="BE77" i="20" a="1"/>
  <c r="BE77" i="20" s="1"/>
  <c r="BE74" i="20" a="1"/>
  <c r="BE74" i="20" s="1"/>
  <c r="BE65" i="20" a="1"/>
  <c r="BE65" i="20" s="1"/>
  <c r="BE86" i="20" a="1"/>
  <c r="BE86" i="20" s="1"/>
  <c r="BE62" i="20" a="1"/>
  <c r="BE62" i="20" s="1"/>
  <c r="BE59" i="20" a="1"/>
  <c r="BE59" i="20" s="1"/>
  <c r="BE55" i="20"/>
  <c r="BE80" i="20" a="1"/>
  <c r="BE80" i="20" s="1"/>
  <c r="BM98" i="20" a="1"/>
  <c r="BM98" i="20" s="1"/>
  <c r="BM104" i="20" a="1"/>
  <c r="BM104" i="20" s="1"/>
  <c r="BM56" i="20"/>
  <c r="BM80" i="20" a="1"/>
  <c r="BM80" i="20" s="1"/>
  <c r="BM77" i="20" a="1"/>
  <c r="BM77" i="20" s="1"/>
  <c r="BM62" i="20" a="1"/>
  <c r="BM62" i="20" s="1"/>
  <c r="BM55" i="20"/>
  <c r="BM86" i="20" a="1"/>
  <c r="BM86" i="20" s="1"/>
  <c r="BM92" i="20" a="1"/>
  <c r="BM92" i="20" s="1"/>
  <c r="BM65" i="20" a="1"/>
  <c r="BM65" i="20" s="1"/>
  <c r="BU56" i="20"/>
  <c r="BU95" i="20" a="1"/>
  <c r="BU95" i="20" s="1"/>
  <c r="BU65" i="20" a="1"/>
  <c r="BU65" i="20" s="1"/>
  <c r="BU98" i="20" a="1"/>
  <c r="BU98" i="20" s="1"/>
  <c r="BU62" i="20" a="1"/>
  <c r="BU62" i="20" s="1"/>
  <c r="BU86" i="20" a="1"/>
  <c r="BU86" i="20" s="1"/>
  <c r="BU80" i="20" a="1"/>
  <c r="BU80" i="20" s="1"/>
  <c r="BU74" i="20" a="1"/>
  <c r="BU74" i="20" s="1"/>
  <c r="BU59" i="20" a="1"/>
  <c r="BU59" i="20" s="1"/>
  <c r="BU77" i="20" a="1"/>
  <c r="BU77" i="20" s="1"/>
  <c r="BU55" i="20"/>
  <c r="CC98" i="20" a="1"/>
  <c r="CC98" i="20" s="1"/>
  <c r="CC77" i="20" a="1"/>
  <c r="CC77" i="20" s="1"/>
  <c r="CC56" i="20"/>
  <c r="CC104" i="20" a="1"/>
  <c r="CC104" i="20" s="1"/>
  <c r="CC80" i="20" a="1"/>
  <c r="CC80" i="20" s="1"/>
  <c r="CC62" i="20" a="1"/>
  <c r="CC62" i="20" s="1"/>
  <c r="CC86" i="20" a="1"/>
  <c r="CC86" i="20" s="1"/>
  <c r="CC55" i="20"/>
  <c r="CC74" i="20" a="1"/>
  <c r="CC74" i="20" s="1"/>
  <c r="CC68" i="20" a="1"/>
  <c r="CC68" i="20" s="1"/>
  <c r="CC65" i="20" a="1"/>
  <c r="CC65" i="20" s="1"/>
  <c r="CK98" i="20" a="1"/>
  <c r="CK98" i="20" s="1"/>
  <c r="CK56" i="20"/>
  <c r="CK77" i="20" a="1"/>
  <c r="CK77" i="20" s="1"/>
  <c r="CK86" i="20" a="1"/>
  <c r="CK86" i="20" s="1"/>
  <c r="CK65" i="20" a="1"/>
  <c r="CK65" i="20" s="1"/>
  <c r="CK92" i="20" a="1"/>
  <c r="CK92" i="20" s="1"/>
  <c r="CK62" i="20" a="1"/>
  <c r="CK62" i="20" s="1"/>
  <c r="CK80" i="20" a="1"/>
  <c r="CK80" i="20" s="1"/>
  <c r="CK74" i="20" a="1"/>
  <c r="CK74" i="20" s="1"/>
  <c r="CK55" i="20"/>
  <c r="CK59" i="20" a="1"/>
  <c r="CK59" i="20" s="1"/>
  <c r="CS98" i="20" a="1"/>
  <c r="CS98" i="20" s="1"/>
  <c r="CS104" i="20" a="1"/>
  <c r="CS104" i="20" s="1"/>
  <c r="CS56" i="20"/>
  <c r="CS92" i="20" a="1"/>
  <c r="CS92" i="20" s="1"/>
  <c r="CS80" i="20" a="1"/>
  <c r="CS80" i="20" s="1"/>
  <c r="CS77" i="20" a="1"/>
  <c r="CS77" i="20" s="1"/>
  <c r="CS62" i="20" a="1"/>
  <c r="CS62" i="20" s="1"/>
  <c r="CS55" i="20"/>
  <c r="CS86" i="20" a="1"/>
  <c r="CS86" i="20" s="1"/>
  <c r="CS65" i="20" a="1"/>
  <c r="CS65" i="20" s="1"/>
  <c r="BV58" i="20"/>
  <c r="BF98" i="20" a="1"/>
  <c r="BF98" i="20" s="1"/>
  <c r="BF104" i="20" a="1"/>
  <c r="BF104" i="20" s="1"/>
  <c r="BF55" i="20"/>
  <c r="BF77" i="20" a="1"/>
  <c r="BF77" i="20" s="1"/>
  <c r="BF56" i="20"/>
  <c r="BF62" i="20" a="1"/>
  <c r="BF62" i="20" s="1"/>
  <c r="BF80" i="20" a="1"/>
  <c r="BF80" i="20" s="1"/>
  <c r="BF74" i="20" a="1"/>
  <c r="BF74" i="20" s="1"/>
  <c r="BN98" i="20" a="1"/>
  <c r="BN98" i="20" s="1"/>
  <c r="BN55" i="20"/>
  <c r="BN80" i="20" a="1"/>
  <c r="BN80" i="20" s="1"/>
  <c r="BN77" i="20" a="1"/>
  <c r="BN77" i="20" s="1"/>
  <c r="BN89" i="20" a="1"/>
  <c r="BN89" i="20" s="1"/>
  <c r="BN62" i="20" a="1"/>
  <c r="BN62" i="20" s="1"/>
  <c r="BN74" i="20" a="1"/>
  <c r="BN74" i="20" s="1"/>
  <c r="BV104" i="20" a="1"/>
  <c r="BV104" i="20" s="1"/>
  <c r="BV98" i="20" a="1"/>
  <c r="BV98" i="20" s="1"/>
  <c r="BV55" i="20"/>
  <c r="BV62" i="20" a="1"/>
  <c r="BV62" i="20" s="1"/>
  <c r="BV80" i="20" a="1"/>
  <c r="BV80" i="20" s="1"/>
  <c r="BV56" i="20"/>
  <c r="BV77" i="20" a="1"/>
  <c r="BV77" i="20" s="1"/>
  <c r="BV68" i="20" a="1"/>
  <c r="BV68" i="20" s="1"/>
  <c r="CD98" i="20" a="1"/>
  <c r="CD98" i="20" s="1"/>
  <c r="CD55" i="20"/>
  <c r="CD95" i="20" a="1"/>
  <c r="CD95" i="20" s="1"/>
  <c r="CD80" i="20" a="1"/>
  <c r="CD80" i="20" s="1"/>
  <c r="CD77" i="20" a="1"/>
  <c r="CD77" i="20" s="1"/>
  <c r="CD62" i="20" a="1"/>
  <c r="CD62" i="20" s="1"/>
  <c r="CD56" i="20"/>
  <c r="CL98" i="20" a="1"/>
  <c r="CL98" i="20" s="1"/>
  <c r="CL104" i="20" a="1"/>
  <c r="CL104" i="20" s="1"/>
  <c r="CL55" i="20"/>
  <c r="CL77" i="20" a="1"/>
  <c r="CL77" i="20" s="1"/>
  <c r="CL56" i="20"/>
  <c r="CL80" i="20" a="1"/>
  <c r="CL80" i="20" s="1"/>
  <c r="CL62" i="20" a="1"/>
  <c r="CL62" i="20" s="1"/>
  <c r="CT98" i="20" a="1"/>
  <c r="CT98" i="20" s="1"/>
  <c r="CT55" i="20"/>
  <c r="CT80" i="20" a="1"/>
  <c r="CT80" i="20" s="1"/>
  <c r="CT77" i="20" a="1"/>
  <c r="CT77" i="20" s="1"/>
  <c r="CT89" i="20" a="1"/>
  <c r="CT89" i="20" s="1"/>
  <c r="CT62" i="20" a="1"/>
  <c r="CT62" i="20" s="1"/>
  <c r="CT56" i="20"/>
  <c r="BR64" i="20"/>
  <c r="BZ64" i="20"/>
  <c r="CH64" i="20"/>
  <c r="CB64" i="20"/>
  <c r="AA67" i="19"/>
  <c r="AI67" i="19"/>
  <c r="AQ67" i="19"/>
  <c r="AY67" i="19"/>
  <c r="BG67" i="19"/>
  <c r="BO67" i="19"/>
  <c r="M68" i="19" a="1"/>
  <c r="M68" i="19" s="1"/>
  <c r="Q68" i="19" a="1"/>
  <c r="Q68" i="19" s="1"/>
  <c r="U68" i="19" a="1"/>
  <c r="U68" i="19" s="1"/>
  <c r="Z68" i="19" a="1"/>
  <c r="Z68" i="19" s="1"/>
  <c r="AD68" i="19" a="1"/>
  <c r="AD68" i="19" s="1"/>
  <c r="AH68" i="19" a="1"/>
  <c r="AH68" i="19" s="1"/>
  <c r="AL68" i="19" a="1"/>
  <c r="AL68" i="19" s="1"/>
  <c r="AP68" i="19" a="1"/>
  <c r="AP68" i="19" s="1"/>
  <c r="AT68" i="19" a="1"/>
  <c r="AT68" i="19" s="1"/>
  <c r="AX68" i="19" a="1"/>
  <c r="AX68" i="19" s="1"/>
  <c r="BB68" i="19" a="1"/>
  <c r="BB68" i="19" s="1"/>
  <c r="BF68" i="19" a="1"/>
  <c r="BF68" i="19" s="1"/>
  <c r="BJ68" i="19" a="1"/>
  <c r="BJ68" i="19" s="1"/>
  <c r="BN68" i="19" a="1"/>
  <c r="BN68" i="19" s="1"/>
  <c r="AA75" i="19"/>
  <c r="AI75" i="19"/>
  <c r="AQ75" i="19"/>
  <c r="AY75" i="19"/>
  <c r="BG75" i="19"/>
  <c r="BO75" i="19"/>
  <c r="M76" i="19" a="1"/>
  <c r="M76" i="19" s="1"/>
  <c r="Q76" i="19" a="1"/>
  <c r="Q76" i="19" s="1"/>
  <c r="U76" i="19" a="1"/>
  <c r="U76" i="19" s="1"/>
  <c r="Z76" i="19" a="1"/>
  <c r="Z76" i="19" s="1"/>
  <c r="AD76" i="19" a="1"/>
  <c r="AD76" i="19" s="1"/>
  <c r="AH76" i="19" a="1"/>
  <c r="AH76" i="19" s="1"/>
  <c r="AL76" i="19" a="1"/>
  <c r="AL76" i="19" s="1"/>
  <c r="AP76" i="19" a="1"/>
  <c r="AP76" i="19" s="1"/>
  <c r="AT76" i="19" a="1"/>
  <c r="AT76" i="19" s="1"/>
  <c r="AX76" i="19" a="1"/>
  <c r="AX76" i="19" s="1"/>
  <c r="BB76" i="19" a="1"/>
  <c r="BB76" i="19" s="1"/>
  <c r="BF76" i="19" a="1"/>
  <c r="BF76" i="19" s="1"/>
  <c r="BJ76" i="19" a="1"/>
  <c r="BJ76" i="19" s="1"/>
  <c r="BN76" i="19" a="1"/>
  <c r="BN76" i="19" s="1"/>
  <c r="R83" i="19"/>
  <c r="AA83" i="19"/>
  <c r="AI83" i="19"/>
  <c r="AQ83" i="19"/>
  <c r="AY83" i="19"/>
  <c r="BG83" i="19"/>
  <c r="BO83" i="19"/>
  <c r="M84" i="19" a="1"/>
  <c r="M84" i="19" s="1"/>
  <c r="Q84" i="19" a="1"/>
  <c r="Q84" i="19" s="1"/>
  <c r="U84" i="19" a="1"/>
  <c r="U84" i="19" s="1"/>
  <c r="Z84" i="19" a="1"/>
  <c r="Z84" i="19" s="1"/>
  <c r="AD84" i="19" a="1"/>
  <c r="AD84" i="19" s="1"/>
  <c r="AH84" i="19" a="1"/>
  <c r="AH84" i="19" s="1"/>
  <c r="AL84" i="19" a="1"/>
  <c r="AL84" i="19" s="1"/>
  <c r="AP84" i="19" a="1"/>
  <c r="AP84" i="19" s="1"/>
  <c r="AT84" i="19" a="1"/>
  <c r="AT84" i="19" s="1"/>
  <c r="AX84" i="19" a="1"/>
  <c r="AX84" i="19" s="1"/>
  <c r="BB84" i="19" a="1"/>
  <c r="BB84" i="19" s="1"/>
  <c r="BF84" i="19" a="1"/>
  <c r="BF84" i="19" s="1"/>
  <c r="BJ84" i="19" a="1"/>
  <c r="BJ84" i="19" s="1"/>
  <c r="BN84" i="19" a="1"/>
  <c r="BN84" i="19" s="1"/>
  <c r="BP92" i="19" a="1"/>
  <c r="BP92" i="19" s="1"/>
  <c r="BL92" i="19" a="1"/>
  <c r="BL92" i="19" s="1"/>
  <c r="BH92" i="19" a="1"/>
  <c r="BH92" i="19" s="1"/>
  <c r="BD92" i="19" a="1"/>
  <c r="BD92" i="19" s="1"/>
  <c r="AZ92" i="19" a="1"/>
  <c r="AZ92" i="19" s="1"/>
  <c r="AV92" i="19" a="1"/>
  <c r="AV92" i="19" s="1"/>
  <c r="AR92" i="19" a="1"/>
  <c r="AR92" i="19" s="1"/>
  <c r="AN92" i="19" a="1"/>
  <c r="AN92" i="19" s="1"/>
  <c r="AJ92" i="19" a="1"/>
  <c r="AJ92" i="19" s="1"/>
  <c r="AF92" i="19" a="1"/>
  <c r="AF92" i="19" s="1"/>
  <c r="AB92" i="19" a="1"/>
  <c r="AB92" i="19" s="1"/>
  <c r="W92" i="19" a="1"/>
  <c r="W92" i="19" s="1"/>
  <c r="BO91" i="19"/>
  <c r="AA91" i="19"/>
  <c r="AI91" i="19"/>
  <c r="AQ91" i="19"/>
  <c r="AY91" i="19"/>
  <c r="BG91" i="19"/>
  <c r="BP91" i="19"/>
  <c r="DA91" i="19"/>
  <c r="I92" i="19" a="1"/>
  <c r="I92" i="19" s="1"/>
  <c r="U92" i="19" a="1"/>
  <c r="U92" i="19" s="1"/>
  <c r="AE92" i="19" a="1"/>
  <c r="AE92" i="19" s="1"/>
  <c r="AS92" i="19" a="1"/>
  <c r="AS92" i="19" s="1"/>
  <c r="BB92" i="19" a="1"/>
  <c r="BB92" i="19" s="1"/>
  <c r="BK92" i="19" a="1"/>
  <c r="BK92" i="19" s="1"/>
  <c r="BO95" i="19" a="1"/>
  <c r="BO95" i="19" s="1"/>
  <c r="BK95" i="19" a="1"/>
  <c r="BK95" i="19" s="1"/>
  <c r="BG95" i="19" a="1"/>
  <c r="BG95" i="19" s="1"/>
  <c r="BC95" i="19" a="1"/>
  <c r="BC95" i="19" s="1"/>
  <c r="AY95" i="19" a="1"/>
  <c r="AY95" i="19" s="1"/>
  <c r="AU95" i="19" a="1"/>
  <c r="AU95" i="19" s="1"/>
  <c r="AQ95" i="19" a="1"/>
  <c r="AQ95" i="19" s="1"/>
  <c r="AM95" i="19" a="1"/>
  <c r="AM95" i="19" s="1"/>
  <c r="AI95" i="19" a="1"/>
  <c r="AI95" i="19" s="1"/>
  <c r="AE95" i="19" a="1"/>
  <c r="AE95" i="19" s="1"/>
  <c r="AA95" i="19" a="1"/>
  <c r="AA95" i="19" s="1"/>
  <c r="N95" i="19" a="1"/>
  <c r="N95" i="19" s="1"/>
  <c r="DB94" i="19"/>
  <c r="CT94" i="19"/>
  <c r="CL94" i="19"/>
  <c r="CD94" i="19"/>
  <c r="BV94" i="19"/>
  <c r="BM94" i="19"/>
  <c r="BE94" i="19"/>
  <c r="AW94" i="19"/>
  <c r="AO94" i="19"/>
  <c r="AG94" i="19"/>
  <c r="Y94" i="19"/>
  <c r="P94" i="19"/>
  <c r="S94" i="19"/>
  <c r="AC94" i="19"/>
  <c r="AL94" i="19"/>
  <c r="AU94" i="19"/>
  <c r="BD94" i="19"/>
  <c r="BN94" i="19"/>
  <c r="CP94" i="19"/>
  <c r="CY94" i="19"/>
  <c r="DH94" i="19"/>
  <c r="T95" i="19" a="1"/>
  <c r="T95" i="19" s="1"/>
  <c r="AD95" i="19" a="1"/>
  <c r="AD95" i="19" s="1"/>
  <c r="AR95" i="19" a="1"/>
  <c r="AR95" i="19" s="1"/>
  <c r="BA95" i="19" a="1"/>
  <c r="BA95" i="19" s="1"/>
  <c r="BJ95" i="19" a="1"/>
  <c r="BJ95" i="19" s="1"/>
  <c r="DC106" i="19"/>
  <c r="CU106" i="19"/>
  <c r="CM106" i="19"/>
  <c r="CE106" i="19"/>
  <c r="BW106" i="19"/>
  <c r="BN106" i="19"/>
  <c r="BF106" i="19"/>
  <c r="AX106" i="19"/>
  <c r="AP106" i="19"/>
  <c r="AH106" i="19"/>
  <c r="Z106" i="19"/>
  <c r="Q106" i="19"/>
  <c r="BM107" i="19" a="1"/>
  <c r="BM107" i="19" s="1"/>
  <c r="BD107" i="19" a="1"/>
  <c r="BD107" i="19" s="1"/>
  <c r="AY107" i="19" a="1"/>
  <c r="AY107" i="19" s="1"/>
  <c r="AP107" i="19" a="1"/>
  <c r="AP107" i="19" s="1"/>
  <c r="AG107" i="19" a="1"/>
  <c r="AG107" i="19" s="1"/>
  <c r="W107" i="19" a="1"/>
  <c r="W107" i="19" s="1"/>
  <c r="DE106" i="19"/>
  <c r="CV106" i="19"/>
  <c r="CL106" i="19"/>
  <c r="CC106" i="19"/>
  <c r="BT106" i="19"/>
  <c r="BJ106" i="19"/>
  <c r="BA106" i="19"/>
  <c r="AR106" i="19"/>
  <c r="AI106" i="19"/>
  <c r="Y106" i="19"/>
  <c r="O106" i="19"/>
  <c r="T106" i="19"/>
  <c r="AE106" i="19"/>
  <c r="AO106" i="19"/>
  <c r="AZ106" i="19"/>
  <c r="BK106" i="19"/>
  <c r="BV106" i="19"/>
  <c r="CG106" i="19"/>
  <c r="CQ106" i="19"/>
  <c r="DA106" i="19"/>
  <c r="T107" i="19" a="1"/>
  <c r="T107" i="19" s="1"/>
  <c r="Z107" i="19" a="1"/>
  <c r="Z107" i="19" s="1"/>
  <c r="AE107" i="19" a="1"/>
  <c r="AE107" i="19" s="1"/>
  <c r="AU107" i="19" a="1"/>
  <c r="AU107" i="19" s="1"/>
  <c r="BP107" i="19" a="1"/>
  <c r="BP107" i="19" s="1"/>
  <c r="DI109" i="19"/>
  <c r="DA109" i="19"/>
  <c r="CS109" i="19"/>
  <c r="CK109" i="19"/>
  <c r="CC109" i="19"/>
  <c r="BU109" i="19"/>
  <c r="BL109" i="19"/>
  <c r="BD109" i="19"/>
  <c r="AV109" i="19"/>
  <c r="AN109" i="19"/>
  <c r="AF109" i="19"/>
  <c r="W109" i="19"/>
  <c r="O109" i="19"/>
  <c r="BL110" i="19" a="1"/>
  <c r="BL110" i="19" s="1"/>
  <c r="BC110" i="19" a="1"/>
  <c r="BC110" i="19" s="1"/>
  <c r="AX110" i="19" a="1"/>
  <c r="AX110" i="19" s="1"/>
  <c r="AO110" i="19" a="1"/>
  <c r="AO110" i="19" s="1"/>
  <c r="AF110" i="19" a="1"/>
  <c r="AF110" i="19" s="1"/>
  <c r="Q110" i="19" a="1"/>
  <c r="Q110" i="19" s="1"/>
  <c r="DC109" i="19"/>
  <c r="CT109" i="19"/>
  <c r="CJ109" i="19"/>
  <c r="CA109" i="19"/>
  <c r="BR109" i="19"/>
  <c r="BH109" i="19"/>
  <c r="AY109" i="19"/>
  <c r="AP109" i="19"/>
  <c r="AG109" i="19"/>
  <c r="V109" i="19"/>
  <c r="M109" i="19"/>
  <c r="T109" i="19"/>
  <c r="AE109" i="19"/>
  <c r="AQ109" i="19"/>
  <c r="BA109" i="19"/>
  <c r="BK109" i="19"/>
  <c r="BW109" i="19"/>
  <c r="CG109" i="19"/>
  <c r="CQ109" i="19"/>
  <c r="DB109" i="19"/>
  <c r="T110" i="19" a="1"/>
  <c r="T110" i="19" s="1"/>
  <c r="Z110" i="19" a="1"/>
  <c r="Z110" i="19" s="1"/>
  <c r="AK110" i="19" a="1"/>
  <c r="AK110" i="19" s="1"/>
  <c r="AP110" i="19" a="1"/>
  <c r="AP110" i="19" s="1"/>
  <c r="BK110" i="19" a="1"/>
  <c r="BK110" i="19" s="1"/>
  <c r="BP110" i="19" a="1"/>
  <c r="BP110" i="19" s="1"/>
  <c r="BH101" i="20" a="1"/>
  <c r="BH101" i="20" s="1"/>
  <c r="BH98" i="20" a="1"/>
  <c r="BH98" i="20" s="1"/>
  <c r="BH86" i="20" a="1"/>
  <c r="BH86" i="20" s="1"/>
  <c r="BH95" i="20" a="1"/>
  <c r="BH95" i="20" s="1"/>
  <c r="BH55" i="20"/>
  <c r="BH71" i="20" a="1"/>
  <c r="BH71" i="20" s="1"/>
  <c r="BH56" i="20"/>
  <c r="BH65" i="20" a="1"/>
  <c r="BH65" i="20" s="1"/>
  <c r="BH62" i="20" a="1"/>
  <c r="BH62" i="20" s="1"/>
  <c r="BH77" i="20" a="1"/>
  <c r="BH77" i="20" s="1"/>
  <c r="BP98" i="20" a="1"/>
  <c r="BP98" i="20" s="1"/>
  <c r="BP95" i="20" a="1"/>
  <c r="BP95" i="20" s="1"/>
  <c r="BP80" i="20" a="1"/>
  <c r="BP80" i="20" s="1"/>
  <c r="BP56" i="20"/>
  <c r="BP65" i="20" a="1"/>
  <c r="BP65" i="20" s="1"/>
  <c r="BP77" i="20" a="1"/>
  <c r="BP77" i="20" s="1"/>
  <c r="BP62" i="20" a="1"/>
  <c r="BP62" i="20" s="1"/>
  <c r="BP71" i="20" a="1"/>
  <c r="BP71" i="20" s="1"/>
  <c r="BP86" i="20" a="1"/>
  <c r="BP86" i="20" s="1"/>
  <c r="BX98" i="20" a="1"/>
  <c r="BX98" i="20" s="1"/>
  <c r="BX77" i="20" a="1"/>
  <c r="BX77" i="20" s="1"/>
  <c r="BX101" i="20" a="1"/>
  <c r="BX101" i="20" s="1"/>
  <c r="BX55" i="20"/>
  <c r="BX71" i="20" a="1"/>
  <c r="BX71" i="20" s="1"/>
  <c r="BX86" i="20" a="1"/>
  <c r="BX86" i="20" s="1"/>
  <c r="BX65" i="20" a="1"/>
  <c r="BX65" i="20" s="1"/>
  <c r="BX62" i="20" a="1"/>
  <c r="BX62" i="20" s="1"/>
  <c r="BX56" i="20"/>
  <c r="CF98" i="20" a="1"/>
  <c r="CF98" i="20" s="1"/>
  <c r="CF92" i="20" a="1"/>
  <c r="CF92" i="20" s="1"/>
  <c r="CF77" i="20" a="1"/>
  <c r="CF77" i="20" s="1"/>
  <c r="CF71" i="20" a="1"/>
  <c r="CF71" i="20" s="1"/>
  <c r="CF86" i="20" a="1"/>
  <c r="CF86" i="20" s="1"/>
  <c r="CF65" i="20" a="1"/>
  <c r="CF65" i="20" s="1"/>
  <c r="CF62" i="20" a="1"/>
  <c r="CF62" i="20" s="1"/>
  <c r="CF56" i="20"/>
  <c r="CF80" i="20" a="1"/>
  <c r="CF80" i="20" s="1"/>
  <c r="CF55" i="20"/>
  <c r="CN98" i="20" a="1"/>
  <c r="CN98" i="20" s="1"/>
  <c r="CN95" i="20" a="1"/>
  <c r="CN95" i="20" s="1"/>
  <c r="CN77" i="20" a="1"/>
  <c r="CN77" i="20" s="1"/>
  <c r="CN55" i="20"/>
  <c r="CN101" i="20" a="1"/>
  <c r="CN101" i="20" s="1"/>
  <c r="CN86" i="20" a="1"/>
  <c r="CN86" i="20" s="1"/>
  <c r="CN71" i="20" a="1"/>
  <c r="CN71" i="20" s="1"/>
  <c r="CN65" i="20" a="1"/>
  <c r="CN65" i="20" s="1"/>
  <c r="CN62" i="20" a="1"/>
  <c r="CN62" i="20" s="1"/>
  <c r="BK85" i="20"/>
  <c r="BS85" i="20"/>
  <c r="CA85" i="20"/>
  <c r="CI85" i="20"/>
  <c r="CQ85" i="20"/>
  <c r="BR76" i="20"/>
  <c r="BZ76" i="20"/>
  <c r="CH76" i="20"/>
  <c r="BK70" i="20"/>
  <c r="BS70" i="20"/>
  <c r="CA70" i="20"/>
  <c r="CI70" i="20"/>
  <c r="CQ70" i="20"/>
  <c r="BI98" i="20" a="1"/>
  <c r="BI98" i="20" s="1"/>
  <c r="BI92" i="20" a="1"/>
  <c r="BI92" i="20" s="1"/>
  <c r="BI80" i="20" a="1"/>
  <c r="BI80" i="20" s="1"/>
  <c r="BI86" i="20" a="1"/>
  <c r="BI86" i="20" s="1"/>
  <c r="BI77" i="20" a="1"/>
  <c r="BI77" i="20" s="1"/>
  <c r="BI55" i="20"/>
  <c r="BI56" i="20"/>
  <c r="BI68" i="20" a="1"/>
  <c r="BI68" i="20" s="1"/>
  <c r="BI62" i="20" a="1"/>
  <c r="BI62" i="20" s="1"/>
  <c r="BQ98" i="20" a="1"/>
  <c r="BQ98" i="20" s="1"/>
  <c r="BQ104" i="20" a="1"/>
  <c r="BQ104" i="20" s="1"/>
  <c r="BQ95" i="20" a="1"/>
  <c r="BQ95" i="20" s="1"/>
  <c r="BQ86" i="20" a="1"/>
  <c r="BQ86" i="20" s="1"/>
  <c r="BQ65" i="20" a="1"/>
  <c r="BQ65" i="20" s="1"/>
  <c r="BQ77" i="20" a="1"/>
  <c r="BQ77" i="20" s="1"/>
  <c r="BQ62" i="20" a="1"/>
  <c r="BQ62" i="20" s="1"/>
  <c r="BQ55" i="20"/>
  <c r="BQ83" i="20" a="1"/>
  <c r="BQ83" i="20" s="1"/>
  <c r="BQ80" i="20" a="1"/>
  <c r="BQ80" i="20" s="1"/>
  <c r="BQ56" i="20"/>
  <c r="BY98" i="20" a="1"/>
  <c r="BY98" i="20" s="1"/>
  <c r="BY80" i="20" a="1"/>
  <c r="BY80" i="20" s="1"/>
  <c r="BY86" i="20" a="1"/>
  <c r="BY86" i="20" s="1"/>
  <c r="BY56" i="20"/>
  <c r="BY74" i="20" a="1"/>
  <c r="BY74" i="20" s="1"/>
  <c r="BY77" i="20" a="1"/>
  <c r="BY77" i="20" s="1"/>
  <c r="BY95" i="20" a="1"/>
  <c r="BY95" i="20" s="1"/>
  <c r="BY62" i="20" a="1"/>
  <c r="BY62" i="20" s="1"/>
  <c r="BY55" i="20"/>
  <c r="CG98" i="20" a="1"/>
  <c r="CG98" i="20" s="1"/>
  <c r="CG77" i="20" a="1"/>
  <c r="CG77" i="20" s="1"/>
  <c r="CG104" i="20" a="1"/>
  <c r="CG104" i="20" s="1"/>
  <c r="CG86" i="20" a="1"/>
  <c r="CG86" i="20" s="1"/>
  <c r="CG65" i="20" a="1"/>
  <c r="CG65" i="20" s="1"/>
  <c r="CG55" i="20"/>
  <c r="CG74" i="20" a="1"/>
  <c r="CG74" i="20" s="1"/>
  <c r="CG62" i="20" a="1"/>
  <c r="CG62" i="20" s="1"/>
  <c r="CG56" i="20"/>
  <c r="CG80" i="20" a="1"/>
  <c r="CG80" i="20" s="1"/>
  <c r="CO98" i="20" a="1"/>
  <c r="CO98" i="20" s="1"/>
  <c r="CO80" i="20" a="1"/>
  <c r="CO80" i="20" s="1"/>
  <c r="CO92" i="20" a="1"/>
  <c r="CO92" i="20" s="1"/>
  <c r="CO86" i="20" a="1"/>
  <c r="CO86" i="20" s="1"/>
  <c r="CO77" i="20" a="1"/>
  <c r="CO77" i="20" s="1"/>
  <c r="CO55" i="20"/>
  <c r="CO56" i="20"/>
  <c r="CO68" i="20" a="1"/>
  <c r="CO68" i="20" s="1"/>
  <c r="CO62" i="20" a="1"/>
  <c r="CO62" i="20" s="1"/>
  <c r="BD85" i="20"/>
  <c r="BL85" i="20"/>
  <c r="BT85" i="20"/>
  <c r="CB85" i="20"/>
  <c r="CJ85" i="20"/>
  <c r="CR85" i="20"/>
  <c r="BJ98" i="20" a="1"/>
  <c r="BJ98" i="20" s="1"/>
  <c r="BJ77" i="20" a="1"/>
  <c r="BJ77" i="20" s="1"/>
  <c r="BJ74" i="20" a="1"/>
  <c r="BJ74" i="20" s="1"/>
  <c r="BJ80" i="20" a="1"/>
  <c r="BJ80" i="20" s="1"/>
  <c r="BJ56" i="20"/>
  <c r="BJ62" i="20" a="1"/>
  <c r="BJ62" i="20" s="1"/>
  <c r="BJ55" i="20"/>
  <c r="BJ59" i="20" a="1"/>
  <c r="BJ59" i="20" s="1"/>
  <c r="BR98" i="20" a="1"/>
  <c r="BR98" i="20" s="1"/>
  <c r="BR104" i="20" a="1"/>
  <c r="BR104" i="20" s="1"/>
  <c r="BR80" i="20" a="1"/>
  <c r="BR80" i="20" s="1"/>
  <c r="BR77" i="20" a="1"/>
  <c r="BR77" i="20" s="1"/>
  <c r="BR62" i="20" a="1"/>
  <c r="BR62" i="20" s="1"/>
  <c r="BR55" i="20"/>
  <c r="BR56" i="20"/>
  <c r="BZ98" i="20" a="1"/>
  <c r="BZ98" i="20" s="1"/>
  <c r="BZ95" i="20" a="1"/>
  <c r="BZ95" i="20" s="1"/>
  <c r="BZ56" i="20"/>
  <c r="BZ80" i="20" a="1"/>
  <c r="BZ80" i="20" s="1"/>
  <c r="BZ77" i="20" a="1"/>
  <c r="BZ77" i="20" s="1"/>
  <c r="BZ62" i="20" a="1"/>
  <c r="BZ62" i="20" s="1"/>
  <c r="BZ55" i="20"/>
  <c r="BZ59" i="20" a="1"/>
  <c r="BZ59" i="20" s="1"/>
  <c r="CH98" i="20" a="1"/>
  <c r="CH98" i="20" s="1"/>
  <c r="CH80" i="20" a="1"/>
  <c r="CH80" i="20" s="1"/>
  <c r="CH55" i="20"/>
  <c r="CH68" i="20" a="1"/>
  <c r="CH68" i="20" s="1"/>
  <c r="CP98" i="20" a="1"/>
  <c r="CP98" i="20" s="1"/>
  <c r="CP77" i="20" a="1"/>
  <c r="CP77" i="20" s="1"/>
  <c r="CP80" i="20" a="1"/>
  <c r="CP80" i="20" s="1"/>
  <c r="CP56" i="20"/>
  <c r="CP62" i="20" a="1"/>
  <c r="CP62" i="20" s="1"/>
  <c r="CP55" i="20"/>
  <c r="CP59" i="20" a="1"/>
  <c r="CP59" i="20" s="1"/>
  <c r="BZ67" i="20"/>
  <c r="CU67" i="20"/>
  <c r="BK98" i="20" a="1"/>
  <c r="BK98" i="20" s="1"/>
  <c r="BK77" i="20" a="1"/>
  <c r="BK77" i="20" s="1"/>
  <c r="BK56" i="20"/>
  <c r="BK104" i="20" a="1"/>
  <c r="BK104" i="20" s="1"/>
  <c r="BK74" i="20" a="1"/>
  <c r="BK74" i="20" s="1"/>
  <c r="BK55" i="20"/>
  <c r="BK95" i="20" a="1"/>
  <c r="BK95" i="20" s="1"/>
  <c r="BK71" i="20" a="1"/>
  <c r="BK71" i="20" s="1"/>
  <c r="BK62" i="20" a="1"/>
  <c r="BK62" i="20" s="1"/>
  <c r="BS98" i="20" a="1"/>
  <c r="BS98" i="20" s="1"/>
  <c r="BS92" i="20" a="1"/>
  <c r="BS92" i="20" s="1"/>
  <c r="BS77" i="20" a="1"/>
  <c r="BS77" i="20" s="1"/>
  <c r="BS56" i="20"/>
  <c r="BS74" i="20" a="1"/>
  <c r="BS74" i="20" s="1"/>
  <c r="BS71" i="20" a="1"/>
  <c r="BS71" i="20" s="1"/>
  <c r="BS55" i="20"/>
  <c r="BS62" i="20" a="1"/>
  <c r="BS62" i="20" s="1"/>
  <c r="CA98" i="20" a="1"/>
  <c r="CA98" i="20" s="1"/>
  <c r="CA104" i="20" a="1"/>
  <c r="CA104" i="20" s="1"/>
  <c r="CA56" i="20"/>
  <c r="CA77" i="20" a="1"/>
  <c r="CA77" i="20" s="1"/>
  <c r="CA62" i="20" a="1"/>
  <c r="CA62" i="20" s="1"/>
  <c r="CA55" i="20"/>
  <c r="CA71" i="20" a="1"/>
  <c r="CA71" i="20" s="1"/>
  <c r="CA68" i="20" a="1"/>
  <c r="CA68" i="20" s="1"/>
  <c r="CA92" i="20" a="1"/>
  <c r="CA92" i="20" s="1"/>
  <c r="CI98" i="20" a="1"/>
  <c r="CI98" i="20" s="1"/>
  <c r="CI56" i="20"/>
  <c r="CI95" i="20" a="1"/>
  <c r="CI95" i="20" s="1"/>
  <c r="CI71" i="20" a="1"/>
  <c r="CI71" i="20" s="1"/>
  <c r="CI77" i="20" a="1"/>
  <c r="CI77" i="20" s="1"/>
  <c r="CI62" i="20" a="1"/>
  <c r="CI62" i="20" s="1"/>
  <c r="CI83" i="20" a="1"/>
  <c r="CI83" i="20" s="1"/>
  <c r="CI55" i="20"/>
  <c r="CQ98" i="20" a="1"/>
  <c r="CQ98" i="20" s="1"/>
  <c r="CQ104" i="20" a="1"/>
  <c r="CQ104" i="20" s="1"/>
  <c r="CQ77" i="20" a="1"/>
  <c r="CQ77" i="20" s="1"/>
  <c r="CQ95" i="20" a="1"/>
  <c r="CQ95" i="20" s="1"/>
  <c r="CQ56" i="20"/>
  <c r="CQ55" i="20"/>
  <c r="CQ71" i="20" a="1"/>
  <c r="CQ71" i="20" s="1"/>
  <c r="CQ62" i="20" a="1"/>
  <c r="CQ62" i="20" s="1"/>
  <c r="CQ74" i="20" a="1"/>
  <c r="CQ74" i="20" s="1"/>
  <c r="BG64" i="20"/>
  <c r="BO64" i="20"/>
  <c r="BW64" i="20"/>
  <c r="CM64" i="20"/>
  <c r="BR61" i="20"/>
  <c r="BN56" i="20"/>
  <c r="BS76" i="20"/>
  <c r="CA76" i="20"/>
  <c r="CI76" i="20"/>
  <c r="CQ76" i="20"/>
  <c r="BF73" i="20"/>
  <c r="BN73" i="20"/>
  <c r="BV73" i="20"/>
  <c r="CD73" i="20"/>
  <c r="CL73" i="20"/>
  <c r="BI79" i="20"/>
  <c r="BQ79" i="20"/>
  <c r="BY79" i="20"/>
  <c r="CG79" i="20"/>
  <c r="CO79" i="20"/>
  <c r="BZ79" i="20"/>
  <c r="CH79" i="20"/>
  <c r="AO98" i="20" a="1"/>
  <c r="AO98" i="20" s="1"/>
  <c r="AO55" i="20"/>
  <c r="CH35" i="20"/>
  <c r="CH62" i="20" s="1" a="1"/>
  <c r="CH62" i="20" s="1"/>
  <c r="AO104" i="20" a="1"/>
  <c r="AO104" i="20" s="1"/>
  <c r="AO80" i="20" a="1"/>
  <c r="AO80" i="20" s="1"/>
  <c r="AO62" i="20" a="1"/>
  <c r="AO62" i="20" s="1"/>
  <c r="AO77" i="20" a="1"/>
  <c r="AO77" i="20" s="1"/>
  <c r="CT59" i="20" a="1"/>
  <c r="CT59" i="20" s="1"/>
  <c r="CU64" i="20"/>
  <c r="BJ61" i="20"/>
  <c r="BZ61" i="20"/>
  <c r="CH61" i="20"/>
  <c r="CP61" i="20"/>
  <c r="CO65" i="20" a="1"/>
  <c r="CO65" i="20" s="1"/>
  <c r="CQ68" i="20" a="1"/>
  <c r="CQ68" i="20" s="1"/>
  <c r="CS61" i="20"/>
  <c r="CN80" i="20" a="1"/>
  <c r="CN80" i="20" s="1"/>
  <c r="CT83" i="20" a="1"/>
  <c r="CT83" i="20" s="1"/>
  <c r="CP83" i="20" a="1"/>
  <c r="CP83" i="20" s="1"/>
  <c r="CL83" i="20" a="1"/>
  <c r="CL83" i="20" s="1"/>
  <c r="CH83" i="20" a="1"/>
  <c r="CH83" i="20" s="1"/>
  <c r="CD83" i="20" a="1"/>
  <c r="CD83" i="20" s="1"/>
  <c r="BZ83" i="20" a="1"/>
  <c r="BZ83" i="20" s="1"/>
  <c r="BV83" i="20" a="1"/>
  <c r="BV83" i="20" s="1"/>
  <c r="BR83" i="20" a="1"/>
  <c r="BR83" i="20" s="1"/>
  <c r="BN83" i="20" a="1"/>
  <c r="BN83" i="20" s="1"/>
  <c r="BJ83" i="20" a="1"/>
  <c r="BJ83" i="20" s="1"/>
  <c r="BF83" i="20" a="1"/>
  <c r="BF83" i="20" s="1"/>
  <c r="BA83" i="20" a="1"/>
  <c r="BA83" i="20" s="1"/>
  <c r="AW83" i="20" a="1"/>
  <c r="AW83" i="20" s="1"/>
  <c r="AS83" i="20" a="1"/>
  <c r="AS83" i="20" s="1"/>
  <c r="AO83" i="20" a="1"/>
  <c r="AO83" i="20" s="1"/>
  <c r="AK83" i="20" a="1"/>
  <c r="AK83" i="20" s="1"/>
  <c r="AG83" i="20" a="1"/>
  <c r="AG83" i="20" s="1"/>
  <c r="AC83" i="20" a="1"/>
  <c r="AC83" i="20" s="1"/>
  <c r="Y83" i="20" a="1"/>
  <c r="Y83" i="20" s="1"/>
  <c r="U83" i="20" a="1"/>
  <c r="U83" i="20" s="1"/>
  <c r="Q83" i="20" a="1"/>
  <c r="Q83" i="20" s="1"/>
  <c r="M83" i="20" a="1"/>
  <c r="M83" i="20" s="1"/>
  <c r="CT82" i="20"/>
  <c r="CL82" i="20"/>
  <c r="CD82" i="20"/>
  <c r="BV82" i="20"/>
  <c r="BN82" i="20"/>
  <c r="BF82" i="20"/>
  <c r="AW82" i="20"/>
  <c r="AO82" i="20"/>
  <c r="AG82" i="20"/>
  <c r="Y82" i="20"/>
  <c r="Q82" i="20"/>
  <c r="H82" i="20"/>
  <c r="CQ82" i="20"/>
  <c r="CI82" i="20"/>
  <c r="CA82" i="20"/>
  <c r="BS82" i="20"/>
  <c r="BK82" i="20"/>
  <c r="BB82" i="20"/>
  <c r="AT82" i="20"/>
  <c r="AL82" i="20"/>
  <c r="AD82" i="20"/>
  <c r="V82" i="20"/>
  <c r="N82" i="20"/>
  <c r="CR83" i="20" a="1"/>
  <c r="CR83" i="20" s="1"/>
  <c r="CN83" i="20" a="1"/>
  <c r="CN83" i="20" s="1"/>
  <c r="CJ83" i="20" a="1"/>
  <c r="CJ83" i="20" s="1"/>
  <c r="CF83" i="20" a="1"/>
  <c r="CF83" i="20" s="1"/>
  <c r="CB83" i="20" a="1"/>
  <c r="CB83" i="20" s="1"/>
  <c r="BX83" i="20" a="1"/>
  <c r="BX83" i="20" s="1"/>
  <c r="BT83" i="20" a="1"/>
  <c r="BT83" i="20" s="1"/>
  <c r="BP83" i="20" a="1"/>
  <c r="BP83" i="20" s="1"/>
  <c r="BL83" i="20" a="1"/>
  <c r="BL83" i="20" s="1"/>
  <c r="BH83" i="20" a="1"/>
  <c r="BH83" i="20" s="1"/>
  <c r="BD83" i="20" a="1"/>
  <c r="BD83" i="20" s="1"/>
  <c r="AY83" i="20" a="1"/>
  <c r="AY83" i="20" s="1"/>
  <c r="AU83" i="20" a="1"/>
  <c r="AU83" i="20" s="1"/>
  <c r="AQ83" i="20" a="1"/>
  <c r="AQ83" i="20" s="1"/>
  <c r="AM83" i="20" a="1"/>
  <c r="AM83" i="20" s="1"/>
  <c r="AI83" i="20" a="1"/>
  <c r="AI83" i="20" s="1"/>
  <c r="AE83" i="20" a="1"/>
  <c r="AE83" i="20" s="1"/>
  <c r="CA83" i="20" a="1"/>
  <c r="CA83" i="20" s="1"/>
  <c r="BU83" i="20" a="1"/>
  <c r="BU83" i="20" s="1"/>
  <c r="AT83" i="20" a="1"/>
  <c r="AT83" i="20" s="1"/>
  <c r="AN83" i="20" a="1"/>
  <c r="AN83" i="20" s="1"/>
  <c r="AA83" i="20" a="1"/>
  <c r="AA83" i="20" s="1"/>
  <c r="V83" i="20" a="1"/>
  <c r="V83" i="20" s="1"/>
  <c r="K83" i="20" a="1"/>
  <c r="K83" i="20" s="1"/>
  <c r="CN82" i="20"/>
  <c r="CC82" i="20"/>
  <c r="BR82" i="20"/>
  <c r="BH82" i="20"/>
  <c r="AV82" i="20"/>
  <c r="AK82" i="20"/>
  <c r="AA82" i="20"/>
  <c r="P82" i="20"/>
  <c r="CM83" i="20" a="1"/>
  <c r="CM83" i="20" s="1"/>
  <c r="CG83" i="20" a="1"/>
  <c r="CG83" i="20" s="1"/>
  <c r="BG83" i="20" a="1"/>
  <c r="BG83" i="20" s="1"/>
  <c r="AZ83" i="20" a="1"/>
  <c r="AZ83" i="20" s="1"/>
  <c r="P83" i="20" a="1"/>
  <c r="P83" i="20" s="1"/>
  <c r="CM82" i="20"/>
  <c r="CB82" i="20"/>
  <c r="BQ82" i="20"/>
  <c r="BG82" i="20"/>
  <c r="AU82" i="20"/>
  <c r="AJ82" i="20"/>
  <c r="Z82" i="20"/>
  <c r="O82" i="20"/>
  <c r="CS83" i="20" a="1"/>
  <c r="CS83" i="20" s="1"/>
  <c r="BS83" i="20" a="1"/>
  <c r="BS83" i="20" s="1"/>
  <c r="BM83" i="20" a="1"/>
  <c r="BM83" i="20" s="1"/>
  <c r="AL83" i="20" a="1"/>
  <c r="AL83" i="20" s="1"/>
  <c r="AF83" i="20" a="1"/>
  <c r="AF83" i="20" s="1"/>
  <c r="Z83" i="20" a="1"/>
  <c r="Z83" i="20" s="1"/>
  <c r="O83" i="20" a="1"/>
  <c r="O83" i="20" s="1"/>
  <c r="I83" i="20" a="1"/>
  <c r="I83" i="20" s="1"/>
  <c r="CK82" i="20"/>
  <c r="BZ82" i="20"/>
  <c r="BP82" i="20"/>
  <c r="BE82" i="20"/>
  <c r="AS82" i="20"/>
  <c r="AI82" i="20"/>
  <c r="X82" i="20"/>
  <c r="M82" i="20"/>
  <c r="CE83" i="20" a="1"/>
  <c r="CE83" i="20" s="1"/>
  <c r="BY83" i="20" a="1"/>
  <c r="BY83" i="20" s="1"/>
  <c r="AX83" i="20" a="1"/>
  <c r="AX83" i="20" s="1"/>
  <c r="AR83" i="20" a="1"/>
  <c r="AR83" i="20" s="1"/>
  <c r="T83" i="20" a="1"/>
  <c r="T83" i="20" s="1"/>
  <c r="CU82" i="20"/>
  <c r="CJ82" i="20"/>
  <c r="BY82" i="20"/>
  <c r="BO82" i="20"/>
  <c r="BD82" i="20"/>
  <c r="AR82" i="20"/>
  <c r="AH82" i="20"/>
  <c r="W82" i="20"/>
  <c r="L82" i="20"/>
  <c r="CQ83" i="20" a="1"/>
  <c r="CQ83" i="20" s="1"/>
  <c r="CK83" i="20" a="1"/>
  <c r="CK83" i="20" s="1"/>
  <c r="BK83" i="20" a="1"/>
  <c r="BK83" i="20" s="1"/>
  <c r="BE83" i="20" a="1"/>
  <c r="BE83" i="20" s="1"/>
  <c r="AD83" i="20" a="1"/>
  <c r="AD83" i="20" s="1"/>
  <c r="S83" i="20" a="1"/>
  <c r="S83" i="20" s="1"/>
  <c r="N83" i="20" a="1"/>
  <c r="N83" i="20" s="1"/>
  <c r="CS82" i="20"/>
  <c r="CH82" i="20"/>
  <c r="BX82" i="20"/>
  <c r="BM82" i="20"/>
  <c r="BA82" i="20"/>
  <c r="AQ82" i="20"/>
  <c r="AF82" i="20"/>
  <c r="U82" i="20"/>
  <c r="K82" i="20"/>
  <c r="AM82" i="20"/>
  <c r="BL82" i="20"/>
  <c r="CP82" i="20"/>
  <c r="AJ83" i="20" a="1"/>
  <c r="AJ83" i="20" s="1"/>
  <c r="BB83" i="20" a="1"/>
  <c r="BB83" i="20" s="1"/>
  <c r="L58" i="20"/>
  <c r="W58" i="20"/>
  <c r="AG58" i="20"/>
  <c r="AR58" i="20"/>
  <c r="BD58" i="20"/>
  <c r="BN58" i="20"/>
  <c r="BY58" i="20"/>
  <c r="CJ58" i="20"/>
  <c r="CT58" i="20"/>
  <c r="T59" i="20" a="1"/>
  <c r="T59" i="20" s="1"/>
  <c r="Y59" i="20" a="1"/>
  <c r="Y59" i="20" s="1"/>
  <c r="AJ59" i="20" a="1"/>
  <c r="AJ59" i="20" s="1"/>
  <c r="AO59" i="20" a="1"/>
  <c r="AO59" i="20" s="1"/>
  <c r="AZ59" i="20" a="1"/>
  <c r="AZ59" i="20" s="1"/>
  <c r="BF59" i="20" a="1"/>
  <c r="BF59" i="20" s="1"/>
  <c r="BQ59" i="20" a="1"/>
  <c r="BQ59" i="20" s="1"/>
  <c r="BV59" i="20" a="1"/>
  <c r="BV59" i="20" s="1"/>
  <c r="CG59" i="20" a="1"/>
  <c r="CG59" i="20" s="1"/>
  <c r="CL59" i="20" a="1"/>
  <c r="CL59" i="20" s="1"/>
  <c r="O67" i="20"/>
  <c r="Y67" i="20"/>
  <c r="AI67" i="20"/>
  <c r="AU67" i="20"/>
  <c r="BF67" i="20"/>
  <c r="BP67" i="20"/>
  <c r="CB67" i="20"/>
  <c r="CL67" i="20"/>
  <c r="I68" i="20" a="1"/>
  <c r="I68" i="20" s="1"/>
  <c r="V68" i="20" a="1"/>
  <c r="V68" i="20" s="1"/>
  <c r="AC68" i="20" a="1"/>
  <c r="AC68" i="20" s="1"/>
  <c r="AJ68" i="20" a="1"/>
  <c r="AJ68" i="20" s="1"/>
  <c r="BB68" i="20" a="1"/>
  <c r="BB68" i="20" s="1"/>
  <c r="BJ68" i="20" a="1"/>
  <c r="BJ68" i="20" s="1"/>
  <c r="BQ68" i="20" a="1"/>
  <c r="BQ68" i="20" s="1"/>
  <c r="CI68" i="20" a="1"/>
  <c r="CI68" i="20" s="1"/>
  <c r="CP68" i="20" a="1"/>
  <c r="CP68" i="20" s="1"/>
  <c r="CT71" i="20" a="1"/>
  <c r="CT71" i="20" s="1"/>
  <c r="I82" i="20"/>
  <c r="AN82" i="20"/>
  <c r="BT82" i="20"/>
  <c r="CR82" i="20"/>
  <c r="W83" i="20" a="1"/>
  <c r="W83" i="20" s="1"/>
  <c r="CO83" i="20" a="1"/>
  <c r="CO83" i="20" s="1"/>
  <c r="BG104" i="20" a="1"/>
  <c r="BG104" i="20" s="1"/>
  <c r="CM95" i="20" a="1"/>
  <c r="CM95" i="20" s="1"/>
  <c r="BJ85" i="20"/>
  <c r="BZ85" i="20"/>
  <c r="CP85" i="20"/>
  <c r="CG76" i="20"/>
  <c r="CO76" i="20"/>
  <c r="BO79" i="20"/>
  <c r="CU79" i="20"/>
  <c r="N58" i="20"/>
  <c r="X58" i="20"/>
  <c r="AH58" i="20"/>
  <c r="AT58" i="20"/>
  <c r="BE58" i="20"/>
  <c r="BO58" i="20"/>
  <c r="CA58" i="20"/>
  <c r="CK58" i="20"/>
  <c r="CU58" i="20"/>
  <c r="R64" i="20"/>
  <c r="AC64" i="20"/>
  <c r="AM64" i="20"/>
  <c r="AX64" i="20"/>
  <c r="BJ64" i="20"/>
  <c r="BT64" i="20"/>
  <c r="CE64" i="20"/>
  <c r="CP64" i="20"/>
  <c r="L65" i="20" a="1"/>
  <c r="L65" i="20" s="1"/>
  <c r="W65" i="20" a="1"/>
  <c r="W65" i="20" s="1"/>
  <c r="AB65" i="20" a="1"/>
  <c r="AB65" i="20" s="1"/>
  <c r="AM65" i="20" a="1"/>
  <c r="AM65" i="20" s="1"/>
  <c r="AR65" i="20" a="1"/>
  <c r="AR65" i="20" s="1"/>
  <c r="BD65" i="20" a="1"/>
  <c r="BD65" i="20" s="1"/>
  <c r="BI65" i="20" a="1"/>
  <c r="BI65" i="20" s="1"/>
  <c r="BT65" i="20" a="1"/>
  <c r="BT65" i="20" s="1"/>
  <c r="BY65" i="20" a="1"/>
  <c r="BY65" i="20" s="1"/>
  <c r="CJ65" i="20" a="1"/>
  <c r="CJ65" i="20" s="1"/>
  <c r="P67" i="20"/>
  <c r="Z67" i="20"/>
  <c r="AK67" i="20"/>
  <c r="AV67" i="20"/>
  <c r="BG67" i="20"/>
  <c r="BR67" i="20"/>
  <c r="CC67" i="20"/>
  <c r="CM67" i="20"/>
  <c r="K68" i="20" a="1"/>
  <c r="K68" i="20" s="1"/>
  <c r="Q68" i="20" a="1"/>
  <c r="Q68" i="20" s="1"/>
  <c r="X68" i="20" a="1"/>
  <c r="X68" i="20" s="1"/>
  <c r="AP68" i="20" a="1"/>
  <c r="AP68" i="20" s="1"/>
  <c r="AW68" i="20" a="1"/>
  <c r="AW68" i="20" s="1"/>
  <c r="BE68" i="20" a="1"/>
  <c r="BE68" i="20" s="1"/>
  <c r="BW68" i="20" a="1"/>
  <c r="BW68" i="20" s="1"/>
  <c r="CD68" i="20" a="1"/>
  <c r="CD68" i="20" s="1"/>
  <c r="CK68" i="20" a="1"/>
  <c r="CK68" i="20" s="1"/>
  <c r="CR74" i="20" a="1"/>
  <c r="CR74" i="20" s="1"/>
  <c r="CN74" i="20" a="1"/>
  <c r="CN74" i="20" s="1"/>
  <c r="CJ74" i="20" a="1"/>
  <c r="CJ74" i="20" s="1"/>
  <c r="CF74" i="20" a="1"/>
  <c r="CF74" i="20" s="1"/>
  <c r="CB74" i="20" a="1"/>
  <c r="CB74" i="20" s="1"/>
  <c r="BX74" i="20" a="1"/>
  <c r="BX74" i="20" s="1"/>
  <c r="BT74" i="20" a="1"/>
  <c r="BT74" i="20" s="1"/>
  <c r="BP74" i="20" a="1"/>
  <c r="BP74" i="20" s="1"/>
  <c r="BL74" i="20" a="1"/>
  <c r="BL74" i="20" s="1"/>
  <c r="BH74" i="20" a="1"/>
  <c r="BH74" i="20" s="1"/>
  <c r="BD74" i="20" a="1"/>
  <c r="BD74" i="20" s="1"/>
  <c r="AY74" i="20" a="1"/>
  <c r="AY74" i="20" s="1"/>
  <c r="AU74" i="20" a="1"/>
  <c r="AU74" i="20" s="1"/>
  <c r="AQ74" i="20" a="1"/>
  <c r="AQ74" i="20" s="1"/>
  <c r="AM74" i="20" a="1"/>
  <c r="AM74" i="20" s="1"/>
  <c r="AI74" i="20" a="1"/>
  <c r="AI74" i="20" s="1"/>
  <c r="AE74" i="20" a="1"/>
  <c r="AE74" i="20" s="1"/>
  <c r="AA74" i="20" a="1"/>
  <c r="AA74" i="20" s="1"/>
  <c r="W74" i="20" a="1"/>
  <c r="W74" i="20" s="1"/>
  <c r="S74" i="20" a="1"/>
  <c r="S74" i="20" s="1"/>
  <c r="CO74" i="20" a="1"/>
  <c r="CO74" i="20" s="1"/>
  <c r="CA74" i="20" a="1"/>
  <c r="CA74" i="20" s="1"/>
  <c r="BR74" i="20" a="1"/>
  <c r="BR74" i="20" s="1"/>
  <c r="BI74" i="20" a="1"/>
  <c r="BI74" i="20" s="1"/>
  <c r="AT74" i="20" a="1"/>
  <c r="AT74" i="20" s="1"/>
  <c r="AK74" i="20" a="1"/>
  <c r="AK74" i="20" s="1"/>
  <c r="AB74" i="20" a="1"/>
  <c r="AB74" i="20" s="1"/>
  <c r="CO73" i="20"/>
  <c r="CG73" i="20"/>
  <c r="BY73" i="20"/>
  <c r="BQ73" i="20"/>
  <c r="BI73" i="20"/>
  <c r="AZ73" i="20"/>
  <c r="AR73" i="20"/>
  <c r="AJ73" i="20"/>
  <c r="AB73" i="20"/>
  <c r="T73" i="20"/>
  <c r="L73" i="20"/>
  <c r="CS74" i="20" a="1"/>
  <c r="CS74" i="20" s="1"/>
  <c r="CE74" i="20" a="1"/>
  <c r="CE74" i="20" s="1"/>
  <c r="BV74" i="20" a="1"/>
  <c r="BV74" i="20" s="1"/>
  <c r="BM74" i="20" a="1"/>
  <c r="BM74" i="20" s="1"/>
  <c r="AX74" i="20" a="1"/>
  <c r="AX74" i="20" s="1"/>
  <c r="AO74" i="20" a="1"/>
  <c r="AO74" i="20" s="1"/>
  <c r="AF74" i="20" a="1"/>
  <c r="AF74" i="20" s="1"/>
  <c r="R74" i="20" a="1"/>
  <c r="R74" i="20" s="1"/>
  <c r="N74" i="20" a="1"/>
  <c r="N74" i="20" s="1"/>
  <c r="I74" i="20" a="1"/>
  <c r="I74" i="20" s="1"/>
  <c r="CN73" i="20"/>
  <c r="CF73" i="20"/>
  <c r="BX73" i="20"/>
  <c r="BP73" i="20"/>
  <c r="BH73" i="20"/>
  <c r="AY73" i="20"/>
  <c r="AQ73" i="20"/>
  <c r="AI73" i="20"/>
  <c r="AA73" i="20"/>
  <c r="S73" i="20"/>
  <c r="K73" i="20"/>
  <c r="CI74" i="20" a="1"/>
  <c r="CI74" i="20" s="1"/>
  <c r="BZ74" i="20" a="1"/>
  <c r="BZ74" i="20" s="1"/>
  <c r="BQ74" i="20" a="1"/>
  <c r="BQ74" i="20" s="1"/>
  <c r="BB74" i="20" a="1"/>
  <c r="BB74" i="20" s="1"/>
  <c r="AS74" i="20" a="1"/>
  <c r="AS74" i="20" s="1"/>
  <c r="AJ74" i="20" a="1"/>
  <c r="AJ74" i="20" s="1"/>
  <c r="V74" i="20" a="1"/>
  <c r="V74" i="20" s="1"/>
  <c r="CU73" i="20"/>
  <c r="CM73" i="20"/>
  <c r="CE73" i="20"/>
  <c r="BW73" i="20"/>
  <c r="BO73" i="20"/>
  <c r="BG73" i="20"/>
  <c r="AX73" i="20"/>
  <c r="AP73" i="20"/>
  <c r="AH73" i="20"/>
  <c r="Z73" i="20"/>
  <c r="R73" i="20"/>
  <c r="I73" i="20"/>
  <c r="V73" i="20"/>
  <c r="AG73" i="20"/>
  <c r="AU73" i="20"/>
  <c r="BJ73" i="20"/>
  <c r="BU73" i="20"/>
  <c r="CI73" i="20"/>
  <c r="CT73" i="20"/>
  <c r="P74" i="20" a="1"/>
  <c r="P74" i="20" s="1"/>
  <c r="X74" i="20" a="1"/>
  <c r="X74" i="20" s="1"/>
  <c r="AD74" i="20" a="1"/>
  <c r="AD74" i="20" s="1"/>
  <c r="AL74" i="20" a="1"/>
  <c r="AL74" i="20" s="1"/>
  <c r="CD74" i="20" a="1"/>
  <c r="CD74" i="20" s="1"/>
  <c r="CL74" i="20" a="1"/>
  <c r="CL74" i="20" s="1"/>
  <c r="CT74" i="20" a="1"/>
  <c r="CT74" i="20" s="1"/>
  <c r="R82" i="20"/>
  <c r="AP82" i="20"/>
  <c r="BU82" i="20"/>
  <c r="L83" i="20" a="1"/>
  <c r="L83" i="20" s="1"/>
  <c r="X83" i="20" a="1"/>
  <c r="X83" i="20" s="1"/>
  <c r="BI83" i="20" a="1"/>
  <c r="BI83" i="20" s="1"/>
  <c r="BW83" i="20" a="1"/>
  <c r="BW83" i="20" s="1"/>
  <c r="BF88" i="20"/>
  <c r="AN70" i="21"/>
  <c r="AM72" i="21"/>
  <c r="AM69" i="21"/>
  <c r="BJ76" i="20"/>
  <c r="CP76" i="20"/>
  <c r="O58" i="20"/>
  <c r="Y58" i="20"/>
  <c r="AJ58" i="20"/>
  <c r="AU58" i="20"/>
  <c r="BF58" i="20"/>
  <c r="BQ58" i="20"/>
  <c r="CB58" i="20"/>
  <c r="CL58" i="20"/>
  <c r="P59" i="20" a="1"/>
  <c r="P59" i="20" s="1"/>
  <c r="U59" i="20" a="1"/>
  <c r="U59" i="20" s="1"/>
  <c r="AF59" i="20" a="1"/>
  <c r="AF59" i="20" s="1"/>
  <c r="AK59" i="20" a="1"/>
  <c r="AK59" i="20" s="1"/>
  <c r="AV59" i="20" a="1"/>
  <c r="AV59" i="20" s="1"/>
  <c r="BA59" i="20" a="1"/>
  <c r="BA59" i="20" s="1"/>
  <c r="BM59" i="20" a="1"/>
  <c r="BM59" i="20" s="1"/>
  <c r="BR59" i="20" a="1"/>
  <c r="BR59" i="20" s="1"/>
  <c r="CC59" i="20" a="1"/>
  <c r="CC59" i="20" s="1"/>
  <c r="CH59" i="20" a="1"/>
  <c r="CH59" i="20" s="1"/>
  <c r="CS59" i="20" a="1"/>
  <c r="CS59" i="20" s="1"/>
  <c r="CU65" i="20" a="1"/>
  <c r="CU65" i="20" s="1"/>
  <c r="CQ65" i="20" a="1"/>
  <c r="CQ65" i="20" s="1"/>
  <c r="CM65" i="20" a="1"/>
  <c r="CM65" i="20" s="1"/>
  <c r="CI65" i="20" a="1"/>
  <c r="CI65" i="20" s="1"/>
  <c r="CE65" i="20" a="1"/>
  <c r="CE65" i="20" s="1"/>
  <c r="CA65" i="20" a="1"/>
  <c r="CA65" i="20" s="1"/>
  <c r="BW65" i="20" a="1"/>
  <c r="BW65" i="20" s="1"/>
  <c r="BS65" i="20" a="1"/>
  <c r="BS65" i="20" s="1"/>
  <c r="BO65" i="20" a="1"/>
  <c r="BO65" i="20" s="1"/>
  <c r="BK65" i="20" a="1"/>
  <c r="BK65" i="20" s="1"/>
  <c r="BG65" i="20" a="1"/>
  <c r="BG65" i="20" s="1"/>
  <c r="BB65" i="20" a="1"/>
  <c r="BB65" i="20" s="1"/>
  <c r="AX65" i="20" a="1"/>
  <c r="AX65" i="20" s="1"/>
  <c r="AT65" i="20" a="1"/>
  <c r="AT65" i="20" s="1"/>
  <c r="AP65" i="20" a="1"/>
  <c r="AP65" i="20" s="1"/>
  <c r="AL65" i="20" a="1"/>
  <c r="AL65" i="20" s="1"/>
  <c r="AH65" i="20" a="1"/>
  <c r="AH65" i="20" s="1"/>
  <c r="AD65" i="20" a="1"/>
  <c r="AD65" i="20" s="1"/>
  <c r="Z65" i="20" a="1"/>
  <c r="Z65" i="20" s="1"/>
  <c r="V65" i="20" a="1"/>
  <c r="V65" i="20" s="1"/>
  <c r="R65" i="20" a="1"/>
  <c r="R65" i="20" s="1"/>
  <c r="N65" i="20" a="1"/>
  <c r="N65" i="20" s="1"/>
  <c r="I65" i="20" a="1"/>
  <c r="I65" i="20" s="1"/>
  <c r="CN64" i="20"/>
  <c r="CF64" i="20"/>
  <c r="BX64" i="20"/>
  <c r="BP64" i="20"/>
  <c r="BH64" i="20"/>
  <c r="AY64" i="20"/>
  <c r="AQ64" i="20"/>
  <c r="AI64" i="20"/>
  <c r="AA64" i="20"/>
  <c r="S64" i="20"/>
  <c r="K64" i="20"/>
  <c r="CT65" i="20" a="1"/>
  <c r="CT65" i="20" s="1"/>
  <c r="CP65" i="20" a="1"/>
  <c r="CP65" i="20" s="1"/>
  <c r="CL65" i="20" a="1"/>
  <c r="CL65" i="20" s="1"/>
  <c r="CH65" i="20" a="1"/>
  <c r="CH65" i="20" s="1"/>
  <c r="CD65" i="20" a="1"/>
  <c r="CD65" i="20" s="1"/>
  <c r="BZ65" i="20" a="1"/>
  <c r="BZ65" i="20" s="1"/>
  <c r="BV65" i="20" a="1"/>
  <c r="BV65" i="20" s="1"/>
  <c r="BR65" i="20" a="1"/>
  <c r="BR65" i="20" s="1"/>
  <c r="BN65" i="20" a="1"/>
  <c r="BN65" i="20" s="1"/>
  <c r="BJ65" i="20" a="1"/>
  <c r="BJ65" i="20" s="1"/>
  <c r="BF65" i="20" a="1"/>
  <c r="BF65" i="20" s="1"/>
  <c r="BA65" i="20" a="1"/>
  <c r="BA65" i="20" s="1"/>
  <c r="AW65" i="20" a="1"/>
  <c r="AW65" i="20" s="1"/>
  <c r="AS65" i="20" a="1"/>
  <c r="AS65" i="20" s="1"/>
  <c r="AO65" i="20" a="1"/>
  <c r="AO65" i="20" s="1"/>
  <c r="AK65" i="20" a="1"/>
  <c r="AK65" i="20" s="1"/>
  <c r="AG65" i="20" a="1"/>
  <c r="AG65" i="20" s="1"/>
  <c r="AC65" i="20" a="1"/>
  <c r="AC65" i="20" s="1"/>
  <c r="Y65" i="20" a="1"/>
  <c r="Y65" i="20" s="1"/>
  <c r="U65" i="20" a="1"/>
  <c r="U65" i="20" s="1"/>
  <c r="Q65" i="20" a="1"/>
  <c r="Q65" i="20" s="1"/>
  <c r="M65" i="20" a="1"/>
  <c r="M65" i="20" s="1"/>
  <c r="CT64" i="20"/>
  <c r="CL64" i="20"/>
  <c r="CD64" i="20"/>
  <c r="BV64" i="20"/>
  <c r="BN64" i="20"/>
  <c r="BF64" i="20"/>
  <c r="AW64" i="20"/>
  <c r="AO64" i="20"/>
  <c r="AG64" i="20"/>
  <c r="Y64" i="20"/>
  <c r="Q64" i="20"/>
  <c r="H64" i="20"/>
  <c r="T64" i="20"/>
  <c r="AD64" i="20"/>
  <c r="AN64" i="20"/>
  <c r="AZ64" i="20"/>
  <c r="BK64" i="20"/>
  <c r="BU64" i="20"/>
  <c r="CG64" i="20"/>
  <c r="CQ64" i="20"/>
  <c r="Q67" i="20"/>
  <c r="AA67" i="20"/>
  <c r="AM67" i="20"/>
  <c r="AW67" i="20"/>
  <c r="BH67" i="20"/>
  <c r="BT67" i="20"/>
  <c r="CD67" i="20"/>
  <c r="CN67" i="20"/>
  <c r="L68" i="20" a="1"/>
  <c r="L68" i="20" s="1"/>
  <c r="AD68" i="20" a="1"/>
  <c r="AD68" i="20" s="1"/>
  <c r="AK68" i="20" a="1"/>
  <c r="AK68" i="20" s="1"/>
  <c r="AR68" i="20" a="1"/>
  <c r="AR68" i="20" s="1"/>
  <c r="BK68" i="20" a="1"/>
  <c r="BK68" i="20" s="1"/>
  <c r="BR68" i="20" a="1"/>
  <c r="BR68" i="20" s="1"/>
  <c r="BY68" i="20" a="1"/>
  <c r="BY68" i="20" s="1"/>
  <c r="S82" i="20"/>
  <c r="AX82" i="20"/>
  <c r="BW82" i="20"/>
  <c r="AB83" i="20" a="1"/>
  <c r="AB83" i="20" s="1"/>
  <c r="AP83" i="20" a="1"/>
  <c r="AP83" i="20" s="1"/>
  <c r="CS89" i="20" a="1"/>
  <c r="CS89" i="20" s="1"/>
  <c r="CO89" i="20" a="1"/>
  <c r="CO89" i="20" s="1"/>
  <c r="CK89" i="20" a="1"/>
  <c r="CK89" i="20" s="1"/>
  <c r="CG89" i="20" a="1"/>
  <c r="CG89" i="20" s="1"/>
  <c r="CC89" i="20" a="1"/>
  <c r="CC89" i="20" s="1"/>
  <c r="BY89" i="20" a="1"/>
  <c r="BY89" i="20" s="1"/>
  <c r="BU89" i="20" a="1"/>
  <c r="BU89" i="20" s="1"/>
  <c r="BQ89" i="20" a="1"/>
  <c r="BQ89" i="20" s="1"/>
  <c r="BM89" i="20" a="1"/>
  <c r="BM89" i="20" s="1"/>
  <c r="BI89" i="20" a="1"/>
  <c r="BI89" i="20" s="1"/>
  <c r="BE89" i="20" a="1"/>
  <c r="BE89" i="20" s="1"/>
  <c r="AZ89" i="20" a="1"/>
  <c r="AZ89" i="20" s="1"/>
  <c r="AV89" i="20" a="1"/>
  <c r="AV89" i="20" s="1"/>
  <c r="AR89" i="20" a="1"/>
  <c r="AR89" i="20" s="1"/>
  <c r="AN89" i="20" a="1"/>
  <c r="AN89" i="20" s="1"/>
  <c r="AJ89" i="20" a="1"/>
  <c r="AJ89" i="20" s="1"/>
  <c r="AF89" i="20" a="1"/>
  <c r="AF89" i="20" s="1"/>
  <c r="AB89" i="20" a="1"/>
  <c r="AB89" i="20" s="1"/>
  <c r="X89" i="20" a="1"/>
  <c r="X89" i="20" s="1"/>
  <c r="T89" i="20" a="1"/>
  <c r="T89" i="20" s="1"/>
  <c r="P89" i="20" a="1"/>
  <c r="P89" i="20" s="1"/>
  <c r="L89" i="20" a="1"/>
  <c r="L89" i="20" s="1"/>
  <c r="CR88" i="20"/>
  <c r="CJ88" i="20"/>
  <c r="CB88" i="20"/>
  <c r="BT88" i="20"/>
  <c r="BL88" i="20"/>
  <c r="BD88" i="20"/>
  <c r="AU88" i="20"/>
  <c r="AM88" i="20"/>
  <c r="AE88" i="20"/>
  <c r="W88" i="20"/>
  <c r="O88" i="20"/>
  <c r="CQ88" i="20"/>
  <c r="CI88" i="20"/>
  <c r="CA88" i="20"/>
  <c r="BS88" i="20"/>
  <c r="BK88" i="20"/>
  <c r="BB88" i="20"/>
  <c r="AT88" i="20"/>
  <c r="AL88" i="20"/>
  <c r="AD88" i="20"/>
  <c r="V88" i="20"/>
  <c r="N88" i="20"/>
  <c r="CR89" i="20" a="1"/>
  <c r="CR89" i="20" s="1"/>
  <c r="CN89" i="20" a="1"/>
  <c r="CN89" i="20" s="1"/>
  <c r="CJ89" i="20" a="1"/>
  <c r="CJ89" i="20" s="1"/>
  <c r="CF89" i="20" a="1"/>
  <c r="CF89" i="20" s="1"/>
  <c r="CB89" i="20" a="1"/>
  <c r="CB89" i="20" s="1"/>
  <c r="BX89" i="20" a="1"/>
  <c r="BX89" i="20" s="1"/>
  <c r="BT89" i="20" a="1"/>
  <c r="BT89" i="20" s="1"/>
  <c r="BP89" i="20" a="1"/>
  <c r="BP89" i="20" s="1"/>
  <c r="BL89" i="20" a="1"/>
  <c r="BL89" i="20" s="1"/>
  <c r="BH89" i="20" a="1"/>
  <c r="BH89" i="20" s="1"/>
  <c r="BD89" i="20" a="1"/>
  <c r="BD89" i="20" s="1"/>
  <c r="AY89" i="20" a="1"/>
  <c r="AY89" i="20" s="1"/>
  <c r="AU89" i="20" a="1"/>
  <c r="AU89" i="20" s="1"/>
  <c r="AQ89" i="20" a="1"/>
  <c r="AQ89" i="20" s="1"/>
  <c r="AM89" i="20" a="1"/>
  <c r="AM89" i="20" s="1"/>
  <c r="AI89" i="20" a="1"/>
  <c r="AI89" i="20" s="1"/>
  <c r="AE89" i="20" a="1"/>
  <c r="AE89" i="20" s="1"/>
  <c r="AA89" i="20" a="1"/>
  <c r="AA89" i="20" s="1"/>
  <c r="W89" i="20" a="1"/>
  <c r="W89" i="20" s="1"/>
  <c r="S89" i="20" a="1"/>
  <c r="S89" i="20" s="1"/>
  <c r="O89" i="20" a="1"/>
  <c r="O89" i="20" s="1"/>
  <c r="K89" i="20" a="1"/>
  <c r="K89" i="20" s="1"/>
  <c r="CP88" i="20"/>
  <c r="CH88" i="20"/>
  <c r="BZ88" i="20"/>
  <c r="BR88" i="20"/>
  <c r="BJ88" i="20"/>
  <c r="BA88" i="20"/>
  <c r="AS88" i="20"/>
  <c r="AK88" i="20"/>
  <c r="CO88" i="20"/>
  <c r="CG88" i="20"/>
  <c r="BY88" i="20"/>
  <c r="BQ88" i="20"/>
  <c r="BI88" i="20"/>
  <c r="AZ88" i="20"/>
  <c r="AR88" i="20"/>
  <c r="AJ88" i="20"/>
  <c r="AB88" i="20"/>
  <c r="T88" i="20"/>
  <c r="L88" i="20"/>
  <c r="CU89" i="20" a="1"/>
  <c r="CU89" i="20" s="1"/>
  <c r="CQ89" i="20" a="1"/>
  <c r="CQ89" i="20" s="1"/>
  <c r="CM89" i="20" a="1"/>
  <c r="CM89" i="20" s="1"/>
  <c r="CI89" i="20" a="1"/>
  <c r="CI89" i="20" s="1"/>
  <c r="CE89" i="20" a="1"/>
  <c r="CE89" i="20" s="1"/>
  <c r="CA89" i="20" a="1"/>
  <c r="CA89" i="20" s="1"/>
  <c r="BW89" i="20" a="1"/>
  <c r="BW89" i="20" s="1"/>
  <c r="BS89" i="20" a="1"/>
  <c r="BS89" i="20" s="1"/>
  <c r="BO89" i="20" a="1"/>
  <c r="BO89" i="20" s="1"/>
  <c r="BK89" i="20" a="1"/>
  <c r="BK89" i="20" s="1"/>
  <c r="BG89" i="20" a="1"/>
  <c r="BG89" i="20" s="1"/>
  <c r="BB89" i="20" a="1"/>
  <c r="BB89" i="20" s="1"/>
  <c r="AX89" i="20" a="1"/>
  <c r="AX89" i="20" s="1"/>
  <c r="AT89" i="20" a="1"/>
  <c r="AT89" i="20" s="1"/>
  <c r="AP89" i="20" a="1"/>
  <c r="AP89" i="20" s="1"/>
  <c r="AL89" i="20" a="1"/>
  <c r="AL89" i="20" s="1"/>
  <c r="AH89" i="20" a="1"/>
  <c r="AH89" i="20" s="1"/>
  <c r="AD89" i="20" a="1"/>
  <c r="AD89" i="20" s="1"/>
  <c r="Z89" i="20" a="1"/>
  <c r="Z89" i="20" s="1"/>
  <c r="V89" i="20" a="1"/>
  <c r="V89" i="20" s="1"/>
  <c r="R89" i="20" a="1"/>
  <c r="R89" i="20" s="1"/>
  <c r="N89" i="20" a="1"/>
  <c r="N89" i="20" s="1"/>
  <c r="I89" i="20" a="1"/>
  <c r="I89" i="20" s="1"/>
  <c r="CN88" i="20"/>
  <c r="CF88" i="20"/>
  <c r="BX88" i="20"/>
  <c r="BP88" i="20"/>
  <c r="BH88" i="20"/>
  <c r="AY88" i="20"/>
  <c r="AQ88" i="20"/>
  <c r="AI88" i="20"/>
  <c r="AA88" i="20"/>
  <c r="S88" i="20"/>
  <c r="K88" i="20"/>
  <c r="BV89" i="20" a="1"/>
  <c r="BV89" i="20" s="1"/>
  <c r="AO89" i="20" a="1"/>
  <c r="AO89" i="20" s="1"/>
  <c r="CT88" i="20"/>
  <c r="BW88" i="20"/>
  <c r="BE88" i="20"/>
  <c r="AG88" i="20"/>
  <c r="Q88" i="20"/>
  <c r="CP89" i="20" a="1"/>
  <c r="CP89" i="20" s="1"/>
  <c r="BJ89" i="20" a="1"/>
  <c r="BJ89" i="20" s="1"/>
  <c r="AC89" i="20" a="1"/>
  <c r="AC89" i="20" s="1"/>
  <c r="CS88" i="20"/>
  <c r="BV88" i="20"/>
  <c r="AX88" i="20"/>
  <c r="AF88" i="20"/>
  <c r="P88" i="20"/>
  <c r="CD89" i="20" a="1"/>
  <c r="CD89" i="20" s="1"/>
  <c r="AW89" i="20" a="1"/>
  <c r="AW89" i="20" s="1"/>
  <c r="Q89" i="20" a="1"/>
  <c r="Q89" i="20" s="1"/>
  <c r="CM88" i="20"/>
  <c r="BU88" i="20"/>
  <c r="AW88" i="20"/>
  <c r="AC88" i="20"/>
  <c r="M88" i="20"/>
  <c r="BR89" i="20" a="1"/>
  <c r="BR89" i="20" s="1"/>
  <c r="AK89" i="20" a="1"/>
  <c r="AK89" i="20" s="1"/>
  <c r="CL88" i="20"/>
  <c r="BO88" i="20"/>
  <c r="AV88" i="20"/>
  <c r="Z88" i="20"/>
  <c r="I88" i="20"/>
  <c r="CL89" i="20" a="1"/>
  <c r="CL89" i="20" s="1"/>
  <c r="BF89" i="20" a="1"/>
  <c r="BF89" i="20" s="1"/>
  <c r="Y89" i="20" a="1"/>
  <c r="Y89" i="20" s="1"/>
  <c r="CK88" i="20"/>
  <c r="BN88" i="20"/>
  <c r="AP88" i="20"/>
  <c r="Y88" i="20"/>
  <c r="H88" i="20"/>
  <c r="BG88" i="20"/>
  <c r="U89" i="20" a="1"/>
  <c r="U89" i="20" s="1"/>
  <c r="AS89" i="20" a="1"/>
  <c r="AS89" i="20" s="1"/>
  <c r="AN126" i="21"/>
  <c r="AM125" i="21"/>
  <c r="AM128" i="21"/>
  <c r="AR105" i="21"/>
  <c r="AQ104" i="21"/>
  <c r="AQ107" i="21"/>
  <c r="AR98" i="21"/>
  <c r="AQ100" i="21"/>
  <c r="AQ97" i="21"/>
  <c r="AI65" i="21"/>
  <c r="AJ63" i="21"/>
  <c r="AI62" i="21"/>
  <c r="CQ67" i="20"/>
  <c r="CI67" i="20"/>
  <c r="CA67" i="20"/>
  <c r="BS67" i="20"/>
  <c r="BK67" i="20"/>
  <c r="BB67" i="20"/>
  <c r="AT67" i="20"/>
  <c r="AL67" i="20"/>
  <c r="AD67" i="20"/>
  <c r="V67" i="20"/>
  <c r="N67" i="20"/>
  <c r="CR68" i="20" a="1"/>
  <c r="CR68" i="20" s="1"/>
  <c r="CN68" i="20" a="1"/>
  <c r="CN68" i="20" s="1"/>
  <c r="CJ68" i="20" a="1"/>
  <c r="CJ68" i="20" s="1"/>
  <c r="CF68" i="20" a="1"/>
  <c r="CF68" i="20" s="1"/>
  <c r="CB68" i="20" a="1"/>
  <c r="CB68" i="20" s="1"/>
  <c r="BX68" i="20" a="1"/>
  <c r="BX68" i="20" s="1"/>
  <c r="BT68" i="20" a="1"/>
  <c r="BT68" i="20" s="1"/>
  <c r="BP68" i="20" a="1"/>
  <c r="BP68" i="20" s="1"/>
  <c r="BL68" i="20" a="1"/>
  <c r="BL68" i="20" s="1"/>
  <c r="BH68" i="20" a="1"/>
  <c r="BH68" i="20" s="1"/>
  <c r="BD68" i="20" a="1"/>
  <c r="BD68" i="20" s="1"/>
  <c r="AY68" i="20" a="1"/>
  <c r="AY68" i="20" s="1"/>
  <c r="AU68" i="20" a="1"/>
  <c r="AU68" i="20" s="1"/>
  <c r="AQ68" i="20" a="1"/>
  <c r="AQ68" i="20" s="1"/>
  <c r="AM68" i="20" a="1"/>
  <c r="AM68" i="20" s="1"/>
  <c r="AI68" i="20" a="1"/>
  <c r="AI68" i="20" s="1"/>
  <c r="AE68" i="20" a="1"/>
  <c r="AE68" i="20" s="1"/>
  <c r="AA68" i="20" a="1"/>
  <c r="AA68" i="20" s="1"/>
  <c r="W68" i="20" a="1"/>
  <c r="W68" i="20" s="1"/>
  <c r="S68" i="20" a="1"/>
  <c r="S68" i="20" s="1"/>
  <c r="O68" i="20" a="1"/>
  <c r="O68" i="20" s="1"/>
  <c r="CO67" i="20"/>
  <c r="CG67" i="20"/>
  <c r="BY67" i="20"/>
  <c r="BQ67" i="20"/>
  <c r="BI67" i="20"/>
  <c r="AZ67" i="20"/>
  <c r="AR67" i="20"/>
  <c r="AJ67" i="20"/>
  <c r="AB67" i="20"/>
  <c r="T67" i="20"/>
  <c r="L67" i="20"/>
  <c r="R67" i="20"/>
  <c r="AC67" i="20"/>
  <c r="AN67" i="20"/>
  <c r="AX67" i="20"/>
  <c r="BJ67" i="20"/>
  <c r="BU67" i="20"/>
  <c r="CE67" i="20"/>
  <c r="CP67" i="20"/>
  <c r="R68" i="20" a="1"/>
  <c r="R68" i="20" s="1"/>
  <c r="Y68" i="20" a="1"/>
  <c r="Y68" i="20" s="1"/>
  <c r="AF68" i="20" a="1"/>
  <c r="AF68" i="20" s="1"/>
  <c r="AX68" i="20" a="1"/>
  <c r="AX68" i="20" s="1"/>
  <c r="BF68" i="20" a="1"/>
  <c r="BF68" i="20" s="1"/>
  <c r="BM68" i="20" a="1"/>
  <c r="BM68" i="20" s="1"/>
  <c r="CE68" i="20" a="1"/>
  <c r="CE68" i="20" s="1"/>
  <c r="CL68" i="20" a="1"/>
  <c r="CL68" i="20" s="1"/>
  <c r="CS68" i="20" a="1"/>
  <c r="CS68" i="20" s="1"/>
  <c r="T82" i="20"/>
  <c r="AY82" i="20"/>
  <c r="CE82" i="20"/>
  <c r="CC83" i="20" a="1"/>
  <c r="CC83" i="20" s="1"/>
  <c r="CU83" i="20" a="1"/>
  <c r="CU83" i="20" s="1"/>
  <c r="R88" i="20"/>
  <c r="BM88" i="20"/>
  <c r="BA89" i="20" a="1"/>
  <c r="BA89" i="20" s="1"/>
  <c r="BZ89" i="20" a="1"/>
  <c r="BZ89" i="20" s="1"/>
  <c r="CO95" i="20" a="1"/>
  <c r="CO95" i="20" s="1"/>
  <c r="AO119" i="21"/>
  <c r="AN118" i="21"/>
  <c r="AN121" i="21"/>
  <c r="AR85" i="21"/>
  <c r="AS84" i="21"/>
  <c r="AR83" i="21"/>
  <c r="AR86" i="21"/>
  <c r="AR100" i="21"/>
  <c r="AR97" i="21"/>
  <c r="AR99" i="21"/>
  <c r="AS98" i="21"/>
  <c r="Q58" i="20"/>
  <c r="AB58" i="20"/>
  <c r="AM58" i="20"/>
  <c r="AW58" i="20"/>
  <c r="BI58" i="20"/>
  <c r="BT58" i="20"/>
  <c r="CD58" i="20"/>
  <c r="CO58" i="20"/>
  <c r="L59" i="20" a="1"/>
  <c r="L59" i="20" s="1"/>
  <c r="Q59" i="20" a="1"/>
  <c r="Q59" i="20" s="1"/>
  <c r="AB59" i="20" a="1"/>
  <c r="AB59" i="20" s="1"/>
  <c r="AG59" i="20" a="1"/>
  <c r="AG59" i="20" s="1"/>
  <c r="AR59" i="20" a="1"/>
  <c r="AR59" i="20" s="1"/>
  <c r="AW59" i="20" a="1"/>
  <c r="AW59" i="20" s="1"/>
  <c r="BI59" i="20" a="1"/>
  <c r="BI59" i="20" s="1"/>
  <c r="BN59" i="20" a="1"/>
  <c r="BN59" i="20" s="1"/>
  <c r="BY59" i="20" a="1"/>
  <c r="BY59" i="20" s="1"/>
  <c r="CD59" i="20" a="1"/>
  <c r="CD59" i="20" s="1"/>
  <c r="CO59" i="20" a="1"/>
  <c r="CO59" i="20" s="1"/>
  <c r="H67" i="20"/>
  <c r="S67" i="20"/>
  <c r="AE67" i="20"/>
  <c r="AO67" i="20"/>
  <c r="AY67" i="20"/>
  <c r="BL67" i="20"/>
  <c r="BV67" i="20"/>
  <c r="CF67" i="20"/>
  <c r="CR67" i="20"/>
  <c r="M68" i="20" a="1"/>
  <c r="M68" i="20" s="1"/>
  <c r="T68" i="20" a="1"/>
  <c r="T68" i="20" s="1"/>
  <c r="AL68" i="20" a="1"/>
  <c r="AL68" i="20" s="1"/>
  <c r="AS68" i="20" a="1"/>
  <c r="AS68" i="20" s="1"/>
  <c r="AZ68" i="20" a="1"/>
  <c r="AZ68" i="20" s="1"/>
  <c r="BS68" i="20" a="1"/>
  <c r="BS68" i="20" s="1"/>
  <c r="BZ68" i="20" a="1"/>
  <c r="BZ68" i="20" s="1"/>
  <c r="CG68" i="20" a="1"/>
  <c r="CG68" i="20" s="1"/>
  <c r="AB82" i="20"/>
  <c r="AZ82" i="20"/>
  <c r="CF82" i="20"/>
  <c r="AV83" i="20" a="1"/>
  <c r="AV83" i="20" s="1"/>
  <c r="BO83" i="20" a="1"/>
  <c r="BO83" i="20" s="1"/>
  <c r="U88" i="20"/>
  <c r="CC88" i="20"/>
  <c r="CH89" i="20" a="1"/>
  <c r="CH89" i="20" s="1"/>
  <c r="CR59" i="20" a="1"/>
  <c r="CR59" i="20" s="1"/>
  <c r="CN59" i="20" a="1"/>
  <c r="CN59" i="20" s="1"/>
  <c r="CJ59" i="20" a="1"/>
  <c r="CJ59" i="20" s="1"/>
  <c r="CF59" i="20" a="1"/>
  <c r="CF59" i="20" s="1"/>
  <c r="CB59" i="20" a="1"/>
  <c r="CB59" i="20" s="1"/>
  <c r="BX59" i="20" a="1"/>
  <c r="BX59" i="20" s="1"/>
  <c r="BT59" i="20" a="1"/>
  <c r="BT59" i="20" s="1"/>
  <c r="BP59" i="20" a="1"/>
  <c r="BP59" i="20" s="1"/>
  <c r="BL59" i="20" a="1"/>
  <c r="BL59" i="20" s="1"/>
  <c r="BH59" i="20" a="1"/>
  <c r="BH59" i="20" s="1"/>
  <c r="BD59" i="20" a="1"/>
  <c r="BD59" i="20" s="1"/>
  <c r="AY59" i="20" a="1"/>
  <c r="AY59" i="20" s="1"/>
  <c r="AU59" i="20" a="1"/>
  <c r="AU59" i="20" s="1"/>
  <c r="AQ59" i="20" a="1"/>
  <c r="AQ59" i="20" s="1"/>
  <c r="AM59" i="20" a="1"/>
  <c r="AM59" i="20" s="1"/>
  <c r="AI59" i="20" a="1"/>
  <c r="AI59" i="20" s="1"/>
  <c r="AE59" i="20" a="1"/>
  <c r="AE59" i="20" s="1"/>
  <c r="AA59" i="20" a="1"/>
  <c r="AA59" i="20" s="1"/>
  <c r="W59" i="20" a="1"/>
  <c r="W59" i="20" s="1"/>
  <c r="S59" i="20" a="1"/>
  <c r="S59" i="20" s="1"/>
  <c r="O59" i="20" a="1"/>
  <c r="O59" i="20" s="1"/>
  <c r="K59" i="20" a="1"/>
  <c r="K59" i="20" s="1"/>
  <c r="CP58" i="20"/>
  <c r="CH58" i="20"/>
  <c r="BZ58" i="20"/>
  <c r="BR58" i="20"/>
  <c r="BJ58" i="20"/>
  <c r="BA58" i="20"/>
  <c r="AS58" i="20"/>
  <c r="AK58" i="20"/>
  <c r="AC58" i="20"/>
  <c r="U58" i="20"/>
  <c r="M58" i="20"/>
  <c r="CU59" i="20" a="1"/>
  <c r="CU59" i="20" s="1"/>
  <c r="CQ59" i="20" a="1"/>
  <c r="CQ59" i="20" s="1"/>
  <c r="CM59" i="20" a="1"/>
  <c r="CM59" i="20" s="1"/>
  <c r="CI59" i="20" a="1"/>
  <c r="CI59" i="20" s="1"/>
  <c r="CE59" i="20" a="1"/>
  <c r="CE59" i="20" s="1"/>
  <c r="CA59" i="20" a="1"/>
  <c r="CA59" i="20" s="1"/>
  <c r="BW59" i="20" a="1"/>
  <c r="BW59" i="20" s="1"/>
  <c r="BS59" i="20" a="1"/>
  <c r="BS59" i="20" s="1"/>
  <c r="BO59" i="20" a="1"/>
  <c r="BO59" i="20" s="1"/>
  <c r="BK59" i="20" a="1"/>
  <c r="BK59" i="20" s="1"/>
  <c r="BG59" i="20" a="1"/>
  <c r="BG59" i="20" s="1"/>
  <c r="BB59" i="20" a="1"/>
  <c r="BB59" i="20" s="1"/>
  <c r="AX59" i="20" a="1"/>
  <c r="AX59" i="20" s="1"/>
  <c r="AT59" i="20" a="1"/>
  <c r="AT59" i="20" s="1"/>
  <c r="AP59" i="20" a="1"/>
  <c r="AP59" i="20" s="1"/>
  <c r="AL59" i="20" a="1"/>
  <c r="AL59" i="20" s="1"/>
  <c r="AH59" i="20" a="1"/>
  <c r="AH59" i="20" s="1"/>
  <c r="AD59" i="20" a="1"/>
  <c r="AD59" i="20" s="1"/>
  <c r="Z59" i="20" a="1"/>
  <c r="Z59" i="20" s="1"/>
  <c r="V59" i="20" a="1"/>
  <c r="V59" i="20" s="1"/>
  <c r="R59" i="20" a="1"/>
  <c r="R59" i="20" s="1"/>
  <c r="N59" i="20" a="1"/>
  <c r="N59" i="20" s="1"/>
  <c r="I59" i="20" a="1"/>
  <c r="I59" i="20" s="1"/>
  <c r="CN58" i="20"/>
  <c r="CF58" i="20"/>
  <c r="BX58" i="20"/>
  <c r="BP58" i="20"/>
  <c r="BH58" i="20"/>
  <c r="AY58" i="20"/>
  <c r="AQ58" i="20"/>
  <c r="AI58" i="20"/>
  <c r="AA58" i="20"/>
  <c r="S58" i="20"/>
  <c r="K58" i="20"/>
  <c r="R58" i="20"/>
  <c r="AD58" i="20"/>
  <c r="AN58" i="20"/>
  <c r="AX58" i="20"/>
  <c r="BK58" i="20"/>
  <c r="BU58" i="20"/>
  <c r="CE58" i="20"/>
  <c r="CQ58" i="20"/>
  <c r="I67" i="20"/>
  <c r="U67" i="20"/>
  <c r="AF67" i="20"/>
  <c r="AP67" i="20"/>
  <c r="BA67" i="20"/>
  <c r="BM67" i="20"/>
  <c r="BW67" i="20"/>
  <c r="CH67" i="20"/>
  <c r="CS67" i="20"/>
  <c r="Z68" i="20" a="1"/>
  <c r="Z68" i="20" s="1"/>
  <c r="AG68" i="20" a="1"/>
  <c r="AG68" i="20" s="1"/>
  <c r="AN68" i="20" a="1"/>
  <c r="AN68" i="20" s="1"/>
  <c r="BG68" i="20" a="1"/>
  <c r="BG68" i="20" s="1"/>
  <c r="BN68" i="20" a="1"/>
  <c r="BN68" i="20" s="1"/>
  <c r="BU68" i="20" a="1"/>
  <c r="BU68" i="20" s="1"/>
  <c r="CM68" i="20" a="1"/>
  <c r="CM68" i="20" s="1"/>
  <c r="CT68" i="20" a="1"/>
  <c r="CT68" i="20" s="1"/>
  <c r="Z74" i="20" a="1"/>
  <c r="Z74" i="20" s="1"/>
  <c r="AH74" i="20" a="1"/>
  <c r="AH74" i="20" s="1"/>
  <c r="AP74" i="20" a="1"/>
  <c r="AP74" i="20" s="1"/>
  <c r="CH74" i="20" a="1"/>
  <c r="CH74" i="20" s="1"/>
  <c r="CP74" i="20" a="1"/>
  <c r="CP74" i="20" s="1"/>
  <c r="CS76" i="20"/>
  <c r="AC82" i="20"/>
  <c r="BI82" i="20"/>
  <c r="CG82" i="20"/>
  <c r="R83" i="20" a="1"/>
  <c r="R83" i="20" s="1"/>
  <c r="AH83" i="20" a="1"/>
  <c r="AH83" i="20" s="1"/>
  <c r="CO85" i="20"/>
  <c r="X88" i="20"/>
  <c r="CD88" i="20"/>
  <c r="CQ92" i="20" a="1"/>
  <c r="CQ92" i="20" s="1"/>
  <c r="AQ63" i="21"/>
  <c r="AQ64" i="21" s="1"/>
  <c r="AP65" i="21"/>
  <c r="AP62" i="21"/>
  <c r="BG98" i="20" a="1"/>
  <c r="BG98" i="20" s="1"/>
  <c r="BO98" i="20" a="1"/>
  <c r="BO98" i="20" s="1"/>
  <c r="BW98" i="20" a="1"/>
  <c r="BW98" i="20" s="1"/>
  <c r="BW104" i="20" a="1"/>
  <c r="BW104" i="20" s="1"/>
  <c r="CM104" i="20" a="1"/>
  <c r="CM104" i="20" s="1"/>
  <c r="CM98" i="20" a="1"/>
  <c r="CM98" i="20" s="1"/>
  <c r="CU98" i="20" a="1"/>
  <c r="CU98" i="20" s="1"/>
  <c r="CU77" i="20" a="1"/>
  <c r="CU77" i="20" s="1"/>
  <c r="N61" i="20"/>
  <c r="V61" i="20"/>
  <c r="AD61" i="20"/>
  <c r="AL61" i="20"/>
  <c r="AT61" i="20"/>
  <c r="BB61" i="20"/>
  <c r="BK61" i="20"/>
  <c r="BS61" i="20"/>
  <c r="CA61" i="20"/>
  <c r="CI61" i="20"/>
  <c r="CQ61" i="20"/>
  <c r="O70" i="20"/>
  <c r="W70" i="20"/>
  <c r="AE70" i="20"/>
  <c r="AM70" i="20"/>
  <c r="AU70" i="20"/>
  <c r="BD70" i="20"/>
  <c r="BL70" i="20"/>
  <c r="BT70" i="20"/>
  <c r="CB70" i="20"/>
  <c r="CJ70" i="20"/>
  <c r="CR70" i="20"/>
  <c r="L71" i="20" a="1"/>
  <c r="L71" i="20" s="1"/>
  <c r="P71" i="20" a="1"/>
  <c r="P71" i="20" s="1"/>
  <c r="T71" i="20" a="1"/>
  <c r="T71" i="20" s="1"/>
  <c r="X71" i="20" a="1"/>
  <c r="X71" i="20" s="1"/>
  <c r="AB71" i="20" a="1"/>
  <c r="AB71" i="20" s="1"/>
  <c r="AF71" i="20" a="1"/>
  <c r="AF71" i="20" s="1"/>
  <c r="AJ71" i="20" a="1"/>
  <c r="AJ71" i="20" s="1"/>
  <c r="AN71" i="20" a="1"/>
  <c r="AN71" i="20" s="1"/>
  <c r="AR71" i="20" a="1"/>
  <c r="AR71" i="20" s="1"/>
  <c r="AV71" i="20" a="1"/>
  <c r="AV71" i="20" s="1"/>
  <c r="AZ71" i="20" a="1"/>
  <c r="AZ71" i="20" s="1"/>
  <c r="BE71" i="20" a="1"/>
  <c r="BE71" i="20" s="1"/>
  <c r="BI71" i="20" a="1"/>
  <c r="BI71" i="20" s="1"/>
  <c r="BM71" i="20" a="1"/>
  <c r="BM71" i="20" s="1"/>
  <c r="BQ71" i="20" a="1"/>
  <c r="BQ71" i="20" s="1"/>
  <c r="BU71" i="20" a="1"/>
  <c r="BU71" i="20" s="1"/>
  <c r="BY71" i="20" a="1"/>
  <c r="BY71" i="20" s="1"/>
  <c r="CC71" i="20" a="1"/>
  <c r="CC71" i="20" s="1"/>
  <c r="CG71" i="20" a="1"/>
  <c r="CG71" i="20" s="1"/>
  <c r="CK71" i="20" a="1"/>
  <c r="CK71" i="20" s="1"/>
  <c r="CO71" i="20" a="1"/>
  <c r="CO71" i="20" s="1"/>
  <c r="CS71" i="20" a="1"/>
  <c r="CS71" i="20" s="1"/>
  <c r="P79" i="20"/>
  <c r="Z79" i="20"/>
  <c r="AK79" i="20"/>
  <c r="AV79" i="20"/>
  <c r="BG79" i="20"/>
  <c r="BR79" i="20"/>
  <c r="CC79" i="20"/>
  <c r="CM79" i="20"/>
  <c r="K80" i="20" a="1"/>
  <c r="K80" i="20" s="1"/>
  <c r="AA80" i="20" a="1"/>
  <c r="AA80" i="20" s="1"/>
  <c r="AQ80" i="20" a="1"/>
  <c r="AQ80" i="20" s="1"/>
  <c r="BH80" i="20" a="1"/>
  <c r="BH80" i="20" s="1"/>
  <c r="BX80" i="20" a="1"/>
  <c r="BX80" i="20" s="1"/>
  <c r="P70" i="20"/>
  <c r="X70" i="20"/>
  <c r="AF70" i="20"/>
  <c r="AN70" i="20"/>
  <c r="AV70" i="20"/>
  <c r="BE70" i="20"/>
  <c r="BM70" i="20"/>
  <c r="BU70" i="20"/>
  <c r="CC70" i="20"/>
  <c r="CK70" i="20"/>
  <c r="CS70" i="20"/>
  <c r="BO77" i="20" a="1"/>
  <c r="BO77" i="20" s="1"/>
  <c r="P61" i="20"/>
  <c r="X61" i="20"/>
  <c r="AF61" i="20"/>
  <c r="AN61" i="20"/>
  <c r="AV61" i="20"/>
  <c r="BE61" i="20"/>
  <c r="BM61" i="20"/>
  <c r="BU61" i="20"/>
  <c r="CC61" i="20"/>
  <c r="CK61" i="20"/>
  <c r="H70" i="20"/>
  <c r="Q70" i="20"/>
  <c r="Y70" i="20"/>
  <c r="AG70" i="20"/>
  <c r="AO70" i="20"/>
  <c r="AW70" i="20"/>
  <c r="BF70" i="20"/>
  <c r="BN70" i="20"/>
  <c r="BV70" i="20"/>
  <c r="CD70" i="20"/>
  <c r="CL70" i="20"/>
  <c r="CT70" i="20"/>
  <c r="M71" i="20" a="1"/>
  <c r="M71" i="20" s="1"/>
  <c r="Q71" i="20" a="1"/>
  <c r="Q71" i="20" s="1"/>
  <c r="U71" i="20" a="1"/>
  <c r="U71" i="20" s="1"/>
  <c r="Y71" i="20" a="1"/>
  <c r="Y71" i="20" s="1"/>
  <c r="AC71" i="20" a="1"/>
  <c r="AC71" i="20" s="1"/>
  <c r="AG71" i="20" a="1"/>
  <c r="AG71" i="20" s="1"/>
  <c r="AK71" i="20" a="1"/>
  <c r="AK71" i="20" s="1"/>
  <c r="AO71" i="20" a="1"/>
  <c r="AO71" i="20" s="1"/>
  <c r="AS71" i="20" a="1"/>
  <c r="AS71" i="20" s="1"/>
  <c r="AW71" i="20" a="1"/>
  <c r="AW71" i="20" s="1"/>
  <c r="BA71" i="20" a="1"/>
  <c r="BA71" i="20" s="1"/>
  <c r="BF71" i="20" a="1"/>
  <c r="BF71" i="20" s="1"/>
  <c r="BJ71" i="20" a="1"/>
  <c r="BJ71" i="20" s="1"/>
  <c r="BN71" i="20" a="1"/>
  <c r="BN71" i="20" s="1"/>
  <c r="BR71" i="20" a="1"/>
  <c r="BR71" i="20" s="1"/>
  <c r="BV71" i="20" a="1"/>
  <c r="BV71" i="20" s="1"/>
  <c r="BZ71" i="20" a="1"/>
  <c r="BZ71" i="20" s="1"/>
  <c r="CD71" i="20" a="1"/>
  <c r="CD71" i="20" s="1"/>
  <c r="CH71" i="20" a="1"/>
  <c r="CH71" i="20" s="1"/>
  <c r="CL71" i="20" a="1"/>
  <c r="CL71" i="20" s="1"/>
  <c r="CP71" i="20" a="1"/>
  <c r="CP71" i="20" s="1"/>
  <c r="CQ79" i="20"/>
  <c r="CI79" i="20"/>
  <c r="CA79" i="20"/>
  <c r="BS79" i="20"/>
  <c r="BK79" i="20"/>
  <c r="BB79" i="20"/>
  <c r="AT79" i="20"/>
  <c r="AL79" i="20"/>
  <c r="AD79" i="20"/>
  <c r="V79" i="20"/>
  <c r="N79" i="20"/>
  <c r="CU80" i="20" a="1"/>
  <c r="CU80" i="20" s="1"/>
  <c r="CQ80" i="20" a="1"/>
  <c r="CQ80" i="20" s="1"/>
  <c r="CM80" i="20" a="1"/>
  <c r="CM80" i="20" s="1"/>
  <c r="CI80" i="20" a="1"/>
  <c r="CI80" i="20" s="1"/>
  <c r="CE80" i="20" a="1"/>
  <c r="CE80" i="20" s="1"/>
  <c r="CA80" i="20" a="1"/>
  <c r="CA80" i="20" s="1"/>
  <c r="BW80" i="20" a="1"/>
  <c r="BW80" i="20" s="1"/>
  <c r="BS80" i="20" a="1"/>
  <c r="BS80" i="20" s="1"/>
  <c r="BO80" i="20" a="1"/>
  <c r="BO80" i="20" s="1"/>
  <c r="BK80" i="20" a="1"/>
  <c r="BK80" i="20" s="1"/>
  <c r="BG80" i="20" a="1"/>
  <c r="BG80" i="20" s="1"/>
  <c r="BB80" i="20" a="1"/>
  <c r="BB80" i="20" s="1"/>
  <c r="AX80" i="20" a="1"/>
  <c r="AX80" i="20" s="1"/>
  <c r="AT80" i="20" a="1"/>
  <c r="AT80" i="20" s="1"/>
  <c r="AP80" i="20" a="1"/>
  <c r="AP80" i="20" s="1"/>
  <c r="AL80" i="20" a="1"/>
  <c r="AL80" i="20" s="1"/>
  <c r="AH80" i="20" a="1"/>
  <c r="AH80" i="20" s="1"/>
  <c r="AD80" i="20" a="1"/>
  <c r="AD80" i="20" s="1"/>
  <c r="Z80" i="20" a="1"/>
  <c r="Z80" i="20" s="1"/>
  <c r="V80" i="20" a="1"/>
  <c r="V80" i="20" s="1"/>
  <c r="R80" i="20" a="1"/>
  <c r="R80" i="20" s="1"/>
  <c r="N80" i="20" a="1"/>
  <c r="N80" i="20" s="1"/>
  <c r="I80" i="20" a="1"/>
  <c r="I80" i="20" s="1"/>
  <c r="CN79" i="20"/>
  <c r="CF79" i="20"/>
  <c r="BX79" i="20"/>
  <c r="BP79" i="20"/>
  <c r="BH79" i="20"/>
  <c r="AY79" i="20"/>
  <c r="AQ79" i="20"/>
  <c r="AI79" i="20"/>
  <c r="AA79" i="20"/>
  <c r="S79" i="20"/>
  <c r="K79" i="20"/>
  <c r="R79" i="20"/>
  <c r="AC79" i="20"/>
  <c r="AN79" i="20"/>
  <c r="AX79" i="20"/>
  <c r="BJ79" i="20"/>
  <c r="BU79" i="20"/>
  <c r="CE79" i="20"/>
  <c r="CP79" i="20"/>
  <c r="W80" i="20" a="1"/>
  <c r="W80" i="20" s="1"/>
  <c r="AM80" i="20" a="1"/>
  <c r="AM80" i="20" s="1"/>
  <c r="BD80" i="20" a="1"/>
  <c r="BD80" i="20" s="1"/>
  <c r="BT80" i="20" a="1"/>
  <c r="BT80" i="20" s="1"/>
  <c r="CJ80" i="20" a="1"/>
  <c r="CJ80" i="20" s="1"/>
  <c r="BG95" i="20" a="1"/>
  <c r="BG95" i="20" s="1"/>
  <c r="AI84" i="21"/>
  <c r="AI85" i="21" s="1"/>
  <c r="AH83" i="21"/>
  <c r="AH86" i="21"/>
  <c r="AM77" i="21"/>
  <c r="AL79" i="21"/>
  <c r="AL76" i="21"/>
  <c r="P85" i="20"/>
  <c r="X85" i="20"/>
  <c r="AF85" i="20"/>
  <c r="AN85" i="20"/>
  <c r="AV85" i="20"/>
  <c r="BE85" i="20"/>
  <c r="BM85" i="20"/>
  <c r="BU85" i="20"/>
  <c r="CC85" i="20"/>
  <c r="CK85" i="20"/>
  <c r="CS85" i="20"/>
  <c r="N91" i="20"/>
  <c r="V91" i="20"/>
  <c r="AD91" i="20"/>
  <c r="AL91" i="20"/>
  <c r="AT91" i="20"/>
  <c r="BB91" i="20"/>
  <c r="BK91" i="20"/>
  <c r="BS91" i="20"/>
  <c r="CA91" i="20"/>
  <c r="CI91" i="20"/>
  <c r="CQ91" i="20"/>
  <c r="T92" i="20" a="1"/>
  <c r="T92" i="20" s="1"/>
  <c r="AH92" i="20" a="1"/>
  <c r="AH92" i="20" s="1"/>
  <c r="AQ92" i="20" a="1"/>
  <c r="AQ92" i="20" s="1"/>
  <c r="AZ92" i="20" a="1"/>
  <c r="AZ92" i="20" s="1"/>
  <c r="BO92" i="20" a="1"/>
  <c r="BO92" i="20" s="1"/>
  <c r="BX92" i="20" a="1"/>
  <c r="BX92" i="20" s="1"/>
  <c r="CG92" i="20" a="1"/>
  <c r="CG92" i="20" s="1"/>
  <c r="CU92" i="20" a="1"/>
  <c r="CU92" i="20" s="1"/>
  <c r="O94" i="20"/>
  <c r="X94" i="20"/>
  <c r="AG94" i="20"/>
  <c r="AP94" i="20"/>
  <c r="AY94" i="20"/>
  <c r="BJ94" i="20"/>
  <c r="BS94" i="20"/>
  <c r="CB94" i="20"/>
  <c r="CK94" i="20"/>
  <c r="CT94" i="20"/>
  <c r="R95" i="20" a="1"/>
  <c r="R95" i="20" s="1"/>
  <c r="W95" i="20" a="1"/>
  <c r="W95" i="20" s="1"/>
  <c r="AF95" i="20" a="1"/>
  <c r="AF95" i="20" s="1"/>
  <c r="AO95" i="20" a="1"/>
  <c r="AO95" i="20" s="1"/>
  <c r="AX95" i="20" a="1"/>
  <c r="AX95" i="20" s="1"/>
  <c r="BD95" i="20" a="1"/>
  <c r="BD95" i="20" s="1"/>
  <c r="BM95" i="20" a="1"/>
  <c r="BM95" i="20" s="1"/>
  <c r="BV95" i="20" a="1"/>
  <c r="BV95" i="20" s="1"/>
  <c r="CE95" i="20" a="1"/>
  <c r="CE95" i="20" s="1"/>
  <c r="CJ95" i="20" a="1"/>
  <c r="CJ95" i="20" s="1"/>
  <c r="CS95" i="20" a="1"/>
  <c r="CS95" i="20" s="1"/>
  <c r="CU101" i="20" a="1"/>
  <c r="CU101" i="20" s="1"/>
  <c r="CQ101" i="20" a="1"/>
  <c r="CQ101" i="20" s="1"/>
  <c r="CM101" i="20" a="1"/>
  <c r="CM101" i="20" s="1"/>
  <c r="CI101" i="20" a="1"/>
  <c r="CI101" i="20" s="1"/>
  <c r="CE101" i="20" a="1"/>
  <c r="CE101" i="20" s="1"/>
  <c r="CA101" i="20" a="1"/>
  <c r="CA101" i="20" s="1"/>
  <c r="BW101" i="20" a="1"/>
  <c r="BW101" i="20" s="1"/>
  <c r="BS101" i="20" a="1"/>
  <c r="BS101" i="20" s="1"/>
  <c r="BO101" i="20" a="1"/>
  <c r="BO101" i="20" s="1"/>
  <c r="BK101" i="20" a="1"/>
  <c r="BK101" i="20" s="1"/>
  <c r="BG101" i="20" a="1"/>
  <c r="BG101" i="20" s="1"/>
  <c r="BB101" i="20" a="1"/>
  <c r="BB101" i="20" s="1"/>
  <c r="AX101" i="20" a="1"/>
  <c r="AX101" i="20" s="1"/>
  <c r="AT101" i="20" a="1"/>
  <c r="AT101" i="20" s="1"/>
  <c r="AP101" i="20" a="1"/>
  <c r="AP101" i="20" s="1"/>
  <c r="AL101" i="20" a="1"/>
  <c r="AL101" i="20" s="1"/>
  <c r="AH101" i="20" a="1"/>
  <c r="AH101" i="20" s="1"/>
  <c r="AD101" i="20" a="1"/>
  <c r="AD101" i="20" s="1"/>
  <c r="Z101" i="20" a="1"/>
  <c r="Z101" i="20" s="1"/>
  <c r="V101" i="20" a="1"/>
  <c r="V101" i="20" s="1"/>
  <c r="R101" i="20" a="1"/>
  <c r="R101" i="20" s="1"/>
  <c r="N101" i="20" a="1"/>
  <c r="N101" i="20" s="1"/>
  <c r="I101" i="20" a="1"/>
  <c r="I101" i="20" s="1"/>
  <c r="CN100" i="20"/>
  <c r="CF100" i="20"/>
  <c r="BX100" i="20"/>
  <c r="BP100" i="20"/>
  <c r="BH100" i="20"/>
  <c r="AY100" i="20"/>
  <c r="AQ100" i="20"/>
  <c r="AI100" i="20"/>
  <c r="AA100" i="20"/>
  <c r="S100" i="20"/>
  <c r="K100" i="20"/>
  <c r="CT101" i="20" a="1"/>
  <c r="CT101" i="20" s="1"/>
  <c r="CP101" i="20" a="1"/>
  <c r="CP101" i="20" s="1"/>
  <c r="CL101" i="20" a="1"/>
  <c r="CL101" i="20" s="1"/>
  <c r="CH101" i="20" a="1"/>
  <c r="CH101" i="20" s="1"/>
  <c r="CD101" i="20" a="1"/>
  <c r="CD101" i="20" s="1"/>
  <c r="BZ101" i="20" a="1"/>
  <c r="BZ101" i="20" s="1"/>
  <c r="BV101" i="20" a="1"/>
  <c r="BV101" i="20" s="1"/>
  <c r="BR101" i="20" a="1"/>
  <c r="BR101" i="20" s="1"/>
  <c r="BN101" i="20" a="1"/>
  <c r="BN101" i="20" s="1"/>
  <c r="BJ101" i="20" a="1"/>
  <c r="BJ101" i="20" s="1"/>
  <c r="BF101" i="20" a="1"/>
  <c r="BF101" i="20" s="1"/>
  <c r="BA101" i="20" a="1"/>
  <c r="BA101" i="20" s="1"/>
  <c r="AW101" i="20" a="1"/>
  <c r="AW101" i="20" s="1"/>
  <c r="AS101" i="20" a="1"/>
  <c r="AS101" i="20" s="1"/>
  <c r="CR101" i="20" a="1"/>
  <c r="CR101" i="20" s="1"/>
  <c r="CG101" i="20" a="1"/>
  <c r="CG101" i="20" s="1"/>
  <c r="CB101" i="20" a="1"/>
  <c r="CB101" i="20" s="1"/>
  <c r="BQ101" i="20" a="1"/>
  <c r="BQ101" i="20" s="1"/>
  <c r="BL101" i="20" a="1"/>
  <c r="BL101" i="20" s="1"/>
  <c r="AZ101" i="20" a="1"/>
  <c r="AZ101" i="20" s="1"/>
  <c r="AU101" i="20" a="1"/>
  <c r="AU101" i="20" s="1"/>
  <c r="AK101" i="20" a="1"/>
  <c r="AK101" i="20" s="1"/>
  <c r="AB101" i="20" a="1"/>
  <c r="AB101" i="20" s="1"/>
  <c r="S101" i="20" a="1"/>
  <c r="S101" i="20" s="1"/>
  <c r="CU100" i="20"/>
  <c r="CL100" i="20"/>
  <c r="CC100" i="20"/>
  <c r="BT100" i="20"/>
  <c r="BK100" i="20"/>
  <c r="BA100" i="20"/>
  <c r="AR100" i="20"/>
  <c r="AH100" i="20"/>
  <c r="Y100" i="20"/>
  <c r="P100" i="20"/>
  <c r="AO101" i="20" a="1"/>
  <c r="AO101" i="20" s="1"/>
  <c r="AF101" i="20" a="1"/>
  <c r="AF101" i="20" s="1"/>
  <c r="W101" i="20" a="1"/>
  <c r="W101" i="20" s="1"/>
  <c r="CT100" i="20"/>
  <c r="CK100" i="20"/>
  <c r="CB100" i="20"/>
  <c r="BS100" i="20"/>
  <c r="BJ100" i="20"/>
  <c r="AZ100" i="20"/>
  <c r="AP100" i="20"/>
  <c r="AG100" i="20"/>
  <c r="X100" i="20"/>
  <c r="O100" i="20"/>
  <c r="CK101" i="20" a="1"/>
  <c r="CK101" i="20" s="1"/>
  <c r="CF101" i="20" a="1"/>
  <c r="CF101" i="20" s="1"/>
  <c r="BU101" i="20" a="1"/>
  <c r="BU101" i="20" s="1"/>
  <c r="BP101" i="20" a="1"/>
  <c r="BP101" i="20" s="1"/>
  <c r="BE101" i="20" a="1"/>
  <c r="BE101" i="20" s="1"/>
  <c r="AY101" i="20" a="1"/>
  <c r="AY101" i="20" s="1"/>
  <c r="AJ101" i="20" a="1"/>
  <c r="AJ101" i="20" s="1"/>
  <c r="AA101" i="20" a="1"/>
  <c r="AA101" i="20" s="1"/>
  <c r="M101" i="20" a="1"/>
  <c r="M101" i="20" s="1"/>
  <c r="CS100" i="20"/>
  <c r="CJ100" i="20"/>
  <c r="CA100" i="20"/>
  <c r="BR100" i="20"/>
  <c r="BI100" i="20"/>
  <c r="AX100" i="20"/>
  <c r="AO100" i="20"/>
  <c r="AF100" i="20"/>
  <c r="W100" i="20"/>
  <c r="N100" i="20"/>
  <c r="AN101" i="20" a="1"/>
  <c r="AN101" i="20" s="1"/>
  <c r="AE101" i="20" a="1"/>
  <c r="AE101" i="20" s="1"/>
  <c r="Q101" i="20" a="1"/>
  <c r="Q101" i="20" s="1"/>
  <c r="CR100" i="20"/>
  <c r="CI100" i="20"/>
  <c r="BZ100" i="20"/>
  <c r="BQ100" i="20"/>
  <c r="BG100" i="20"/>
  <c r="AW100" i="20"/>
  <c r="AN100" i="20"/>
  <c r="AE100" i="20"/>
  <c r="V100" i="20"/>
  <c r="M100" i="20"/>
  <c r="CO101" i="20" a="1"/>
  <c r="CO101" i="20" s="1"/>
  <c r="CJ101" i="20" a="1"/>
  <c r="CJ101" i="20" s="1"/>
  <c r="BY101" i="20" a="1"/>
  <c r="BY101" i="20" s="1"/>
  <c r="BT101" i="20" a="1"/>
  <c r="BT101" i="20" s="1"/>
  <c r="BI101" i="20" a="1"/>
  <c r="BI101" i="20" s="1"/>
  <c r="BD101" i="20" a="1"/>
  <c r="BD101" i="20" s="1"/>
  <c r="AR101" i="20" a="1"/>
  <c r="AR101" i="20" s="1"/>
  <c r="AI101" i="20" a="1"/>
  <c r="AI101" i="20" s="1"/>
  <c r="U101" i="20" a="1"/>
  <c r="U101" i="20" s="1"/>
  <c r="L101" i="20" a="1"/>
  <c r="L101" i="20" s="1"/>
  <c r="CQ100" i="20"/>
  <c r="CH100" i="20"/>
  <c r="BY100" i="20"/>
  <c r="BO100" i="20"/>
  <c r="BF100" i="20"/>
  <c r="AV100" i="20"/>
  <c r="AM100" i="20"/>
  <c r="AD100" i="20"/>
  <c r="U100" i="20"/>
  <c r="L100" i="20"/>
  <c r="AC100" i="20"/>
  <c r="BD100" i="20"/>
  <c r="CD100" i="20"/>
  <c r="BM101" i="20" a="1"/>
  <c r="BM101" i="20" s="1"/>
  <c r="AJ82" i="21" a="1"/>
  <c r="AJ82" i="21" s="1"/>
  <c r="AJ75" i="21" a="1"/>
  <c r="AJ75" i="21" s="1"/>
  <c r="AJ58" i="21"/>
  <c r="AJ68" i="21" a="1"/>
  <c r="AJ68" i="21" s="1"/>
  <c r="AJ110" i="21" a="1"/>
  <c r="AJ110" i="21" s="1"/>
  <c r="AJ57" i="21"/>
  <c r="AJ61" i="21" a="1"/>
  <c r="AJ61" i="21" s="1"/>
  <c r="AR117" i="21" a="1"/>
  <c r="AR117" i="21" s="1"/>
  <c r="AR58" i="21"/>
  <c r="AR75" i="21" a="1"/>
  <c r="AR75" i="21" s="1"/>
  <c r="AR68" i="21" a="1"/>
  <c r="AR68" i="21" s="1"/>
  <c r="AR82" i="21" a="1"/>
  <c r="AR82" i="21" s="1"/>
  <c r="AO63" i="21"/>
  <c r="AN65" i="21"/>
  <c r="AN62" i="21"/>
  <c r="AF100" i="21"/>
  <c r="AG98" i="21"/>
  <c r="AF97" i="21"/>
  <c r="AK84" i="21"/>
  <c r="AJ86" i="21"/>
  <c r="AJ83" i="21"/>
  <c r="AJ111" i="21"/>
  <c r="AJ114" i="21"/>
  <c r="AK112" i="21"/>
  <c r="AF72" i="21"/>
  <c r="AF69" i="21"/>
  <c r="AG70" i="21"/>
  <c r="AG71" i="21" s="1"/>
  <c r="AW70" i="21"/>
  <c r="AV72" i="21"/>
  <c r="AV69" i="21"/>
  <c r="AR65" i="21"/>
  <c r="AS63" i="21"/>
  <c r="AR62" i="21"/>
  <c r="P76" i="20"/>
  <c r="X76" i="20"/>
  <c r="AF76" i="20"/>
  <c r="AN76" i="20"/>
  <c r="AV76" i="20"/>
  <c r="BE76" i="20"/>
  <c r="BM76" i="20"/>
  <c r="BU76" i="20"/>
  <c r="CC76" i="20"/>
  <c r="CK76" i="20"/>
  <c r="H85" i="20"/>
  <c r="Q85" i="20"/>
  <c r="Y85" i="20"/>
  <c r="AG85" i="20"/>
  <c r="AO85" i="20"/>
  <c r="AW85" i="20"/>
  <c r="BF85" i="20"/>
  <c r="BN85" i="20"/>
  <c r="BV85" i="20"/>
  <c r="CD85" i="20"/>
  <c r="CL85" i="20"/>
  <c r="CT85" i="20"/>
  <c r="M86" i="20" a="1"/>
  <c r="M86" i="20" s="1"/>
  <c r="Q86" i="20" a="1"/>
  <c r="Q86" i="20" s="1"/>
  <c r="U86" i="20" a="1"/>
  <c r="U86" i="20" s="1"/>
  <c r="Y86" i="20" a="1"/>
  <c r="Y86" i="20" s="1"/>
  <c r="AC86" i="20" a="1"/>
  <c r="AC86" i="20" s="1"/>
  <c r="AG86" i="20" a="1"/>
  <c r="AG86" i="20" s="1"/>
  <c r="AK86" i="20" a="1"/>
  <c r="AK86" i="20" s="1"/>
  <c r="AO86" i="20" a="1"/>
  <c r="AO86" i="20" s="1"/>
  <c r="AS86" i="20" a="1"/>
  <c r="AS86" i="20" s="1"/>
  <c r="AW86" i="20" a="1"/>
  <c r="AW86" i="20" s="1"/>
  <c r="BA86" i="20" a="1"/>
  <c r="BA86" i="20" s="1"/>
  <c r="BF86" i="20" a="1"/>
  <c r="BF86" i="20" s="1"/>
  <c r="BJ86" i="20" a="1"/>
  <c r="BJ86" i="20" s="1"/>
  <c r="BN86" i="20" a="1"/>
  <c r="BN86" i="20" s="1"/>
  <c r="BR86" i="20" a="1"/>
  <c r="BR86" i="20" s="1"/>
  <c r="BV86" i="20" a="1"/>
  <c r="BV86" i="20" s="1"/>
  <c r="BZ86" i="20" a="1"/>
  <c r="BZ86" i="20" s="1"/>
  <c r="CD86" i="20" a="1"/>
  <c r="CD86" i="20" s="1"/>
  <c r="CH86" i="20" a="1"/>
  <c r="CH86" i="20" s="1"/>
  <c r="CL86" i="20" a="1"/>
  <c r="CL86" i="20" s="1"/>
  <c r="CP86" i="20" a="1"/>
  <c r="CP86" i="20" s="1"/>
  <c r="CT86" i="20" a="1"/>
  <c r="CT86" i="20" s="1"/>
  <c r="O91" i="20"/>
  <c r="W91" i="20"/>
  <c r="AE91" i="20"/>
  <c r="AM91" i="20"/>
  <c r="AU91" i="20"/>
  <c r="BD91" i="20"/>
  <c r="BL91" i="20"/>
  <c r="BT91" i="20"/>
  <c r="CB91" i="20"/>
  <c r="CJ91" i="20"/>
  <c r="CR91" i="20"/>
  <c r="L92" i="20" a="1"/>
  <c r="L92" i="20" s="1"/>
  <c r="P92" i="20" a="1"/>
  <c r="P92" i="20" s="1"/>
  <c r="AD92" i="20" a="1"/>
  <c r="AD92" i="20" s="1"/>
  <c r="AM92" i="20" a="1"/>
  <c r="AM92" i="20" s="1"/>
  <c r="AV92" i="20" a="1"/>
  <c r="AV92" i="20" s="1"/>
  <c r="BK92" i="20" a="1"/>
  <c r="BK92" i="20" s="1"/>
  <c r="BT92" i="20" a="1"/>
  <c r="BT92" i="20" s="1"/>
  <c r="CC92" i="20" a="1"/>
  <c r="CC92" i="20" s="1"/>
  <c r="P94" i="20"/>
  <c r="Y94" i="20"/>
  <c r="AH94" i="20"/>
  <c r="AQ94" i="20"/>
  <c r="BA94" i="20"/>
  <c r="BK94" i="20"/>
  <c r="BT94" i="20"/>
  <c r="CC94" i="20"/>
  <c r="CL94" i="20"/>
  <c r="CU94" i="20"/>
  <c r="N95" i="20" a="1"/>
  <c r="N95" i="20" s="1"/>
  <c r="S95" i="20" a="1"/>
  <c r="S95" i="20" s="1"/>
  <c r="AB95" i="20" a="1"/>
  <c r="AB95" i="20" s="1"/>
  <c r="AK95" i="20" a="1"/>
  <c r="AK95" i="20" s="1"/>
  <c r="AT95" i="20" a="1"/>
  <c r="AT95" i="20" s="1"/>
  <c r="AY95" i="20" a="1"/>
  <c r="AY95" i="20" s="1"/>
  <c r="BI95" i="20" a="1"/>
  <c r="BI95" i="20" s="1"/>
  <c r="BR95" i="20" a="1"/>
  <c r="BR95" i="20" s="1"/>
  <c r="CA95" i="20" a="1"/>
  <c r="CA95" i="20" s="1"/>
  <c r="CF95" i="20" a="1"/>
  <c r="CF95" i="20" s="1"/>
  <c r="H100" i="20"/>
  <c r="AJ100" i="20"/>
  <c r="BE100" i="20"/>
  <c r="CE100" i="20"/>
  <c r="O101" i="20" a="1"/>
  <c r="O101" i="20" s="1"/>
  <c r="Y101" i="20" a="1"/>
  <c r="Y101" i="20" s="1"/>
  <c r="CC101" i="20" a="1"/>
  <c r="CC101" i="20" s="1"/>
  <c r="CT92" i="20" a="1"/>
  <c r="CT92" i="20" s="1"/>
  <c r="CP92" i="20" a="1"/>
  <c r="CP92" i="20" s="1"/>
  <c r="CL92" i="20" a="1"/>
  <c r="CL92" i="20" s="1"/>
  <c r="CH92" i="20" a="1"/>
  <c r="CH92" i="20" s="1"/>
  <c r="CD92" i="20" a="1"/>
  <c r="CD92" i="20" s="1"/>
  <c r="BZ92" i="20" a="1"/>
  <c r="BZ92" i="20" s="1"/>
  <c r="BV92" i="20" a="1"/>
  <c r="BV92" i="20" s="1"/>
  <c r="BR92" i="20" a="1"/>
  <c r="BR92" i="20" s="1"/>
  <c r="BN92" i="20" a="1"/>
  <c r="BN92" i="20" s="1"/>
  <c r="BJ92" i="20" a="1"/>
  <c r="BJ92" i="20" s="1"/>
  <c r="BF92" i="20" a="1"/>
  <c r="BF92" i="20" s="1"/>
  <c r="BA92" i="20" a="1"/>
  <c r="BA92" i="20" s="1"/>
  <c r="AW92" i="20" a="1"/>
  <c r="AW92" i="20" s="1"/>
  <c r="AS92" i="20" a="1"/>
  <c r="AS92" i="20" s="1"/>
  <c r="AO92" i="20" a="1"/>
  <c r="AO92" i="20" s="1"/>
  <c r="AK92" i="20" a="1"/>
  <c r="AK92" i="20" s="1"/>
  <c r="AG92" i="20" a="1"/>
  <c r="AG92" i="20" s="1"/>
  <c r="AC92" i="20" a="1"/>
  <c r="AC92" i="20" s="1"/>
  <c r="Y92" i="20" a="1"/>
  <c r="Y92" i="20" s="1"/>
  <c r="U92" i="20" a="1"/>
  <c r="U92" i="20" s="1"/>
  <c r="Q92" i="20" a="1"/>
  <c r="Q92" i="20" s="1"/>
  <c r="P91" i="20"/>
  <c r="X91" i="20"/>
  <c r="AF91" i="20"/>
  <c r="AN91" i="20"/>
  <c r="AV91" i="20"/>
  <c r="BE91" i="20"/>
  <c r="BM91" i="20"/>
  <c r="BU91" i="20"/>
  <c r="CC91" i="20"/>
  <c r="CK91" i="20"/>
  <c r="CS91" i="20"/>
  <c r="Z92" i="20" a="1"/>
  <c r="Z92" i="20" s="1"/>
  <c r="AI92" i="20" a="1"/>
  <c r="AI92" i="20" s="1"/>
  <c r="AR92" i="20" a="1"/>
  <c r="AR92" i="20" s="1"/>
  <c r="BG92" i="20" a="1"/>
  <c r="BG92" i="20" s="1"/>
  <c r="BP92" i="20" a="1"/>
  <c r="BP92" i="20" s="1"/>
  <c r="BY92" i="20" a="1"/>
  <c r="BY92" i="20" s="1"/>
  <c r="CM92" i="20" a="1"/>
  <c r="CM92" i="20" s="1"/>
  <c r="CO94" i="20"/>
  <c r="CG94" i="20"/>
  <c r="BY94" i="20"/>
  <c r="BQ94" i="20"/>
  <c r="BI94" i="20"/>
  <c r="AZ94" i="20"/>
  <c r="AR94" i="20"/>
  <c r="AJ94" i="20"/>
  <c r="AB94" i="20"/>
  <c r="T94" i="20"/>
  <c r="L94" i="20"/>
  <c r="Q94" i="20"/>
  <c r="Z94" i="20"/>
  <c r="AI94" i="20"/>
  <c r="AS94" i="20"/>
  <c r="BB94" i="20"/>
  <c r="BL94" i="20"/>
  <c r="BU94" i="20"/>
  <c r="CD94" i="20"/>
  <c r="CM94" i="20"/>
  <c r="I95" i="20" a="1"/>
  <c r="I95" i="20" s="1"/>
  <c r="O95" i="20" a="1"/>
  <c r="O95" i="20" s="1"/>
  <c r="X95" i="20" a="1"/>
  <c r="X95" i="20" s="1"/>
  <c r="AG95" i="20" a="1"/>
  <c r="AG95" i="20" s="1"/>
  <c r="AP95" i="20" a="1"/>
  <c r="AP95" i="20" s="1"/>
  <c r="AU95" i="20" a="1"/>
  <c r="AU95" i="20" s="1"/>
  <c r="BE95" i="20" a="1"/>
  <c r="BE95" i="20" s="1"/>
  <c r="BN95" i="20" a="1"/>
  <c r="BN95" i="20" s="1"/>
  <c r="BW95" i="20" a="1"/>
  <c r="BW95" i="20" s="1"/>
  <c r="CB95" i="20" a="1"/>
  <c r="CB95" i="20" s="1"/>
  <c r="CK95" i="20" a="1"/>
  <c r="CK95" i="20" s="1"/>
  <c r="CT95" i="20" a="1"/>
  <c r="CT95" i="20" s="1"/>
  <c r="I100" i="20"/>
  <c r="AK100" i="20"/>
  <c r="BL100" i="20"/>
  <c r="CG100" i="20"/>
  <c r="AM101" i="20" a="1"/>
  <c r="AM101" i="20" s="1"/>
  <c r="CS101" i="20" a="1"/>
  <c r="CS101" i="20" s="1"/>
  <c r="AL58" i="21"/>
  <c r="AL68" i="21" a="1"/>
  <c r="AL68" i="21" s="1"/>
  <c r="AL75" i="21" a="1"/>
  <c r="AL75" i="21" s="1"/>
  <c r="AL57" i="21"/>
  <c r="AL82" i="21" a="1"/>
  <c r="AL82" i="21" s="1"/>
  <c r="AT58" i="21"/>
  <c r="AT75" i="21" a="1"/>
  <c r="AT75" i="21" s="1"/>
  <c r="AT68" i="21" a="1"/>
  <c r="AT68" i="21" s="1"/>
  <c r="AT82" i="21" a="1"/>
  <c r="AT82" i="21" s="1"/>
  <c r="AT57" i="21"/>
  <c r="AI63" i="21"/>
  <c r="AI64" i="21" s="1"/>
  <c r="AH65" i="21"/>
  <c r="AH62" i="21"/>
  <c r="AU77" i="21"/>
  <c r="AU78" i="21" s="1"/>
  <c r="AT76" i="21"/>
  <c r="AT78" i="21"/>
  <c r="AT79" i="21"/>
  <c r="AQ98" i="21"/>
  <c r="AQ99" i="21" s="1"/>
  <c r="AP100" i="21"/>
  <c r="AP97" i="21"/>
  <c r="AL86" i="21"/>
  <c r="AM84" i="21"/>
  <c r="AL83" i="21"/>
  <c r="AT86" i="21"/>
  <c r="AU84" i="21"/>
  <c r="AT83" i="21"/>
  <c r="AL114" i="21"/>
  <c r="AL111" i="21"/>
  <c r="AL113" i="21"/>
  <c r="AM112" i="21"/>
  <c r="AH69" i="21"/>
  <c r="AH72" i="21"/>
  <c r="AI70" i="21"/>
  <c r="AI71" i="21" s="1"/>
  <c r="AP69" i="21"/>
  <c r="AP72" i="21"/>
  <c r="AX69" i="21"/>
  <c r="AX72" i="21"/>
  <c r="AW125" i="21"/>
  <c r="AW128" i="21"/>
  <c r="AX126" i="21"/>
  <c r="N86" i="20" a="1"/>
  <c r="N86" i="20" s="1"/>
  <c r="R86" i="20" a="1"/>
  <c r="R86" i="20" s="1"/>
  <c r="V86" i="20" a="1"/>
  <c r="V86" i="20" s="1"/>
  <c r="Z86" i="20" a="1"/>
  <c r="Z86" i="20" s="1"/>
  <c r="AD86" i="20" a="1"/>
  <c r="AD86" i="20" s="1"/>
  <c r="AH86" i="20" a="1"/>
  <c r="AH86" i="20" s="1"/>
  <c r="AL86" i="20" a="1"/>
  <c r="AL86" i="20" s="1"/>
  <c r="AP86" i="20" a="1"/>
  <c r="AP86" i="20" s="1"/>
  <c r="AT86" i="20" a="1"/>
  <c r="AT86" i="20" s="1"/>
  <c r="AX86" i="20" a="1"/>
  <c r="AX86" i="20" s="1"/>
  <c r="BB86" i="20" a="1"/>
  <c r="BB86" i="20" s="1"/>
  <c r="BG86" i="20" a="1"/>
  <c r="BG86" i="20" s="1"/>
  <c r="BK86" i="20" a="1"/>
  <c r="BK86" i="20" s="1"/>
  <c r="BO86" i="20" a="1"/>
  <c r="BO86" i="20" s="1"/>
  <c r="BS86" i="20" a="1"/>
  <c r="BS86" i="20" s="1"/>
  <c r="BW86" i="20" a="1"/>
  <c r="BW86" i="20" s="1"/>
  <c r="CA86" i="20" a="1"/>
  <c r="CA86" i="20" s="1"/>
  <c r="CE86" i="20" a="1"/>
  <c r="CE86" i="20" s="1"/>
  <c r="CI86" i="20" a="1"/>
  <c r="CI86" i="20" s="1"/>
  <c r="CM86" i="20" a="1"/>
  <c r="CM86" i="20" s="1"/>
  <c r="CQ86" i="20" a="1"/>
  <c r="CQ86" i="20" s="1"/>
  <c r="CU86" i="20" a="1"/>
  <c r="CU86" i="20" s="1"/>
  <c r="H91" i="20"/>
  <c r="Q91" i="20"/>
  <c r="Y91" i="20"/>
  <c r="AG91" i="20"/>
  <c r="AO91" i="20"/>
  <c r="AW91" i="20"/>
  <c r="BF91" i="20"/>
  <c r="BN91" i="20"/>
  <c r="BV91" i="20"/>
  <c r="CD91" i="20"/>
  <c r="CL91" i="20"/>
  <c r="CT91" i="20"/>
  <c r="M92" i="20" a="1"/>
  <c r="M92" i="20" s="1"/>
  <c r="V92" i="20" a="1"/>
  <c r="V92" i="20" s="1"/>
  <c r="AE92" i="20" a="1"/>
  <c r="AE92" i="20" s="1"/>
  <c r="AN92" i="20" a="1"/>
  <c r="AN92" i="20" s="1"/>
  <c r="BB92" i="20" a="1"/>
  <c r="BB92" i="20" s="1"/>
  <c r="BL92" i="20" a="1"/>
  <c r="BL92" i="20" s="1"/>
  <c r="BU92" i="20" a="1"/>
  <c r="BU92" i="20" s="1"/>
  <c r="CI92" i="20" a="1"/>
  <c r="CI92" i="20" s="1"/>
  <c r="CR92" i="20" a="1"/>
  <c r="CR92" i="20" s="1"/>
  <c r="H94" i="20"/>
  <c r="R94" i="20"/>
  <c r="AA94" i="20"/>
  <c r="AK94" i="20"/>
  <c r="AT94" i="20"/>
  <c r="BD94" i="20"/>
  <c r="BM94" i="20"/>
  <c r="BV94" i="20"/>
  <c r="CE94" i="20"/>
  <c r="CN94" i="20"/>
  <c r="K95" i="20" a="1"/>
  <c r="K95" i="20" s="1"/>
  <c r="T95" i="20" a="1"/>
  <c r="T95" i="20" s="1"/>
  <c r="AC95" i="20" a="1"/>
  <c r="AC95" i="20" s="1"/>
  <c r="AL95" i="20" a="1"/>
  <c r="AL95" i="20" s="1"/>
  <c r="AQ95" i="20" a="1"/>
  <c r="AQ95" i="20" s="1"/>
  <c r="AZ95" i="20" a="1"/>
  <c r="AZ95" i="20" s="1"/>
  <c r="BJ95" i="20" a="1"/>
  <c r="BJ95" i="20" s="1"/>
  <c r="BS95" i="20" a="1"/>
  <c r="BS95" i="20" s="1"/>
  <c r="BX95" i="20" a="1"/>
  <c r="BX95" i="20" s="1"/>
  <c r="CG95" i="20" a="1"/>
  <c r="CG95" i="20" s="1"/>
  <c r="CP95" i="20" a="1"/>
  <c r="CP95" i="20" s="1"/>
  <c r="Q100" i="20"/>
  <c r="AL100" i="20"/>
  <c r="BM100" i="20"/>
  <c r="CM100" i="20"/>
  <c r="P101" i="20" a="1"/>
  <c r="P101" i="20" s="1"/>
  <c r="AC101" i="20" a="1"/>
  <c r="AC101" i="20" s="1"/>
  <c r="AR61" i="21" a="1"/>
  <c r="AR61" i="21" s="1"/>
  <c r="L85" i="20"/>
  <c r="T85" i="20"/>
  <c r="AB85" i="20"/>
  <c r="AJ85" i="20"/>
  <c r="AR85" i="20"/>
  <c r="AZ85" i="20"/>
  <c r="BI85" i="20"/>
  <c r="BQ85" i="20"/>
  <c r="BY85" i="20"/>
  <c r="CG85" i="20"/>
  <c r="I91" i="20"/>
  <c r="R91" i="20"/>
  <c r="Z91" i="20"/>
  <c r="AH91" i="20"/>
  <c r="AP91" i="20"/>
  <c r="AX91" i="20"/>
  <c r="BG91" i="20"/>
  <c r="BO91" i="20"/>
  <c r="BW91" i="20"/>
  <c r="CE91" i="20"/>
  <c r="CM91" i="20"/>
  <c r="CU91" i="20"/>
  <c r="R92" i="20" a="1"/>
  <c r="R92" i="20" s="1"/>
  <c r="AA92" i="20" a="1"/>
  <c r="AA92" i="20" s="1"/>
  <c r="AJ92" i="20" a="1"/>
  <c r="AJ92" i="20" s="1"/>
  <c r="AX92" i="20" a="1"/>
  <c r="AX92" i="20" s="1"/>
  <c r="BH92" i="20" a="1"/>
  <c r="BH92" i="20" s="1"/>
  <c r="BQ92" i="20" a="1"/>
  <c r="BQ92" i="20" s="1"/>
  <c r="CE92" i="20" a="1"/>
  <c r="CE92" i="20" s="1"/>
  <c r="CN92" i="20" a="1"/>
  <c r="CN92" i="20" s="1"/>
  <c r="I94" i="20"/>
  <c r="S94" i="20"/>
  <c r="AC94" i="20"/>
  <c r="AL94" i="20"/>
  <c r="AU94" i="20"/>
  <c r="BE94" i="20"/>
  <c r="BN94" i="20"/>
  <c r="BW94" i="20"/>
  <c r="CF94" i="20"/>
  <c r="CP94" i="20"/>
  <c r="P95" i="20" a="1"/>
  <c r="P95" i="20" s="1"/>
  <c r="Y95" i="20" a="1"/>
  <c r="Y95" i="20" s="1"/>
  <c r="AH95" i="20" a="1"/>
  <c r="AH95" i="20" s="1"/>
  <c r="AM95" i="20" a="1"/>
  <c r="AM95" i="20" s="1"/>
  <c r="AV95" i="20" a="1"/>
  <c r="AV95" i="20" s="1"/>
  <c r="BF95" i="20" a="1"/>
  <c r="BF95" i="20" s="1"/>
  <c r="BO95" i="20" a="1"/>
  <c r="BO95" i="20" s="1"/>
  <c r="BT95" i="20" a="1"/>
  <c r="BT95" i="20" s="1"/>
  <c r="CC95" i="20" a="1"/>
  <c r="CC95" i="20" s="1"/>
  <c r="CL95" i="20" a="1"/>
  <c r="CL95" i="20" s="1"/>
  <c r="CU95" i="20" a="1"/>
  <c r="CU95" i="20" s="1"/>
  <c r="R100" i="20"/>
  <c r="AS100" i="20"/>
  <c r="BN100" i="20"/>
  <c r="CO100" i="20"/>
  <c r="AQ101" i="20" a="1"/>
  <c r="AQ101" i="20" s="1"/>
  <c r="CT104" i="20" a="1"/>
  <c r="CT104" i="20" s="1"/>
  <c r="AF75" i="21" a="1"/>
  <c r="AF75" i="21" s="1"/>
  <c r="AN89" i="21" a="1"/>
  <c r="AN89" i="21" s="1"/>
  <c r="AV57" i="21"/>
  <c r="AV76" i="21"/>
  <c r="AW77" i="21"/>
  <c r="AW78" i="21" s="1"/>
  <c r="AV79" i="21"/>
  <c r="AF102" i="21"/>
  <c r="AR57" i="21"/>
  <c r="AQ70" i="21"/>
  <c r="AS125" i="21"/>
  <c r="AS128" i="21"/>
  <c r="AT126" i="21"/>
  <c r="AH77" i="21"/>
  <c r="AW79" i="21"/>
  <c r="AW76" i="21"/>
  <c r="AX77" i="21"/>
  <c r="AX112" i="21"/>
  <c r="AW111" i="21"/>
  <c r="AW114" i="21"/>
  <c r="AK111" i="21"/>
  <c r="AK114" i="21"/>
  <c r="AK113" i="21"/>
  <c r="AL112" i="21"/>
  <c r="AS111" i="21"/>
  <c r="AS114" i="21"/>
  <c r="AT112" i="21"/>
  <c r="AG65" i="21"/>
  <c r="AG62" i="21"/>
  <c r="AH63" i="21"/>
  <c r="AH64" i="21" s="1"/>
  <c r="AX63" i="21"/>
  <c r="AW65" i="21"/>
  <c r="AW62" i="21"/>
  <c r="AL77" i="21"/>
  <c r="AL78" i="21" s="1"/>
  <c r="AK76" i="21"/>
  <c r="AK79" i="21"/>
  <c r="AH70" i="21"/>
  <c r="AH71" i="21" s="1"/>
  <c r="AG72" i="21"/>
  <c r="AG69" i="21"/>
  <c r="AL84" i="21"/>
  <c r="AL85" i="21" s="1"/>
  <c r="AK85" i="21"/>
  <c r="AK83" i="21"/>
  <c r="AP70" i="21"/>
  <c r="AP71" i="21" s="1"/>
  <c r="AO72" i="21"/>
  <c r="AO69" i="21"/>
  <c r="AR70" i="21"/>
  <c r="AR71" i="21" s="1"/>
  <c r="AM79" i="21"/>
  <c r="AN77" i="21"/>
  <c r="AT84" i="21"/>
  <c r="AT85" i="21" s="1"/>
  <c r="AS85" i="21"/>
  <c r="AS86" i="21"/>
  <c r="AK82" i="21" a="1"/>
  <c r="AK82" i="21" s="1"/>
  <c r="AS83" i="21"/>
  <c r="AI89" i="21" a="1"/>
  <c r="AI89" i="21" s="1"/>
  <c r="AT61" i="21" a="1"/>
  <c r="AT61" i="21" s="1"/>
  <c r="AU79" i="21"/>
  <c r="AU76" i="21"/>
  <c r="AK96" i="21" a="1"/>
  <c r="AK96" i="21" s="1"/>
  <c r="P103" i="20"/>
  <c r="Z103" i="20"/>
  <c r="AK103" i="20"/>
  <c r="AV103" i="20"/>
  <c r="BG103" i="20"/>
  <c r="BR103" i="20"/>
  <c r="CC103" i="20"/>
  <c r="CM103" i="20"/>
  <c r="K104" i="20" a="1"/>
  <c r="K104" i="20" s="1"/>
  <c r="AA104" i="20" a="1"/>
  <c r="AA104" i="20" s="1"/>
  <c r="AQ104" i="20" a="1"/>
  <c r="AQ104" i="20" s="1"/>
  <c r="BH104" i="20" a="1"/>
  <c r="BH104" i="20" s="1"/>
  <c r="BX104" i="20" a="1"/>
  <c r="BX104" i="20" s="1"/>
  <c r="CN104" i="20" a="1"/>
  <c r="CN104" i="20" s="1"/>
  <c r="AM75" i="21" a="1"/>
  <c r="AM75" i="21" s="1"/>
  <c r="AU124" i="21" a="1"/>
  <c r="AU124" i="21" s="1"/>
  <c r="AM81" i="21"/>
  <c r="AU81" i="21"/>
  <c r="AF57" i="21"/>
  <c r="AM58" i="21"/>
  <c r="AQ62" i="21"/>
  <c r="AR63" i="21"/>
  <c r="AR64" i="21" s="1"/>
  <c r="AQ65" i="21"/>
  <c r="AQ72" i="21"/>
  <c r="AQ71" i="21"/>
  <c r="AQ69" i="21"/>
  <c r="AI88" i="21"/>
  <c r="S89" i="21" a="1"/>
  <c r="S89" i="21" s="1"/>
  <c r="AM96" i="21" a="1"/>
  <c r="AM96" i="21" s="1"/>
  <c r="AV102" i="21"/>
  <c r="Q103" i="20"/>
  <c r="AA103" i="20"/>
  <c r="AM103" i="20"/>
  <c r="AW103" i="20"/>
  <c r="BH103" i="20"/>
  <c r="BT103" i="20"/>
  <c r="CD103" i="20"/>
  <c r="CN103" i="20"/>
  <c r="L104" i="20" a="1"/>
  <c r="L104" i="20" s="1"/>
  <c r="Q104" i="20" a="1"/>
  <c r="Q104" i="20" s="1"/>
  <c r="V104" i="20" a="1"/>
  <c r="V104" i="20" s="1"/>
  <c r="AB104" i="20" a="1"/>
  <c r="AB104" i="20" s="1"/>
  <c r="AG104" i="20" a="1"/>
  <c r="AG104" i="20" s="1"/>
  <c r="AL104" i="20" a="1"/>
  <c r="AL104" i="20" s="1"/>
  <c r="AR104" i="20" a="1"/>
  <c r="AR104" i="20" s="1"/>
  <c r="AW104" i="20" a="1"/>
  <c r="AW104" i="20" s="1"/>
  <c r="BB104" i="20" a="1"/>
  <c r="BB104" i="20" s="1"/>
  <c r="BI104" i="20" a="1"/>
  <c r="BI104" i="20" s="1"/>
  <c r="BN104" i="20" a="1"/>
  <c r="BN104" i="20" s="1"/>
  <c r="BS104" i="20" a="1"/>
  <c r="BS104" i="20" s="1"/>
  <c r="BY104" i="20" a="1"/>
  <c r="BY104" i="20" s="1"/>
  <c r="CD104" i="20" a="1"/>
  <c r="CD104" i="20" s="1"/>
  <c r="CI104" i="20" a="1"/>
  <c r="CI104" i="20" s="1"/>
  <c r="CO104" i="20" a="1"/>
  <c r="CO104" i="20" s="1"/>
  <c r="AF68" i="21" a="1"/>
  <c r="AF68" i="21" s="1"/>
  <c r="AF82" i="21" a="1"/>
  <c r="AF82" i="21" s="1"/>
  <c r="AN75" i="21" a="1"/>
  <c r="AN75" i="21" s="1"/>
  <c r="AN82" i="21" a="1"/>
  <c r="AN82" i="21" s="1"/>
  <c r="AV82" i="21" a="1"/>
  <c r="AV82" i="21" s="1"/>
  <c r="AF74" i="21"/>
  <c r="AN74" i="21"/>
  <c r="AJ69" i="21"/>
  <c r="AK70" i="21"/>
  <c r="AR69" i="21"/>
  <c r="AR72" i="21"/>
  <c r="AS70" i="21"/>
  <c r="AN58" i="21"/>
  <c r="AS82" i="21" a="1"/>
  <c r="AS82" i="21" s="1"/>
  <c r="AK86" i="21"/>
  <c r="AJ88" i="21"/>
  <c r="X89" i="21" a="1"/>
  <c r="X89" i="21" s="1"/>
  <c r="AO89" i="21" a="1"/>
  <c r="AO89" i="21" s="1"/>
  <c r="AT102" i="21"/>
  <c r="AL102" i="21"/>
  <c r="AC102" i="21"/>
  <c r="U102" i="21"/>
  <c r="M102" i="21"/>
  <c r="AW103" i="21" a="1"/>
  <c r="AW103" i="21" s="1"/>
  <c r="AS103" i="21" a="1"/>
  <c r="AS103" i="21" s="1"/>
  <c r="AO103" i="21" a="1"/>
  <c r="AO103" i="21" s="1"/>
  <c r="AK103" i="21" a="1"/>
  <c r="AK103" i="21" s="1"/>
  <c r="AG103" i="21" a="1"/>
  <c r="AG103" i="21" s="1"/>
  <c r="AB103" i="21" a="1"/>
  <c r="AB103" i="21" s="1"/>
  <c r="X103" i="21" a="1"/>
  <c r="X103" i="21" s="1"/>
  <c r="T103" i="21" a="1"/>
  <c r="T103" i="21" s="1"/>
  <c r="P103" i="21" a="1"/>
  <c r="P103" i="21" s="1"/>
  <c r="L103" i="21" a="1"/>
  <c r="L103" i="21" s="1"/>
  <c r="AS102" i="21"/>
  <c r="AK102" i="21"/>
  <c r="AB102" i="21"/>
  <c r="T102" i="21"/>
  <c r="L102" i="21"/>
  <c r="AV103" i="21" a="1"/>
  <c r="AV103" i="21" s="1"/>
  <c r="AR103" i="21" a="1"/>
  <c r="AR103" i="21" s="1"/>
  <c r="AN103" i="21" a="1"/>
  <c r="AN103" i="21" s="1"/>
  <c r="AJ103" i="21" a="1"/>
  <c r="AJ103" i="21" s="1"/>
  <c r="AF103" i="21" a="1"/>
  <c r="AF103" i="21" s="1"/>
  <c r="AA103" i="21" a="1"/>
  <c r="AA103" i="21" s="1"/>
  <c r="W103" i="21" a="1"/>
  <c r="W103" i="21" s="1"/>
  <c r="S103" i="21" a="1"/>
  <c r="S103" i="21" s="1"/>
  <c r="O103" i="21" a="1"/>
  <c r="O103" i="21" s="1"/>
  <c r="I103" i="21" a="1"/>
  <c r="I103" i="21" s="1"/>
  <c r="AX103" i="21" a="1"/>
  <c r="AX103" i="21" s="1"/>
  <c r="AQ103" i="21" a="1"/>
  <c r="AQ103" i="21" s="1"/>
  <c r="Q103" i="21" a="1"/>
  <c r="Q103" i="21" s="1"/>
  <c r="AW102" i="21"/>
  <c r="AM102" i="21"/>
  <c r="Z102" i="21"/>
  <c r="P102" i="21"/>
  <c r="AP103" i="21" a="1"/>
  <c r="AP103" i="21" s="1"/>
  <c r="AI103" i="21" a="1"/>
  <c r="AI103" i="21" s="1"/>
  <c r="AU102" i="21"/>
  <c r="AI102" i="21"/>
  <c r="X102" i="21"/>
  <c r="N102" i="21"/>
  <c r="AU103" i="21" a="1"/>
  <c r="AU103" i="21" s="1"/>
  <c r="U103" i="21" a="1"/>
  <c r="U103" i="21" s="1"/>
  <c r="N103" i="21" a="1"/>
  <c r="N103" i="21" s="1"/>
  <c r="AR102" i="21"/>
  <c r="AH102" i="21"/>
  <c r="W102" i="21"/>
  <c r="I102" i="21"/>
  <c r="Z103" i="21" a="1"/>
  <c r="Z103" i="21" s="1"/>
  <c r="AP102" i="21"/>
  <c r="Y102" i="21"/>
  <c r="AL103" i="21" a="1"/>
  <c r="AL103" i="21" s="1"/>
  <c r="AO102" i="21"/>
  <c r="V102" i="21"/>
  <c r="AT103" i="21" a="1"/>
  <c r="AT103" i="21" s="1"/>
  <c r="Y103" i="21" a="1"/>
  <c r="Y103" i="21" s="1"/>
  <c r="AN102" i="21"/>
  <c r="S102" i="21"/>
  <c r="AH103" i="21" a="1"/>
  <c r="AH103" i="21" s="1"/>
  <c r="M103" i="21" a="1"/>
  <c r="M103" i="21" s="1"/>
  <c r="AJ102" i="21"/>
  <c r="R102" i="21"/>
  <c r="V103" i="21" a="1"/>
  <c r="V103" i="21" s="1"/>
  <c r="AG102" i="21"/>
  <c r="Q102" i="21"/>
  <c r="AX102" i="21"/>
  <c r="CQ103" i="20"/>
  <c r="CI103" i="20"/>
  <c r="CA103" i="20"/>
  <c r="BS103" i="20"/>
  <c r="BK103" i="20"/>
  <c r="BB103" i="20"/>
  <c r="AT103" i="20"/>
  <c r="AL103" i="20"/>
  <c r="AD103" i="20"/>
  <c r="V103" i="20"/>
  <c r="N103" i="20"/>
  <c r="CO103" i="20"/>
  <c r="CG103" i="20"/>
  <c r="BY103" i="20"/>
  <c r="BQ103" i="20"/>
  <c r="BI103" i="20"/>
  <c r="AZ103" i="20"/>
  <c r="AR103" i="20"/>
  <c r="AJ103" i="20"/>
  <c r="AB103" i="20"/>
  <c r="T103" i="20"/>
  <c r="L103" i="20"/>
  <c r="R103" i="20"/>
  <c r="AC103" i="20"/>
  <c r="AN103" i="20"/>
  <c r="AX103" i="20"/>
  <c r="BJ103" i="20"/>
  <c r="BU103" i="20"/>
  <c r="CE103" i="20"/>
  <c r="CP103" i="20"/>
  <c r="W104" i="20" a="1"/>
  <c r="W104" i="20" s="1"/>
  <c r="AM104" i="20" a="1"/>
  <c r="AM104" i="20" s="1"/>
  <c r="BD104" i="20" a="1"/>
  <c r="BD104" i="20" s="1"/>
  <c r="BT104" i="20" a="1"/>
  <c r="BT104" i="20" s="1"/>
  <c r="CJ104" i="20" a="1"/>
  <c r="CJ104" i="20" s="1"/>
  <c r="AG82" i="21" a="1"/>
  <c r="AG82" i="21" s="1"/>
  <c r="AG57" i="21"/>
  <c r="AO75" i="21" a="1"/>
  <c r="AO75" i="21" s="1"/>
  <c r="AO82" i="21" a="1"/>
  <c r="AO82" i="21" s="1"/>
  <c r="AO124" i="21" a="1"/>
  <c r="AO124" i="21" s="1"/>
  <c r="AO57" i="21"/>
  <c r="AW82" i="21" a="1"/>
  <c r="AW82" i="21" s="1"/>
  <c r="AW57" i="21"/>
  <c r="AG79" i="21"/>
  <c r="AG76" i="21"/>
  <c r="AO79" i="21"/>
  <c r="AP77" i="21"/>
  <c r="AH112" i="21"/>
  <c r="AG114" i="21"/>
  <c r="AG111" i="21"/>
  <c r="AT77" i="21"/>
  <c r="AS79" i="21"/>
  <c r="AS76" i="21"/>
  <c r="AO58" i="21"/>
  <c r="AN61" i="21" a="1"/>
  <c r="AN61" i="21" s="1"/>
  <c r="AW61" i="21" a="1"/>
  <c r="AW61" i="21" s="1"/>
  <c r="AL88" i="21"/>
  <c r="AS96" i="21" a="1"/>
  <c r="AS96" i="21" s="1"/>
  <c r="H102" i="21"/>
  <c r="R103" i="21" a="1"/>
  <c r="R103" i="21" s="1"/>
  <c r="AM124" i="21" a="1"/>
  <c r="AM124" i="21" s="1"/>
  <c r="H103" i="20"/>
  <c r="S103" i="20"/>
  <c r="AE103" i="20"/>
  <c r="AO103" i="20"/>
  <c r="AY103" i="20"/>
  <c r="BL103" i="20"/>
  <c r="BV103" i="20"/>
  <c r="CF103" i="20"/>
  <c r="CR103" i="20"/>
  <c r="M104" i="20" a="1"/>
  <c r="M104" i="20" s="1"/>
  <c r="R104" i="20" a="1"/>
  <c r="R104" i="20" s="1"/>
  <c r="X104" i="20" a="1"/>
  <c r="X104" i="20" s="1"/>
  <c r="AC104" i="20" a="1"/>
  <c r="AC104" i="20" s="1"/>
  <c r="AH104" i="20" a="1"/>
  <c r="AH104" i="20" s="1"/>
  <c r="AN104" i="20" a="1"/>
  <c r="AN104" i="20" s="1"/>
  <c r="AS104" i="20" a="1"/>
  <c r="AS104" i="20" s="1"/>
  <c r="AX104" i="20" a="1"/>
  <c r="AX104" i="20" s="1"/>
  <c r="BE104" i="20" a="1"/>
  <c r="BE104" i="20" s="1"/>
  <c r="BJ104" i="20" a="1"/>
  <c r="BJ104" i="20" s="1"/>
  <c r="BO104" i="20" a="1"/>
  <c r="BO104" i="20" s="1"/>
  <c r="BU104" i="20" a="1"/>
  <c r="BU104" i="20" s="1"/>
  <c r="BZ104" i="20" a="1"/>
  <c r="BZ104" i="20" s="1"/>
  <c r="CE104" i="20" a="1"/>
  <c r="CE104" i="20" s="1"/>
  <c r="CK104" i="20" a="1"/>
  <c r="CK104" i="20" s="1"/>
  <c r="CP104" i="20" a="1"/>
  <c r="CP104" i="20" s="1"/>
  <c r="CU104" i="20" a="1"/>
  <c r="CU104" i="20" s="1"/>
  <c r="AH110" i="21" a="1"/>
  <c r="AH110" i="21" s="1"/>
  <c r="AH82" i="21" a="1"/>
  <c r="AH82" i="21" s="1"/>
  <c r="AH75" i="21" a="1"/>
  <c r="AH75" i="21" s="1"/>
  <c r="AH57" i="21"/>
  <c r="AH117" i="21" a="1"/>
  <c r="AH117" i="21" s="1"/>
  <c r="AH58" i="21"/>
  <c r="AP82" i="21" a="1"/>
  <c r="AP82" i="21" s="1"/>
  <c r="AP57" i="21"/>
  <c r="AP58" i="21"/>
  <c r="AX82" i="21" a="1"/>
  <c r="AX82" i="21" s="1"/>
  <c r="AX57" i="21"/>
  <c r="AX75" i="21" a="1"/>
  <c r="AX75" i="21" s="1"/>
  <c r="AX58" i="21"/>
  <c r="AX81" i="21"/>
  <c r="AT67" i="21"/>
  <c r="AM57" i="21"/>
  <c r="AS58" i="21"/>
  <c r="AX61" i="21" a="1"/>
  <c r="AX61" i="21" s="1"/>
  <c r="AV77" i="21"/>
  <c r="AV78" i="21" s="1"/>
  <c r="AV88" i="21"/>
  <c r="AN88" i="21"/>
  <c r="AF88" i="21"/>
  <c r="W88" i="21"/>
  <c r="O88" i="21"/>
  <c r="AX89" i="21" a="1"/>
  <c r="AX89" i="21" s="1"/>
  <c r="AT89" i="21" a="1"/>
  <c r="AT89" i="21" s="1"/>
  <c r="AP89" i="21" a="1"/>
  <c r="AP89" i="21" s="1"/>
  <c r="AL89" i="21" a="1"/>
  <c r="AL89" i="21" s="1"/>
  <c r="AH89" i="21" a="1"/>
  <c r="AH89" i="21" s="1"/>
  <c r="AC89" i="21" a="1"/>
  <c r="AC89" i="21" s="1"/>
  <c r="Y89" i="21" a="1"/>
  <c r="Y89" i="21" s="1"/>
  <c r="U89" i="21" a="1"/>
  <c r="U89" i="21" s="1"/>
  <c r="Q89" i="21" a="1"/>
  <c r="Q89" i="21" s="1"/>
  <c r="M89" i="21" a="1"/>
  <c r="M89" i="21" s="1"/>
  <c r="AU88" i="21"/>
  <c r="AM88" i="21"/>
  <c r="AD88" i="21"/>
  <c r="V88" i="21"/>
  <c r="N88" i="21"/>
  <c r="AW89" i="21" a="1"/>
  <c r="AW89" i="21" s="1"/>
  <c r="AR89" i="21" a="1"/>
  <c r="AR89" i="21" s="1"/>
  <c r="AM89" i="21" a="1"/>
  <c r="AM89" i="21" s="1"/>
  <c r="AG89" i="21" a="1"/>
  <c r="AG89" i="21" s="1"/>
  <c r="AA89" i="21" a="1"/>
  <c r="AA89" i="21" s="1"/>
  <c r="V89" i="21" a="1"/>
  <c r="V89" i="21" s="1"/>
  <c r="P89" i="21" a="1"/>
  <c r="P89" i="21" s="1"/>
  <c r="I89" i="21" a="1"/>
  <c r="I89" i="21" s="1"/>
  <c r="AO88" i="21"/>
  <c r="AB88" i="21"/>
  <c r="R88" i="21"/>
  <c r="AV89" i="21" a="1"/>
  <c r="AV89" i="21" s="1"/>
  <c r="AQ89" i="21" a="1"/>
  <c r="AQ89" i="21" s="1"/>
  <c r="AK89" i="21" a="1"/>
  <c r="AK89" i="21" s="1"/>
  <c r="AF89" i="21" a="1"/>
  <c r="AF89" i="21" s="1"/>
  <c r="Z89" i="21" a="1"/>
  <c r="Z89" i="21" s="1"/>
  <c r="T89" i="21" a="1"/>
  <c r="T89" i="21" s="1"/>
  <c r="O89" i="21" a="1"/>
  <c r="O89" i="21" s="1"/>
  <c r="AW88" i="21"/>
  <c r="AK88" i="21"/>
  <c r="Z88" i="21"/>
  <c r="P88" i="21"/>
  <c r="AT88" i="21"/>
  <c r="AH88" i="21"/>
  <c r="S88" i="21"/>
  <c r="AS89" i="21" a="1"/>
  <c r="AS89" i="21" s="1"/>
  <c r="AD89" i="21" a="1"/>
  <c r="AD89" i="21" s="1"/>
  <c r="W89" i="21" a="1"/>
  <c r="W89" i="21" s="1"/>
  <c r="AS88" i="21"/>
  <c r="AG88" i="21"/>
  <c r="Q88" i="21"/>
  <c r="AR88" i="21"/>
  <c r="AC88" i="21"/>
  <c r="M88" i="21"/>
  <c r="AJ89" i="21" a="1"/>
  <c r="AJ89" i="21" s="1"/>
  <c r="AB89" i="21" a="1"/>
  <c r="AB89" i="21" s="1"/>
  <c r="N89" i="21" a="1"/>
  <c r="N89" i="21" s="1"/>
  <c r="AQ88" i="21"/>
  <c r="AA88" i="21"/>
  <c r="L88" i="21"/>
  <c r="AP88" i="21"/>
  <c r="Y88" i="21"/>
  <c r="I88" i="21"/>
  <c r="AX88" i="21"/>
  <c r="AU117" i="21" a="1"/>
  <c r="AU117" i="21" s="1"/>
  <c r="I103" i="20"/>
  <c r="U103" i="20"/>
  <c r="AF103" i="20"/>
  <c r="AP103" i="20"/>
  <c r="BA103" i="20"/>
  <c r="BM103" i="20"/>
  <c r="BW103" i="20"/>
  <c r="CH103" i="20"/>
  <c r="CS103" i="20"/>
  <c r="S104" i="20" a="1"/>
  <c r="S104" i="20" s="1"/>
  <c r="AI104" i="20" a="1"/>
  <c r="AI104" i="20" s="1"/>
  <c r="AY104" i="20" a="1"/>
  <c r="AY104" i="20" s="1"/>
  <c r="BP104" i="20" a="1"/>
  <c r="BP104" i="20" s="1"/>
  <c r="CF104" i="20" a="1"/>
  <c r="CF104" i="20" s="1"/>
  <c r="AI75" i="21" a="1"/>
  <c r="AI75" i="21" s="1"/>
  <c r="AI57" i="21"/>
  <c r="AI58" i="21"/>
  <c r="AQ57" i="21"/>
  <c r="AQ58" i="21"/>
  <c r="AI76" i="21"/>
  <c r="AJ77" i="21"/>
  <c r="AR77" i="21"/>
  <c r="AQ79" i="21"/>
  <c r="AQ76" i="21"/>
  <c r="AJ84" i="21"/>
  <c r="AJ85" i="21" s="1"/>
  <c r="AQ83" i="21"/>
  <c r="AQ86" i="21"/>
  <c r="AI72" i="21"/>
  <c r="AI69" i="21"/>
  <c r="AJ70" i="21"/>
  <c r="AJ71" i="21" s="1"/>
  <c r="AN57" i="21"/>
  <c r="AU58" i="21"/>
  <c r="AH61" i="21" a="1"/>
  <c r="AH61" i="21" s="1"/>
  <c r="AQ61" i="21" a="1"/>
  <c r="AQ61" i="21" s="1"/>
  <c r="AM76" i="21"/>
  <c r="AM78" i="21"/>
  <c r="AQ96" i="21" a="1"/>
  <c r="AQ96" i="21" s="1"/>
  <c r="AV96" i="21" a="1"/>
  <c r="AV96" i="21" s="1"/>
  <c r="Q60" i="21"/>
  <c r="Z60" i="21"/>
  <c r="AJ60" i="21"/>
  <c r="AS60" i="21"/>
  <c r="M61" i="21" a="1"/>
  <c r="M61" i="21" s="1"/>
  <c r="V61" i="21" a="1"/>
  <c r="V61" i="21" s="1"/>
  <c r="AF61" i="21" a="1"/>
  <c r="AF61" i="21" s="1"/>
  <c r="AO61" i="21" a="1"/>
  <c r="AO61" i="21" s="1"/>
  <c r="R95" i="21"/>
  <c r="AG95" i="21"/>
  <c r="AS95" i="21"/>
  <c r="P96" i="21" a="1"/>
  <c r="P96" i="21" s="1"/>
  <c r="W96" i="21" a="1"/>
  <c r="W96" i="21" s="1"/>
  <c r="AF96" i="21" a="1"/>
  <c r="AF96" i="21" s="1"/>
  <c r="AN96" i="21" a="1"/>
  <c r="AN96" i="21" s="1"/>
  <c r="AW96" i="21" a="1"/>
  <c r="AW96" i="21" s="1"/>
  <c r="AY65" i="22"/>
  <c r="AQ65" i="22"/>
  <c r="AI65" i="22"/>
  <c r="AA65" i="22"/>
  <c r="S65" i="22"/>
  <c r="K65" i="22"/>
  <c r="AS64" i="22"/>
  <c r="AK64" i="22"/>
  <c r="AC64" i="22"/>
  <c r="U64" i="22"/>
  <c r="M64" i="22"/>
  <c r="AX65" i="22"/>
  <c r="AP65" i="22"/>
  <c r="AH65" i="22"/>
  <c r="Z65" i="22"/>
  <c r="R65" i="22"/>
  <c r="J65" i="22"/>
  <c r="AR64" i="22"/>
  <c r="AJ64" i="22"/>
  <c r="AB64" i="22"/>
  <c r="T64" i="22"/>
  <c r="L64" i="22"/>
  <c r="AR65" i="22"/>
  <c r="AF65" i="22"/>
  <c r="V65" i="22"/>
  <c r="L65" i="22"/>
  <c r="AP64" i="22"/>
  <c r="AF64" i="22"/>
  <c r="V64" i="22"/>
  <c r="J64" i="22"/>
  <c r="J66" i="22" s="1"/>
  <c r="AO65" i="22"/>
  <c r="AE65" i="22"/>
  <c r="U65" i="22"/>
  <c r="AY64" i="22"/>
  <c r="AO64" i="22"/>
  <c r="AE64" i="22"/>
  <c r="S64" i="22"/>
  <c r="H64" i="22"/>
  <c r="AV65" i="22"/>
  <c r="AJ65" i="22"/>
  <c r="T65" i="22"/>
  <c r="AV64" i="22"/>
  <c r="AH64" i="22"/>
  <c r="R64" i="22"/>
  <c r="AT65" i="22"/>
  <c r="AD65" i="22"/>
  <c r="P65" i="22"/>
  <c r="AT64" i="22"/>
  <c r="AD64" i="22"/>
  <c r="P64" i="22"/>
  <c r="AS65" i="22"/>
  <c r="AC65" i="22"/>
  <c r="O65" i="22"/>
  <c r="AQ64" i="22"/>
  <c r="AA64" i="22"/>
  <c r="O64" i="22"/>
  <c r="AM65" i="22"/>
  <c r="Q65" i="22"/>
  <c r="AL64" i="22"/>
  <c r="N64" i="22"/>
  <c r="Y65" i="22"/>
  <c r="AN64" i="22"/>
  <c r="Q64" i="22"/>
  <c r="AW65" i="22"/>
  <c r="X65" i="22"/>
  <c r="AM64" i="22"/>
  <c r="K64" i="22"/>
  <c r="AU65" i="22"/>
  <c r="W65" i="22"/>
  <c r="AN65" i="22"/>
  <c r="N65" i="22"/>
  <c r="AG64" i="22"/>
  <c r="AL65" i="22"/>
  <c r="M65" i="22"/>
  <c r="Z64" i="22"/>
  <c r="AW64" i="22"/>
  <c r="AU64" i="22"/>
  <c r="AI64" i="22"/>
  <c r="Y64" i="22"/>
  <c r="AT60" i="21"/>
  <c r="AL60" i="21"/>
  <c r="AC60" i="21"/>
  <c r="U60" i="21"/>
  <c r="M60" i="21"/>
  <c r="R60" i="21"/>
  <c r="AA60" i="21"/>
  <c r="AK60" i="21"/>
  <c r="AU60" i="21"/>
  <c r="R61" i="21" a="1"/>
  <c r="R61" i="21" s="1"/>
  <c r="AA61" i="21" a="1"/>
  <c r="AA61" i="21" s="1"/>
  <c r="AK61" i="21" a="1"/>
  <c r="AK61" i="21" s="1"/>
  <c r="AP61" i="21" a="1"/>
  <c r="AP61" i="21" s="1"/>
  <c r="AS75" i="21" a="1"/>
  <c r="AS75" i="21" s="1"/>
  <c r="S95" i="21"/>
  <c r="AH95" i="21"/>
  <c r="AW95" i="21"/>
  <c r="AG96" i="21" a="1"/>
  <c r="AG96" i="21" s="1"/>
  <c r="AU110" i="21" a="1"/>
  <c r="AU110" i="21" s="1"/>
  <c r="AW117" i="21" a="1"/>
  <c r="AW117" i="21" s="1"/>
  <c r="AS117" i="21" a="1"/>
  <c r="AS117" i="21" s="1"/>
  <c r="AO117" i="21" a="1"/>
  <c r="AO117" i="21" s="1"/>
  <c r="AK117" i="21" a="1"/>
  <c r="AK117" i="21" s="1"/>
  <c r="AG117" i="21" a="1"/>
  <c r="AG117" i="21" s="1"/>
  <c r="AB117" i="21" a="1"/>
  <c r="AB117" i="21" s="1"/>
  <c r="X117" i="21" a="1"/>
  <c r="X117" i="21" s="1"/>
  <c r="T117" i="21" a="1"/>
  <c r="T117" i="21" s="1"/>
  <c r="P117" i="21" a="1"/>
  <c r="P117" i="21" s="1"/>
  <c r="L117" i="21" a="1"/>
  <c r="L117" i="21" s="1"/>
  <c r="AS116" i="21"/>
  <c r="AK116" i="21"/>
  <c r="AB116" i="21"/>
  <c r="T116" i="21"/>
  <c r="L116" i="21"/>
  <c r="AR116" i="21"/>
  <c r="AJ116" i="21"/>
  <c r="AA116" i="21"/>
  <c r="S116" i="21"/>
  <c r="I116" i="21"/>
  <c r="AV117" i="21" a="1"/>
  <c r="AV117" i="21" s="1"/>
  <c r="AQ117" i="21" a="1"/>
  <c r="AQ117" i="21" s="1"/>
  <c r="AL117" i="21" a="1"/>
  <c r="AL117" i="21" s="1"/>
  <c r="AF117" i="21" a="1"/>
  <c r="AF117" i="21" s="1"/>
  <c r="Z117" i="21" a="1"/>
  <c r="Z117" i="21" s="1"/>
  <c r="U117" i="21" a="1"/>
  <c r="U117" i="21" s="1"/>
  <c r="O117" i="21" a="1"/>
  <c r="O117" i="21" s="1"/>
  <c r="AW116" i="21"/>
  <c r="AM116" i="21"/>
  <c r="Z116" i="21"/>
  <c r="P116" i="21"/>
  <c r="AP117" i="21" a="1"/>
  <c r="AP117" i="21" s="1"/>
  <c r="AC117" i="21" a="1"/>
  <c r="AC117" i="21" s="1"/>
  <c r="Q117" i="21" a="1"/>
  <c r="Q117" i="21" s="1"/>
  <c r="AX116" i="21"/>
  <c r="AL116" i="21"/>
  <c r="X116" i="21"/>
  <c r="M116" i="21"/>
  <c r="AT117" i="21" a="1"/>
  <c r="AT117" i="21" s="1"/>
  <c r="AM117" i="21" a="1"/>
  <c r="AM117" i="21" s="1"/>
  <c r="AV116" i="21"/>
  <c r="AH116" i="21"/>
  <c r="U116" i="21"/>
  <c r="AD117" i="21" a="1"/>
  <c r="AD117" i="21" s="1"/>
  <c r="W117" i="21" a="1"/>
  <c r="W117" i="21" s="1"/>
  <c r="AU116" i="21"/>
  <c r="AG116" i="21"/>
  <c r="R116" i="21"/>
  <c r="AJ117" i="21" a="1"/>
  <c r="AJ117" i="21" s="1"/>
  <c r="N117" i="21" a="1"/>
  <c r="N117" i="21" s="1"/>
  <c r="AQ116" i="21"/>
  <c r="AD116" i="21"/>
  <c r="O116" i="21"/>
  <c r="AX117" i="21" a="1"/>
  <c r="AX117" i="21" s="1"/>
  <c r="AI117" i="21" a="1"/>
  <c r="AI117" i="21" s="1"/>
  <c r="AA117" i="21" a="1"/>
  <c r="AA117" i="21" s="1"/>
  <c r="AP116" i="21"/>
  <c r="AC116" i="21"/>
  <c r="N116" i="21"/>
  <c r="AN117" i="21" a="1"/>
  <c r="AN117" i="21" s="1"/>
  <c r="W116" i="21"/>
  <c r="V117" i="21" a="1"/>
  <c r="V117" i="21" s="1"/>
  <c r="AT116" i="21"/>
  <c r="Q116" i="21"/>
  <c r="S117" i="21" a="1"/>
  <c r="S117" i="21" s="1"/>
  <c r="AO116" i="21"/>
  <c r="H116" i="21"/>
  <c r="AR123" i="21"/>
  <c r="AJ123" i="21"/>
  <c r="AA123" i="21"/>
  <c r="S123" i="21"/>
  <c r="I123" i="21"/>
  <c r="AV124" i="21" a="1"/>
  <c r="AV124" i="21" s="1"/>
  <c r="AR124" i="21" a="1"/>
  <c r="AR124" i="21" s="1"/>
  <c r="AN124" i="21" a="1"/>
  <c r="AN124" i="21" s="1"/>
  <c r="AJ124" i="21" a="1"/>
  <c r="AJ124" i="21" s="1"/>
  <c r="AF124" i="21" a="1"/>
  <c r="AF124" i="21" s="1"/>
  <c r="AA124" i="21" a="1"/>
  <c r="AA124" i="21" s="1"/>
  <c r="W124" i="21" a="1"/>
  <c r="W124" i="21" s="1"/>
  <c r="S124" i="21" a="1"/>
  <c r="S124" i="21" s="1"/>
  <c r="O124" i="21" a="1"/>
  <c r="O124" i="21" s="1"/>
  <c r="I124" i="21" a="1"/>
  <c r="I124" i="21" s="1"/>
  <c r="AQ123" i="21"/>
  <c r="AI123" i="21"/>
  <c r="Z123" i="21"/>
  <c r="R123" i="21"/>
  <c r="H123" i="21"/>
  <c r="AX123" i="21"/>
  <c r="AN123" i="21"/>
  <c r="AC123" i="21"/>
  <c r="Q123" i="21"/>
  <c r="AV123" i="21"/>
  <c r="AL123" i="21"/>
  <c r="Y123" i="21"/>
  <c r="O123" i="21"/>
  <c r="AQ124" i="21" a="1"/>
  <c r="AQ124" i="21" s="1"/>
  <c r="U124" i="21" a="1"/>
  <c r="U124" i="21" s="1"/>
  <c r="AP123" i="21"/>
  <c r="AB123" i="21"/>
  <c r="M123" i="21"/>
  <c r="AT124" i="21" a="1"/>
  <c r="AT124" i="21" s="1"/>
  <c r="AL124" i="21" a="1"/>
  <c r="AL124" i="21" s="1"/>
  <c r="AC124" i="21" a="1"/>
  <c r="AC124" i="21" s="1"/>
  <c r="T124" i="21" a="1"/>
  <c r="T124" i="21" s="1"/>
  <c r="AK123" i="21"/>
  <c r="U123" i="21"/>
  <c r="AK124" i="21" a="1"/>
  <c r="AK124" i="21" s="1"/>
  <c r="AB124" i="21" a="1"/>
  <c r="AB124" i="21" s="1"/>
  <c r="L124" i="21" a="1"/>
  <c r="L124" i="21" s="1"/>
  <c r="AH123" i="21"/>
  <c r="T123" i="21"/>
  <c r="AP124" i="21" a="1"/>
  <c r="AP124" i="21" s="1"/>
  <c r="Y124" i="21" a="1"/>
  <c r="Y124" i="21" s="1"/>
  <c r="AU123" i="21"/>
  <c r="AF123" i="21"/>
  <c r="N123" i="21"/>
  <c r="AX124" i="21" a="1"/>
  <c r="AX124" i="21" s="1"/>
  <c r="AH124" i="21" a="1"/>
  <c r="AH124" i="21" s="1"/>
  <c r="Q124" i="21" a="1"/>
  <c r="Q124" i="21" s="1"/>
  <c r="AT123" i="21"/>
  <c r="AD123" i="21"/>
  <c r="L123" i="21"/>
  <c r="AO123" i="21"/>
  <c r="AI124" i="21" a="1"/>
  <c r="AI124" i="21" s="1"/>
  <c r="R124" i="21" a="1"/>
  <c r="R124" i="21" s="1"/>
  <c r="AG123" i="21"/>
  <c r="AW124" i="21" a="1"/>
  <c r="AW124" i="21" s="1"/>
  <c r="AG124" i="21" a="1"/>
  <c r="AG124" i="21" s="1"/>
  <c r="P124" i="21" a="1"/>
  <c r="P124" i="21" s="1"/>
  <c r="X123" i="21"/>
  <c r="N124" i="21" a="1"/>
  <c r="N124" i="21" s="1"/>
  <c r="AS124" i="21" a="1"/>
  <c r="AS124" i="21" s="1"/>
  <c r="W64" i="22"/>
  <c r="H60" i="21"/>
  <c r="S60" i="21"/>
  <c r="AB60" i="21"/>
  <c r="AM60" i="21"/>
  <c r="AV60" i="21"/>
  <c r="N61" i="21" a="1"/>
  <c r="N61" i="21" s="1"/>
  <c r="W61" i="21" a="1"/>
  <c r="W61" i="21" s="1"/>
  <c r="AG61" i="21" a="1"/>
  <c r="AG61" i="21" s="1"/>
  <c r="AL61" i="21" a="1"/>
  <c r="AL61" i="21" s="1"/>
  <c r="AU61" i="21" a="1"/>
  <c r="AU61" i="21" s="1"/>
  <c r="AW68" i="21" a="1"/>
  <c r="AW68" i="21" s="1"/>
  <c r="AS68" i="21" a="1"/>
  <c r="AS68" i="21" s="1"/>
  <c r="AO68" i="21" a="1"/>
  <c r="AO68" i="21" s="1"/>
  <c r="AK68" i="21" a="1"/>
  <c r="AK68" i="21" s="1"/>
  <c r="AG68" i="21" a="1"/>
  <c r="AG68" i="21" s="1"/>
  <c r="AB68" i="21" a="1"/>
  <c r="AB68" i="21" s="1"/>
  <c r="X68" i="21" a="1"/>
  <c r="X68" i="21" s="1"/>
  <c r="T68" i="21" a="1"/>
  <c r="T68" i="21" s="1"/>
  <c r="P68" i="21" a="1"/>
  <c r="P68" i="21" s="1"/>
  <c r="L68" i="21" a="1"/>
  <c r="L68" i="21" s="1"/>
  <c r="AS67" i="21"/>
  <c r="AK67" i="21"/>
  <c r="AB67" i="21"/>
  <c r="T67" i="21"/>
  <c r="L67" i="21"/>
  <c r="AV68" i="21" a="1"/>
  <c r="AV68" i="21" s="1"/>
  <c r="R67" i="21"/>
  <c r="AA67" i="21"/>
  <c r="AL67" i="21"/>
  <c r="AU67" i="21"/>
  <c r="R68" i="21" a="1"/>
  <c r="R68" i="21" s="1"/>
  <c r="AA68" i="21" a="1"/>
  <c r="AA68" i="21" s="1"/>
  <c r="AP68" i="21" a="1"/>
  <c r="AP68" i="21" s="1"/>
  <c r="T95" i="21"/>
  <c r="AI95" i="21"/>
  <c r="I96" i="21" a="1"/>
  <c r="I96" i="21" s="1"/>
  <c r="R96" i="21" a="1"/>
  <c r="R96" i="21" s="1"/>
  <c r="X96" i="21" a="1"/>
  <c r="X96" i="21" s="1"/>
  <c r="V116" i="21"/>
  <c r="R117" i="21" a="1"/>
  <c r="R117" i="21" s="1"/>
  <c r="P123" i="21"/>
  <c r="V124" i="21" a="1"/>
  <c r="V124" i="21" s="1"/>
  <c r="X64" i="22"/>
  <c r="AX96" i="21" a="1"/>
  <c r="AX96" i="21" s="1"/>
  <c r="AT96" i="21" a="1"/>
  <c r="AT96" i="21" s="1"/>
  <c r="AP96" i="21" a="1"/>
  <c r="AP96" i="21" s="1"/>
  <c r="AL96" i="21" a="1"/>
  <c r="AL96" i="21" s="1"/>
  <c r="AH96" i="21" a="1"/>
  <c r="AH96" i="21" s="1"/>
  <c r="AC96" i="21" a="1"/>
  <c r="AC96" i="21" s="1"/>
  <c r="Y96" i="21" a="1"/>
  <c r="Y96" i="21" s="1"/>
  <c r="U96" i="21" a="1"/>
  <c r="U96" i="21" s="1"/>
  <c r="Q96" i="21" a="1"/>
  <c r="Q96" i="21" s="1"/>
  <c r="M96" i="21" a="1"/>
  <c r="M96" i="21" s="1"/>
  <c r="AU95" i="21"/>
  <c r="AM95" i="21"/>
  <c r="AD95" i="21"/>
  <c r="V95" i="21"/>
  <c r="N95" i="21"/>
  <c r="AT95" i="21"/>
  <c r="AL95" i="21"/>
  <c r="AC95" i="21"/>
  <c r="U95" i="21"/>
  <c r="M95" i="21"/>
  <c r="AX95" i="21"/>
  <c r="AN95" i="21"/>
  <c r="AA95" i="21"/>
  <c r="Q95" i="21"/>
  <c r="AV95" i="21"/>
  <c r="AJ95" i="21"/>
  <c r="Y95" i="21"/>
  <c r="O95" i="21"/>
  <c r="AU96" i="21" a="1"/>
  <c r="AU96" i="21" s="1"/>
  <c r="AO96" i="21" a="1"/>
  <c r="AO96" i="21" s="1"/>
  <c r="AJ96" i="21" a="1"/>
  <c r="AJ96" i="21" s="1"/>
  <c r="AD96" i="21" a="1"/>
  <c r="AD96" i="21" s="1"/>
  <c r="W95" i="21"/>
  <c r="AK95" i="21"/>
  <c r="Z96" i="21" a="1"/>
  <c r="Z96" i="21" s="1"/>
  <c r="AI96" i="21" a="1"/>
  <c r="AI96" i="21" s="1"/>
  <c r="AR96" i="21" a="1"/>
  <c r="AR96" i="21" s="1"/>
  <c r="AX64" i="22"/>
  <c r="P97" i="20"/>
  <c r="X97" i="20"/>
  <c r="AF97" i="20"/>
  <c r="AN97" i="20"/>
  <c r="AV97" i="20"/>
  <c r="BE97" i="20"/>
  <c r="BM97" i="20"/>
  <c r="BU97" i="20"/>
  <c r="CC97" i="20"/>
  <c r="CK97" i="20"/>
  <c r="L60" i="21"/>
  <c r="V60" i="21"/>
  <c r="AF60" i="21"/>
  <c r="AO60" i="21"/>
  <c r="AX60" i="21"/>
  <c r="O61" i="21" a="1"/>
  <c r="O61" i="21" s="1"/>
  <c r="X61" i="21" a="1"/>
  <c r="X61" i="21" s="1"/>
  <c r="AC61" i="21" a="1"/>
  <c r="AC61" i="21" s="1"/>
  <c r="AM61" i="21" a="1"/>
  <c r="AM61" i="21" s="1"/>
  <c r="AV61" i="21" a="1"/>
  <c r="AV61" i="21" s="1"/>
  <c r="I67" i="21"/>
  <c r="U67" i="21"/>
  <c r="AD67" i="21"/>
  <c r="AN67" i="21"/>
  <c r="AW67" i="21"/>
  <c r="S68" i="21" a="1"/>
  <c r="S68" i="21" s="1"/>
  <c r="AH68" i="21" a="1"/>
  <c r="AH68" i="21" s="1"/>
  <c r="AQ68" i="21" a="1"/>
  <c r="AQ68" i="21" s="1"/>
  <c r="H95" i="21"/>
  <c r="X95" i="21"/>
  <c r="AO95" i="21"/>
  <c r="L96" i="21" a="1"/>
  <c r="L96" i="21" s="1"/>
  <c r="S96" i="21" a="1"/>
  <c r="S96" i="21" s="1"/>
  <c r="AA96" i="21" a="1"/>
  <c r="AA96" i="21" s="1"/>
  <c r="AF116" i="21"/>
  <c r="Y117" i="21" a="1"/>
  <c r="Y117" i="21" s="1"/>
  <c r="W123" i="21"/>
  <c r="Z124" i="21" a="1"/>
  <c r="Z124" i="21" s="1"/>
  <c r="AB65" i="22"/>
  <c r="AU75" i="21" a="1"/>
  <c r="AU75" i="21" s="1"/>
  <c r="Q74" i="21"/>
  <c r="Y74" i="21"/>
  <c r="AH74" i="21"/>
  <c r="AP74" i="21"/>
  <c r="AX74" i="21"/>
  <c r="AV75" i="21" a="1"/>
  <c r="AV75" i="21" s="1"/>
  <c r="AT109" i="21"/>
  <c r="AW110" i="21" a="1"/>
  <c r="AW110" i="21" s="1"/>
  <c r="AS110" i="21" a="1"/>
  <c r="AS110" i="21" s="1"/>
  <c r="AO110" i="21" a="1"/>
  <c r="AO110" i="21" s="1"/>
  <c r="AV110" i="21" a="1"/>
  <c r="AV110" i="21" s="1"/>
  <c r="AQ110" i="21" a="1"/>
  <c r="AQ110" i="21" s="1"/>
  <c r="AL110" i="21" a="1"/>
  <c r="AL110" i="21" s="1"/>
  <c r="AG110" i="21" a="1"/>
  <c r="AG110" i="21" s="1"/>
  <c r="W110" i="21" a="1"/>
  <c r="W110" i="21" s="1"/>
  <c r="N110" i="21" a="1"/>
  <c r="N110" i="21" s="1"/>
  <c r="AV109" i="21"/>
  <c r="AM109" i="21"/>
  <c r="AD109" i="21"/>
  <c r="V109" i="21"/>
  <c r="N109" i="21"/>
  <c r="AN110" i="21" a="1"/>
  <c r="AN110" i="21" s="1"/>
  <c r="AI110" i="21" a="1"/>
  <c r="AI110" i="21" s="1"/>
  <c r="AC110" i="21" a="1"/>
  <c r="AC110" i="21" s="1"/>
  <c r="R110" i="21" a="1"/>
  <c r="R110" i="21" s="1"/>
  <c r="M110" i="21" a="1"/>
  <c r="M110" i="21" s="1"/>
  <c r="AR109" i="21"/>
  <c r="AI109" i="21"/>
  <c r="Y109" i="21"/>
  <c r="P109" i="21"/>
  <c r="AT110" i="21" a="1"/>
  <c r="AT110" i="21" s="1"/>
  <c r="AB110" i="21" a="1"/>
  <c r="AB110" i="21" s="1"/>
  <c r="L110" i="21" a="1"/>
  <c r="L110" i="21" s="1"/>
  <c r="AQ109" i="21"/>
  <c r="AH109" i="21"/>
  <c r="X109" i="21"/>
  <c r="O109" i="21"/>
  <c r="AR110" i="21" a="1"/>
  <c r="AR110" i="21" s="1"/>
  <c r="P110" i="21" a="1"/>
  <c r="P110" i="21" s="1"/>
  <c r="I110" i="21" a="1"/>
  <c r="I110" i="21" s="1"/>
  <c r="AO109" i="21"/>
  <c r="AF109" i="21"/>
  <c r="U109" i="21"/>
  <c r="L109" i="21"/>
  <c r="AX110" i="21" a="1"/>
  <c r="AX110" i="21" s="1"/>
  <c r="AK110" i="21" a="1"/>
  <c r="AK110" i="21" s="1"/>
  <c r="AF110" i="21" a="1"/>
  <c r="AF110" i="21" s="1"/>
  <c r="Z110" i="21" a="1"/>
  <c r="Z110" i="21" s="1"/>
  <c r="U110" i="21" a="1"/>
  <c r="U110" i="21" s="1"/>
  <c r="AX109" i="21"/>
  <c r="AN109" i="21"/>
  <c r="AC109" i="21"/>
  <c r="W109" i="21"/>
  <c r="AP109" i="21"/>
  <c r="Q110" i="21" a="1"/>
  <c r="Q110" i="21" s="1"/>
  <c r="AA110" i="21" a="1"/>
  <c r="AA110" i="21" s="1"/>
  <c r="AM110" i="21" a="1"/>
  <c r="AM110" i="21" s="1"/>
  <c r="AY61" i="22"/>
  <c r="AQ61" i="22"/>
  <c r="AI61" i="22"/>
  <c r="AA61" i="22"/>
  <c r="S61" i="22"/>
  <c r="K61" i="22"/>
  <c r="AS60" i="22"/>
  <c r="AK60" i="22"/>
  <c r="AC60" i="22"/>
  <c r="U60" i="22"/>
  <c r="M60" i="22"/>
  <c r="AX61" i="22"/>
  <c r="AP61" i="22"/>
  <c r="AH61" i="22"/>
  <c r="Z61" i="22"/>
  <c r="R61" i="22"/>
  <c r="J61" i="22"/>
  <c r="AR60" i="22"/>
  <c r="AJ60" i="22"/>
  <c r="AB60" i="22"/>
  <c r="T60" i="22"/>
  <c r="L60" i="22"/>
  <c r="AR61" i="22"/>
  <c r="AF61" i="22"/>
  <c r="V61" i="22"/>
  <c r="L61" i="22"/>
  <c r="AP60" i="22"/>
  <c r="AF60" i="22"/>
  <c r="V60" i="22"/>
  <c r="J60" i="22"/>
  <c r="J62" i="22" s="1"/>
  <c r="AO61" i="22"/>
  <c r="AE61" i="22"/>
  <c r="U61" i="22"/>
  <c r="AY60" i="22"/>
  <c r="AO60" i="22"/>
  <c r="AE60" i="22"/>
  <c r="S60" i="22"/>
  <c r="H60" i="22"/>
  <c r="AV61" i="22"/>
  <c r="AJ61" i="22"/>
  <c r="T61" i="22"/>
  <c r="AV60" i="22"/>
  <c r="AH60" i="22"/>
  <c r="R60" i="22"/>
  <c r="AT61" i="22"/>
  <c r="AD61" i="22"/>
  <c r="P61" i="22"/>
  <c r="AT60" i="22"/>
  <c r="AD60" i="22"/>
  <c r="P60" i="22"/>
  <c r="AS61" i="22"/>
  <c r="AC61" i="22"/>
  <c r="O61" i="22"/>
  <c r="AQ60" i="22"/>
  <c r="AA60" i="22"/>
  <c r="O60" i="22"/>
  <c r="AG61" i="22"/>
  <c r="AX60" i="22"/>
  <c r="Z60" i="22"/>
  <c r="AW61" i="22"/>
  <c r="X61" i="22"/>
  <c r="AM60" i="22"/>
  <c r="N60" i="22"/>
  <c r="AU61" i="22"/>
  <c r="W61" i="22"/>
  <c r="AL60" i="22"/>
  <c r="K60" i="22"/>
  <c r="AM61" i="22"/>
  <c r="N61" i="22"/>
  <c r="AG60" i="22"/>
  <c r="AL61" i="22"/>
  <c r="M61" i="22"/>
  <c r="Y60" i="22"/>
  <c r="Q61" i="22"/>
  <c r="I74" i="21"/>
  <c r="S74" i="21"/>
  <c r="AA74" i="21"/>
  <c r="AJ74" i="21"/>
  <c r="AR74" i="21"/>
  <c r="AW75" i="21" a="1"/>
  <c r="AW75" i="21" s="1"/>
  <c r="AU82" i="21" a="1"/>
  <c r="AU82" i="21" s="1"/>
  <c r="AQ82" i="21" a="1"/>
  <c r="AQ82" i="21" s="1"/>
  <c r="AM82" i="21" a="1"/>
  <c r="AM82" i="21" s="1"/>
  <c r="AI82" i="21" a="1"/>
  <c r="AI82" i="21" s="1"/>
  <c r="AD82" i="21" a="1"/>
  <c r="AD82" i="21" s="1"/>
  <c r="Z82" i="21" a="1"/>
  <c r="Z82" i="21" s="1"/>
  <c r="V82" i="21" a="1"/>
  <c r="V82" i="21" s="1"/>
  <c r="R82" i="21" a="1"/>
  <c r="R82" i="21" s="1"/>
  <c r="N82" i="21" a="1"/>
  <c r="N82" i="21" s="1"/>
  <c r="AW81" i="21"/>
  <c r="AO81" i="21"/>
  <c r="AG81" i="21"/>
  <c r="X81" i="21"/>
  <c r="P81" i="21"/>
  <c r="AV81" i="21"/>
  <c r="AN81" i="21"/>
  <c r="AF81" i="21"/>
  <c r="W81" i="21"/>
  <c r="O81" i="21"/>
  <c r="S81" i="21"/>
  <c r="AC81" i="21"/>
  <c r="AP81" i="21"/>
  <c r="I109" i="21"/>
  <c r="AA109" i="21"/>
  <c r="AU109" i="21"/>
  <c r="AD110" i="21" a="1"/>
  <c r="AD110" i="21" s="1"/>
  <c r="AP110" i="21" a="1"/>
  <c r="AP110" i="21" s="1"/>
  <c r="W60" i="22"/>
  <c r="AB61" i="22"/>
  <c r="AG68" i="22"/>
  <c r="N69" i="22"/>
  <c r="AY69" i="22"/>
  <c r="AQ69" i="22"/>
  <c r="AI69" i="22"/>
  <c r="AA69" i="22"/>
  <c r="S69" i="22"/>
  <c r="K69" i="22"/>
  <c r="AS68" i="22"/>
  <c r="AK68" i="22"/>
  <c r="AC68" i="22"/>
  <c r="U68" i="22"/>
  <c r="M68" i="22"/>
  <c r="AX69" i="22"/>
  <c r="AP69" i="22"/>
  <c r="AH69" i="22"/>
  <c r="Z69" i="22"/>
  <c r="R69" i="22"/>
  <c r="J69" i="22"/>
  <c r="AR68" i="22"/>
  <c r="AJ68" i="22"/>
  <c r="AB68" i="22"/>
  <c r="T68" i="22"/>
  <c r="L68" i="22"/>
  <c r="AR69" i="22"/>
  <c r="AF69" i="22"/>
  <c r="V69" i="22"/>
  <c r="L69" i="22"/>
  <c r="AP68" i="22"/>
  <c r="AF68" i="22"/>
  <c r="V68" i="22"/>
  <c r="J68" i="22"/>
  <c r="J70" i="22" s="1"/>
  <c r="AO69" i="22"/>
  <c r="AE69" i="22"/>
  <c r="U69" i="22"/>
  <c r="AY68" i="22"/>
  <c r="AO68" i="22"/>
  <c r="AE68" i="22"/>
  <c r="S68" i="22"/>
  <c r="H68" i="22"/>
  <c r="AV69" i="22"/>
  <c r="AJ69" i="22"/>
  <c r="T69" i="22"/>
  <c r="AV68" i="22"/>
  <c r="AH68" i="22"/>
  <c r="R68" i="22"/>
  <c r="AT69" i="22"/>
  <c r="AD69" i="22"/>
  <c r="P69" i="22"/>
  <c r="AT68" i="22"/>
  <c r="AD68" i="22"/>
  <c r="P68" i="22"/>
  <c r="AS69" i="22"/>
  <c r="AC69" i="22"/>
  <c r="O69" i="22"/>
  <c r="AQ68" i="22"/>
  <c r="AA68" i="22"/>
  <c r="O68" i="22"/>
  <c r="AB69" i="22"/>
  <c r="AW69" i="22"/>
  <c r="Y69" i="22"/>
  <c r="AU68" i="22"/>
  <c r="X68" i="22"/>
  <c r="AI68" i="22"/>
  <c r="Q69" i="22"/>
  <c r="AU69" i="22"/>
  <c r="K70" i="22"/>
  <c r="N68" i="22"/>
  <c r="AM68" i="22"/>
  <c r="X69" i="22"/>
  <c r="Q68" i="22"/>
  <c r="AN68" i="22"/>
  <c r="AG69" i="22"/>
  <c r="AV81" i="22"/>
  <c r="AN81" i="22"/>
  <c r="AF81" i="22"/>
  <c r="AR81" i="22"/>
  <c r="AJ81" i="22"/>
  <c r="AW81" i="22"/>
  <c r="AL81" i="22"/>
  <c r="AB81" i="22"/>
  <c r="T81" i="22"/>
  <c r="L81" i="22"/>
  <c r="AT80" i="22"/>
  <c r="AL80" i="22"/>
  <c r="AD80" i="22"/>
  <c r="V80" i="22"/>
  <c r="N80" i="22"/>
  <c r="AU81" i="22"/>
  <c r="AK81" i="22"/>
  <c r="AA81" i="22"/>
  <c r="S81" i="22"/>
  <c r="K81" i="22"/>
  <c r="AS80" i="22"/>
  <c r="AK80" i="22"/>
  <c r="AC80" i="22"/>
  <c r="U80" i="22"/>
  <c r="M80" i="22"/>
  <c r="AT81" i="22"/>
  <c r="AI81" i="22"/>
  <c r="Z81" i="22"/>
  <c r="R81" i="22"/>
  <c r="J81" i="22"/>
  <c r="AR80" i="22"/>
  <c r="AJ80" i="22"/>
  <c r="AB80" i="22"/>
  <c r="T80" i="22"/>
  <c r="L80" i="22"/>
  <c r="AQ81" i="22"/>
  <c r="AC81" i="22"/>
  <c r="O81" i="22"/>
  <c r="AQ80" i="22"/>
  <c r="AF80" i="22"/>
  <c r="R80" i="22"/>
  <c r="AP81" i="22"/>
  <c r="Y81" i="22"/>
  <c r="N81" i="22"/>
  <c r="AP80" i="22"/>
  <c r="AE80" i="22"/>
  <c r="Q80" i="22"/>
  <c r="AE81" i="22"/>
  <c r="M81" i="22"/>
  <c r="AM80" i="22"/>
  <c r="W80" i="22"/>
  <c r="AX81" i="22"/>
  <c r="X81" i="22"/>
  <c r="AX80" i="22"/>
  <c r="AH80" i="22"/>
  <c r="P80" i="22"/>
  <c r="AS81" i="22"/>
  <c r="W81" i="22"/>
  <c r="AW80" i="22"/>
  <c r="AG80" i="22"/>
  <c r="O80" i="22"/>
  <c r="AO81" i="22"/>
  <c r="V81" i="22"/>
  <c r="AV80" i="22"/>
  <c r="AA80" i="22"/>
  <c r="K80" i="22"/>
  <c r="Q81" i="22"/>
  <c r="Y80" i="22"/>
  <c r="P81" i="22"/>
  <c r="X80" i="22"/>
  <c r="AY81" i="22"/>
  <c r="AY80" i="22"/>
  <c r="S80" i="22"/>
  <c r="AM81" i="22"/>
  <c r="AU80" i="22"/>
  <c r="J80" i="22"/>
  <c r="J82" i="22" s="1"/>
  <c r="AH81" i="22"/>
  <c r="AO80" i="22"/>
  <c r="H80" i="22"/>
  <c r="AY73" i="22"/>
  <c r="AQ73" i="22"/>
  <c r="AI73" i="22"/>
  <c r="AA73" i="22"/>
  <c r="S73" i="22"/>
  <c r="K73" i="22"/>
  <c r="AS72" i="22"/>
  <c r="AK72" i="22"/>
  <c r="AC72" i="22"/>
  <c r="U72" i="22"/>
  <c r="M72" i="22"/>
  <c r="AX73" i="22"/>
  <c r="AP73" i="22"/>
  <c r="AH73" i="22"/>
  <c r="Z73" i="22"/>
  <c r="R73" i="22"/>
  <c r="J73" i="22"/>
  <c r="AR72" i="22"/>
  <c r="AJ72" i="22"/>
  <c r="AB72" i="22"/>
  <c r="T72" i="22"/>
  <c r="L72" i="22"/>
  <c r="AR73" i="22"/>
  <c r="AF73" i="22"/>
  <c r="V73" i="22"/>
  <c r="L73" i="22"/>
  <c r="AP72" i="22"/>
  <c r="AF72" i="22"/>
  <c r="V72" i="22"/>
  <c r="J72" i="22"/>
  <c r="J74" i="22" s="1"/>
  <c r="AO73" i="22"/>
  <c r="AE73" i="22"/>
  <c r="U73" i="22"/>
  <c r="AY72" i="22"/>
  <c r="AO72" i="22"/>
  <c r="AE72" i="22"/>
  <c r="S72" i="22"/>
  <c r="H72" i="22"/>
  <c r="AV73" i="22"/>
  <c r="AJ73" i="22"/>
  <c r="T73" i="22"/>
  <c r="AV72" i="22"/>
  <c r="AH72" i="22"/>
  <c r="R72" i="22"/>
  <c r="AT73" i="22"/>
  <c r="AD73" i="22"/>
  <c r="P73" i="22"/>
  <c r="AT72" i="22"/>
  <c r="AD72" i="22"/>
  <c r="P72" i="22"/>
  <c r="AS73" i="22"/>
  <c r="AC73" i="22"/>
  <c r="O73" i="22"/>
  <c r="AQ72" i="22"/>
  <c r="AA72" i="22"/>
  <c r="O72" i="22"/>
  <c r="AG72" i="22"/>
  <c r="M73" i="22"/>
  <c r="AK73" i="22"/>
  <c r="K74" i="22"/>
  <c r="AR77" i="22"/>
  <c r="AJ77" i="22"/>
  <c r="AB77" i="22"/>
  <c r="T77" i="22"/>
  <c r="L77" i="22"/>
  <c r="AT76" i="22"/>
  <c r="AL76" i="22"/>
  <c r="AD76" i="22"/>
  <c r="V76" i="22"/>
  <c r="N76" i="22"/>
  <c r="AY77" i="22"/>
  <c r="AQ77" i="22"/>
  <c r="AI77" i="22"/>
  <c r="AA77" i="22"/>
  <c r="S77" i="22"/>
  <c r="K77" i="22"/>
  <c r="AS76" i="22"/>
  <c r="AK76" i="22"/>
  <c r="AC76" i="22"/>
  <c r="U76" i="22"/>
  <c r="M76" i="22"/>
  <c r="AX77" i="22"/>
  <c r="AP77" i="22"/>
  <c r="AH77" i="22"/>
  <c r="Z77" i="22"/>
  <c r="R77" i="22"/>
  <c r="J77" i="22"/>
  <c r="AR76" i="22"/>
  <c r="AJ76" i="22"/>
  <c r="AB76" i="22"/>
  <c r="T76" i="22"/>
  <c r="L76" i="22"/>
  <c r="L78" i="22" s="1"/>
  <c r="AN77" i="22"/>
  <c r="AC77" i="22"/>
  <c r="O77" i="22"/>
  <c r="AQ76" i="22"/>
  <c r="AF76" i="22"/>
  <c r="R76" i="22"/>
  <c r="AM77" i="22"/>
  <c r="Y77" i="22"/>
  <c r="N77" i="22"/>
  <c r="AP76" i="22"/>
  <c r="AE76" i="22"/>
  <c r="Q76" i="22"/>
  <c r="X76" i="22"/>
  <c r="AN76" i="22"/>
  <c r="P77" i="22"/>
  <c r="AF77" i="22"/>
  <c r="AV77" i="22"/>
  <c r="H76" i="22"/>
  <c r="Y76" i="22"/>
  <c r="AO76" i="22"/>
  <c r="Q77" i="22"/>
  <c r="AG77" i="22"/>
  <c r="AW77" i="22"/>
  <c r="AR88" i="22"/>
  <c r="L58" i="22"/>
  <c r="M58" i="22" s="1"/>
  <c r="N58" i="22" s="1"/>
  <c r="O58" i="22" s="1"/>
  <c r="K76" i="22"/>
  <c r="K78" i="22" s="1"/>
  <c r="AA76" i="22"/>
  <c r="AV76" i="22"/>
  <c r="V77" i="22"/>
  <c r="AL77" i="22"/>
  <c r="AW89" i="22"/>
  <c r="AO89" i="22"/>
  <c r="AG89" i="22"/>
  <c r="Y89" i="22"/>
  <c r="Q89" i="22"/>
  <c r="AY88" i="22"/>
  <c r="AQ88" i="22"/>
  <c r="AI88" i="22"/>
  <c r="AA88" i="22"/>
  <c r="S88" i="22"/>
  <c r="K88" i="22"/>
  <c r="AY89" i="22"/>
  <c r="AP89" i="22"/>
  <c r="AF89" i="22"/>
  <c r="W89" i="22"/>
  <c r="N89" i="22"/>
  <c r="AU88" i="22"/>
  <c r="AL88" i="22"/>
  <c r="AC88" i="22"/>
  <c r="T88" i="22"/>
  <c r="J88" i="22"/>
  <c r="J90" i="22" s="1"/>
  <c r="AT89" i="22"/>
  <c r="AK89" i="22"/>
  <c r="AB89" i="22"/>
  <c r="S89" i="22"/>
  <c r="J89" i="22"/>
  <c r="AP88" i="22"/>
  <c r="AG88" i="22"/>
  <c r="X88" i="22"/>
  <c r="O88" i="22"/>
  <c r="AV89" i="22"/>
  <c r="AJ89" i="22"/>
  <c r="X89" i="22"/>
  <c r="L89" i="22"/>
  <c r="AO88" i="22"/>
  <c r="AD88" i="22"/>
  <c r="Q88" i="22"/>
  <c r="AU89" i="22"/>
  <c r="AI89" i="22"/>
  <c r="V89" i="22"/>
  <c r="K89" i="22"/>
  <c r="AN88" i="22"/>
  <c r="AB88" i="22"/>
  <c r="P88" i="22"/>
  <c r="AS89" i="22"/>
  <c r="AH89" i="22"/>
  <c r="U89" i="22"/>
  <c r="AX88" i="22"/>
  <c r="AM88" i="22"/>
  <c r="Z88" i="22"/>
  <c r="N88" i="22"/>
  <c r="AL89" i="22"/>
  <c r="P89" i="22"/>
  <c r="AK88" i="22"/>
  <c r="U88" i="22"/>
  <c r="AE89" i="22"/>
  <c r="O89" i="22"/>
  <c r="AJ88" i="22"/>
  <c r="R88" i="22"/>
  <c r="AD89" i="22"/>
  <c r="M89" i="22"/>
  <c r="AH88" i="22"/>
  <c r="M88" i="22"/>
  <c r="AX89" i="22"/>
  <c r="AC89" i="22"/>
  <c r="AW88" i="22"/>
  <c r="AF88" i="22"/>
  <c r="L88" i="22"/>
  <c r="AT88" i="22"/>
  <c r="AQ89" i="22"/>
  <c r="N96" i="22"/>
  <c r="AM96" i="22"/>
  <c r="V97" i="22"/>
  <c r="AS97" i="22"/>
  <c r="U96" i="22"/>
  <c r="AO96" i="22"/>
  <c r="X97" i="22"/>
  <c r="AV97" i="22"/>
  <c r="AV85" i="22"/>
  <c r="AN85" i="22"/>
  <c r="AF85" i="22"/>
  <c r="X85" i="22"/>
  <c r="P85" i="22"/>
  <c r="AX84" i="22"/>
  <c r="AP84" i="22"/>
  <c r="AH84" i="22"/>
  <c r="Z84" i="22"/>
  <c r="R84" i="22"/>
  <c r="J84" i="22"/>
  <c r="J86" i="22" s="1"/>
  <c r="K86" i="22" s="1"/>
  <c r="L86" i="22" s="1"/>
  <c r="AR85" i="22"/>
  <c r="AJ85" i="22"/>
  <c r="AB85" i="22"/>
  <c r="T85" i="22"/>
  <c r="L85" i="22"/>
  <c r="AT84" i="22"/>
  <c r="AL84" i="22"/>
  <c r="AD84" i="22"/>
  <c r="V84" i="22"/>
  <c r="N84" i="22"/>
  <c r="AW85" i="22"/>
  <c r="AL85" i="22"/>
  <c r="AA85" i="22"/>
  <c r="Q85" i="22"/>
  <c r="AV84" i="22"/>
  <c r="AK84" i="22"/>
  <c r="AA84" i="22"/>
  <c r="P84" i="22"/>
  <c r="AU85" i="22"/>
  <c r="AK85" i="22"/>
  <c r="Z85" i="22"/>
  <c r="O85" i="22"/>
  <c r="AU84" i="22"/>
  <c r="AJ84" i="22"/>
  <c r="Y84" i="22"/>
  <c r="O84" i="22"/>
  <c r="AT85" i="22"/>
  <c r="AI85" i="22"/>
  <c r="Y85" i="22"/>
  <c r="N85" i="22"/>
  <c r="AS84" i="22"/>
  <c r="AI84" i="22"/>
  <c r="X84" i="22"/>
  <c r="M84" i="22"/>
  <c r="W84" i="22"/>
  <c r="AO84" i="22"/>
  <c r="R85" i="22"/>
  <c r="AG85" i="22"/>
  <c r="AY85" i="22"/>
  <c r="AW93" i="22"/>
  <c r="AO93" i="22"/>
  <c r="AG93" i="22"/>
  <c r="Y93" i="22"/>
  <c r="Q93" i="22"/>
  <c r="AY92" i="22"/>
  <c r="AQ92" i="22"/>
  <c r="AI92" i="22"/>
  <c r="AA92" i="22"/>
  <c r="S92" i="22"/>
  <c r="K92" i="22"/>
  <c r="AR93" i="22"/>
  <c r="AI93" i="22"/>
  <c r="Z93" i="22"/>
  <c r="P93" i="22"/>
  <c r="AW92" i="22"/>
  <c r="AN92" i="22"/>
  <c r="AE92" i="22"/>
  <c r="V92" i="22"/>
  <c r="M92" i="22"/>
  <c r="AY93" i="22"/>
  <c r="AP93" i="22"/>
  <c r="AF93" i="22"/>
  <c r="W93" i="22"/>
  <c r="N93" i="22"/>
  <c r="AU92" i="22"/>
  <c r="AL92" i="22"/>
  <c r="AC92" i="22"/>
  <c r="T92" i="22"/>
  <c r="J92" i="22"/>
  <c r="J94" i="22" s="1"/>
  <c r="AT93" i="22"/>
  <c r="AK93" i="22"/>
  <c r="AB93" i="22"/>
  <c r="S93" i="22"/>
  <c r="J93" i="22"/>
  <c r="AP92" i="22"/>
  <c r="AG92" i="22"/>
  <c r="X92" i="22"/>
  <c r="O92" i="22"/>
  <c r="AU93" i="22"/>
  <c r="AE93" i="22"/>
  <c r="R93" i="22"/>
  <c r="AS92" i="22"/>
  <c r="AD92" i="22"/>
  <c r="P92" i="22"/>
  <c r="AS93" i="22"/>
  <c r="AD93" i="22"/>
  <c r="O93" i="22"/>
  <c r="AR92" i="22"/>
  <c r="AB92" i="22"/>
  <c r="N92" i="22"/>
  <c r="AQ93" i="22"/>
  <c r="AC93" i="22"/>
  <c r="M93" i="22"/>
  <c r="AO92" i="22"/>
  <c r="Z92" i="22"/>
  <c r="L92" i="22"/>
  <c r="AH92" i="22"/>
  <c r="L93" i="22"/>
  <c r="AL93" i="22"/>
  <c r="W96" i="22"/>
  <c r="AR96" i="22"/>
  <c r="AA97" i="22"/>
  <c r="P58" i="22"/>
  <c r="Q58" i="22" s="1"/>
  <c r="R58" i="22" s="1"/>
  <c r="S58" i="22" s="1"/>
  <c r="T58" i="22" s="1"/>
  <c r="U58" i="22" s="1"/>
  <c r="V58" i="22" s="1"/>
  <c r="W58" i="22" s="1"/>
  <c r="X58" i="22" s="1"/>
  <c r="Y58" i="22" s="1"/>
  <c r="Z58" i="22" s="1"/>
  <c r="AA58" i="22" s="1"/>
  <c r="AB58" i="22" s="1"/>
  <c r="AC58" i="22" s="1"/>
  <c r="AD58" i="22" s="1"/>
  <c r="AE58" i="22" s="1"/>
  <c r="AF58" i="22" s="1"/>
  <c r="AG58" i="22" s="1"/>
  <c r="AH58" i="22" s="1"/>
  <c r="AI58" i="22" s="1"/>
  <c r="AJ58" i="22" s="1"/>
  <c r="AK58" i="22" s="1"/>
  <c r="AL58" i="22" s="1"/>
  <c r="AM58" i="22" s="1"/>
  <c r="AN58" i="22" s="1"/>
  <c r="AO58" i="22" s="1"/>
  <c r="AP58" i="22" s="1"/>
  <c r="AQ58" i="22" s="1"/>
  <c r="AR58" i="22" s="1"/>
  <c r="AS58" i="22" s="1"/>
  <c r="AT58" i="22" s="1"/>
  <c r="AU58" i="22" s="1"/>
  <c r="AV58" i="22" s="1"/>
  <c r="AW58" i="22" s="1"/>
  <c r="AX58" i="22" s="1"/>
  <c r="AY58" i="22" s="1"/>
  <c r="H84" i="22"/>
  <c r="AB84" i="22"/>
  <c r="AQ84" i="22"/>
  <c r="S85" i="22"/>
  <c r="AH85" i="22"/>
  <c r="H92" i="22"/>
  <c r="AJ92" i="22"/>
  <c r="T93" i="22"/>
  <c r="AM93" i="22"/>
  <c r="Y96" i="22"/>
  <c r="AX96" i="22"/>
  <c r="AU97" i="22"/>
  <c r="AM97" i="22"/>
  <c r="AE97" i="22"/>
  <c r="AQ97" i="22"/>
  <c r="AH97" i="22"/>
  <c r="Y97" i="22"/>
  <c r="Q97" i="22"/>
  <c r="AY96" i="22"/>
  <c r="AQ96" i="22"/>
  <c r="AI96" i="22"/>
  <c r="AA96" i="22"/>
  <c r="S96" i="22"/>
  <c r="K96" i="22"/>
  <c r="AT97" i="22"/>
  <c r="AJ97" i="22"/>
  <c r="Z97" i="22"/>
  <c r="P97" i="22"/>
  <c r="AW96" i="22"/>
  <c r="AN96" i="22"/>
  <c r="AE96" i="22"/>
  <c r="V96" i="22"/>
  <c r="M96" i="22"/>
  <c r="AR97" i="22"/>
  <c r="AG97" i="22"/>
  <c r="W97" i="22"/>
  <c r="N97" i="22"/>
  <c r="AU96" i="22"/>
  <c r="AL96" i="22"/>
  <c r="AC96" i="22"/>
  <c r="T96" i="22"/>
  <c r="J96" i="22"/>
  <c r="J98" i="22" s="1"/>
  <c r="AW97" i="22"/>
  <c r="AL97" i="22"/>
  <c r="AB97" i="22"/>
  <c r="S97" i="22"/>
  <c r="J97" i="22"/>
  <c r="AP96" i="22"/>
  <c r="AG96" i="22"/>
  <c r="X96" i="22"/>
  <c r="O96" i="22"/>
  <c r="AK97" i="22"/>
  <c r="U97" i="22"/>
  <c r="AV96" i="22"/>
  <c r="AH96" i="22"/>
  <c r="R96" i="22"/>
  <c r="AY97" i="22"/>
  <c r="AI97" i="22"/>
  <c r="T97" i="22"/>
  <c r="AT96" i="22"/>
  <c r="AF96" i="22"/>
  <c r="Q96" i="22"/>
  <c r="AX97" i="22"/>
  <c r="AF97" i="22"/>
  <c r="R97" i="22"/>
  <c r="AS96" i="22"/>
  <c r="AD96" i="22"/>
  <c r="P96" i="22"/>
  <c r="AB96" i="22"/>
  <c r="L97" i="22"/>
  <c r="AN97" i="22"/>
  <c r="H96" i="22"/>
  <c r="AJ96" i="22"/>
  <c r="M97" i="22"/>
  <c r="AO97" i="22"/>
  <c r="AA100" i="22"/>
  <c r="AV100" i="22"/>
  <c r="AI101" i="22"/>
  <c r="AE100" i="22"/>
  <c r="M101" i="22"/>
  <c r="AR101" i="22"/>
  <c r="AJ101" i="22"/>
  <c r="AB101" i="22"/>
  <c r="T101" i="22"/>
  <c r="L101" i="22"/>
  <c r="AQ101" i="22"/>
  <c r="AH101" i="22"/>
  <c r="Y101" i="22"/>
  <c r="P101" i="22"/>
  <c r="AW100" i="22"/>
  <c r="AO100" i="22"/>
  <c r="AG100" i="22"/>
  <c r="Y100" i="22"/>
  <c r="Q100" i="22"/>
  <c r="H100" i="22"/>
  <c r="AV101" i="22"/>
  <c r="AM101" i="22"/>
  <c r="AD101" i="22"/>
  <c r="U101" i="22"/>
  <c r="K101" i="22"/>
  <c r="AS100" i="22"/>
  <c r="AK100" i="22"/>
  <c r="AC100" i="22"/>
  <c r="U100" i="22"/>
  <c r="M100" i="22"/>
  <c r="AU101" i="22"/>
  <c r="AL101" i="22"/>
  <c r="AC101" i="22"/>
  <c r="S101" i="22"/>
  <c r="J101" i="22"/>
  <c r="AR100" i="22"/>
  <c r="AJ100" i="22"/>
  <c r="AB100" i="22"/>
  <c r="T100" i="22"/>
  <c r="L100" i="22"/>
  <c r="AY101" i="22"/>
  <c r="AK101" i="22"/>
  <c r="W101" i="22"/>
  <c r="AX100" i="22"/>
  <c r="AL100" i="22"/>
  <c r="X100" i="22"/>
  <c r="K100" i="22"/>
  <c r="AT101" i="22"/>
  <c r="AE101" i="22"/>
  <c r="N101" i="22"/>
  <c r="AN100" i="22"/>
  <c r="Z100" i="22"/>
  <c r="J100" i="22"/>
  <c r="J102" i="22" s="1"/>
  <c r="AP101" i="22"/>
  <c r="Z101" i="22"/>
  <c r="AY100" i="22"/>
  <c r="AI100" i="22"/>
  <c r="V100" i="22"/>
  <c r="AX101" i="22"/>
  <c r="AG101" i="22"/>
  <c r="Q101" i="22"/>
  <c r="AQ100" i="22"/>
  <c r="AD100" i="22"/>
  <c r="O100" i="22"/>
  <c r="AF100" i="22"/>
  <c r="O101" i="22"/>
  <c r="AO101" i="22"/>
  <c r="K106" i="22"/>
  <c r="W108" i="22"/>
  <c r="AR108" i="22"/>
  <c r="V109" i="22"/>
  <c r="AU109" i="22"/>
  <c r="AM109" i="22"/>
  <c r="AE109" i="22"/>
  <c r="W109" i="22"/>
  <c r="O109" i="22"/>
  <c r="AW108" i="22"/>
  <c r="AO108" i="22"/>
  <c r="AG108" i="22"/>
  <c r="Y108" i="22"/>
  <c r="Q108" i="22"/>
  <c r="H108" i="22"/>
  <c r="AR109" i="22"/>
  <c r="AI109" i="22"/>
  <c r="Z109" i="22"/>
  <c r="Q109" i="22"/>
  <c r="AX108" i="22"/>
  <c r="AN108" i="22"/>
  <c r="AE108" i="22"/>
  <c r="V108" i="22"/>
  <c r="M108" i="22"/>
  <c r="AY109" i="22"/>
  <c r="AO109" i="22"/>
  <c r="AD109" i="22"/>
  <c r="T109" i="22"/>
  <c r="J109" i="22"/>
  <c r="AP108" i="22"/>
  <c r="AD108" i="22"/>
  <c r="T108" i="22"/>
  <c r="J108" i="22"/>
  <c r="J110" i="22" s="1"/>
  <c r="AT109" i="22"/>
  <c r="AJ109" i="22"/>
  <c r="Y109" i="22"/>
  <c r="N109" i="22"/>
  <c r="AT108" i="22"/>
  <c r="AJ108" i="22"/>
  <c r="Z108" i="22"/>
  <c r="O108" i="22"/>
  <c r="AS109" i="22"/>
  <c r="AH109" i="22"/>
  <c r="X109" i="22"/>
  <c r="M109" i="22"/>
  <c r="AS108" i="22"/>
  <c r="AI108" i="22"/>
  <c r="X108" i="22"/>
  <c r="N108" i="22"/>
  <c r="AQ109" i="22"/>
  <c r="AB109" i="22"/>
  <c r="K109" i="22"/>
  <c r="AK108" i="22"/>
  <c r="S108" i="22"/>
  <c r="AP109" i="22"/>
  <c r="AA109" i="22"/>
  <c r="AY108" i="22"/>
  <c r="AH108" i="22"/>
  <c r="R108" i="22"/>
  <c r="AC108" i="22"/>
  <c r="L109" i="22"/>
  <c r="AG109" i="22"/>
  <c r="K108" i="22"/>
  <c r="K110" i="22" s="1"/>
  <c r="L110" i="22" s="1"/>
  <c r="AF108" i="22"/>
  <c r="P109" i="22"/>
  <c r="AK109" i="22"/>
  <c r="AU121" i="22"/>
  <c r="AM121" i="22"/>
  <c r="AE121" i="22"/>
  <c r="W121" i="22"/>
  <c r="O121" i="22"/>
  <c r="AW120" i="22"/>
  <c r="AO120" i="22"/>
  <c r="AG120" i="22"/>
  <c r="Y120" i="22"/>
  <c r="Q120" i="22"/>
  <c r="H120" i="22"/>
  <c r="AS121" i="22"/>
  <c r="AJ121" i="22"/>
  <c r="AA121" i="22"/>
  <c r="AR121" i="22"/>
  <c r="AI121" i="22"/>
  <c r="Z121" i="22"/>
  <c r="Q121" i="22"/>
  <c r="AX120" i="22"/>
  <c r="AN120" i="22"/>
  <c r="AE120" i="22"/>
  <c r="V120" i="22"/>
  <c r="M120" i="22"/>
  <c r="AV121" i="22"/>
  <c r="AH121" i="22"/>
  <c r="V121" i="22"/>
  <c r="L121" i="22"/>
  <c r="AR120" i="22"/>
  <c r="AH120" i="22"/>
  <c r="W120" i="22"/>
  <c r="L120" i="22"/>
  <c r="AQ121" i="22"/>
  <c r="AF121" i="22"/>
  <c r="T121" i="22"/>
  <c r="J121" i="22"/>
  <c r="AP120" i="22"/>
  <c r="AD120" i="22"/>
  <c r="T120" i="22"/>
  <c r="J120" i="22"/>
  <c r="J122" i="22" s="1"/>
  <c r="AO121" i="22"/>
  <c r="AC121" i="22"/>
  <c r="R121" i="22"/>
  <c r="AV120" i="22"/>
  <c r="AL120" i="22"/>
  <c r="AB120" i="22"/>
  <c r="R120" i="22"/>
  <c r="AY121" i="22"/>
  <c r="AN121" i="22"/>
  <c r="AB121" i="22"/>
  <c r="P121" i="22"/>
  <c r="AU120" i="22"/>
  <c r="AK120" i="22"/>
  <c r="AA120" i="22"/>
  <c r="P120" i="22"/>
  <c r="AC120" i="22"/>
  <c r="AY120" i="22"/>
  <c r="AD121" i="22"/>
  <c r="AU113" i="22"/>
  <c r="AM113" i="22"/>
  <c r="AE113" i="22"/>
  <c r="W113" i="22"/>
  <c r="O113" i="22"/>
  <c r="AW112" i="22"/>
  <c r="AO112" i="22"/>
  <c r="AG112" i="22"/>
  <c r="Y112" i="22"/>
  <c r="Q112" i="22"/>
  <c r="H112" i="22"/>
  <c r="AR113" i="22"/>
  <c r="AI113" i="22"/>
  <c r="Z113" i="22"/>
  <c r="Q113" i="22"/>
  <c r="AX112" i="22"/>
  <c r="AN112" i="22"/>
  <c r="AE112" i="22"/>
  <c r="V112" i="22"/>
  <c r="M112" i="22"/>
  <c r="AW113" i="22"/>
  <c r="AL113" i="22"/>
  <c r="AB113" i="22"/>
  <c r="R113" i="22"/>
  <c r="AV112" i="22"/>
  <c r="AL112" i="22"/>
  <c r="AB112" i="22"/>
  <c r="R112" i="22"/>
  <c r="AQ113" i="22"/>
  <c r="AG113" i="22"/>
  <c r="V113" i="22"/>
  <c r="L113" i="22"/>
  <c r="AR112" i="22"/>
  <c r="AH112" i="22"/>
  <c r="W112" i="22"/>
  <c r="L112" i="22"/>
  <c r="AP113" i="22"/>
  <c r="AF113" i="22"/>
  <c r="U113" i="22"/>
  <c r="K113" i="22"/>
  <c r="AQ112" i="22"/>
  <c r="AF112" i="22"/>
  <c r="U112" i="22"/>
  <c r="K112" i="22"/>
  <c r="K114" i="22" s="1"/>
  <c r="Z112" i="22"/>
  <c r="AP112" i="22"/>
  <c r="P113" i="22"/>
  <c r="AH113" i="22"/>
  <c r="AX113" i="22"/>
  <c r="K120" i="22"/>
  <c r="AF120" i="22"/>
  <c r="K121" i="22"/>
  <c r="AG121" i="22"/>
  <c r="N120" i="22"/>
  <c r="AI120" i="22"/>
  <c r="M121" i="22"/>
  <c r="AK121" i="22"/>
  <c r="P104" i="22"/>
  <c r="Y104" i="22"/>
  <c r="AH104" i="22"/>
  <c r="AQ104" i="22"/>
  <c r="J105" i="22"/>
  <c r="S105" i="22"/>
  <c r="AC105" i="22"/>
  <c r="AL105" i="22"/>
  <c r="AU117" i="22"/>
  <c r="AM117" i="22"/>
  <c r="AE117" i="22"/>
  <c r="W117" i="22"/>
  <c r="O117" i="22"/>
  <c r="AW116" i="22"/>
  <c r="AO116" i="22"/>
  <c r="AG116" i="22"/>
  <c r="Y116" i="22"/>
  <c r="Q116" i="22"/>
  <c r="H116" i="22"/>
  <c r="AR117" i="22"/>
  <c r="AI117" i="22"/>
  <c r="Z117" i="22"/>
  <c r="Q117" i="22"/>
  <c r="AX116" i="22"/>
  <c r="AN116" i="22"/>
  <c r="AE116" i="22"/>
  <c r="V116" i="22"/>
  <c r="M116" i="22"/>
  <c r="S116" i="22"/>
  <c r="AC116" i="22"/>
  <c r="AM116" i="22"/>
  <c r="AY116" i="22"/>
  <c r="S117" i="22"/>
  <c r="AC117" i="22"/>
  <c r="AN117" i="22"/>
  <c r="AX117" i="22"/>
  <c r="AU105" i="22"/>
  <c r="AR105" i="22"/>
  <c r="AJ105" i="22"/>
  <c r="AB105" i="22"/>
  <c r="T105" i="22"/>
  <c r="L105" i="22"/>
  <c r="AT104" i="22"/>
  <c r="AL104" i="22"/>
  <c r="AD104" i="22"/>
  <c r="V104" i="22"/>
  <c r="N104" i="22"/>
  <c r="Q104" i="22"/>
  <c r="Z104" i="22"/>
  <c r="AI104" i="22"/>
  <c r="AR104" i="22"/>
  <c r="K105" i="22"/>
  <c r="U105" i="22"/>
  <c r="AD105" i="22"/>
  <c r="AM105" i="22"/>
  <c r="AW105" i="22"/>
  <c r="J116" i="22"/>
  <c r="J118" i="22" s="1"/>
  <c r="K118" i="22" s="1"/>
  <c r="L118" i="22" s="1"/>
  <c r="T116" i="22"/>
  <c r="AD116" i="22"/>
  <c r="AP116" i="22"/>
  <c r="J117" i="22"/>
  <c r="T117" i="22"/>
  <c r="AD117" i="22"/>
  <c r="AO117" i="22"/>
  <c r="AY117" i="22"/>
  <c r="L104" i="22"/>
  <c r="U104" i="22"/>
  <c r="AE104" i="22"/>
  <c r="AN104" i="22"/>
  <c r="AW104" i="22"/>
  <c r="P105" i="22"/>
  <c r="Y105" i="22"/>
  <c r="AH105" i="22"/>
  <c r="AQ105" i="22"/>
  <c r="O116" i="22"/>
  <c r="Z116" i="22"/>
  <c r="AJ116" i="22"/>
  <c r="AT116" i="22"/>
  <c r="N117" i="22"/>
  <c r="Y117" i="22"/>
  <c r="AJ117" i="22"/>
  <c r="AT117" i="22"/>
  <c r="AJ119" i="21" l="1"/>
  <c r="AI121" i="21"/>
  <c r="DF88" i="19"/>
  <c r="CV67" i="19"/>
  <c r="BV61" i="19"/>
  <c r="BY72" i="19"/>
  <c r="CQ72" i="19"/>
  <c r="BX80" i="19"/>
  <c r="CS91" i="19"/>
  <c r="BT91" i="19"/>
  <c r="CY81" i="19" a="1"/>
  <c r="CY81" i="19" s="1"/>
  <c r="V58" i="19"/>
  <c r="CT91" i="19"/>
  <c r="CE72" i="19"/>
  <c r="DA83" i="19"/>
  <c r="BS91" i="19"/>
  <c r="DE88" i="19"/>
  <c r="P88" i="19"/>
  <c r="DD72" i="19"/>
  <c r="CF72" i="19"/>
  <c r="CC67" i="19"/>
  <c r="CL67" i="19"/>
  <c r="L106" i="22"/>
  <c r="M106" i="22" s="1"/>
  <c r="K62" i="22"/>
  <c r="K98" i="22"/>
  <c r="L98" i="22" s="1"/>
  <c r="M98" i="22" s="1"/>
  <c r="N98" i="22" s="1"/>
  <c r="O98" i="22" s="1"/>
  <c r="P98" i="22" s="1"/>
  <c r="Q98" i="22" s="1"/>
  <c r="R98" i="22" s="1"/>
  <c r="S98" i="22" s="1"/>
  <c r="T98" i="22" s="1"/>
  <c r="U98" i="22" s="1"/>
  <c r="V98" i="22" s="1"/>
  <c r="W98" i="22" s="1"/>
  <c r="X98" i="22" s="1"/>
  <c r="Y98" i="22" s="1"/>
  <c r="Z98" i="22" s="1"/>
  <c r="AA98" i="22" s="1"/>
  <c r="AB98" i="22" s="1"/>
  <c r="AC98" i="22" s="1"/>
  <c r="AD98" i="22" s="1"/>
  <c r="AE98" i="22" s="1"/>
  <c r="AF98" i="22" s="1"/>
  <c r="AG98" i="22" s="1"/>
  <c r="AH98" i="22" s="1"/>
  <c r="AI98" i="22" s="1"/>
  <c r="AJ98" i="22" s="1"/>
  <c r="AK98" i="22" s="1"/>
  <c r="AL98" i="22" s="1"/>
  <c r="AM98" i="22" s="1"/>
  <c r="AN98" i="22" s="1"/>
  <c r="AO98" i="22" s="1"/>
  <c r="AP98" i="22" s="1"/>
  <c r="AQ98" i="22" s="1"/>
  <c r="AR98" i="22" s="1"/>
  <c r="AS98" i="22" s="1"/>
  <c r="AT98" i="22" s="1"/>
  <c r="AU98" i="22" s="1"/>
  <c r="AV98" i="22" s="1"/>
  <c r="AW98" i="22" s="1"/>
  <c r="AX98" i="22" s="1"/>
  <c r="AY98" i="22" s="1"/>
  <c r="DT81" i="19"/>
  <c r="CC72" i="19"/>
  <c r="CS88" i="19"/>
  <c r="CL58" i="19"/>
  <c r="BW64" i="19"/>
  <c r="CI72" i="19"/>
  <c r="BW91" i="19"/>
  <c r="DH80" i="19"/>
  <c r="BU67" i="19"/>
  <c r="J10" i="23"/>
  <c r="BV72" i="19"/>
  <c r="CD75" i="19"/>
  <c r="CL64" i="19"/>
  <c r="DT61" i="19"/>
  <c r="CG61" i="19"/>
  <c r="CI58" i="19"/>
  <c r="DE64" i="19"/>
  <c r="CH80" i="19"/>
  <c r="CD64" i="19"/>
  <c r="DH75" i="19"/>
  <c r="CY88" i="19"/>
  <c r="DF72" i="19"/>
  <c r="CG67" i="19"/>
  <c r="CL91" i="19"/>
  <c r="DG75" i="19"/>
  <c r="CX75" i="19"/>
  <c r="DB88" i="19"/>
  <c r="DF58" i="19"/>
  <c r="DH67" i="19"/>
  <c r="CG88" i="19"/>
  <c r="CG64" i="19"/>
  <c r="CN64" i="19"/>
  <c r="DF64" i="19"/>
  <c r="CT58" i="19"/>
  <c r="S62" i="19" a="1"/>
  <c r="S62" i="19" s="1"/>
  <c r="CW91" i="19"/>
  <c r="CE80" i="19"/>
  <c r="CI83" i="19"/>
  <c r="V104" i="19" a="1"/>
  <c r="V104" i="19" s="1"/>
  <c r="DC107" i="19" a="1"/>
  <c r="DC107" i="19" s="1"/>
  <c r="DB61" i="19"/>
  <c r="CZ80" i="19"/>
  <c r="BY67" i="19"/>
  <c r="CW72" i="19"/>
  <c r="CJ83" i="19"/>
  <c r="CB80" i="19"/>
  <c r="P80" i="19"/>
  <c r="CN73" i="19" a="1"/>
  <c r="CN73" i="19" s="1"/>
  <c r="BX67" i="19"/>
  <c r="BW68" i="19" a="1"/>
  <c r="BW68" i="19" s="1"/>
  <c r="CR91" i="19"/>
  <c r="BX61" i="19"/>
  <c r="CJ72" i="19"/>
  <c r="CW101" i="19" a="1"/>
  <c r="CW101" i="19" s="1"/>
  <c r="CG62" i="19" a="1"/>
  <c r="CG62" i="19" s="1"/>
  <c r="CO89" i="19" a="1"/>
  <c r="CO89" i="19" s="1"/>
  <c r="DH88" i="19"/>
  <c r="CO101" i="19" a="1"/>
  <c r="CO101" i="19" s="1"/>
  <c r="BV64" i="19"/>
  <c r="BR67" i="19"/>
  <c r="CM64" i="19"/>
  <c r="DA75" i="19"/>
  <c r="BR98" i="19" a="1"/>
  <c r="BR98" i="19" s="1"/>
  <c r="DN80" i="19"/>
  <c r="DC83" i="19"/>
  <c r="R67" i="19"/>
  <c r="BR83" i="19"/>
  <c r="CQ110" i="19" a="1"/>
  <c r="CQ110" i="19" s="1"/>
  <c r="V83" i="19"/>
  <c r="CS58" i="19"/>
  <c r="CO61" i="19"/>
  <c r="CH67" i="19"/>
  <c r="BS75" i="19"/>
  <c r="CO104" i="19" a="1"/>
  <c r="CO104" i="19" s="1"/>
  <c r="CY61" i="19"/>
  <c r="CU83" i="19"/>
  <c r="CK81" i="19" a="1"/>
  <c r="CK81" i="19" s="1"/>
  <c r="CB91" i="19"/>
  <c r="BS58" i="19"/>
  <c r="BR72" i="19"/>
  <c r="S88" i="19"/>
  <c r="CC91" i="19"/>
  <c r="BU104" i="19" a="1"/>
  <c r="BU104" i="19" s="1"/>
  <c r="DF98" i="19" a="1"/>
  <c r="DF98" i="19" s="1"/>
  <c r="CK91" i="19"/>
  <c r="CO88" i="19"/>
  <c r="V80" i="19"/>
  <c r="DB80" i="19"/>
  <c r="CS83" i="19"/>
  <c r="CP64" i="19"/>
  <c r="DD61" i="19"/>
  <c r="P83" i="19"/>
  <c r="BS83" i="19"/>
  <c r="CB83" i="19"/>
  <c r="CV75" i="19"/>
  <c r="CF75" i="19"/>
  <c r="CR72" i="19"/>
  <c r="CG83" i="19"/>
  <c r="DD67" i="19"/>
  <c r="CH88" i="19"/>
  <c r="CJ75" i="19"/>
  <c r="DP73" i="19"/>
  <c r="DF80" i="19"/>
  <c r="J15" i="23"/>
  <c r="BV80" i="19"/>
  <c r="CN61" i="19"/>
  <c r="CF83" i="19"/>
  <c r="CT67" i="19"/>
  <c r="CD72" i="19"/>
  <c r="BU84" i="19" a="1"/>
  <c r="BU84" i="19" s="1"/>
  <c r="DC72" i="19"/>
  <c r="CE88" i="19"/>
  <c r="BX83" i="19"/>
  <c r="CT61" i="19"/>
  <c r="CN72" i="19"/>
  <c r="BY80" i="19"/>
  <c r="BY89" i="19" a="1"/>
  <c r="BY89" i="19" s="1"/>
  <c r="CR83" i="19"/>
  <c r="CW61" i="19"/>
  <c r="DA81" i="19" a="1"/>
  <c r="DA81" i="19" s="1"/>
  <c r="CA104" i="19" a="1"/>
  <c r="CA104" i="19" s="1"/>
  <c r="CU67" i="19"/>
  <c r="CD61" i="19"/>
  <c r="DI72" i="19"/>
  <c r="DC67" i="19"/>
  <c r="V72" i="19"/>
  <c r="CR80" i="19"/>
  <c r="CE75" i="19"/>
  <c r="CJ95" i="19" a="1"/>
  <c r="CJ95" i="19" s="1"/>
  <c r="DC68" i="19" a="1"/>
  <c r="DC68" i="19" s="1"/>
  <c r="CP88" i="19"/>
  <c r="DF75" i="19"/>
  <c r="CV61" i="19"/>
  <c r="BU64" i="19"/>
  <c r="BZ88" i="19"/>
  <c r="DH61" i="19"/>
  <c r="CY83" i="19"/>
  <c r="CS80" i="19"/>
  <c r="BZ75" i="19"/>
  <c r="CF104" i="19" a="1"/>
  <c r="CF104" i="19" s="1"/>
  <c r="BU83" i="19"/>
  <c r="CY64" i="19"/>
  <c r="CH110" i="19" a="1"/>
  <c r="CH110" i="19" s="1"/>
  <c r="BU80" i="19"/>
  <c r="BT72" i="19"/>
  <c r="BZ72" i="19"/>
  <c r="CF80" i="19"/>
  <c r="DG80" i="19"/>
  <c r="DA80" i="19"/>
  <c r="CZ98" i="19" a="1"/>
  <c r="CZ98" i="19" s="1"/>
  <c r="DG104" i="19" a="1"/>
  <c r="DG104" i="19" s="1"/>
  <c r="CT80" i="19"/>
  <c r="CX88" i="19"/>
  <c r="CI88" i="19"/>
  <c r="CQ80" i="19"/>
  <c r="DE81" i="19" a="1"/>
  <c r="DE81" i="19" s="1"/>
  <c r="CP89" i="19" a="1"/>
  <c r="CP89" i="19" s="1"/>
  <c r="BT67" i="19"/>
  <c r="CX101" i="19" a="1"/>
  <c r="CX101" i="19" s="1"/>
  <c r="DE91" i="19"/>
  <c r="CF91" i="19"/>
  <c r="DO73" i="19"/>
  <c r="DH64" i="19"/>
  <c r="DT73" i="19"/>
  <c r="CO64" i="19"/>
  <c r="CC58" i="19"/>
  <c r="CK64" i="19"/>
  <c r="CD65" i="19" a="1"/>
  <c r="CD65" i="19" s="1"/>
  <c r="BZ104" i="19" a="1"/>
  <c r="BZ104" i="19" s="1"/>
  <c r="CF95" i="19" a="1"/>
  <c r="CF95" i="19" s="1"/>
  <c r="CE61" i="19"/>
  <c r="BW72" i="19"/>
  <c r="DN81" i="19"/>
  <c r="CL72" i="19"/>
  <c r="CT101" i="19" a="1"/>
  <c r="CT101" i="19" s="1"/>
  <c r="BS80" i="19"/>
  <c r="CY104" i="19" a="1"/>
  <c r="CY104" i="19" s="1"/>
  <c r="BR88" i="19"/>
  <c r="O92" i="19" a="1"/>
  <c r="O92" i="19" s="1"/>
  <c r="CM75" i="19"/>
  <c r="CK88" i="19"/>
  <c r="CP61" i="19"/>
  <c r="DH59" i="19" a="1"/>
  <c r="DH59" i="19" s="1"/>
  <c r="CK67" i="19"/>
  <c r="CC83" i="19"/>
  <c r="J8" i="23"/>
  <c r="CN75" i="19"/>
  <c r="CM80" i="19"/>
  <c r="CX64" i="19"/>
  <c r="CT72" i="19"/>
  <c r="CN83" i="19"/>
  <c r="DB67" i="19"/>
  <c r="CN67" i="19"/>
  <c r="CR65" i="19" a="1"/>
  <c r="CR65" i="19" s="1"/>
  <c r="BX91" i="19"/>
  <c r="DB64" i="19"/>
  <c r="CR64" i="19"/>
  <c r="BZ64" i="19"/>
  <c r="CS64" i="19"/>
  <c r="CE91" i="19"/>
  <c r="BV75" i="19"/>
  <c r="CG91" i="19"/>
  <c r="CZ88" i="19"/>
  <c r="CX80" i="19"/>
  <c r="CE84" i="19" a="1"/>
  <c r="CE84" i="19" s="1"/>
  <c r="S61" i="19"/>
  <c r="BW89" i="19" a="1"/>
  <c r="BW89" i="19" s="1"/>
  <c r="CQ83" i="19"/>
  <c r="BW83" i="19"/>
  <c r="CA73" i="19" a="1"/>
  <c r="CA73" i="19" s="1"/>
  <c r="CZ58" i="19"/>
  <c r="CK72" i="19"/>
  <c r="CE83" i="19"/>
  <c r="CK80" i="19"/>
  <c r="CF67" i="19"/>
  <c r="BW98" i="19" a="1"/>
  <c r="BW98" i="19" s="1"/>
  <c r="CB88" i="19"/>
  <c r="BS98" i="19" a="1"/>
  <c r="BS98" i="19" s="1"/>
  <c r="CA72" i="19"/>
  <c r="CZ95" i="19" a="1"/>
  <c r="CZ95" i="19" s="1"/>
  <c r="S65" i="19" a="1"/>
  <c r="S65" i="19" s="1"/>
  <c r="CI65" i="19" a="1"/>
  <c r="CI65" i="19" s="1"/>
  <c r="BZ101" i="19" a="1"/>
  <c r="BZ101" i="19" s="1"/>
  <c r="CU91" i="19"/>
  <c r="CL73" i="19" a="1"/>
  <c r="CL73" i="19" s="1"/>
  <c r="CB64" i="19"/>
  <c r="DE58" i="19"/>
  <c r="DH72" i="19"/>
  <c r="BV68" i="19" a="1"/>
  <c r="BV68" i="19" s="1"/>
  <c r="CO98" i="19" a="1"/>
  <c r="CO98" i="19" s="1"/>
  <c r="P91" i="19"/>
  <c r="DD59" i="19" a="1"/>
  <c r="DD59" i="19" s="1"/>
  <c r="CW80" i="19"/>
  <c r="CW64" i="19"/>
  <c r="BZ58" i="19"/>
  <c r="CG80" i="19"/>
  <c r="CY95" i="19" a="1"/>
  <c r="CY95" i="19" s="1"/>
  <c r="CR104" i="19" a="1"/>
  <c r="CR104" i="19" s="1"/>
  <c r="CM58" i="19"/>
  <c r="BW75" i="19"/>
  <c r="CP72" i="19"/>
  <c r="CS110" i="19" a="1"/>
  <c r="CS110" i="19" s="1"/>
  <c r="CG94" i="19"/>
  <c r="DG76" i="19" a="1"/>
  <c r="DG76" i="19" s="1"/>
  <c r="BW101" i="19" a="1"/>
  <c r="BW101" i="19" s="1"/>
  <c r="CP80" i="19"/>
  <c r="CF81" i="19" a="1"/>
  <c r="CF81" i="19" s="1"/>
  <c r="CS104" i="19" a="1"/>
  <c r="CS104" i="19" s="1"/>
  <c r="BW80" i="19"/>
  <c r="CI101" i="19" a="1"/>
  <c r="CI101" i="19" s="1"/>
  <c r="CF88" i="19"/>
  <c r="DC91" i="19"/>
  <c r="CZ64" i="19"/>
  <c r="BT88" i="19"/>
  <c r="DF61" i="19"/>
  <c r="CO59" i="19" a="1"/>
  <c r="CO59" i="19" s="1"/>
  <c r="BU91" i="19"/>
  <c r="CO72" i="19"/>
  <c r="P61" i="19"/>
  <c r="CY80" i="19"/>
  <c r="CQ88" i="19"/>
  <c r="CV72" i="19"/>
  <c r="CO84" i="19" a="1"/>
  <c r="CO84" i="19" s="1"/>
  <c r="CJ61" i="19"/>
  <c r="O83" i="19"/>
  <c r="CD55" i="19"/>
  <c r="CH72" i="19"/>
  <c r="V75" i="19"/>
  <c r="CD58" i="19"/>
  <c r="CP73" i="19" a="1"/>
  <c r="CP73" i="19" s="1"/>
  <c r="DG83" i="19"/>
  <c r="BS67" i="19"/>
  <c r="CU55" i="19"/>
  <c r="BT104" i="19" a="1"/>
  <c r="BT104" i="19" s="1"/>
  <c r="CJ73" i="19" a="1"/>
  <c r="CJ73" i="19" s="1"/>
  <c r="BS88" i="19"/>
  <c r="DB110" i="19" a="1"/>
  <c r="DB110" i="19" s="1"/>
  <c r="DA68" i="19" a="1"/>
  <c r="DA68" i="19" s="1"/>
  <c r="BS84" i="19" a="1"/>
  <c r="BS84" i="19" s="1"/>
  <c r="BS68" i="19" a="1"/>
  <c r="BS68" i="19" s="1"/>
  <c r="CL65" i="19" a="1"/>
  <c r="CL65" i="19" s="1"/>
  <c r="V88" i="19"/>
  <c r="BS104" i="19" a="1"/>
  <c r="BS104" i="19" s="1"/>
  <c r="BZ98" i="19" a="1"/>
  <c r="BZ98" i="19" s="1"/>
  <c r="CV107" i="19" a="1"/>
  <c r="CV107" i="19" s="1"/>
  <c r="CM72" i="19"/>
  <c r="CN76" i="19" a="1"/>
  <c r="CN76" i="19" s="1"/>
  <c r="CW94" i="19"/>
  <c r="BR58" i="19"/>
  <c r="O110" i="19" a="1"/>
  <c r="O110" i="19" s="1"/>
  <c r="CB110" i="19" a="1"/>
  <c r="CB110" i="19" s="1"/>
  <c r="CO110" i="19" a="1"/>
  <c r="CO110" i="19" s="1"/>
  <c r="CA76" i="19" a="1"/>
  <c r="CA76" i="19" s="1"/>
  <c r="DA101" i="19" a="1"/>
  <c r="DA101" i="19" s="1"/>
  <c r="CG73" i="19" a="1"/>
  <c r="CG73" i="19" s="1"/>
  <c r="DA98" i="19" a="1"/>
  <c r="DA98" i="19" s="1"/>
  <c r="DC98" i="19" a="1"/>
  <c r="DC98" i="19" s="1"/>
  <c r="DC65" i="19" a="1"/>
  <c r="DC65" i="19" s="1"/>
  <c r="DG68" i="19" a="1"/>
  <c r="DG68" i="19" s="1"/>
  <c r="BW88" i="19"/>
  <c r="CV88" i="19"/>
  <c r="CW88" i="19"/>
  <c r="J14" i="23"/>
  <c r="CJ88" i="19"/>
  <c r="DD64" i="19"/>
  <c r="CA64" i="19"/>
  <c r="BU75" i="19"/>
  <c r="CZ83" i="19"/>
  <c r="DE110" i="19" a="1"/>
  <c r="DE110" i="19" s="1"/>
  <c r="P98" i="19" a="1"/>
  <c r="P98" i="19" s="1"/>
  <c r="DD83" i="19"/>
  <c r="CG110" i="19" a="1"/>
  <c r="CG110" i="19" s="1"/>
  <c r="DG58" i="19"/>
  <c r="DG61" i="19"/>
  <c r="P62" i="19" a="1"/>
  <c r="P62" i="19" s="1"/>
  <c r="CY67" i="19"/>
  <c r="DD95" i="19" a="1"/>
  <c r="DD95" i="19" s="1"/>
  <c r="CR89" i="19" a="1"/>
  <c r="CR89" i="19" s="1"/>
  <c r="BY64" i="19"/>
  <c r="BS72" i="19"/>
  <c r="BS89" i="19" a="1"/>
  <c r="BS89" i="19" s="1"/>
  <c r="CJ91" i="19"/>
  <c r="CU98" i="19" a="1"/>
  <c r="CU98" i="19" s="1"/>
  <c r="DD107" i="19" a="1"/>
  <c r="DD107" i="19" s="1"/>
  <c r="DA95" i="19" a="1"/>
  <c r="DA95" i="19" s="1"/>
  <c r="CH64" i="19"/>
  <c r="DN73" i="19"/>
  <c r="BT95" i="19" a="1"/>
  <c r="BT95" i="19" s="1"/>
  <c r="CW75" i="19"/>
  <c r="CW110" i="19" a="1"/>
  <c r="CW110" i="19" s="1"/>
  <c r="CI59" i="19" a="1"/>
  <c r="CI59" i="19" s="1"/>
  <c r="BX81" i="19" a="1"/>
  <c r="BX81" i="19" s="1"/>
  <c r="CZ81" i="19" a="1"/>
  <c r="CZ81" i="19" s="1"/>
  <c r="CZ91" i="19"/>
  <c r="CD110" i="19" a="1"/>
  <c r="CD110" i="19" s="1"/>
  <c r="BS101" i="19" a="1"/>
  <c r="BS101" i="19" s="1"/>
  <c r="BS73" i="19" a="1"/>
  <c r="BS73" i="19" s="1"/>
  <c r="CI80" i="19"/>
  <c r="DA65" i="19" a="1"/>
  <c r="DA65" i="19" s="1"/>
  <c r="DA62" i="19" a="1"/>
  <c r="DA62" i="19" s="1"/>
  <c r="DD58" i="19"/>
  <c r="CN88" i="19"/>
  <c r="CX91" i="19"/>
  <c r="CQ91" i="19"/>
  <c r="CT88" i="19"/>
  <c r="CA88" i="19"/>
  <c r="CV64" i="19"/>
  <c r="DA67" i="19"/>
  <c r="O61" i="19"/>
  <c r="DH83" i="19"/>
  <c r="BW65" i="19" a="1"/>
  <c r="BW65" i="19" s="1"/>
  <c r="CK65" i="19" a="1"/>
  <c r="CK65" i="19" s="1"/>
  <c r="CU61" i="19"/>
  <c r="P67" i="19"/>
  <c r="O67" i="19"/>
  <c r="BV62" i="19" a="1"/>
  <c r="BV62" i="19" s="1"/>
  <c r="BT68" i="19" a="1"/>
  <c r="BT68" i="19" s="1"/>
  <c r="CX83" i="19"/>
  <c r="DE67" i="19"/>
  <c r="CC88" i="19"/>
  <c r="CV58" i="19"/>
  <c r="CG75" i="19"/>
  <c r="V107" i="19" a="1"/>
  <c r="V107" i="19" s="1"/>
  <c r="BY95" i="19" a="1"/>
  <c r="BY95" i="19" s="1"/>
  <c r="BZ91" i="19"/>
  <c r="CD80" i="19"/>
  <c r="DA104" i="19" a="1"/>
  <c r="DA104" i="19" s="1"/>
  <c r="CW73" i="19" a="1"/>
  <c r="CW73" i="19" s="1"/>
  <c r="DB83" i="19"/>
  <c r="CB61" i="19"/>
  <c r="BS64" i="19"/>
  <c r="CN91" i="19"/>
  <c r="CO92" i="19" a="1"/>
  <c r="CO92" i="19" s="1"/>
  <c r="BS76" i="19" a="1"/>
  <c r="BS76" i="19" s="1"/>
  <c r="CW92" i="19" a="1"/>
  <c r="CW92" i="19" s="1"/>
  <c r="CO73" i="19" a="1"/>
  <c r="CO73" i="19" s="1"/>
  <c r="S81" i="19" a="1"/>
  <c r="S81" i="19" s="1"/>
  <c r="BR62" i="19" a="1"/>
  <c r="BR62" i="19" s="1"/>
  <c r="CO62" i="19" a="1"/>
  <c r="CO62" i="19" s="1"/>
  <c r="CJ58" i="19"/>
  <c r="CL88" i="19"/>
  <c r="DD88" i="19"/>
  <c r="DA88" i="19"/>
  <c r="CS67" i="19"/>
  <c r="CU95" i="19" a="1"/>
  <c r="CU95" i="19" s="1"/>
  <c r="DI58" i="19"/>
  <c r="CE67" i="19"/>
  <c r="BV92" i="19" a="1"/>
  <c r="BV92" i="19" s="1"/>
  <c r="CX59" i="19" a="1"/>
  <c r="CX59" i="19" s="1"/>
  <c r="CH83" i="19"/>
  <c r="R61" i="19"/>
  <c r="CC62" i="19" a="1"/>
  <c r="CC62" i="19" s="1"/>
  <c r="BZ61" i="19"/>
  <c r="CG58" i="19"/>
  <c r="CW83" i="19"/>
  <c r="CQ59" i="19" a="1"/>
  <c r="CQ59" i="19" s="1"/>
  <c r="DH91" i="19"/>
  <c r="CM83" i="19"/>
  <c r="BW61" i="19"/>
  <c r="CH91" i="19"/>
  <c r="DA59" i="19" a="1"/>
  <c r="DA59" i="19" s="1"/>
  <c r="CL98" i="19" a="1"/>
  <c r="CL98" i="19" s="1"/>
  <c r="CQ107" i="19" a="1"/>
  <c r="CQ107" i="19" s="1"/>
  <c r="DE95" i="19" a="1"/>
  <c r="DE95" i="19" s="1"/>
  <c r="CS81" i="19" a="1"/>
  <c r="CS81" i="19" s="1"/>
  <c r="BS81" i="19" a="1"/>
  <c r="BS81" i="19" s="1"/>
  <c r="DG88" i="19"/>
  <c r="CF107" i="19" a="1"/>
  <c r="CF107" i="19" s="1"/>
  <c r="DH92" i="19" a="1"/>
  <c r="DH92" i="19" s="1"/>
  <c r="CF76" i="19" a="1"/>
  <c r="CF76" i="19" s="1"/>
  <c r="DP72" i="19"/>
  <c r="DF110" i="19" a="1"/>
  <c r="DF110" i="19" s="1"/>
  <c r="BT83" i="19"/>
  <c r="BY58" i="19"/>
  <c r="O107" i="19" a="1"/>
  <c r="O107" i="19" s="1"/>
  <c r="DA92" i="19" a="1"/>
  <c r="DA92" i="19" s="1"/>
  <c r="CB62" i="19" a="1"/>
  <c r="CB62" i="19" s="1"/>
  <c r="BV91" i="19"/>
  <c r="DF91" i="19"/>
  <c r="CD88" i="19"/>
  <c r="CR88" i="19"/>
  <c r="DG65" i="19" a="1"/>
  <c r="DG65" i="19" s="1"/>
  <c r="CN65" i="19" a="1"/>
  <c r="CN65" i="19" s="1"/>
  <c r="CK83" i="19"/>
  <c r="CZ92" i="19" a="1"/>
  <c r="CZ92" i="19" s="1"/>
  <c r="DH110" i="19" a="1"/>
  <c r="DH110" i="19" s="1"/>
  <c r="CC64" i="19"/>
  <c r="CM91" i="19"/>
  <c r="BX92" i="19" a="1"/>
  <c r="BX92" i="19" s="1"/>
  <c r="BT64" i="19"/>
  <c r="CT64" i="19"/>
  <c r="V110" i="19" a="1"/>
  <c r="V110" i="19" s="1"/>
  <c r="BR64" i="19"/>
  <c r="BY83" i="19"/>
  <c r="CM67" i="19"/>
  <c r="CB75" i="19"/>
  <c r="CE58" i="19"/>
  <c r="CE64" i="19"/>
  <c r="DA72" i="19"/>
  <c r="CY91" i="19"/>
  <c r="BY62" i="19" a="1"/>
  <c r="BY62" i="19" s="1"/>
  <c r="DF73" i="19" a="1"/>
  <c r="DF73" i="19" s="1"/>
  <c r="J13" i="23"/>
  <c r="DB91" i="19"/>
  <c r="CT65" i="19" a="1"/>
  <c r="CT65" i="19" s="1"/>
  <c r="CU58" i="19"/>
  <c r="CO75" i="19"/>
  <c r="DP81" i="19"/>
  <c r="CU59" i="19" a="1"/>
  <c r="CU59" i="19" s="1"/>
  <c r="DG91" i="19"/>
  <c r="CY110" i="19" a="1"/>
  <c r="CY110" i="19" s="1"/>
  <c r="CF89" i="19" a="1"/>
  <c r="CF89" i="19" s="1"/>
  <c r="BW73" i="19" a="1"/>
  <c r="BW73" i="19" s="1"/>
  <c r="V55" i="19"/>
  <c r="DD62" i="19" a="1"/>
  <c r="DD62" i="19" s="1"/>
  <c r="J11" i="23"/>
  <c r="S75" i="19"/>
  <c r="DG89" i="19" a="1"/>
  <c r="DG89" i="19" s="1"/>
  <c r="CW95" i="19" a="1"/>
  <c r="CW95" i="19" s="1"/>
  <c r="CN89" i="19" a="1"/>
  <c r="CN89" i="19" s="1"/>
  <c r="CE73" i="19" a="1"/>
  <c r="CE73" i="19" s="1"/>
  <c r="BZ94" i="19"/>
  <c r="BZ110" i="19" a="1"/>
  <c r="BZ110" i="19" s="1"/>
  <c r="BZ107" i="19" a="1"/>
  <c r="BZ107" i="19" s="1"/>
  <c r="BZ95" i="19" a="1"/>
  <c r="BZ95" i="19" s="1"/>
  <c r="BZ84" i="19" a="1"/>
  <c r="BZ84" i="19" s="1"/>
  <c r="BZ81" i="19" a="1"/>
  <c r="BZ81" i="19" s="1"/>
  <c r="BZ76" i="19" a="1"/>
  <c r="BZ76" i="19" s="1"/>
  <c r="BZ68" i="19" a="1"/>
  <c r="BZ68" i="19" s="1"/>
  <c r="BZ62" i="19" a="1"/>
  <c r="BZ62" i="19" s="1"/>
  <c r="BZ56" i="19"/>
  <c r="BZ55" i="19"/>
  <c r="CM107" i="19" a="1"/>
  <c r="CM107" i="19" s="1"/>
  <c r="BU59" i="19" a="1"/>
  <c r="BU59" i="19" s="1"/>
  <c r="BU101" i="19" a="1"/>
  <c r="BU101" i="19" s="1"/>
  <c r="S89" i="19" a="1"/>
  <c r="S89" i="19" s="1"/>
  <c r="K17" i="23" a="1"/>
  <c r="K17" i="23" s="1"/>
  <c r="K8" i="23" a="1"/>
  <c r="K8" i="23" s="1"/>
  <c r="CS61" i="19"/>
  <c r="DE104" i="19" a="1"/>
  <c r="DE104" i="19" s="1"/>
  <c r="CV68" i="19" a="1"/>
  <c r="CV68" i="19" s="1"/>
  <c r="CQ92" i="19" a="1"/>
  <c r="CQ92" i="19" s="1"/>
  <c r="J9" i="23"/>
  <c r="S67" i="19"/>
  <c r="CS75" i="19"/>
  <c r="DD68" i="19" a="1"/>
  <c r="DD68" i="19" s="1"/>
  <c r="CU62" i="19" a="1"/>
  <c r="CU62" i="19" s="1"/>
  <c r="CU110" i="19" a="1"/>
  <c r="CU110" i="19" s="1"/>
  <c r="CL84" i="19" a="1"/>
  <c r="CL84" i="19" s="1"/>
  <c r="BT76" i="19" a="1"/>
  <c r="BT76" i="19" s="1"/>
  <c r="BT110" i="19" a="1"/>
  <c r="BT110" i="19" s="1"/>
  <c r="P59" i="19" a="1"/>
  <c r="P59" i="19" s="1"/>
  <c r="P56" i="19"/>
  <c r="DI55" i="19"/>
  <c r="DI101" i="19" a="1"/>
  <c r="DI101" i="19" s="1"/>
  <c r="CG65" i="19" a="1"/>
  <c r="CG65" i="19" s="1"/>
  <c r="CB107" i="19" a="1"/>
  <c r="CB107" i="19" s="1"/>
  <c r="CB94" i="19"/>
  <c r="CB92" i="19" a="1"/>
  <c r="CB92" i="19" s="1"/>
  <c r="CB68" i="19" a="1"/>
  <c r="CB68" i="19" s="1"/>
  <c r="CB89" i="19" a="1"/>
  <c r="CB89" i="19" s="1"/>
  <c r="CB76" i="19" a="1"/>
  <c r="CB76" i="19" s="1"/>
  <c r="CB101" i="19" a="1"/>
  <c r="CB101" i="19" s="1"/>
  <c r="CB84" i="19" a="1"/>
  <c r="CB84" i="19" s="1"/>
  <c r="CB56" i="19"/>
  <c r="CB59" i="19" a="1"/>
  <c r="CB59" i="19" s="1"/>
  <c r="CB55" i="19"/>
  <c r="DB95" i="19" a="1"/>
  <c r="DB95" i="19" s="1"/>
  <c r="DB107" i="19" a="1"/>
  <c r="DB107" i="19" s="1"/>
  <c r="DB84" i="19" a="1"/>
  <c r="DB84" i="19" s="1"/>
  <c r="DB56" i="19"/>
  <c r="DB55" i="19"/>
  <c r="DB68" i="19" a="1"/>
  <c r="DB68" i="19" s="1"/>
  <c r="DB76" i="19" a="1"/>
  <c r="DB76" i="19" s="1"/>
  <c r="DB65" i="19" a="1"/>
  <c r="DB65" i="19" s="1"/>
  <c r="DB92" i="19" a="1"/>
  <c r="DB92" i="19" s="1"/>
  <c r="DB73" i="19" a="1"/>
  <c r="DB73" i="19" s="1"/>
  <c r="DB59" i="19" a="1"/>
  <c r="DB59" i="19" s="1"/>
  <c r="O94" i="19"/>
  <c r="O101" i="19" a="1"/>
  <c r="O101" i="19" s="1"/>
  <c r="O95" i="19" a="1"/>
  <c r="O95" i="19" s="1"/>
  <c r="O89" i="19" a="1"/>
  <c r="O89" i="19" s="1"/>
  <c r="O84" i="19" a="1"/>
  <c r="O84" i="19" s="1"/>
  <c r="O68" i="19" a="1"/>
  <c r="O68" i="19" s="1"/>
  <c r="O76" i="19" a="1"/>
  <c r="O76" i="19" s="1"/>
  <c r="O73" i="19" a="1"/>
  <c r="O73" i="19" s="1"/>
  <c r="O56" i="19"/>
  <c r="O59" i="19" a="1"/>
  <c r="O59" i="19" s="1"/>
  <c r="O65" i="19" a="1"/>
  <c r="O65" i="19" s="1"/>
  <c r="O55" i="19"/>
  <c r="J6" i="23"/>
  <c r="S58" i="19"/>
  <c r="BX84" i="19" a="1"/>
  <c r="BX84" i="19" s="1"/>
  <c r="DE83" i="19"/>
  <c r="CR110" i="19" a="1"/>
  <c r="CR110" i="19" s="1"/>
  <c r="CZ62" i="19" a="1"/>
  <c r="CZ62" i="19" s="1"/>
  <c r="CZ107" i="19" a="1"/>
  <c r="CZ107" i="19" s="1"/>
  <c r="CP91" i="19"/>
  <c r="BY76" i="19" a="1"/>
  <c r="BY76" i="19" s="1"/>
  <c r="CI95" i="19" a="1"/>
  <c r="CI95" i="19" s="1"/>
  <c r="CA81" i="19" a="1"/>
  <c r="CA81" i="19" s="1"/>
  <c r="AO100" i="21"/>
  <c r="AP98" i="21"/>
  <c r="AP99" i="21" s="1"/>
  <c r="AO97" i="21"/>
  <c r="AP91" i="21"/>
  <c r="AO93" i="21"/>
  <c r="AO90" i="21"/>
  <c r="L74" i="22"/>
  <c r="L70" i="22"/>
  <c r="AQ84" i="21"/>
  <c r="AQ85" i="21" s="1"/>
  <c r="AP83" i="21"/>
  <c r="AP86" i="21"/>
  <c r="AJ78" i="21"/>
  <c r="AK77" i="21"/>
  <c r="AK78" i="21" s="1"/>
  <c r="AJ76" i="21"/>
  <c r="AJ79" i="21"/>
  <c r="AJ112" i="21"/>
  <c r="AJ113" i="21" s="1"/>
  <c r="AI111" i="21"/>
  <c r="AI114" i="21"/>
  <c r="AP79" i="21"/>
  <c r="AP78" i="21"/>
  <c r="AP76" i="21"/>
  <c r="AQ77" i="21"/>
  <c r="AQ78" i="21" s="1"/>
  <c r="AO64" i="21"/>
  <c r="AP63" i="21"/>
  <c r="AP64" i="21" s="1"/>
  <c r="AO65" i="21"/>
  <c r="AO62" i="21"/>
  <c r="AK97" i="21"/>
  <c r="AL98" i="21"/>
  <c r="AK100" i="21"/>
  <c r="AJ100" i="21"/>
  <c r="AJ97" i="21"/>
  <c r="AK98" i="21"/>
  <c r="AK99" i="21" s="1"/>
  <c r="AM70" i="21"/>
  <c r="AM71" i="21" s="1"/>
  <c r="AL72" i="21"/>
  <c r="AL69" i="21"/>
  <c r="AS72" i="21"/>
  <c r="AS69" i="21"/>
  <c r="AT70" i="21"/>
  <c r="AS71" i="21"/>
  <c r="AW63" i="21"/>
  <c r="AW64" i="21" s="1"/>
  <c r="AV65" i="21"/>
  <c r="AV62" i="21"/>
  <c r="AV126" i="21"/>
  <c r="AV127" i="21" s="1"/>
  <c r="AU125" i="21"/>
  <c r="AU128" i="21"/>
  <c r="AP125" i="21"/>
  <c r="AQ126" i="21"/>
  <c r="AP128" i="21"/>
  <c r="AP119" i="21"/>
  <c r="AP120" i="21" s="1"/>
  <c r="AO121" i="21"/>
  <c r="AO120" i="21"/>
  <c r="AO118" i="21"/>
  <c r="AI119" i="21"/>
  <c r="AI120" i="21" s="1"/>
  <c r="AH118" i="21"/>
  <c r="AH121" i="21"/>
  <c r="AS91" i="21"/>
  <c r="AS92" i="21" s="1"/>
  <c r="AR90" i="21"/>
  <c r="AR93" i="21"/>
  <c r="AH90" i="21"/>
  <c r="AH93" i="21"/>
  <c r="AI91" i="21"/>
  <c r="AT71" i="21"/>
  <c r="AT72" i="21"/>
  <c r="AT69" i="21"/>
  <c r="AU70" i="21"/>
  <c r="AK91" i="21"/>
  <c r="AK92" i="21" s="1"/>
  <c r="AJ90" i="21"/>
  <c r="AJ93" i="21"/>
  <c r="CF110" i="19" a="1"/>
  <c r="CF110" i="19" s="1"/>
  <c r="CL110" i="19" a="1"/>
  <c r="CL110" i="19" s="1"/>
  <c r="CL107" i="19" a="1"/>
  <c r="CL107" i="19" s="1"/>
  <c r="CQ95" i="19" a="1"/>
  <c r="CQ95" i="19" s="1"/>
  <c r="V95" i="19" a="1"/>
  <c r="V95" i="19" s="1"/>
  <c r="DF92" i="19" a="1"/>
  <c r="DF92" i="19" s="1"/>
  <c r="BU92" i="19" a="1"/>
  <c r="BU92" i="19" s="1"/>
  <c r="DG84" i="19" a="1"/>
  <c r="DG84" i="19" s="1"/>
  <c r="CA84" i="19" a="1"/>
  <c r="CA84" i="19" s="1"/>
  <c r="DC76" i="19" a="1"/>
  <c r="DC76" i="19" s="1"/>
  <c r="BW76" i="19" a="1"/>
  <c r="BW76" i="19" s="1"/>
  <c r="CY68" i="19" a="1"/>
  <c r="CY68" i="19" s="1"/>
  <c r="DC101" i="19" a="1"/>
  <c r="DC101" i="19" s="1"/>
  <c r="DD101" i="19" a="1"/>
  <c r="DD101" i="19" s="1"/>
  <c r="CN101" i="19" a="1"/>
  <c r="CN101" i="19" s="1"/>
  <c r="CZ101" i="19" a="1"/>
  <c r="CZ101" i="19" s="1"/>
  <c r="CU101" i="19" a="1"/>
  <c r="CU101" i="19" s="1"/>
  <c r="CF101" i="19" a="1"/>
  <c r="CF101" i="19" s="1"/>
  <c r="P101" i="19" a="1"/>
  <c r="P101" i="19" s="1"/>
  <c r="CD101" i="19" a="1"/>
  <c r="CD101" i="19" s="1"/>
  <c r="CT89" i="19" a="1"/>
  <c r="CT89" i="19" s="1"/>
  <c r="CE81" i="19" a="1"/>
  <c r="CE81" i="19" s="1"/>
  <c r="DE73" i="19" a="1"/>
  <c r="DE73" i="19" s="1"/>
  <c r="CR73" i="19" a="1"/>
  <c r="CR73" i="19" s="1"/>
  <c r="CQ81" i="19" a="1"/>
  <c r="CQ81" i="19" s="1"/>
  <c r="DQ81" i="19"/>
  <c r="BR73" i="19" a="1"/>
  <c r="BR73" i="19" s="1"/>
  <c r="CP81" i="19" a="1"/>
  <c r="CP81" i="19" s="1"/>
  <c r="V81" i="19" a="1"/>
  <c r="V81" i="19" s="1"/>
  <c r="CJ81" i="19" a="1"/>
  <c r="CJ81" i="19" s="1"/>
  <c r="BW104" i="19" a="1"/>
  <c r="BW104" i="19" s="1"/>
  <c r="DF104" i="19" a="1"/>
  <c r="DF104" i="19" s="1"/>
  <c r="CM104" i="19" a="1"/>
  <c r="CM104" i="19" s="1"/>
  <c r="CH104" i="19" a="1"/>
  <c r="CH104" i="19" s="1"/>
  <c r="CK104" i="19" a="1"/>
  <c r="CK104" i="19" s="1"/>
  <c r="DI104" i="19" a="1"/>
  <c r="DI104" i="19" s="1"/>
  <c r="BX104" i="19" a="1"/>
  <c r="BX104" i="19" s="1"/>
  <c r="BW81" i="19" a="1"/>
  <c r="BW81" i="19" s="1"/>
  <c r="CI73" i="19" a="1"/>
  <c r="CI73" i="19" s="1"/>
  <c r="O98" i="19" a="1"/>
  <c r="O98" i="19" s="1"/>
  <c r="DE98" i="19" a="1"/>
  <c r="DE98" i="19" s="1"/>
  <c r="CC98" i="19" a="1"/>
  <c r="CC98" i="19" s="1"/>
  <c r="CA98" i="19" a="1"/>
  <c r="CA98" i="19" s="1"/>
  <c r="DG98" i="19" a="1"/>
  <c r="DG98" i="19" s="1"/>
  <c r="CF64" i="19"/>
  <c r="DP64" i="19"/>
  <c r="CV65" i="19" a="1"/>
  <c r="CV65" i="19" s="1"/>
  <c r="BW62" i="19" a="1"/>
  <c r="BW62" i="19" s="1"/>
  <c r="CA62" i="19" a="1"/>
  <c r="CA62" i="19" s="1"/>
  <c r="CK62" i="19" a="1"/>
  <c r="CK62" i="19" s="1"/>
  <c r="CU65" i="19" a="1"/>
  <c r="CU65" i="19" s="1"/>
  <c r="BU61" i="19"/>
  <c r="BY59" i="19" a="1"/>
  <c r="BY59" i="19" s="1"/>
  <c r="DB58" i="19"/>
  <c r="BS59" i="19" a="1"/>
  <c r="BS59" i="19" s="1"/>
  <c r="CY59" i="19" a="1"/>
  <c r="CY59" i="19" s="1"/>
  <c r="DH84" i="19" a="1"/>
  <c r="DH84" i="19" s="1"/>
  <c r="CY62" i="19" a="1"/>
  <c r="CY62" i="19" s="1"/>
  <c r="CY107" i="19" a="1"/>
  <c r="CY107" i="19" s="1"/>
  <c r="CO95" i="19" a="1"/>
  <c r="CO95" i="19" s="1"/>
  <c r="BW95" i="19" a="1"/>
  <c r="BW95" i="19" s="1"/>
  <c r="V76" i="19" a="1"/>
  <c r="V76" i="19" s="1"/>
  <c r="BU56" i="19"/>
  <c r="CY58" i="19"/>
  <c r="DG92" i="19" a="1"/>
  <c r="DG92" i="19" s="1"/>
  <c r="CW65" i="19" a="1"/>
  <c r="CW65" i="19" s="1"/>
  <c r="CW107" i="19" a="1"/>
  <c r="CW107" i="19" s="1"/>
  <c r="CN92" i="19" a="1"/>
  <c r="CN92" i="19" s="1"/>
  <c r="CE89" i="19" a="1"/>
  <c r="CE89" i="19" s="1"/>
  <c r="BV65" i="19" a="1"/>
  <c r="BV65" i="19" s="1"/>
  <c r="BV55" i="19"/>
  <c r="CM65" i="19" a="1"/>
  <c r="CM65" i="19" s="1"/>
  <c r="BU73" i="19" a="1"/>
  <c r="BU73" i="19" s="1"/>
  <c r="BU110" i="19" a="1"/>
  <c r="BU110" i="19" s="1"/>
  <c r="S107" i="19" a="1"/>
  <c r="S107" i="19" s="1"/>
  <c r="K7" i="23" a="1"/>
  <c r="K7" i="23" s="1"/>
  <c r="K16" i="23" a="1"/>
  <c r="K16" i="23" s="1"/>
  <c r="CV59" i="19" a="1"/>
  <c r="CV59" i="19" s="1"/>
  <c r="DA61" i="19"/>
  <c r="S64" i="19"/>
  <c r="DE84" i="19" a="1"/>
  <c r="DE84" i="19" s="1"/>
  <c r="CV92" i="19" a="1"/>
  <c r="CV92" i="19" s="1"/>
  <c r="CD73" i="19" a="1"/>
  <c r="CD73" i="19" s="1"/>
  <c r="CD56" i="19"/>
  <c r="BT61" i="19"/>
  <c r="DI67" i="19"/>
  <c r="CQ67" i="19"/>
  <c r="CA75" i="19"/>
  <c r="CN80" i="19"/>
  <c r="CJ64" i="19"/>
  <c r="BU58" i="19"/>
  <c r="DD84" i="19" a="1"/>
  <c r="DD84" i="19" s="1"/>
  <c r="CU56" i="19"/>
  <c r="CL59" i="19" a="1"/>
  <c r="CL59" i="19" s="1"/>
  <c r="CL55" i="19"/>
  <c r="P73" i="19" a="1"/>
  <c r="P73" i="19" s="1"/>
  <c r="P107" i="19" a="1"/>
  <c r="P107" i="19" s="1"/>
  <c r="DI76" i="19" a="1"/>
  <c r="DI76" i="19" s="1"/>
  <c r="DI89" i="19" a="1"/>
  <c r="DI89" i="19" s="1"/>
  <c r="CG55" i="19"/>
  <c r="CR75" i="19"/>
  <c r="CA91" i="19"/>
  <c r="CK58" i="19"/>
  <c r="CS95" i="19" a="1"/>
  <c r="CS95" i="19" s="1"/>
  <c r="CS94" i="19"/>
  <c r="CS107" i="19" a="1"/>
  <c r="CS107" i="19" s="1"/>
  <c r="CS84" i="19" a="1"/>
  <c r="CS84" i="19" s="1"/>
  <c r="CS68" i="19" a="1"/>
  <c r="CS68" i="19" s="1"/>
  <c r="CS101" i="19" a="1"/>
  <c r="CS101" i="19" s="1"/>
  <c r="CS89" i="19" a="1"/>
  <c r="CS89" i="19" s="1"/>
  <c r="CS76" i="19" a="1"/>
  <c r="CS76" i="19" s="1"/>
  <c r="CS73" i="19" a="1"/>
  <c r="CS73" i="19" s="1"/>
  <c r="CS55" i="19"/>
  <c r="CS65" i="19" a="1"/>
  <c r="CS65" i="19" s="1"/>
  <c r="CS59" i="19" a="1"/>
  <c r="CS59" i="19" s="1"/>
  <c r="CS56" i="19"/>
  <c r="BR110" i="19" a="1"/>
  <c r="BR110" i="19" s="1"/>
  <c r="BR95" i="19" a="1"/>
  <c r="BR95" i="19" s="1"/>
  <c r="BR94" i="19"/>
  <c r="BR104" i="19" a="1"/>
  <c r="BR104" i="19" s="1"/>
  <c r="BR76" i="19" a="1"/>
  <c r="BR76" i="19" s="1"/>
  <c r="BR107" i="19" a="1"/>
  <c r="BR107" i="19" s="1"/>
  <c r="BR92" i="19" a="1"/>
  <c r="BR92" i="19" s="1"/>
  <c r="BR68" i="19" a="1"/>
  <c r="BR68" i="19" s="1"/>
  <c r="BR81" i="19" a="1"/>
  <c r="BR81" i="19" s="1"/>
  <c r="BR56" i="19"/>
  <c r="BR84" i="19" a="1"/>
  <c r="BR84" i="19" s="1"/>
  <c r="BR55" i="19"/>
  <c r="BR65" i="19" a="1"/>
  <c r="BR65" i="19" s="1"/>
  <c r="BR61" i="19"/>
  <c r="DF67" i="19"/>
  <c r="V67" i="19"/>
  <c r="V64" i="19"/>
  <c r="BY91" i="19"/>
  <c r="S83" i="19"/>
  <c r="BX76" i="19" a="1"/>
  <c r="BX76" i="19" s="1"/>
  <c r="DA73" i="19" a="1"/>
  <c r="DA73" i="19" s="1"/>
  <c r="DA110" i="19" a="1"/>
  <c r="DA110" i="19" s="1"/>
  <c r="CR107" i="19" a="1"/>
  <c r="CR107" i="19" s="1"/>
  <c r="CZ59" i="19" a="1"/>
  <c r="CZ59" i="19" s="1"/>
  <c r="BY68" i="19" a="1"/>
  <c r="BY68" i="19" s="1"/>
  <c r="BS65" i="19" a="1"/>
  <c r="BS65" i="19" s="1"/>
  <c r="BS107" i="19" a="1"/>
  <c r="BS107" i="19" s="1"/>
  <c r="CI81" i="19" a="1"/>
  <c r="CI81" i="19" s="1"/>
  <c r="CA89" i="19" a="1"/>
  <c r="CA89" i="19" s="1"/>
  <c r="M118" i="22"/>
  <c r="N118" i="22" s="1"/>
  <c r="O118" i="22" s="1"/>
  <c r="P118" i="22" s="1"/>
  <c r="Q118" i="22" s="1"/>
  <c r="R118" i="22" s="1"/>
  <c r="S118" i="22" s="1"/>
  <c r="T118" i="22" s="1"/>
  <c r="U118" i="22" s="1"/>
  <c r="V118" i="22" s="1"/>
  <c r="W118" i="22" s="1"/>
  <c r="X118" i="22" s="1"/>
  <c r="Y118" i="22" s="1"/>
  <c r="Z118" i="22" s="1"/>
  <c r="AA118" i="22" s="1"/>
  <c r="AB118" i="22" s="1"/>
  <c r="AC118" i="22" s="1"/>
  <c r="AD118" i="22" s="1"/>
  <c r="AE118" i="22" s="1"/>
  <c r="AF118" i="22" s="1"/>
  <c r="AG118" i="22" s="1"/>
  <c r="AH118" i="22" s="1"/>
  <c r="AI118" i="22" s="1"/>
  <c r="AJ118" i="22" s="1"/>
  <c r="AK118" i="22" s="1"/>
  <c r="AL118" i="22" s="1"/>
  <c r="AM118" i="22" s="1"/>
  <c r="AN118" i="22" s="1"/>
  <c r="AO118" i="22" s="1"/>
  <c r="AP118" i="22" s="1"/>
  <c r="AQ118" i="22" s="1"/>
  <c r="AR118" i="22" s="1"/>
  <c r="AS118" i="22" s="1"/>
  <c r="AT118" i="22" s="1"/>
  <c r="AU118" i="22" s="1"/>
  <c r="AV118" i="22" s="1"/>
  <c r="AW118" i="22" s="1"/>
  <c r="AX118" i="22" s="1"/>
  <c r="AY118" i="22" s="1"/>
  <c r="AV70" i="21"/>
  <c r="AV71" i="21" s="1"/>
  <c r="AU69" i="21"/>
  <c r="AU71" i="21"/>
  <c r="AU72" i="21"/>
  <c r="AG126" i="21"/>
  <c r="AF128" i="21"/>
  <c r="AF125" i="21"/>
  <c r="AQ118" i="21"/>
  <c r="AR119" i="21"/>
  <c r="AR120" i="21" s="1"/>
  <c r="AQ121" i="21"/>
  <c r="AJ104" i="21"/>
  <c r="AJ107" i="21"/>
  <c r="AK105" i="21"/>
  <c r="AJ106" i="21"/>
  <c r="K102" i="22"/>
  <c r="L102" i="22" s="1"/>
  <c r="M102" i="22" s="1"/>
  <c r="N102" i="22" s="1"/>
  <c r="O102" i="22" s="1"/>
  <c r="P102" i="22" s="1"/>
  <c r="Q102" i="22" s="1"/>
  <c r="R102" i="22" s="1"/>
  <c r="S102" i="22" s="1"/>
  <c r="T102" i="22" s="1"/>
  <c r="U102" i="22" s="1"/>
  <c r="V102" i="22" s="1"/>
  <c r="W102" i="22" s="1"/>
  <c r="X102" i="22" s="1"/>
  <c r="Y102" i="22" s="1"/>
  <c r="Z102" i="22" s="1"/>
  <c r="AA102" i="22" s="1"/>
  <c r="AB102" i="22" s="1"/>
  <c r="AC102" i="22" s="1"/>
  <c r="AD102" i="22" s="1"/>
  <c r="AE102" i="22" s="1"/>
  <c r="AF102" i="22" s="1"/>
  <c r="AG102" i="22" s="1"/>
  <c r="AH102" i="22" s="1"/>
  <c r="AI102" i="22" s="1"/>
  <c r="AJ102" i="22" s="1"/>
  <c r="AK102" i="22" s="1"/>
  <c r="AL102" i="22" s="1"/>
  <c r="AM102" i="22" s="1"/>
  <c r="AN102" i="22" s="1"/>
  <c r="AO102" i="22" s="1"/>
  <c r="AP102" i="22" s="1"/>
  <c r="AQ102" i="22" s="1"/>
  <c r="AR102" i="22" s="1"/>
  <c r="AS102" i="22" s="1"/>
  <c r="AT102" i="22" s="1"/>
  <c r="AU102" i="22" s="1"/>
  <c r="AV102" i="22" s="1"/>
  <c r="AW102" i="22" s="1"/>
  <c r="AX102" i="22" s="1"/>
  <c r="AY102" i="22" s="1"/>
  <c r="K94" i="22"/>
  <c r="M86" i="22"/>
  <c r="N86" i="22" s="1"/>
  <c r="O86" i="22" s="1"/>
  <c r="P86" i="22" s="1"/>
  <c r="Q86" i="22" s="1"/>
  <c r="R86" i="22" s="1"/>
  <c r="S86" i="22" s="1"/>
  <c r="T86" i="22" s="1"/>
  <c r="U86" i="22" s="1"/>
  <c r="V86" i="22" s="1"/>
  <c r="W86" i="22" s="1"/>
  <c r="X86" i="22" s="1"/>
  <c r="Y86" i="22" s="1"/>
  <c r="Z86" i="22" s="1"/>
  <c r="AA86" i="22" s="1"/>
  <c r="AB86" i="22" s="1"/>
  <c r="AC86" i="22" s="1"/>
  <c r="AD86" i="22" s="1"/>
  <c r="AE86" i="22" s="1"/>
  <c r="AF86" i="22" s="1"/>
  <c r="AG86" i="22" s="1"/>
  <c r="AH86" i="22" s="1"/>
  <c r="AI86" i="22" s="1"/>
  <c r="AJ86" i="22" s="1"/>
  <c r="AK86" i="22" s="1"/>
  <c r="AL86" i="22" s="1"/>
  <c r="AM86" i="22" s="1"/>
  <c r="AN86" i="22" s="1"/>
  <c r="AO86" i="22" s="1"/>
  <c r="AP86" i="22" s="1"/>
  <c r="AQ86" i="22" s="1"/>
  <c r="AR86" i="22" s="1"/>
  <c r="AS86" i="22" s="1"/>
  <c r="AT86" i="22" s="1"/>
  <c r="AU86" i="22" s="1"/>
  <c r="AV86" i="22" s="1"/>
  <c r="AW86" i="22" s="1"/>
  <c r="AX86" i="22" s="1"/>
  <c r="AY86" i="22" s="1"/>
  <c r="K90" i="22"/>
  <c r="L90" i="22" s="1"/>
  <c r="M90" i="22" s="1"/>
  <c r="N90" i="22" s="1"/>
  <c r="O90" i="22" s="1"/>
  <c r="P90" i="22" s="1"/>
  <c r="Q90" i="22" s="1"/>
  <c r="R90" i="22" s="1"/>
  <c r="S90" i="22" s="1"/>
  <c r="T90" i="22" s="1"/>
  <c r="U90" i="22" s="1"/>
  <c r="V90" i="22" s="1"/>
  <c r="W90" i="22" s="1"/>
  <c r="X90" i="22" s="1"/>
  <c r="Y90" i="22" s="1"/>
  <c r="Z90" i="22" s="1"/>
  <c r="AA90" i="22" s="1"/>
  <c r="AB90" i="22" s="1"/>
  <c r="AC90" i="22" s="1"/>
  <c r="AD90" i="22" s="1"/>
  <c r="AE90" i="22" s="1"/>
  <c r="AF90" i="22" s="1"/>
  <c r="AG90" i="22" s="1"/>
  <c r="AH90" i="22" s="1"/>
  <c r="AI90" i="22" s="1"/>
  <c r="AJ90" i="22" s="1"/>
  <c r="AK90" i="22" s="1"/>
  <c r="AL90" i="22" s="1"/>
  <c r="AM90" i="22" s="1"/>
  <c r="AN90" i="22" s="1"/>
  <c r="AO90" i="22" s="1"/>
  <c r="AP90" i="22" s="1"/>
  <c r="AQ90" i="22" s="1"/>
  <c r="AR90" i="22" s="1"/>
  <c r="AS90" i="22" s="1"/>
  <c r="AT90" i="22" s="1"/>
  <c r="AU90" i="22" s="1"/>
  <c r="AV90" i="22" s="1"/>
  <c r="AW90" i="22" s="1"/>
  <c r="AX90" i="22" s="1"/>
  <c r="AY90" i="22" s="1"/>
  <c r="AO112" i="21"/>
  <c r="AN111" i="21"/>
  <c r="AN114" i="21"/>
  <c r="AI112" i="21"/>
  <c r="AI113" i="21" s="1"/>
  <c r="AH114" i="21"/>
  <c r="AH111" i="21"/>
  <c r="AH113" i="21"/>
  <c r="AR111" i="21"/>
  <c r="AS112" i="21"/>
  <c r="AS113" i="21" s="1"/>
  <c r="AR114" i="21"/>
  <c r="AH79" i="21"/>
  <c r="AI77" i="21"/>
  <c r="AI78" i="21" s="1"/>
  <c r="AH78" i="21"/>
  <c r="AH76" i="21"/>
  <c r="AG63" i="21"/>
  <c r="AG64" i="21" s="1"/>
  <c r="AF65" i="21"/>
  <c r="AF62" i="21"/>
  <c r="AV100" i="21"/>
  <c r="AW98" i="21"/>
  <c r="AV97" i="21"/>
  <c r="AL97" i="21"/>
  <c r="AL100" i="21"/>
  <c r="AM98" i="21"/>
  <c r="AL99" i="21"/>
  <c r="AN63" i="21"/>
  <c r="AN64" i="21" s="1"/>
  <c r="AM65" i="21"/>
  <c r="AM62" i="21"/>
  <c r="AK125" i="21"/>
  <c r="AL126" i="21"/>
  <c r="AL127" i="21" s="1"/>
  <c r="AK128" i="21"/>
  <c r="AO126" i="21"/>
  <c r="AN128" i="21"/>
  <c r="AN127" i="21"/>
  <c r="AN125" i="21"/>
  <c r="AQ119" i="21"/>
  <c r="AQ120" i="21" s="1"/>
  <c r="AP121" i="21"/>
  <c r="AP118" i="21"/>
  <c r="AW119" i="21"/>
  <c r="AW120" i="21" s="1"/>
  <c r="AV118" i="21"/>
  <c r="AV121" i="21"/>
  <c r="AJ118" i="21"/>
  <c r="AJ121" i="21"/>
  <c r="AJ120" i="21"/>
  <c r="AK119" i="21"/>
  <c r="AK120" i="21" s="1"/>
  <c r="AT90" i="21"/>
  <c r="AU91" i="21"/>
  <c r="AT93" i="21"/>
  <c r="AF93" i="21"/>
  <c r="AG91" i="21"/>
  <c r="AF90" i="21"/>
  <c r="AX86" i="21"/>
  <c r="AX85" i="21"/>
  <c r="AX83" i="21"/>
  <c r="CH77" i="20" a="1"/>
  <c r="CH77" i="20" s="1"/>
  <c r="BV110" i="19" a="1"/>
  <c r="BV110" i="19" s="1"/>
  <c r="CP110" i="19" a="1"/>
  <c r="CP110" i="19" s="1"/>
  <c r="CG107" i="19" a="1"/>
  <c r="CG107" i="19" s="1"/>
  <c r="CH95" i="19" a="1"/>
  <c r="CH95" i="19" s="1"/>
  <c r="CN95" i="19" a="1"/>
  <c r="CN95" i="19" s="1"/>
  <c r="CR92" i="19" a="1"/>
  <c r="CR92" i="19" s="1"/>
  <c r="BY92" i="19" a="1"/>
  <c r="BY92" i="19" s="1"/>
  <c r="DE92" i="19" a="1"/>
  <c r="DE92" i="19" s="1"/>
  <c r="DC84" i="19" a="1"/>
  <c r="DC84" i="19" s="1"/>
  <c r="BW84" i="19" a="1"/>
  <c r="BW84" i="19" s="1"/>
  <c r="CY76" i="19" a="1"/>
  <c r="CY76" i="19" s="1"/>
  <c r="CU68" i="19" a="1"/>
  <c r="CU68" i="19" s="1"/>
  <c r="DG101" i="19" a="1"/>
  <c r="DG101" i="19" s="1"/>
  <c r="CK101" i="19" a="1"/>
  <c r="CK101" i="19" s="1"/>
  <c r="CH101" i="19" a="1"/>
  <c r="CH101" i="19" s="1"/>
  <c r="BR89" i="19" a="1"/>
  <c r="BR89" i="19" s="1"/>
  <c r="CX89" i="19" a="1"/>
  <c r="CX89" i="19" s="1"/>
  <c r="BV81" i="19" a="1"/>
  <c r="BV81" i="19" s="1"/>
  <c r="DQ80" i="19"/>
  <c r="CQ73" i="19" a="1"/>
  <c r="CQ73" i="19" s="1"/>
  <c r="CV73" i="19" a="1"/>
  <c r="CV73" i="19" s="1"/>
  <c r="CH81" i="19" a="1"/>
  <c r="CH81" i="19" s="1"/>
  <c r="CB104" i="19" a="1"/>
  <c r="CB104" i="19" s="1"/>
  <c r="CG81" i="19" a="1"/>
  <c r="CG81" i="19" s="1"/>
  <c r="CN81" i="19" a="1"/>
  <c r="CN81" i="19" s="1"/>
  <c r="CC104" i="19" a="1"/>
  <c r="CC104" i="19" s="1"/>
  <c r="CT104" i="19" a="1"/>
  <c r="CT104" i="19" s="1"/>
  <c r="CQ104" i="19" a="1"/>
  <c r="CQ104" i="19" s="1"/>
  <c r="S104" i="19" a="1"/>
  <c r="S104" i="19" s="1"/>
  <c r="CG104" i="19" a="1"/>
  <c r="CG104" i="19" s="1"/>
  <c r="BZ73" i="19" a="1"/>
  <c r="BZ73" i="19" s="1"/>
  <c r="BU98" i="19" a="1"/>
  <c r="BU98" i="19" s="1"/>
  <c r="CH98" i="19" a="1"/>
  <c r="CH98" i="19" s="1"/>
  <c r="CN98" i="19" a="1"/>
  <c r="CN98" i="19" s="1"/>
  <c r="BX98" i="19" a="1"/>
  <c r="BX98" i="19" s="1"/>
  <c r="CE98" i="19" a="1"/>
  <c r="CE98" i="19" s="1"/>
  <c r="BT65" i="19" a="1"/>
  <c r="BT65" i="19" s="1"/>
  <c r="CZ65" i="19" a="1"/>
  <c r="CZ65" i="19" s="1"/>
  <c r="CJ62" i="19" a="1"/>
  <c r="CJ62" i="19" s="1"/>
  <c r="CP65" i="19" a="1"/>
  <c r="CP65" i="19" s="1"/>
  <c r="BV58" i="19"/>
  <c r="BT58" i="19"/>
  <c r="BW59" i="19" a="1"/>
  <c r="BW59" i="19" s="1"/>
  <c r="DC59" i="19" a="1"/>
  <c r="DC59" i="19" s="1"/>
  <c r="CI61" i="19"/>
  <c r="CQ58" i="19"/>
  <c r="CO91" i="19"/>
  <c r="DH101" i="19" a="1"/>
  <c r="DH101" i="19" s="1"/>
  <c r="CY55" i="19"/>
  <c r="CO55" i="19"/>
  <c r="CF92" i="19" a="1"/>
  <c r="CF92" i="19" s="1"/>
  <c r="BW110" i="19" a="1"/>
  <c r="BW110" i="19" s="1"/>
  <c r="V89" i="19" a="1"/>
  <c r="V89" i="19" s="1"/>
  <c r="BZ83" i="19"/>
  <c r="CP58" i="19"/>
  <c r="DO61" i="19"/>
  <c r="DO62" i="19"/>
  <c r="CW68" i="19" a="1"/>
  <c r="CW68" i="19" s="1"/>
  <c r="CN55" i="19"/>
  <c r="CN84" i="19" a="1"/>
  <c r="CN84" i="19" s="1"/>
  <c r="CE92" i="19" a="1"/>
  <c r="CE92" i="19" s="1"/>
  <c r="BV59" i="19" a="1"/>
  <c r="BV59" i="19" s="1"/>
  <c r="BV56" i="19"/>
  <c r="CM73" i="19" a="1"/>
  <c r="CM73" i="19" s="1"/>
  <c r="BU89" i="19" a="1"/>
  <c r="BU89" i="19" s="1"/>
  <c r="BU107" i="19" a="1"/>
  <c r="BU107" i="19" s="1"/>
  <c r="S55" i="19"/>
  <c r="S95" i="19" a="1"/>
  <c r="S95" i="19" s="1"/>
  <c r="K15" i="23" a="1"/>
  <c r="K15" i="23" s="1"/>
  <c r="K21" i="23" a="1"/>
  <c r="K21" i="23" s="1"/>
  <c r="BT80" i="19"/>
  <c r="DI61" i="19"/>
  <c r="CL83" i="19"/>
  <c r="DE76" i="19" a="1"/>
  <c r="DE76" i="19" s="1"/>
  <c r="CD76" i="19" a="1"/>
  <c r="CD76" i="19" s="1"/>
  <c r="CD107" i="19" a="1"/>
  <c r="CD107" i="19" s="1"/>
  <c r="CQ56" i="19"/>
  <c r="CZ67" i="19"/>
  <c r="BR75" i="19"/>
  <c r="DD92" i="19" a="1"/>
  <c r="DD92" i="19" s="1"/>
  <c r="CU73" i="19" a="1"/>
  <c r="CU73" i="19" s="1"/>
  <c r="CL62" i="19" a="1"/>
  <c r="CL62" i="19" s="1"/>
  <c r="CL56" i="19"/>
  <c r="BT84" i="19" a="1"/>
  <c r="BT84" i="19" s="1"/>
  <c r="P76" i="19" a="1"/>
  <c r="P76" i="19" s="1"/>
  <c r="P95" i="19" a="1"/>
  <c r="P95" i="19" s="1"/>
  <c r="DI65" i="19" a="1"/>
  <c r="DI65" i="19" s="1"/>
  <c r="DI95" i="19" a="1"/>
  <c r="DI95" i="19" s="1"/>
  <c r="CG84" i="19" a="1"/>
  <c r="CG84" i="19" s="1"/>
  <c r="CB72" i="19"/>
  <c r="CI75" i="19"/>
  <c r="DA64" i="19"/>
  <c r="BR91" i="19"/>
  <c r="CJ110" i="19" a="1"/>
  <c r="CJ110" i="19" s="1"/>
  <c r="CJ107" i="19" a="1"/>
  <c r="CJ107" i="19" s="1"/>
  <c r="CJ94" i="19"/>
  <c r="CJ92" i="19" a="1"/>
  <c r="CJ92" i="19" s="1"/>
  <c r="CJ84" i="19" a="1"/>
  <c r="CJ84" i="19" s="1"/>
  <c r="CJ101" i="19" a="1"/>
  <c r="CJ101" i="19" s="1"/>
  <c r="CJ68" i="19" a="1"/>
  <c r="CJ68" i="19" s="1"/>
  <c r="CJ89" i="19" a="1"/>
  <c r="CJ89" i="19" s="1"/>
  <c r="CJ76" i="19" a="1"/>
  <c r="CJ76" i="19" s="1"/>
  <c r="CJ56" i="19"/>
  <c r="CJ59" i="19" a="1"/>
  <c r="CJ59" i="19" s="1"/>
  <c r="CJ55" i="19"/>
  <c r="CP107" i="19" a="1"/>
  <c r="CP107" i="19" s="1"/>
  <c r="CP95" i="19" a="1"/>
  <c r="CP95" i="19" s="1"/>
  <c r="CP92" i="19" a="1"/>
  <c r="CP92" i="19" s="1"/>
  <c r="CP76" i="19" a="1"/>
  <c r="CP76" i="19" s="1"/>
  <c r="CP84" i="19" a="1"/>
  <c r="CP84" i="19" s="1"/>
  <c r="CP55" i="19"/>
  <c r="CP68" i="19" a="1"/>
  <c r="CP68" i="19" s="1"/>
  <c r="CP62" i="19" a="1"/>
  <c r="CP62" i="19" s="1"/>
  <c r="CP59" i="19" a="1"/>
  <c r="CP59" i="19" s="1"/>
  <c r="CP56" i="19"/>
  <c r="CW67" i="19"/>
  <c r="CI64" i="19"/>
  <c r="CP75" i="19"/>
  <c r="BX89" i="19" a="1"/>
  <c r="BX89" i="19" s="1"/>
  <c r="BX58" i="19"/>
  <c r="DA89" i="19" a="1"/>
  <c r="DA89" i="19" s="1"/>
  <c r="CR56" i="19"/>
  <c r="CZ76" i="19" a="1"/>
  <c r="CZ76" i="19" s="1"/>
  <c r="CZ110" i="19" a="1"/>
  <c r="CZ110" i="19" s="1"/>
  <c r="BY56" i="19"/>
  <c r="BY107" i="19" a="1"/>
  <c r="BY107" i="19" s="1"/>
  <c r="CZ61" i="19"/>
  <c r="DP62" i="19"/>
  <c r="BS55" i="19"/>
  <c r="BS110" i="19" a="1"/>
  <c r="BS110" i="19" s="1"/>
  <c r="BX68" i="19" a="1"/>
  <c r="BX68" i="19" s="1"/>
  <c r="AX79" i="21"/>
  <c r="AX78" i="21"/>
  <c r="AX76" i="21"/>
  <c r="AP92" i="21"/>
  <c r="AQ91" i="21"/>
  <c r="AP93" i="21"/>
  <c r="AP90" i="21"/>
  <c r="AR104" i="21"/>
  <c r="AR106" i="21"/>
  <c r="AS105" i="21"/>
  <c r="AR107" i="21"/>
  <c r="AM83" i="21"/>
  <c r="AN84" i="21"/>
  <c r="AM86" i="21"/>
  <c r="AM85" i="21"/>
  <c r="M78" i="22"/>
  <c r="AG86" i="21"/>
  <c r="AH84" i="21"/>
  <c r="AH85" i="21" s="1"/>
  <c r="AG83" i="21"/>
  <c r="AX113" i="21"/>
  <c r="AX114" i="21"/>
  <c r="AX111" i="21"/>
  <c r="AF114" i="21"/>
  <c r="AF111" i="21"/>
  <c r="AG112" i="21"/>
  <c r="AG113" i="21" s="1"/>
  <c r="AR112" i="21"/>
  <c r="AR113" i="21" s="1"/>
  <c r="AQ114" i="21"/>
  <c r="AQ111" i="21"/>
  <c r="AM113" i="21"/>
  <c r="AN112" i="21"/>
  <c r="AN113" i="21" s="1"/>
  <c r="AM114" i="21"/>
  <c r="AM111" i="21"/>
  <c r="AT97" i="21"/>
  <c r="AT100" i="21"/>
  <c r="AU98" i="21"/>
  <c r="AJ98" i="21"/>
  <c r="AJ99" i="21" s="1"/>
  <c r="AI97" i="21"/>
  <c r="AI100" i="21"/>
  <c r="AT127" i="21"/>
  <c r="AT128" i="21"/>
  <c r="AT125" i="21"/>
  <c r="AU126" i="21"/>
  <c r="AU127" i="21" s="1"/>
  <c r="AX125" i="21"/>
  <c r="AX127" i="21"/>
  <c r="AX128" i="21"/>
  <c r="AR118" i="21"/>
  <c r="AR121" i="21"/>
  <c r="AS119" i="21"/>
  <c r="AS120" i="21" s="1"/>
  <c r="AQ92" i="21"/>
  <c r="AR91" i="21"/>
  <c r="AR92" i="21" s="1"/>
  <c r="AQ90" i="21"/>
  <c r="AQ93" i="21"/>
  <c r="AG90" i="21"/>
  <c r="AG93" i="21"/>
  <c r="AH91" i="21"/>
  <c r="AH92" i="21" s="1"/>
  <c r="AG92" i="21"/>
  <c r="AN93" i="21"/>
  <c r="AN90" i="21"/>
  <c r="AO91" i="21"/>
  <c r="AO92" i="21" s="1"/>
  <c r="AX104" i="21"/>
  <c r="AX107" i="21"/>
  <c r="AQ105" i="21"/>
  <c r="AQ106" i="21" s="1"/>
  <c r="AP104" i="21"/>
  <c r="AP107" i="21"/>
  <c r="AN76" i="21"/>
  <c r="AO77" i="21"/>
  <c r="AO78" i="21" s="1"/>
  <c r="AN79" i="21"/>
  <c r="AN78" i="21"/>
  <c r="AV107" i="21"/>
  <c r="AW105" i="21"/>
  <c r="AV104" i="21"/>
  <c r="CH104" i="20" a="1"/>
  <c r="CH104" i="20" s="1"/>
  <c r="CK110" i="19" a="1"/>
  <c r="CK110" i="19" s="1"/>
  <c r="DC110" i="19" a="1"/>
  <c r="DC110" i="19" s="1"/>
  <c r="CT110" i="19" a="1"/>
  <c r="CT110" i="19" s="1"/>
  <c r="CA107" i="19" a="1"/>
  <c r="CA107" i="19" s="1"/>
  <c r="CR95" i="19" a="1"/>
  <c r="CR95" i="19" s="1"/>
  <c r="CI92" i="19" a="1"/>
  <c r="CI92" i="19" s="1"/>
  <c r="CC92" i="19" a="1"/>
  <c r="CC92" i="19" s="1"/>
  <c r="DI92" i="19" a="1"/>
  <c r="DI92" i="19" s="1"/>
  <c r="CY84" i="19" a="1"/>
  <c r="CY84" i="19" s="1"/>
  <c r="CU76" i="19" a="1"/>
  <c r="CU76" i="19" s="1"/>
  <c r="CQ68" i="19" a="1"/>
  <c r="CQ68" i="19" s="1"/>
  <c r="CP101" i="19" a="1"/>
  <c r="CP101" i="19" s="1"/>
  <c r="CM101" i="19" a="1"/>
  <c r="CM101" i="19" s="1"/>
  <c r="BV89" i="19" a="1"/>
  <c r="BV89" i="19" s="1"/>
  <c r="DB89" i="19" a="1"/>
  <c r="DB89" i="19" s="1"/>
  <c r="CH73" i="19" a="1"/>
  <c r="CH73" i="19" s="1"/>
  <c r="BT73" i="19" a="1"/>
  <c r="BT73" i="19" s="1"/>
  <c r="CZ73" i="19" a="1"/>
  <c r="CZ73" i="19" s="1"/>
  <c r="BY81" i="19" a="1"/>
  <c r="BY81" i="19" s="1"/>
  <c r="DI81" i="19" a="1"/>
  <c r="DI81" i="19" s="1"/>
  <c r="CR81" i="19" a="1"/>
  <c r="CR81" i="19" s="1"/>
  <c r="CP104" i="19" a="1"/>
  <c r="CP104" i="19" s="1"/>
  <c r="O104" i="19" a="1"/>
  <c r="O104" i="19" s="1"/>
  <c r="CV104" i="19" a="1"/>
  <c r="CV104" i="19" s="1"/>
  <c r="CL104" i="19" a="1"/>
  <c r="CL104" i="19" s="1"/>
  <c r="CD98" i="19" a="1"/>
  <c r="CD98" i="19" s="1"/>
  <c r="BT98" i="19" a="1"/>
  <c r="BT98" i="19" s="1"/>
  <c r="CB98" i="19" a="1"/>
  <c r="CB98" i="19" s="1"/>
  <c r="DH98" i="19" a="1"/>
  <c r="DH98" i="19" s="1"/>
  <c r="CS98" i="19" a="1"/>
  <c r="CS98" i="19" s="1"/>
  <c r="CG98" i="19" a="1"/>
  <c r="CG98" i="19" s="1"/>
  <c r="CI98" i="19" a="1"/>
  <c r="CI98" i="19" s="1"/>
  <c r="DF65" i="19" a="1"/>
  <c r="DF65" i="19" s="1"/>
  <c r="BX65" i="19" a="1"/>
  <c r="BX65" i="19" s="1"/>
  <c r="DD65" i="19" a="1"/>
  <c r="DD65" i="19" s="1"/>
  <c r="CX62" i="19" a="1"/>
  <c r="CX62" i="19" s="1"/>
  <c r="CS62" i="19" a="1"/>
  <c r="CS62" i="19" s="1"/>
  <c r="CE65" i="19" a="1"/>
  <c r="CE65" i="19" s="1"/>
  <c r="DF62" i="19" a="1"/>
  <c r="DF62" i="19" s="1"/>
  <c r="BZ59" i="19" a="1"/>
  <c r="BZ59" i="19" s="1"/>
  <c r="CA59" i="19" a="1"/>
  <c r="CA59" i="19" s="1"/>
  <c r="DG59" i="19" a="1"/>
  <c r="DG59" i="19" s="1"/>
  <c r="CY65" i="19" a="1"/>
  <c r="CY65" i="19" s="1"/>
  <c r="DP65" i="19"/>
  <c r="CH58" i="19"/>
  <c r="DH76" i="19" a="1"/>
  <c r="DH76" i="19" s="1"/>
  <c r="CY56" i="19"/>
  <c r="CO56" i="19"/>
  <c r="CO107" i="19" a="1"/>
  <c r="CO107" i="19" s="1"/>
  <c r="BW56" i="19"/>
  <c r="V92" i="19" a="1"/>
  <c r="V92" i="19" s="1"/>
  <c r="BZ67" i="19"/>
  <c r="DE75" i="19"/>
  <c r="DG107" i="19" a="1"/>
  <c r="DG107" i="19" s="1"/>
  <c r="CW76" i="19" a="1"/>
  <c r="CW76" i="19" s="1"/>
  <c r="CN56" i="19"/>
  <c r="CN110" i="19" a="1"/>
  <c r="CN110" i="19" s="1"/>
  <c r="CE95" i="19" a="1"/>
  <c r="CE95" i="19" s="1"/>
  <c r="BV73" i="19" a="1"/>
  <c r="BV73" i="19" s="1"/>
  <c r="BV84" i="19" a="1"/>
  <c r="BV84" i="19" s="1"/>
  <c r="BU76" i="19" a="1"/>
  <c r="BU76" i="19" s="1"/>
  <c r="S56" i="19"/>
  <c r="S110" i="19" a="1"/>
  <c r="S110" i="19" s="1"/>
  <c r="K12" i="23" a="1"/>
  <c r="K12" i="23" s="1"/>
  <c r="K10" i="23" a="1"/>
  <c r="K10" i="23" s="1"/>
  <c r="CQ61" i="19"/>
  <c r="DE107" i="19" a="1"/>
  <c r="DE107" i="19" s="1"/>
  <c r="CV84" i="19" a="1"/>
  <c r="CV84" i="19" s="1"/>
  <c r="CD92" i="19" a="1"/>
  <c r="CD92" i="19" s="1"/>
  <c r="CQ62" i="19" a="1"/>
  <c r="CQ62" i="19" s="1"/>
  <c r="CP67" i="19"/>
  <c r="DG67" i="19"/>
  <c r="DD76" i="19" a="1"/>
  <c r="DD76" i="19" s="1"/>
  <c r="CU92" i="19" a="1"/>
  <c r="CU92" i="19" s="1"/>
  <c r="CL95" i="19" a="1"/>
  <c r="CL95" i="19" s="1"/>
  <c r="CC110" i="19" a="1"/>
  <c r="CC110" i="19" s="1"/>
  <c r="CC95" i="19" a="1"/>
  <c r="CC95" i="19" s="1"/>
  <c r="CC107" i="19" a="1"/>
  <c r="CC107" i="19" s="1"/>
  <c r="CC89" i="19" a="1"/>
  <c r="CC89" i="19" s="1"/>
  <c r="CC94" i="19"/>
  <c r="CC84" i="19" a="1"/>
  <c r="CC84" i="19" s="1"/>
  <c r="CC68" i="19" a="1"/>
  <c r="CC68" i="19" s="1"/>
  <c r="CC76" i="19" a="1"/>
  <c r="CC76" i="19" s="1"/>
  <c r="CC55" i="19"/>
  <c r="CC59" i="19" a="1"/>
  <c r="CC59" i="19" s="1"/>
  <c r="CC56" i="19"/>
  <c r="CC73" i="19" a="1"/>
  <c r="CC73" i="19" s="1"/>
  <c r="CC65" i="19" a="1"/>
  <c r="CC65" i="19" s="1"/>
  <c r="BT92" i="19" a="1"/>
  <c r="BT92" i="19" s="1"/>
  <c r="P92" i="19" a="1"/>
  <c r="P92" i="19" s="1"/>
  <c r="P110" i="19" a="1"/>
  <c r="P110" i="19" s="1"/>
  <c r="DI56" i="19"/>
  <c r="DI107" i="19" a="1"/>
  <c r="DI107" i="19" s="1"/>
  <c r="CG95" i="19" a="1"/>
  <c r="CG95" i="19" s="1"/>
  <c r="CX107" i="19" a="1"/>
  <c r="CX107" i="19" s="1"/>
  <c r="CX95" i="19" a="1"/>
  <c r="CX95" i="19" s="1"/>
  <c r="CX92" i="19" a="1"/>
  <c r="CX92" i="19" s="1"/>
  <c r="CX104" i="19" a="1"/>
  <c r="CX104" i="19" s="1"/>
  <c r="CX94" i="19"/>
  <c r="CX76" i="19" a="1"/>
  <c r="CX76" i="19" s="1"/>
  <c r="CX84" i="19" a="1"/>
  <c r="CX84" i="19" s="1"/>
  <c r="CX68" i="19" a="1"/>
  <c r="CX68" i="19" s="1"/>
  <c r="CX81" i="19" a="1"/>
  <c r="CX81" i="19" s="1"/>
  <c r="CX65" i="19" a="1"/>
  <c r="CX65" i="19" s="1"/>
  <c r="CX56" i="19"/>
  <c r="CX55" i="19"/>
  <c r="DF83" i="19"/>
  <c r="DI75" i="19"/>
  <c r="DD80" i="19"/>
  <c r="DI64" i="19"/>
  <c r="CQ64" i="19"/>
  <c r="BX107" i="19" a="1"/>
  <c r="BX107" i="19" s="1"/>
  <c r="DA76" i="19" a="1"/>
  <c r="DA76" i="19" s="1"/>
  <c r="CR62" i="19" a="1"/>
  <c r="CR62" i="19" s="1"/>
  <c r="CR101" i="19" a="1"/>
  <c r="CR101" i="19" s="1"/>
  <c r="CZ68" i="19" a="1"/>
  <c r="CZ68" i="19" s="1"/>
  <c r="BY55" i="19"/>
  <c r="BY110" i="19" a="1"/>
  <c r="BY110" i="19" s="1"/>
  <c r="DP61" i="19"/>
  <c r="DT62" i="19"/>
  <c r="BS62" i="19" a="1"/>
  <c r="BS62" i="19" s="1"/>
  <c r="CI62" i="19" a="1"/>
  <c r="CI62" i="19" s="1"/>
  <c r="CI110" i="19" a="1"/>
  <c r="CI110" i="19" s="1"/>
  <c r="CA92" i="19" a="1"/>
  <c r="CA92" i="19" s="1"/>
  <c r="L114" i="22"/>
  <c r="AV83" i="21"/>
  <c r="AV86" i="21"/>
  <c r="AW84" i="21"/>
  <c r="AW85" i="21" s="1"/>
  <c r="AQ125" i="21"/>
  <c r="AQ128" i="21"/>
  <c r="AQ127" i="21"/>
  <c r="AR126" i="21"/>
  <c r="L94" i="22"/>
  <c r="M94" i="22" s="1"/>
  <c r="N94" i="22" s="1"/>
  <c r="O94" i="22" s="1"/>
  <c r="P94" i="22" s="1"/>
  <c r="Q94" i="22" s="1"/>
  <c r="R94" i="22" s="1"/>
  <c r="S94" i="22" s="1"/>
  <c r="T94" i="22" s="1"/>
  <c r="U94" i="22" s="1"/>
  <c r="V94" i="22" s="1"/>
  <c r="W94" i="22" s="1"/>
  <c r="X94" i="22" s="1"/>
  <c r="Y94" i="22" s="1"/>
  <c r="Z94" i="22" s="1"/>
  <c r="AA94" i="22" s="1"/>
  <c r="AB94" i="22" s="1"/>
  <c r="AC94" i="22" s="1"/>
  <c r="AD94" i="22" s="1"/>
  <c r="AE94" i="22" s="1"/>
  <c r="AF94" i="22" s="1"/>
  <c r="AG94" i="22" s="1"/>
  <c r="AH94" i="22" s="1"/>
  <c r="AI94" i="22" s="1"/>
  <c r="AJ94" i="22" s="1"/>
  <c r="AK94" i="22" s="1"/>
  <c r="AL94" i="22" s="1"/>
  <c r="AM94" i="22" s="1"/>
  <c r="AN94" i="22" s="1"/>
  <c r="AO94" i="22" s="1"/>
  <c r="AP94" i="22" s="1"/>
  <c r="AQ94" i="22" s="1"/>
  <c r="AR94" i="22" s="1"/>
  <c r="AS94" i="22" s="1"/>
  <c r="AT94" i="22" s="1"/>
  <c r="AU94" i="22" s="1"/>
  <c r="AV94" i="22" s="1"/>
  <c r="AW94" i="22" s="1"/>
  <c r="AX94" i="22" s="1"/>
  <c r="AY94" i="22" s="1"/>
  <c r="M74" i="22"/>
  <c r="N74" i="22" s="1"/>
  <c r="M70" i="22"/>
  <c r="N70" i="22" s="1"/>
  <c r="O70" i="22" s="1"/>
  <c r="P70" i="22" s="1"/>
  <c r="Q70" i="22" s="1"/>
  <c r="R70" i="22" s="1"/>
  <c r="S70" i="22" s="1"/>
  <c r="T70" i="22" s="1"/>
  <c r="U70" i="22" s="1"/>
  <c r="V70" i="22" s="1"/>
  <c r="W70" i="22" s="1"/>
  <c r="X70" i="22" s="1"/>
  <c r="Y70" i="22" s="1"/>
  <c r="Z70" i="22" s="1"/>
  <c r="AA70" i="22" s="1"/>
  <c r="AB70" i="22" s="1"/>
  <c r="AC70" i="22" s="1"/>
  <c r="AD70" i="22" s="1"/>
  <c r="AE70" i="22" s="1"/>
  <c r="AF70" i="22" s="1"/>
  <c r="AG70" i="22" s="1"/>
  <c r="AH70" i="22" s="1"/>
  <c r="AI70" i="22" s="1"/>
  <c r="AJ70" i="22" s="1"/>
  <c r="AK70" i="22" s="1"/>
  <c r="AL70" i="22" s="1"/>
  <c r="AM70" i="22" s="1"/>
  <c r="AN70" i="22" s="1"/>
  <c r="AO70" i="22" s="1"/>
  <c r="AP70" i="22" s="1"/>
  <c r="AQ70" i="22" s="1"/>
  <c r="AR70" i="22" s="1"/>
  <c r="AS70" i="22" s="1"/>
  <c r="AT70" i="22" s="1"/>
  <c r="AU70" i="22" s="1"/>
  <c r="AV70" i="22" s="1"/>
  <c r="AW70" i="22" s="1"/>
  <c r="AX70" i="22" s="1"/>
  <c r="AY70" i="22" s="1"/>
  <c r="AO86" i="21"/>
  <c r="AO83" i="21"/>
  <c r="AP84" i="21"/>
  <c r="AP85" i="21" s="1"/>
  <c r="AO113" i="21"/>
  <c r="AP112" i="21"/>
  <c r="AO114" i="21"/>
  <c r="AO111" i="21"/>
  <c r="AV114" i="21"/>
  <c r="AV111" i="21"/>
  <c r="AW112" i="21"/>
  <c r="AW113" i="21" s="1"/>
  <c r="AG119" i="21"/>
  <c r="AG120" i="21" s="1"/>
  <c r="AF118" i="21"/>
  <c r="AF121" i="21"/>
  <c r="AT121" i="21"/>
  <c r="AU119" i="21"/>
  <c r="AU120" i="21" s="1"/>
  <c r="AT118" i="21"/>
  <c r="AH119" i="21"/>
  <c r="AH120" i="21" s="1"/>
  <c r="AG118" i="21"/>
  <c r="AG121" i="21"/>
  <c r="AL65" i="21"/>
  <c r="AM63" i="21"/>
  <c r="AM64" i="21" s="1"/>
  <c r="AL62" i="21"/>
  <c r="K66" i="22"/>
  <c r="L66" i="22" s="1"/>
  <c r="M66" i="22" s="1"/>
  <c r="N66" i="22" s="1"/>
  <c r="O66" i="22" s="1"/>
  <c r="P66" i="22" s="1"/>
  <c r="Q66" i="22" s="1"/>
  <c r="R66" i="22" s="1"/>
  <c r="S66" i="22" s="1"/>
  <c r="T66" i="22" s="1"/>
  <c r="U66" i="22" s="1"/>
  <c r="V66" i="22" s="1"/>
  <c r="W66" i="22" s="1"/>
  <c r="X66" i="22" s="1"/>
  <c r="Y66" i="22" s="1"/>
  <c r="Z66" i="22" s="1"/>
  <c r="AA66" i="22" s="1"/>
  <c r="AB66" i="22" s="1"/>
  <c r="AC66" i="22" s="1"/>
  <c r="AD66" i="22" s="1"/>
  <c r="AE66" i="22" s="1"/>
  <c r="AF66" i="22" s="1"/>
  <c r="AG66" i="22" s="1"/>
  <c r="AH66" i="22" s="1"/>
  <c r="AI66" i="22" s="1"/>
  <c r="AJ66" i="22" s="1"/>
  <c r="AK66" i="22" s="1"/>
  <c r="AL66" i="22" s="1"/>
  <c r="AM66" i="22" s="1"/>
  <c r="AN66" i="22" s="1"/>
  <c r="AO66" i="22" s="1"/>
  <c r="AP66" i="22" s="1"/>
  <c r="AQ66" i="22" s="1"/>
  <c r="AR66" i="22" s="1"/>
  <c r="AS66" i="22" s="1"/>
  <c r="AT66" i="22" s="1"/>
  <c r="AU66" i="22" s="1"/>
  <c r="AV66" i="22" s="1"/>
  <c r="AW66" i="22" s="1"/>
  <c r="AX66" i="22" s="1"/>
  <c r="AY66" i="22" s="1"/>
  <c r="AS62" i="21"/>
  <c r="AS64" i="21"/>
  <c r="AS65" i="21"/>
  <c r="AT63" i="21"/>
  <c r="AS93" i="21"/>
  <c r="AT91" i="21"/>
  <c r="AT92" i="21" s="1"/>
  <c r="AS90" i="21"/>
  <c r="AM90" i="21"/>
  <c r="AM93" i="21"/>
  <c r="AN91" i="21"/>
  <c r="AN92" i="21" s="1"/>
  <c r="AV93" i="21"/>
  <c r="AV90" i="21"/>
  <c r="AW91" i="21"/>
  <c r="AW92" i="21" s="1"/>
  <c r="AN107" i="21"/>
  <c r="AO105" i="21"/>
  <c r="AN104" i="21"/>
  <c r="AM107" i="21"/>
  <c r="AN105" i="21"/>
  <c r="AN106" i="21" s="1"/>
  <c r="AM104" i="21"/>
  <c r="AF76" i="21"/>
  <c r="AF79" i="21"/>
  <c r="AG77" i="21"/>
  <c r="AG78" i="21" s="1"/>
  <c r="CX110" i="19" a="1"/>
  <c r="CX110" i="19" s="1"/>
  <c r="BV107" i="19" a="1"/>
  <c r="BV107" i="19" s="1"/>
  <c r="BW107" i="19" a="1"/>
  <c r="BW107" i="19" s="1"/>
  <c r="CV95" i="19" a="1"/>
  <c r="CV95" i="19" s="1"/>
  <c r="BZ92" i="19" a="1"/>
  <c r="BZ92" i="19" s="1"/>
  <c r="S92" i="19" a="1"/>
  <c r="S92" i="19" s="1"/>
  <c r="CG92" i="19" a="1"/>
  <c r="CG92" i="19" s="1"/>
  <c r="CU84" i="19" a="1"/>
  <c r="CU84" i="19" s="1"/>
  <c r="CQ76" i="19" a="1"/>
  <c r="CQ76" i="19" s="1"/>
  <c r="CM68" i="19" a="1"/>
  <c r="CM68" i="19" s="1"/>
  <c r="V101" i="19" a="1"/>
  <c r="V101" i="19" s="1"/>
  <c r="CV101" i="19" a="1"/>
  <c r="CV101" i="19" s="1"/>
  <c r="BZ89" i="19" a="1"/>
  <c r="BZ89" i="19" s="1"/>
  <c r="DF89" i="19" a="1"/>
  <c r="DF89" i="19" s="1"/>
  <c r="BY73" i="19" a="1"/>
  <c r="BY73" i="19" s="1"/>
  <c r="P81" i="19" a="1"/>
  <c r="P81" i="19" s="1"/>
  <c r="BX73" i="19" a="1"/>
  <c r="BX73" i="19" s="1"/>
  <c r="DD73" i="19" a="1"/>
  <c r="DD73" i="19" s="1"/>
  <c r="CU81" i="19" a="1"/>
  <c r="CU81" i="19" s="1"/>
  <c r="O81" i="19" a="1"/>
  <c r="O81" i="19" s="1"/>
  <c r="CV81" i="19" a="1"/>
  <c r="CV81" i="19" s="1"/>
  <c r="CW104" i="19" a="1"/>
  <c r="CW104" i="19" s="1"/>
  <c r="CU104" i="19" a="1"/>
  <c r="CU104" i="19" s="1"/>
  <c r="CF98" i="19" a="1"/>
  <c r="CF98" i="19" s="1"/>
  <c r="CR98" i="19" a="1"/>
  <c r="CR98" i="19" s="1"/>
  <c r="V98" i="19" a="1"/>
  <c r="V98" i="19" s="1"/>
  <c r="CX98" i="19" a="1"/>
  <c r="CX98" i="19" s="1"/>
  <c r="CP98" i="19" a="1"/>
  <c r="CP98" i="19" s="1"/>
  <c r="CM98" i="19" a="1"/>
  <c r="CM98" i="19" s="1"/>
  <c r="CB65" i="19" a="1"/>
  <c r="CB65" i="19" s="1"/>
  <c r="DH65" i="19" a="1"/>
  <c r="DH65" i="19" s="1"/>
  <c r="CL61" i="19"/>
  <c r="V62" i="19" a="1"/>
  <c r="V62" i="19" s="1"/>
  <c r="DG62" i="19" a="1"/>
  <c r="DG62" i="19" s="1"/>
  <c r="CW62" i="19" a="1"/>
  <c r="CW62" i="19" s="1"/>
  <c r="BZ65" i="19" a="1"/>
  <c r="BZ65" i="19" s="1"/>
  <c r="CF62" i="19" a="1"/>
  <c r="CF62" i="19" s="1"/>
  <c r="DQ61" i="19"/>
  <c r="CN59" i="19" a="1"/>
  <c r="CN59" i="19" s="1"/>
  <c r="BR59" i="19" a="1"/>
  <c r="BR59" i="19" s="1"/>
  <c r="CE59" i="19" a="1"/>
  <c r="CE59" i="19" s="1"/>
  <c r="DH89" i="19" a="1"/>
  <c r="DH89" i="19" s="1"/>
  <c r="CY89" i="19" a="1"/>
  <c r="CY89" i="19" s="1"/>
  <c r="CF55" i="19"/>
  <c r="BW55" i="19"/>
  <c r="V68" i="19" a="1"/>
  <c r="V68" i="19" s="1"/>
  <c r="CU75" i="19"/>
  <c r="BW58" i="19"/>
  <c r="DG55" i="19"/>
  <c r="DG95" i="19" a="1"/>
  <c r="DG95" i="19" s="1"/>
  <c r="CW89" i="19" a="1"/>
  <c r="CW89" i="19" s="1"/>
  <c r="CN62" i="19" a="1"/>
  <c r="CN62" i="19" s="1"/>
  <c r="CN107" i="19" a="1"/>
  <c r="CN107" i="19" s="1"/>
  <c r="CE104" i="19" a="1"/>
  <c r="CE104" i="19" s="1"/>
  <c r="BV98" i="19" a="1"/>
  <c r="BV98" i="19" s="1"/>
  <c r="CH92" i="19" a="1"/>
  <c r="CH92" i="19" s="1"/>
  <c r="CH107" i="19" a="1"/>
  <c r="CH107" i="19" s="1"/>
  <c r="CH76" i="19" a="1"/>
  <c r="CH76" i="19" s="1"/>
  <c r="CH94" i="19"/>
  <c r="CH84" i="19" a="1"/>
  <c r="CH84" i="19" s="1"/>
  <c r="CH68" i="19" a="1"/>
  <c r="CH68" i="19" s="1"/>
  <c r="CH62" i="19" a="1"/>
  <c r="CH62" i="19" s="1"/>
  <c r="CH59" i="19" a="1"/>
  <c r="CH59" i="19" s="1"/>
  <c r="CH55" i="19"/>
  <c r="CH65" i="19" a="1"/>
  <c r="CH65" i="19" s="1"/>
  <c r="CH56" i="19"/>
  <c r="O91" i="19"/>
  <c r="CM92" i="19" a="1"/>
  <c r="CM92" i="19" s="1"/>
  <c r="S101" i="19" a="1"/>
  <c r="S101" i="19" s="1"/>
  <c r="K9" i="23" a="1"/>
  <c r="K9" i="23" s="1"/>
  <c r="K20" i="23" a="1"/>
  <c r="K20" i="23" s="1"/>
  <c r="K18" i="23" a="1"/>
  <c r="K18" i="23" s="1"/>
  <c r="CF61" i="19"/>
  <c r="J7" i="23"/>
  <c r="CD83" i="19"/>
  <c r="DE56" i="19"/>
  <c r="CV76" i="19" a="1"/>
  <c r="CV76" i="19" s="1"/>
  <c r="CD95" i="19" a="1"/>
  <c r="CD95" i="19" s="1"/>
  <c r="CQ65" i="19" a="1"/>
  <c r="CQ65" i="19" s="1"/>
  <c r="DD89" i="19" a="1"/>
  <c r="DD89" i="19" s="1"/>
  <c r="CU89" i="19" a="1"/>
  <c r="CU89" i="19" s="1"/>
  <c r="BT59" i="19" a="1"/>
  <c r="BT59" i="19" s="1"/>
  <c r="BT101" i="19" a="1"/>
  <c r="BT101" i="19" s="1"/>
  <c r="P68" i="19" a="1"/>
  <c r="P68" i="19" s="1"/>
  <c r="DI110" i="19" a="1"/>
  <c r="DI110" i="19" s="1"/>
  <c r="CG76" i="19" a="1"/>
  <c r="CG76" i="19" s="1"/>
  <c r="BS61" i="19"/>
  <c r="CX67" i="19"/>
  <c r="DF95" i="19" a="1"/>
  <c r="DF95" i="19" s="1"/>
  <c r="DF94" i="19"/>
  <c r="DF84" i="19" a="1"/>
  <c r="DF84" i="19" s="1"/>
  <c r="DF81" i="19" a="1"/>
  <c r="DF81" i="19" s="1"/>
  <c r="DF107" i="19" a="1"/>
  <c r="DF107" i="19" s="1"/>
  <c r="DF76" i="19" a="1"/>
  <c r="DF76" i="19" s="1"/>
  <c r="DF68" i="19" a="1"/>
  <c r="DF68" i="19" s="1"/>
  <c r="DF56" i="19"/>
  <c r="DF55" i="19"/>
  <c r="DC64" i="19"/>
  <c r="BV67" i="19"/>
  <c r="CZ75" i="19"/>
  <c r="CU80" i="19"/>
  <c r="BX56" i="19"/>
  <c r="BX110" i="19" a="1"/>
  <c r="BX110" i="19" s="1"/>
  <c r="CA61" i="19"/>
  <c r="CR59" i="19" a="1"/>
  <c r="CR59" i="19" s="1"/>
  <c r="CR68" i="19" a="1"/>
  <c r="CR68" i="19" s="1"/>
  <c r="CZ84" i="19" a="1"/>
  <c r="CZ84" i="19" s="1"/>
  <c r="BW67" i="19"/>
  <c r="BY65" i="19" a="1"/>
  <c r="BY65" i="19" s="1"/>
  <c r="S59" i="19" a="1"/>
  <c r="S59" i="19" s="1"/>
  <c r="CI56" i="19"/>
  <c r="CI107" i="19" a="1"/>
  <c r="CI107" i="19" s="1"/>
  <c r="CA95" i="19" a="1"/>
  <c r="CA95" i="19" s="1"/>
  <c r="AP126" i="21"/>
  <c r="AP127" i="21" s="1"/>
  <c r="AO128" i="21"/>
  <c r="AO125" i="21"/>
  <c r="AO127" i="21"/>
  <c r="AS121" i="21"/>
  <c r="AS118" i="21"/>
  <c r="AT119" i="21"/>
  <c r="AT120" i="21" s="1"/>
  <c r="N106" i="22"/>
  <c r="O106" i="22" s="1"/>
  <c r="P106" i="22" s="1"/>
  <c r="Q106" i="22" s="1"/>
  <c r="R106" i="22" s="1"/>
  <c r="S106" i="22" s="1"/>
  <c r="T106" i="22" s="1"/>
  <c r="U106" i="22" s="1"/>
  <c r="V106" i="22" s="1"/>
  <c r="W106" i="22" s="1"/>
  <c r="X106" i="22" s="1"/>
  <c r="Y106" i="22" s="1"/>
  <c r="Z106" i="22" s="1"/>
  <c r="AA106" i="22" s="1"/>
  <c r="AB106" i="22" s="1"/>
  <c r="AC106" i="22" s="1"/>
  <c r="AD106" i="22" s="1"/>
  <c r="AE106" i="22" s="1"/>
  <c r="AF106" i="22" s="1"/>
  <c r="AG106" i="22" s="1"/>
  <c r="AH106" i="22" s="1"/>
  <c r="AI106" i="22" s="1"/>
  <c r="AJ106" i="22" s="1"/>
  <c r="AK106" i="22" s="1"/>
  <c r="AL106" i="22" s="1"/>
  <c r="AM106" i="22" s="1"/>
  <c r="AN106" i="22" s="1"/>
  <c r="AO106" i="22" s="1"/>
  <c r="AP106" i="22" s="1"/>
  <c r="AQ106" i="22" s="1"/>
  <c r="AR106" i="22" s="1"/>
  <c r="AS106" i="22" s="1"/>
  <c r="AT106" i="22" s="1"/>
  <c r="AU106" i="22" s="1"/>
  <c r="AV106" i="22" s="1"/>
  <c r="AW106" i="22" s="1"/>
  <c r="AX106" i="22" s="1"/>
  <c r="AY106" i="22" s="1"/>
  <c r="AW86" i="21"/>
  <c r="AW83" i="21"/>
  <c r="AX84" i="21"/>
  <c r="AO98" i="21"/>
  <c r="AO99" i="21" s="1"/>
  <c r="AN100" i="21"/>
  <c r="AN97" i="21"/>
  <c r="AG127" i="21"/>
  <c r="AG125" i="21"/>
  <c r="AG128" i="21"/>
  <c r="AH126" i="21"/>
  <c r="AH125" i="21"/>
  <c r="AH128" i="21"/>
  <c r="AH127" i="21"/>
  <c r="AI126" i="21"/>
  <c r="AU121" i="21"/>
  <c r="AV119" i="21"/>
  <c r="AV120" i="21" s="1"/>
  <c r="AU118" i="21"/>
  <c r="AW99" i="21"/>
  <c r="AW97" i="21"/>
  <c r="AW100" i="21"/>
  <c r="AX98" i="21"/>
  <c r="AV63" i="21"/>
  <c r="AV64" i="21" s="1"/>
  <c r="AU65" i="21"/>
  <c r="AU62" i="21"/>
  <c r="AT65" i="21"/>
  <c r="AU63" i="21"/>
  <c r="AU64" i="21" s="1"/>
  <c r="AT64" i="21"/>
  <c r="AT62" i="21"/>
  <c r="AS97" i="21"/>
  <c r="AS99" i="21"/>
  <c r="AS100" i="21"/>
  <c r="AT98" i="21"/>
  <c r="AT99" i="21" s="1"/>
  <c r="AJ64" i="21"/>
  <c r="AJ62" i="21"/>
  <c r="AJ65" i="21"/>
  <c r="AK63" i="21"/>
  <c r="AK64" i="21" s="1"/>
  <c r="AX90" i="21"/>
  <c r="AX93" i="21"/>
  <c r="AK93" i="21"/>
  <c r="AL91" i="21"/>
  <c r="AK90" i="21"/>
  <c r="AU90" i="21"/>
  <c r="AU93" i="21"/>
  <c r="AV91" i="21"/>
  <c r="AV92" i="21" s="1"/>
  <c r="AU92" i="21"/>
  <c r="AH105" i="21"/>
  <c r="AG107" i="21"/>
  <c r="AG104" i="21"/>
  <c r="AW107" i="21"/>
  <c r="AW106" i="21"/>
  <c r="AX105" i="21"/>
  <c r="AX106" i="21" s="1"/>
  <c r="AW104" i="21"/>
  <c r="AL107" i="21"/>
  <c r="AL104" i="21"/>
  <c r="AM105" i="21"/>
  <c r="AM106" i="21" s="1"/>
  <c r="CH56" i="20"/>
  <c r="CV91" i="19"/>
  <c r="CK92" i="19" a="1"/>
  <c r="CK92" i="19" s="1"/>
  <c r="CQ84" i="19" a="1"/>
  <c r="CQ84" i="19" s="1"/>
  <c r="CM76" i="19" a="1"/>
  <c r="CM76" i="19" s="1"/>
  <c r="DD75" i="19"/>
  <c r="CI68" i="19" a="1"/>
  <c r="CI68" i="19" s="1"/>
  <c r="DC104" i="19" a="1"/>
  <c r="DC104" i="19" s="1"/>
  <c r="BX101" i="19" a="1"/>
  <c r="BX101" i="19" s="1"/>
  <c r="DF101" i="19" a="1"/>
  <c r="DF101" i="19" s="1"/>
  <c r="DE101" i="19" a="1"/>
  <c r="DE101" i="19" s="1"/>
  <c r="DE89" i="19" a="1"/>
  <c r="DE89" i="19" s="1"/>
  <c r="P89" i="19" a="1"/>
  <c r="P89" i="19" s="1"/>
  <c r="CD89" i="19" a="1"/>
  <c r="CD89" i="19" s="1"/>
  <c r="CM81" i="19" a="1"/>
  <c r="CM81" i="19" s="1"/>
  <c r="CB73" i="19" a="1"/>
  <c r="CB73" i="19" s="1"/>
  <c r="DH73" i="19" a="1"/>
  <c r="DH73" i="19" s="1"/>
  <c r="CL81" i="19" a="1"/>
  <c r="CL81" i="19" s="1"/>
  <c r="DG73" i="19" a="1"/>
  <c r="DG73" i="19" s="1"/>
  <c r="BT81" i="19" a="1"/>
  <c r="BT81" i="19" s="1"/>
  <c r="DB104" i="19" a="1"/>
  <c r="DB104" i="19" s="1"/>
  <c r="DD104" i="19" a="1"/>
  <c r="DD104" i="19" s="1"/>
  <c r="CU72" i="19"/>
  <c r="CJ98" i="19" a="1"/>
  <c r="CJ98" i="19" s="1"/>
  <c r="CK98" i="19" a="1"/>
  <c r="CK98" i="19" s="1"/>
  <c r="CW98" i="19" a="1"/>
  <c r="CW98" i="19" s="1"/>
  <c r="DI98" i="19" a="1"/>
  <c r="DI98" i="19" s="1"/>
  <c r="S98" i="19" a="1"/>
  <c r="S98" i="19" s="1"/>
  <c r="DD98" i="19" a="1"/>
  <c r="DD98" i="19" s="1"/>
  <c r="CQ98" i="19" a="1"/>
  <c r="CQ98" i="19" s="1"/>
  <c r="CF65" i="19" a="1"/>
  <c r="CF65" i="19" s="1"/>
  <c r="BU62" i="19" a="1"/>
  <c r="BU62" i="19" s="1"/>
  <c r="BU65" i="19" a="1"/>
  <c r="BU65" i="19" s="1"/>
  <c r="DE65" i="19" a="1"/>
  <c r="DE65" i="19" s="1"/>
  <c r="CW59" i="19" a="1"/>
  <c r="CW59" i="19" s="1"/>
  <c r="CF59" i="19" a="1"/>
  <c r="CF59" i="19" s="1"/>
  <c r="CR58" i="19"/>
  <c r="DC88" i="19"/>
  <c r="CF56" i="19"/>
  <c r="DH55" i="19"/>
  <c r="DH107" i="19" a="1"/>
  <c r="DH107" i="19" s="1"/>
  <c r="CY92" i="19" a="1"/>
  <c r="CY92" i="19" s="1"/>
  <c r="CO68" i="19" a="1"/>
  <c r="CO68" i="19" s="1"/>
  <c r="CF84" i="19" a="1"/>
  <c r="CF84" i="19" s="1"/>
  <c r="BW92" i="19" a="1"/>
  <c r="BW92" i="19" s="1"/>
  <c r="V84" i="19" a="1"/>
  <c r="V84" i="19" s="1"/>
  <c r="DC61" i="19"/>
  <c r="CL75" i="19"/>
  <c r="DG56" i="19"/>
  <c r="DG110" i="19" a="1"/>
  <c r="DG110" i="19" s="1"/>
  <c r="CW81" i="19" a="1"/>
  <c r="CW81" i="19" s="1"/>
  <c r="CE55" i="19"/>
  <c r="CE107" i="19" a="1"/>
  <c r="CE107" i="19" s="1"/>
  <c r="BV76" i="19" a="1"/>
  <c r="BV76" i="19" s="1"/>
  <c r="CM62" i="19" a="1"/>
  <c r="CM62" i="19" s="1"/>
  <c r="CM95" i="19" a="1"/>
  <c r="CM95" i="19" s="1"/>
  <c r="BU95" i="19" a="1"/>
  <c r="BU95" i="19" s="1"/>
  <c r="S68" i="19" a="1"/>
  <c r="S68" i="19" s="1"/>
  <c r="K6" i="23" a="1"/>
  <c r="K6" i="23" s="1"/>
  <c r="K11" i="23" a="1"/>
  <c r="K11" i="23" s="1"/>
  <c r="DC75" i="19"/>
  <c r="CX58" i="19"/>
  <c r="DE59" i="19" a="1"/>
  <c r="DE59" i="19" s="1"/>
  <c r="CV56" i="19"/>
  <c r="CV110" i="19" a="1"/>
  <c r="CV110" i="19" s="1"/>
  <c r="CD68" i="19" a="1"/>
  <c r="CD68" i="19" s="1"/>
  <c r="DA58" i="19"/>
  <c r="CQ55" i="19"/>
  <c r="CL76" i="19" a="1"/>
  <c r="CL76" i="19" s="1"/>
  <c r="BT56" i="19"/>
  <c r="BT89" i="19" a="1"/>
  <c r="BT89" i="19" s="1"/>
  <c r="P104" i="19" a="1"/>
  <c r="P104" i="19" s="1"/>
  <c r="DI73" i="19" a="1"/>
  <c r="DI73" i="19" s="1"/>
  <c r="CG56" i="19"/>
  <c r="CG89" i="19" a="1"/>
  <c r="CG89" i="19" s="1"/>
  <c r="CO83" i="19"/>
  <c r="CO67" i="19"/>
  <c r="P64" i="19"/>
  <c r="DC95" i="19" a="1"/>
  <c r="DC95" i="19" s="1"/>
  <c r="DC92" i="19" a="1"/>
  <c r="DC92" i="19" s="1"/>
  <c r="DC94" i="19"/>
  <c r="DC73" i="19" a="1"/>
  <c r="DC73" i="19" s="1"/>
  <c r="DC89" i="19" a="1"/>
  <c r="DC89" i="19" s="1"/>
  <c r="DC62" i="19" a="1"/>
  <c r="DC62" i="19" s="1"/>
  <c r="DC55" i="19"/>
  <c r="DC56" i="19"/>
  <c r="CI67" i="19"/>
  <c r="CQ75" i="19"/>
  <c r="CL80" i="19"/>
  <c r="DG64" i="19"/>
  <c r="BX62" i="19" a="1"/>
  <c r="BX62" i="19" s="1"/>
  <c r="DA107" i="19" a="1"/>
  <c r="DA107" i="19" s="1"/>
  <c r="CR55" i="19"/>
  <c r="CR84" i="19" a="1"/>
  <c r="CR84" i="19" s="1"/>
  <c r="S91" i="19"/>
  <c r="CZ89" i="19" a="1"/>
  <c r="CZ89" i="19" s="1"/>
  <c r="BY101" i="19" a="1"/>
  <c r="BY101" i="19" s="1"/>
  <c r="BS56" i="19"/>
  <c r="CI89" i="19" a="1"/>
  <c r="CI89" i="19" s="1"/>
  <c r="CA65" i="19" a="1"/>
  <c r="CA65" i="19" s="1"/>
  <c r="CA110" i="19" a="1"/>
  <c r="CA110" i="19" s="1"/>
  <c r="AR78" i="21"/>
  <c r="AR76" i="21"/>
  <c r="AR79" i="21"/>
  <c r="AS77" i="21"/>
  <c r="AS78" i="21" s="1"/>
  <c r="AF107" i="21"/>
  <c r="AG105" i="21"/>
  <c r="AG106" i="21" s="1"/>
  <c r="AF104" i="21"/>
  <c r="M110" i="22"/>
  <c r="N110" i="22" s="1"/>
  <c r="O110" i="22" s="1"/>
  <c r="P110" i="22" s="1"/>
  <c r="Q110" i="22" s="1"/>
  <c r="R110" i="22" s="1"/>
  <c r="S110" i="22" s="1"/>
  <c r="T110" i="22" s="1"/>
  <c r="U110" i="22" s="1"/>
  <c r="V110" i="22" s="1"/>
  <c r="W110" i="22" s="1"/>
  <c r="X110" i="22" s="1"/>
  <c r="Y110" i="22" s="1"/>
  <c r="Z110" i="22" s="1"/>
  <c r="AA110" i="22" s="1"/>
  <c r="AB110" i="22" s="1"/>
  <c r="AC110" i="22" s="1"/>
  <c r="AD110" i="22" s="1"/>
  <c r="AE110" i="22" s="1"/>
  <c r="AF110" i="22" s="1"/>
  <c r="AG110" i="22" s="1"/>
  <c r="AH110" i="22" s="1"/>
  <c r="AI110" i="22" s="1"/>
  <c r="AJ110" i="22" s="1"/>
  <c r="AK110" i="22" s="1"/>
  <c r="AL110" i="22" s="1"/>
  <c r="AM110" i="22" s="1"/>
  <c r="AN110" i="22" s="1"/>
  <c r="AO110" i="22" s="1"/>
  <c r="AP110" i="22" s="1"/>
  <c r="AQ110" i="22" s="1"/>
  <c r="AR110" i="22" s="1"/>
  <c r="AS110" i="22" s="1"/>
  <c r="AT110" i="22" s="1"/>
  <c r="AU110" i="22" s="1"/>
  <c r="AV110" i="22" s="1"/>
  <c r="AW110" i="22" s="1"/>
  <c r="AX110" i="22" s="1"/>
  <c r="AY110" i="22" s="1"/>
  <c r="N78" i="22"/>
  <c r="O78" i="22" s="1"/>
  <c r="P78" i="22" s="1"/>
  <c r="Q78" i="22" s="1"/>
  <c r="R78" i="22" s="1"/>
  <c r="S78" i="22" s="1"/>
  <c r="T78" i="22" s="1"/>
  <c r="U78" i="22" s="1"/>
  <c r="V78" i="22" s="1"/>
  <c r="W78" i="22" s="1"/>
  <c r="X78" i="22" s="1"/>
  <c r="Y78" i="22" s="1"/>
  <c r="Z78" i="22" s="1"/>
  <c r="AA78" i="22" s="1"/>
  <c r="AB78" i="22" s="1"/>
  <c r="AC78" i="22" s="1"/>
  <c r="AD78" i="22" s="1"/>
  <c r="AE78" i="22" s="1"/>
  <c r="AF78" i="22" s="1"/>
  <c r="AG78" i="22" s="1"/>
  <c r="AH78" i="22" s="1"/>
  <c r="AI78" i="22" s="1"/>
  <c r="AJ78" i="22" s="1"/>
  <c r="AK78" i="22" s="1"/>
  <c r="AL78" i="22" s="1"/>
  <c r="AM78" i="22" s="1"/>
  <c r="AN78" i="22" s="1"/>
  <c r="AO78" i="22" s="1"/>
  <c r="AP78" i="22" s="1"/>
  <c r="AQ78" i="22" s="1"/>
  <c r="AR78" i="22" s="1"/>
  <c r="AS78" i="22" s="1"/>
  <c r="AT78" i="22" s="1"/>
  <c r="AU78" i="22" s="1"/>
  <c r="AV78" i="22" s="1"/>
  <c r="AW78" i="22" s="1"/>
  <c r="AX78" i="22" s="1"/>
  <c r="AY78" i="22" s="1"/>
  <c r="AU111" i="21"/>
  <c r="AU114" i="21"/>
  <c r="AV112" i="21"/>
  <c r="AV113" i="21" s="1"/>
  <c r="AF83" i="21"/>
  <c r="AF86" i="21"/>
  <c r="AG84" i="21"/>
  <c r="AG85" i="21" s="1"/>
  <c r="L62" i="22"/>
  <c r="M62" i="22" s="1"/>
  <c r="N62" i="22" s="1"/>
  <c r="O62" i="22" s="1"/>
  <c r="P62" i="22" s="1"/>
  <c r="Q62" i="22" s="1"/>
  <c r="R62" i="22" s="1"/>
  <c r="S62" i="22" s="1"/>
  <c r="T62" i="22" s="1"/>
  <c r="U62" i="22" s="1"/>
  <c r="V62" i="22" s="1"/>
  <c r="W62" i="22" s="1"/>
  <c r="X62" i="22" s="1"/>
  <c r="Y62" i="22" s="1"/>
  <c r="Z62" i="22" s="1"/>
  <c r="AA62" i="22" s="1"/>
  <c r="AB62" i="22" s="1"/>
  <c r="AC62" i="22" s="1"/>
  <c r="AD62" i="22" s="1"/>
  <c r="AE62" i="22" s="1"/>
  <c r="AF62" i="22" s="1"/>
  <c r="AG62" i="22" s="1"/>
  <c r="AH62" i="22" s="1"/>
  <c r="AI62" i="22" s="1"/>
  <c r="AJ62" i="22" s="1"/>
  <c r="AK62" i="22" s="1"/>
  <c r="AL62" i="22" s="1"/>
  <c r="AM62" i="22" s="1"/>
  <c r="AN62" i="22" s="1"/>
  <c r="AO62" i="22" s="1"/>
  <c r="AP62" i="22" s="1"/>
  <c r="AQ62" i="22" s="1"/>
  <c r="AR62" i="22" s="1"/>
  <c r="AS62" i="22" s="1"/>
  <c r="AT62" i="22" s="1"/>
  <c r="AU62" i="22" s="1"/>
  <c r="AV62" i="22" s="1"/>
  <c r="AW62" i="22" s="1"/>
  <c r="AX62" i="22" s="1"/>
  <c r="AY62" i="22" s="1"/>
  <c r="AT114" i="21"/>
  <c r="AT111" i="21"/>
  <c r="AT113" i="21"/>
  <c r="AU112" i="21"/>
  <c r="AU113" i="21" s="1"/>
  <c r="AX70" i="21"/>
  <c r="AX71" i="21" s="1"/>
  <c r="AW71" i="21"/>
  <c r="AW72" i="21"/>
  <c r="AW69" i="21"/>
  <c r="AX99" i="21"/>
  <c r="AX100" i="21"/>
  <c r="AX97" i="21"/>
  <c r="AL128" i="21"/>
  <c r="AM126" i="21"/>
  <c r="AM127" i="21" s="1"/>
  <c r="AL125" i="21"/>
  <c r="AJ128" i="21"/>
  <c r="AJ125" i="21"/>
  <c r="AK126" i="21"/>
  <c r="AK127" i="21" s="1"/>
  <c r="AM121" i="21"/>
  <c r="AN119" i="21"/>
  <c r="AN120" i="21" s="1"/>
  <c r="AM118" i="21"/>
  <c r="AI98" i="21"/>
  <c r="AI99" i="21" s="1"/>
  <c r="AH100" i="21"/>
  <c r="AH97" i="21"/>
  <c r="AK62" i="21"/>
  <c r="AK65" i="21"/>
  <c r="AL63" i="21"/>
  <c r="AL64" i="21" s="1"/>
  <c r="AG99" i="21"/>
  <c r="AG100" i="21"/>
  <c r="AH98" i="21"/>
  <c r="AH99" i="21" s="1"/>
  <c r="AG97" i="21"/>
  <c r="AW93" i="21"/>
  <c r="AX91" i="21"/>
  <c r="AX92" i="21" s="1"/>
  <c r="AW90" i="21"/>
  <c r="AL90" i="21"/>
  <c r="AL93" i="21"/>
  <c r="AL92" i="21"/>
  <c r="AM91" i="21"/>
  <c r="AM92" i="21" s="1"/>
  <c r="AI107" i="21"/>
  <c r="AI104" i="21"/>
  <c r="AJ105" i="21"/>
  <c r="AK104" i="21"/>
  <c r="AK107" i="21"/>
  <c r="AK106" i="21"/>
  <c r="AL105" i="21"/>
  <c r="AL106" i="21" s="1"/>
  <c r="AU105" i="21"/>
  <c r="AU106" i="21" s="1"/>
  <c r="AT104" i="21"/>
  <c r="AT107" i="21"/>
  <c r="AI92" i="21"/>
  <c r="AJ91" i="21"/>
  <c r="AJ92" i="21" s="1"/>
  <c r="AI93" i="21"/>
  <c r="AI90" i="21"/>
  <c r="CH95" i="20" a="1"/>
  <c r="CH95" i="20" s="1"/>
  <c r="CK107" i="19" a="1"/>
  <c r="CK107" i="19" s="1"/>
  <c r="BX95" i="19" a="1"/>
  <c r="BX95" i="19" s="1"/>
  <c r="DD91" i="19"/>
  <c r="CM84" i="19" a="1"/>
  <c r="CM84" i="19" s="1"/>
  <c r="CI76" i="19" a="1"/>
  <c r="CI76" i="19" s="1"/>
  <c r="CE68" i="19" a="1"/>
  <c r="CE68" i="19" s="1"/>
  <c r="CJ104" i="19" a="1"/>
  <c r="CJ104" i="19" s="1"/>
  <c r="CE101" i="19" a="1"/>
  <c r="CE101" i="19" s="1"/>
  <c r="CA101" i="19" a="1"/>
  <c r="CA101" i="19" s="1"/>
  <c r="CC101" i="19" a="1"/>
  <c r="CC101" i="19" s="1"/>
  <c r="BR101" i="19" a="1"/>
  <c r="BR101" i="19" s="1"/>
  <c r="CV89" i="19" a="1"/>
  <c r="CV89" i="19" s="1"/>
  <c r="CH89" i="19" a="1"/>
  <c r="CH89" i="19" s="1"/>
  <c r="CD81" i="19" a="1"/>
  <c r="CD81" i="19" s="1"/>
  <c r="CY73" i="19" a="1"/>
  <c r="CY73" i="19" s="1"/>
  <c r="S73" i="19" a="1"/>
  <c r="S73" i="19" s="1"/>
  <c r="BX72" i="19"/>
  <c r="CF73" i="19" a="1"/>
  <c r="CF73" i="19" s="1"/>
  <c r="CC81" i="19" a="1"/>
  <c r="CC81" i="19" s="1"/>
  <c r="CX73" i="19" a="1"/>
  <c r="CX73" i="19" s="1"/>
  <c r="DD81" i="19" a="1"/>
  <c r="DD81" i="19" s="1"/>
  <c r="DH104" i="19" a="1"/>
  <c r="DH104" i="19" s="1"/>
  <c r="BV104" i="19" a="1"/>
  <c r="BV104" i="19" s="1"/>
  <c r="CI104" i="19" a="1"/>
  <c r="CI104" i="19" s="1"/>
  <c r="DC81" i="19" a="1"/>
  <c r="DC81" i="19" s="1"/>
  <c r="BY98" i="19" a="1"/>
  <c r="BY98" i="19" s="1"/>
  <c r="CV98" i="19" a="1"/>
  <c r="CV98" i="19" s="1"/>
  <c r="DB98" i="19" a="1"/>
  <c r="DB98" i="19" s="1"/>
  <c r="V65" i="19" a="1"/>
  <c r="V65" i="19" s="1"/>
  <c r="CJ65" i="19" a="1"/>
  <c r="CJ65" i="19" s="1"/>
  <c r="DE62" i="19" a="1"/>
  <c r="DE62" i="19" s="1"/>
  <c r="CO65" i="19" a="1"/>
  <c r="CO65" i="19" s="1"/>
  <c r="DF59" i="19" a="1"/>
  <c r="DF59" i="19" s="1"/>
  <c r="CM59" i="19" a="1"/>
  <c r="CM59" i="19" s="1"/>
  <c r="CU88" i="19"/>
  <c r="CY72" i="19"/>
  <c r="DH62" i="19" a="1"/>
  <c r="DH62" i="19" s="1"/>
  <c r="DH68" i="19" a="1"/>
  <c r="DH68" i="19" s="1"/>
  <c r="CY101" i="19" a="1"/>
  <c r="CY101" i="19" s="1"/>
  <c r="CO81" i="19" a="1"/>
  <c r="CO81" i="19" s="1"/>
  <c r="CF68" i="19" a="1"/>
  <c r="CF68" i="19" s="1"/>
  <c r="V56" i="19"/>
  <c r="CR61" i="19"/>
  <c r="CC75" i="19"/>
  <c r="DG81" i="19" a="1"/>
  <c r="DG81" i="19" s="1"/>
  <c r="CW55" i="19"/>
  <c r="CW84" i="19" a="1"/>
  <c r="CW84" i="19" s="1"/>
  <c r="CN68" i="19" a="1"/>
  <c r="CN68" i="19" s="1"/>
  <c r="CE62" i="19" a="1"/>
  <c r="CE62" i="19" s="1"/>
  <c r="BV95" i="19" a="1"/>
  <c r="BV95" i="19" s="1"/>
  <c r="CM56" i="19"/>
  <c r="CM110" i="19" a="1"/>
  <c r="CM110" i="19" s="1"/>
  <c r="BU68" i="19" a="1"/>
  <c r="BU68" i="19" s="1"/>
  <c r="S84" i="19" a="1"/>
  <c r="S84" i="19" s="1"/>
  <c r="K13" i="23" a="1"/>
  <c r="K13" i="23" s="1"/>
  <c r="CC61" i="19"/>
  <c r="CT83" i="19"/>
  <c r="BV83" i="19"/>
  <c r="CT75" i="19"/>
  <c r="CO58" i="19"/>
  <c r="DE55" i="19"/>
  <c r="CV62" i="19" a="1"/>
  <c r="CV62" i="19" s="1"/>
  <c r="CD59" i="19" a="1"/>
  <c r="CD59" i="19" s="1"/>
  <c r="CD104" i="19" a="1"/>
  <c r="CD104" i="19" s="1"/>
  <c r="CW58" i="19"/>
  <c r="DD55" i="19"/>
  <c r="DD110" i="19" a="1"/>
  <c r="DD110" i="19" s="1"/>
  <c r="CU107" i="19" a="1"/>
  <c r="CU107" i="19" s="1"/>
  <c r="CL68" i="19" a="1"/>
  <c r="CL68" i="19" s="1"/>
  <c r="BT62" i="19" a="1"/>
  <c r="BT62" i="19" s="1"/>
  <c r="P84" i="19" a="1"/>
  <c r="P84" i="19" s="1"/>
  <c r="DI68" i="19" a="1"/>
  <c r="DI68" i="19" s="1"/>
  <c r="CG68" i="19" a="1"/>
  <c r="CG68" i="19" s="1"/>
  <c r="CG101" i="19" a="1"/>
  <c r="CG101" i="19" s="1"/>
  <c r="V61" i="19"/>
  <c r="O75" i="19"/>
  <c r="R12" i="19"/>
  <c r="V91" i="19"/>
  <c r="CT95" i="19" a="1"/>
  <c r="CT95" i="19" s="1"/>
  <c r="CT68" i="19" a="1"/>
  <c r="CT68" i="19" s="1"/>
  <c r="CT56" i="19"/>
  <c r="CT55" i="19"/>
  <c r="CT76" i="19" a="1"/>
  <c r="CT76" i="19" s="1"/>
  <c r="CT73" i="19" a="1"/>
  <c r="CT73" i="19" s="1"/>
  <c r="CT92" i="19" a="1"/>
  <c r="CT92" i="19" s="1"/>
  <c r="CT84" i="19" a="1"/>
  <c r="CT84" i="19" s="1"/>
  <c r="CT59" i="19" a="1"/>
  <c r="CT59" i="19" s="1"/>
  <c r="CT62" i="19" a="1"/>
  <c r="CT62" i="19" s="1"/>
  <c r="CA58" i="19"/>
  <c r="CX61" i="19"/>
  <c r="CH75" i="19"/>
  <c r="CC80" i="19"/>
  <c r="BX64" i="19"/>
  <c r="BX55" i="19"/>
  <c r="BX59" i="19" a="1"/>
  <c r="BX59" i="19" s="1"/>
  <c r="DA56" i="19"/>
  <c r="DA84" i="19" a="1"/>
  <c r="DA84" i="19" s="1"/>
  <c r="CR76" i="19" a="1"/>
  <c r="CR76" i="19" s="1"/>
  <c r="CF58" i="19"/>
  <c r="CZ104" i="19" a="1"/>
  <c r="CZ104" i="19" s="1"/>
  <c r="BY104" i="19" a="1"/>
  <c r="BY104" i="19" s="1"/>
  <c r="BS95" i="19" a="1"/>
  <c r="BS95" i="19" s="1"/>
  <c r="CI55" i="19"/>
  <c r="CA55" i="19"/>
  <c r="M114" i="22"/>
  <c r="N114" i="22" s="1"/>
  <c r="O114" i="22" s="1"/>
  <c r="P114" i="22" s="1"/>
  <c r="Q114" i="22" s="1"/>
  <c r="R114" i="22" s="1"/>
  <c r="S114" i="22" s="1"/>
  <c r="T114" i="22" s="1"/>
  <c r="U114" i="22" s="1"/>
  <c r="V114" i="22" s="1"/>
  <c r="W114" i="22" s="1"/>
  <c r="X114" i="22" s="1"/>
  <c r="Y114" i="22" s="1"/>
  <c r="Z114" i="22" s="1"/>
  <c r="AA114" i="22" s="1"/>
  <c r="AB114" i="22" s="1"/>
  <c r="AC114" i="22" s="1"/>
  <c r="AD114" i="22" s="1"/>
  <c r="AE114" i="22" s="1"/>
  <c r="AF114" i="22" s="1"/>
  <c r="AG114" i="22" s="1"/>
  <c r="AH114" i="22" s="1"/>
  <c r="AI114" i="22" s="1"/>
  <c r="AJ114" i="22" s="1"/>
  <c r="AK114" i="22" s="1"/>
  <c r="AL114" i="22" s="1"/>
  <c r="AM114" i="22" s="1"/>
  <c r="AN114" i="22" s="1"/>
  <c r="AO114" i="22" s="1"/>
  <c r="AP114" i="22" s="1"/>
  <c r="AQ114" i="22" s="1"/>
  <c r="AR114" i="22" s="1"/>
  <c r="AS114" i="22" s="1"/>
  <c r="AT114" i="22" s="1"/>
  <c r="AU114" i="22" s="1"/>
  <c r="AV114" i="22" s="1"/>
  <c r="AW114" i="22" s="1"/>
  <c r="AX114" i="22" s="1"/>
  <c r="AY114" i="22" s="1"/>
  <c r="AX65" i="21"/>
  <c r="AX62" i="21"/>
  <c r="AX64" i="21"/>
  <c r="AU100" i="21"/>
  <c r="AU97" i="21"/>
  <c r="AV98" i="21"/>
  <c r="AV99" i="21" s="1"/>
  <c r="AU99" i="21"/>
  <c r="AK72" i="21"/>
  <c r="AK69" i="21"/>
  <c r="AL70" i="21"/>
  <c r="AL71" i="21" s="1"/>
  <c r="AK71" i="21"/>
  <c r="AX118" i="21"/>
  <c r="AX121" i="21"/>
  <c r="AO106" i="21"/>
  <c r="AP105" i="21"/>
  <c r="AP106" i="21" s="1"/>
  <c r="AO107" i="21"/>
  <c r="AO104" i="21"/>
  <c r="K122" i="22"/>
  <c r="L122" i="22" s="1"/>
  <c r="M122" i="22" s="1"/>
  <c r="N122" i="22" s="1"/>
  <c r="O122" i="22" s="1"/>
  <c r="P122" i="22" s="1"/>
  <c r="Q122" i="22" s="1"/>
  <c r="R122" i="22" s="1"/>
  <c r="S122" i="22" s="1"/>
  <c r="T122" i="22" s="1"/>
  <c r="U122" i="22" s="1"/>
  <c r="V122" i="22" s="1"/>
  <c r="W122" i="22" s="1"/>
  <c r="X122" i="22" s="1"/>
  <c r="Y122" i="22" s="1"/>
  <c r="Z122" i="22" s="1"/>
  <c r="AA122" i="22" s="1"/>
  <c r="AB122" i="22" s="1"/>
  <c r="AC122" i="22" s="1"/>
  <c r="AD122" i="22" s="1"/>
  <c r="AE122" i="22" s="1"/>
  <c r="AF122" i="22" s="1"/>
  <c r="AG122" i="22" s="1"/>
  <c r="AH122" i="22" s="1"/>
  <c r="AI122" i="22" s="1"/>
  <c r="AJ122" i="22" s="1"/>
  <c r="AK122" i="22" s="1"/>
  <c r="AL122" i="22" s="1"/>
  <c r="AM122" i="22" s="1"/>
  <c r="AN122" i="22" s="1"/>
  <c r="AO122" i="22" s="1"/>
  <c r="AP122" i="22" s="1"/>
  <c r="AQ122" i="22" s="1"/>
  <c r="AR122" i="22" s="1"/>
  <c r="AS122" i="22" s="1"/>
  <c r="AT122" i="22" s="1"/>
  <c r="AU122" i="22" s="1"/>
  <c r="AV122" i="22" s="1"/>
  <c r="AW122" i="22" s="1"/>
  <c r="AX122" i="22" s="1"/>
  <c r="AY122" i="22" s="1"/>
  <c r="O74" i="22"/>
  <c r="P74" i="22" s="1"/>
  <c r="Q74" i="22" s="1"/>
  <c r="R74" i="22" s="1"/>
  <c r="S74" i="22" s="1"/>
  <c r="T74" i="22" s="1"/>
  <c r="U74" i="22" s="1"/>
  <c r="V74" i="22" s="1"/>
  <c r="W74" i="22" s="1"/>
  <c r="X74" i="22" s="1"/>
  <c r="Y74" i="22" s="1"/>
  <c r="Z74" i="22" s="1"/>
  <c r="AA74" i="22" s="1"/>
  <c r="AB74" i="22" s="1"/>
  <c r="AC74" i="22" s="1"/>
  <c r="AD74" i="22" s="1"/>
  <c r="AE74" i="22" s="1"/>
  <c r="AF74" i="22" s="1"/>
  <c r="AG74" i="22" s="1"/>
  <c r="AH74" i="22" s="1"/>
  <c r="AI74" i="22" s="1"/>
  <c r="AJ74" i="22" s="1"/>
  <c r="AK74" i="22" s="1"/>
  <c r="AL74" i="22" s="1"/>
  <c r="AM74" i="22" s="1"/>
  <c r="AN74" i="22" s="1"/>
  <c r="AO74" i="22" s="1"/>
  <c r="AP74" i="22" s="1"/>
  <c r="AQ74" i="22" s="1"/>
  <c r="AR74" i="22" s="1"/>
  <c r="AS74" i="22" s="1"/>
  <c r="AT74" i="22" s="1"/>
  <c r="AU74" i="22" s="1"/>
  <c r="AV74" i="22" s="1"/>
  <c r="AW74" i="22" s="1"/>
  <c r="AX74" i="22" s="1"/>
  <c r="AY74" i="22" s="1"/>
  <c r="K82" i="22"/>
  <c r="L82" i="22" s="1"/>
  <c r="M82" i="22" s="1"/>
  <c r="N82" i="22" s="1"/>
  <c r="O82" i="22" s="1"/>
  <c r="P82" i="22" s="1"/>
  <c r="Q82" i="22" s="1"/>
  <c r="R82" i="22" s="1"/>
  <c r="S82" i="22" s="1"/>
  <c r="T82" i="22" s="1"/>
  <c r="U82" i="22" s="1"/>
  <c r="V82" i="22" s="1"/>
  <c r="W82" i="22" s="1"/>
  <c r="X82" i="22" s="1"/>
  <c r="Y82" i="22" s="1"/>
  <c r="Z82" i="22" s="1"/>
  <c r="AA82" i="22" s="1"/>
  <c r="AB82" i="22" s="1"/>
  <c r="AC82" i="22" s="1"/>
  <c r="AD82" i="22" s="1"/>
  <c r="AE82" i="22" s="1"/>
  <c r="AF82" i="22" s="1"/>
  <c r="AG82" i="22" s="1"/>
  <c r="AH82" i="22" s="1"/>
  <c r="AI82" i="22" s="1"/>
  <c r="AJ82" i="22" s="1"/>
  <c r="AK82" i="22" s="1"/>
  <c r="AL82" i="22" s="1"/>
  <c r="AM82" i="22" s="1"/>
  <c r="AN82" i="22" s="1"/>
  <c r="AO82" i="22" s="1"/>
  <c r="AP82" i="22" s="1"/>
  <c r="AQ82" i="22" s="1"/>
  <c r="AR82" i="22" s="1"/>
  <c r="AS82" i="22" s="1"/>
  <c r="AT82" i="22" s="1"/>
  <c r="AU82" i="22" s="1"/>
  <c r="AV82" i="22" s="1"/>
  <c r="AW82" i="22" s="1"/>
  <c r="AX82" i="22" s="1"/>
  <c r="AY82" i="22" s="1"/>
  <c r="AN83" i="21"/>
  <c r="AN86" i="21"/>
  <c r="AO84" i="21"/>
  <c r="AO85" i="21" s="1"/>
  <c r="AN85" i="21"/>
  <c r="AQ112" i="21"/>
  <c r="AQ113" i="21" s="1"/>
  <c r="AP114" i="21"/>
  <c r="AP111" i="21"/>
  <c r="AP113" i="21"/>
  <c r="AN71" i="21"/>
  <c r="AN72" i="21"/>
  <c r="AO70" i="21"/>
  <c r="AO71" i="21" s="1"/>
  <c r="AN69" i="21"/>
  <c r="AM100" i="21"/>
  <c r="AM97" i="21"/>
  <c r="AN98" i="21"/>
  <c r="AN99" i="21" s="1"/>
  <c r="AM99" i="21"/>
  <c r="AW126" i="21"/>
  <c r="AW127" i="21" s="1"/>
  <c r="AV128" i="21"/>
  <c r="AV125" i="21"/>
  <c r="AI125" i="21"/>
  <c r="AI128" i="21"/>
  <c r="AI127" i="21"/>
  <c r="AJ126" i="21"/>
  <c r="AJ127" i="21" s="1"/>
  <c r="AR128" i="21"/>
  <c r="AR127" i="21"/>
  <c r="AS126" i="21"/>
  <c r="AS127" i="21" s="1"/>
  <c r="AR125" i="21"/>
  <c r="AL118" i="21"/>
  <c r="AL121" i="21"/>
  <c r="AM119" i="21"/>
  <c r="AM120" i="21" s="1"/>
  <c r="AX119" i="21"/>
  <c r="AX120" i="21" s="1"/>
  <c r="AW121" i="21"/>
  <c r="AW118" i="21"/>
  <c r="AK121" i="21"/>
  <c r="AL119" i="21"/>
  <c r="AL120" i="21" s="1"/>
  <c r="AK118" i="21"/>
  <c r="AI105" i="21"/>
  <c r="AI106" i="21" s="1"/>
  <c r="AH104" i="21"/>
  <c r="AH107" i="21"/>
  <c r="AH106" i="21"/>
  <c r="AU107" i="21"/>
  <c r="AV105" i="21"/>
  <c r="AV106" i="21" s="1"/>
  <c r="AU104" i="21"/>
  <c r="AS104" i="21"/>
  <c r="AS107" i="21"/>
  <c r="AT105" i="21"/>
  <c r="AT106" i="21" s="1"/>
  <c r="AS106" i="21"/>
  <c r="AU83" i="21"/>
  <c r="AU85" i="21"/>
  <c r="AV84" i="21"/>
  <c r="AV85" i="21" s="1"/>
  <c r="AU86" i="21"/>
  <c r="CT107" i="19" a="1"/>
  <c r="CT107" i="19" s="1"/>
  <c r="CB95" i="19" a="1"/>
  <c r="CB95" i="19" s="1"/>
  <c r="DH95" i="19" a="1"/>
  <c r="DH95" i="19" s="1"/>
  <c r="CS92" i="19" a="1"/>
  <c r="CS92" i="19" s="1"/>
  <c r="CI84" i="19" a="1"/>
  <c r="CI84" i="19" s="1"/>
  <c r="CE76" i="19" a="1"/>
  <c r="CE76" i="19" s="1"/>
  <c r="CA68" i="19" a="1"/>
  <c r="CA68" i="19" s="1"/>
  <c r="DB101" i="19" a="1"/>
  <c r="DB101" i="19" s="1"/>
  <c r="CQ101" i="19" a="1"/>
  <c r="CQ101" i="19" s="1"/>
  <c r="CL101" i="19" a="1"/>
  <c r="CL101" i="19" s="1"/>
  <c r="BV101" i="19" a="1"/>
  <c r="BV101" i="19" s="1"/>
  <c r="CM89" i="19" a="1"/>
  <c r="CM89" i="19" s="1"/>
  <c r="CL89" i="19" a="1"/>
  <c r="CL89" i="19" s="1"/>
  <c r="DB81" i="19" a="1"/>
  <c r="DB81" i="19" s="1"/>
  <c r="BU81" i="19" a="1"/>
  <c r="BU81" i="19" s="1"/>
  <c r="V73" i="19" a="1"/>
  <c r="V73" i="19" s="1"/>
  <c r="CB81" i="19" a="1"/>
  <c r="CB81" i="19" s="1"/>
  <c r="DH81" i="19" a="1"/>
  <c r="DH81" i="19" s="1"/>
  <c r="CN104" i="19" a="1"/>
  <c r="CN104" i="19" s="1"/>
  <c r="CT81" i="19" a="1"/>
  <c r="CT81" i="19" s="1"/>
  <c r="CT98" i="19" a="1"/>
  <c r="CT98" i="19" s="1"/>
  <c r="CY98" i="19" a="1"/>
  <c r="CY98" i="19" s="1"/>
  <c r="DB62" i="19" a="1"/>
  <c r="DB62" i="19" s="1"/>
  <c r="O62" i="19" a="1"/>
  <c r="O62" i="19" s="1"/>
  <c r="DI62" i="19" a="1"/>
  <c r="DI62" i="19" s="1"/>
  <c r="BY61" i="19"/>
  <c r="DH58" i="19"/>
  <c r="CM88" i="19"/>
  <c r="DQ62" i="19"/>
  <c r="DH56" i="19"/>
  <c r="CO76" i="19" a="1"/>
  <c r="CO76" i="19" s="1"/>
  <c r="V59" i="19" a="1"/>
  <c r="V59" i="19" s="1"/>
  <c r="CH61" i="19"/>
  <c r="BT75" i="19"/>
  <c r="BY88" i="19"/>
  <c r="CW56" i="19"/>
  <c r="CE56" i="19"/>
  <c r="CE110" i="19" a="1"/>
  <c r="CE110" i="19" s="1"/>
  <c r="CM55" i="19"/>
  <c r="BU55" i="19"/>
  <c r="S76" i="19" a="1"/>
  <c r="S76" i="19" s="1"/>
  <c r="K14" i="23" a="1"/>
  <c r="K14" i="23" s="1"/>
  <c r="K19" i="23" a="1"/>
  <c r="K19" i="23" s="1"/>
  <c r="CK61" i="19"/>
  <c r="DE61" i="19"/>
  <c r="CK75" i="19"/>
  <c r="DE68" i="19" a="1"/>
  <c r="DE68" i="19" s="1"/>
  <c r="CV55" i="19"/>
  <c r="CD62" i="19" a="1"/>
  <c r="CD62" i="19" s="1"/>
  <c r="CD84" i="19" a="1"/>
  <c r="CD84" i="19" s="1"/>
  <c r="CQ89" i="19" a="1"/>
  <c r="CQ89" i="19" s="1"/>
  <c r="CP83" i="19"/>
  <c r="DB75" i="19"/>
  <c r="DD56" i="19"/>
  <c r="CL92" i="19" a="1"/>
  <c r="CL92" i="19" s="1"/>
  <c r="BT55" i="19"/>
  <c r="BT107" i="19" a="1"/>
  <c r="BT107" i="19" s="1"/>
  <c r="P65" i="19" a="1"/>
  <c r="P65" i="19" s="1"/>
  <c r="P55" i="19"/>
  <c r="DI59" i="19" a="1"/>
  <c r="DI59" i="19" s="1"/>
  <c r="DI84" i="19" a="1"/>
  <c r="DI84" i="19" s="1"/>
  <c r="CG59" i="19" a="1"/>
  <c r="CG59" i="19" s="1"/>
  <c r="BU88" i="19"/>
  <c r="CK95" i="19" a="1"/>
  <c r="CK95" i="19" s="1"/>
  <c r="CK94" i="19"/>
  <c r="CK68" i="19" a="1"/>
  <c r="CK68" i="19" s="1"/>
  <c r="CK89" i="19" a="1"/>
  <c r="CK89" i="19" s="1"/>
  <c r="CK76" i="19" a="1"/>
  <c r="CK76" i="19" s="1"/>
  <c r="CK73" i="19" a="1"/>
  <c r="CK73" i="19" s="1"/>
  <c r="CK84" i="19" a="1"/>
  <c r="CK84" i="19" s="1"/>
  <c r="CK56" i="19"/>
  <c r="CK59" i="19" a="1"/>
  <c r="CK59" i="19" s="1"/>
  <c r="CK55" i="19"/>
  <c r="DC58" i="19"/>
  <c r="P58" i="19"/>
  <c r="CM61" i="19"/>
  <c r="CA67" i="19"/>
  <c r="BY75" i="19"/>
  <c r="J12" i="23"/>
  <c r="CZ56" i="19"/>
  <c r="DA55" i="19"/>
  <c r="CN58" i="19"/>
  <c r="CZ55" i="19"/>
  <c r="BY84" i="19" a="1"/>
  <c r="BY84" i="19" s="1"/>
  <c r="BS92" i="19" a="1"/>
  <c r="BS92" i="19" s="1"/>
  <c r="CA56" i="19"/>
  <c r="DT72" i="19" l="1"/>
  <c r="DN62" i="19"/>
  <c r="DN65" i="19"/>
  <c r="DV62" i="19"/>
  <c r="DS81" i="19"/>
  <c r="DO64" i="19"/>
  <c r="DW61" i="19"/>
  <c r="DW62" i="19"/>
  <c r="DP80" i="19"/>
  <c r="DP83" i="19" s="1"/>
  <c r="DV61" i="19"/>
  <c r="DR61" i="19"/>
  <c r="DR62" i="19"/>
  <c r="R89" i="19" a="1"/>
  <c r="R89" i="19" s="1"/>
  <c r="R59" i="19" a="1"/>
  <c r="R59" i="19" s="1"/>
  <c r="R76" i="19" a="1"/>
  <c r="R76" i="19" s="1"/>
  <c r="R73" i="19" a="1"/>
  <c r="R73" i="19" s="1"/>
  <c r="R84" i="19" a="1"/>
  <c r="R84" i="19" s="1"/>
  <c r="R107" i="19" a="1"/>
  <c r="R107" i="19" s="1"/>
  <c r="R68" i="19" a="1"/>
  <c r="R68" i="19" s="1"/>
  <c r="R101" i="19" a="1"/>
  <c r="R101" i="19" s="1"/>
  <c r="R110" i="19" a="1"/>
  <c r="R110" i="19" s="1"/>
  <c r="R62" i="19" a="1"/>
  <c r="R62" i="19" s="1"/>
  <c r="R104" i="19" a="1"/>
  <c r="R104" i="19" s="1"/>
  <c r="R95" i="19" a="1"/>
  <c r="R95" i="19" s="1"/>
  <c r="R92" i="19" a="1"/>
  <c r="R92" i="19" s="1"/>
  <c r="R98" i="19" a="1"/>
  <c r="R98" i="19" s="1"/>
  <c r="R81" i="19" a="1"/>
  <c r="R81" i="19" s="1"/>
  <c r="R75" i="19"/>
  <c r="DN64" i="19"/>
  <c r="DQ72" i="19"/>
  <c r="DQ64" i="19"/>
  <c r="DS62" i="19"/>
  <c r="DS61" i="19"/>
  <c r="DT64" i="19"/>
  <c r="DT75" i="19"/>
  <c r="DT80" i="19"/>
  <c r="DT83" i="19" s="1"/>
  <c r="DP67" i="19"/>
  <c r="DP75" i="19"/>
  <c r="DT65" i="19"/>
  <c r="DM61" i="19"/>
  <c r="DM62" i="19"/>
  <c r="DO72" i="19"/>
  <c r="DO75" i="19" s="1"/>
  <c r="DO81" i="19"/>
  <c r="DU62" i="19"/>
  <c r="DU61" i="19"/>
  <c r="DO80" i="19"/>
  <c r="DL62" i="19"/>
  <c r="DL61" i="19"/>
  <c r="DQ83" i="19"/>
  <c r="DN72" i="19"/>
  <c r="DQ73" i="19"/>
  <c r="DO65" i="19"/>
  <c r="DQ65" i="19"/>
  <c r="DQ67" i="19" l="1"/>
  <c r="DT67" i="19"/>
  <c r="DQ75" i="19"/>
  <c r="DO67" i="19"/>
  <c r="DN61" i="19"/>
  <c r="DN83" i="19" s="1"/>
  <c r="DO83" i="19"/>
  <c r="DL73" i="19"/>
  <c r="DL80" i="19"/>
  <c r="DU64" i="19"/>
  <c r="DW73" i="19"/>
  <c r="DR72" i="19"/>
  <c r="DL81" i="19"/>
  <c r="DL83" i="19" s="1"/>
  <c r="DV72" i="19"/>
  <c r="DW72" i="19"/>
  <c r="DR73" i="19"/>
  <c r="DU73" i="19"/>
  <c r="DV73" i="19"/>
  <c r="DM65" i="19"/>
  <c r="DW80" i="19"/>
  <c r="DM80" i="19"/>
  <c r="DV64" i="19"/>
  <c r="DU72" i="19"/>
  <c r="DU75" i="19" s="1"/>
  <c r="DS64" i="19"/>
  <c r="DR65" i="19"/>
  <c r="DM64" i="19"/>
  <c r="DR81" i="19"/>
  <c r="DW81" i="19"/>
  <c r="DM81" i="19"/>
  <c r="DM83" i="19" s="1"/>
  <c r="DV65" i="19"/>
  <c r="DV67" i="19" s="1"/>
  <c r="DS65" i="19"/>
  <c r="DR64" i="19"/>
  <c r="DR67" i="19" s="1"/>
  <c r="DR80" i="19"/>
  <c r="DM72" i="19"/>
  <c r="DS80" i="19"/>
  <c r="DS83" i="19" s="1"/>
  <c r="DW65" i="19"/>
  <c r="DU80" i="19"/>
  <c r="DM73" i="19"/>
  <c r="DV80" i="19"/>
  <c r="DS73" i="19"/>
  <c r="DW64" i="19"/>
  <c r="DU81" i="19"/>
  <c r="DL64" i="19"/>
  <c r="DV81" i="19"/>
  <c r="DL72" i="19"/>
  <c r="DL75" i="19" s="1"/>
  <c r="DS72" i="19"/>
  <c r="DM67" i="19"/>
  <c r="DU65" i="19"/>
  <c r="DL65" i="19"/>
  <c r="DN67" i="19" l="1"/>
  <c r="DN75" i="19"/>
  <c r="DR75" i="19"/>
  <c r="DS75" i="19"/>
  <c r="DW75" i="19"/>
  <c r="DU67" i="19"/>
  <c r="DM75" i="19"/>
  <c r="DR83" i="19"/>
  <c r="DW67" i="19"/>
  <c r="DS67" i="19"/>
  <c r="DW83" i="19"/>
  <c r="DU83" i="19"/>
  <c r="DL67" i="19"/>
  <c r="DV75" i="19"/>
  <c r="DV83" i="19"/>
  <c r="BH28" i="5" l="1"/>
  <c r="BG28" i="5" l="1"/>
  <c r="BO3" i="5" l="1"/>
  <c r="BP3" i="5"/>
  <c r="BQ3" i="5"/>
  <c r="BR3" i="5"/>
  <c r="BS3" i="5"/>
  <c r="BT3" i="5"/>
  <c r="BU3" i="5"/>
  <c r="BV3" i="5"/>
  <c r="BW3" i="5"/>
  <c r="BX3" i="5"/>
  <c r="BY3" i="5"/>
  <c r="BZ3" i="5"/>
  <c r="CA3" i="5"/>
  <c r="CB3" i="5"/>
  <c r="CC3" i="5"/>
  <c r="CD3" i="5"/>
  <c r="CE3" i="5"/>
  <c r="CF3" i="5"/>
  <c r="CG3" i="5"/>
  <c r="CH3" i="5"/>
  <c r="CI3" i="5"/>
  <c r="CJ3" i="5"/>
  <c r="CK3" i="5"/>
  <c r="CL3" i="5"/>
  <c r="CM3" i="5"/>
  <c r="CN3" i="5"/>
  <c r="CO3" i="5"/>
  <c r="CP3" i="5"/>
  <c r="CQ3" i="5"/>
  <c r="CR3" i="5"/>
  <c r="CS3" i="5"/>
  <c r="CT3" i="5"/>
  <c r="CU3" i="5"/>
  <c r="CV3" i="5"/>
  <c r="CW3" i="5"/>
  <c r="CX3" i="5"/>
  <c r="CY3" i="5"/>
  <c r="BD28" i="5"/>
  <c r="BF28" i="5"/>
  <c r="BE28" i="5" l="1"/>
  <c r="BC28" i="5" l="1"/>
  <c r="BC21" i="5"/>
  <c r="BB28" i="5" l="1"/>
  <c r="BB21" i="5"/>
  <c r="AN44" i="18" l="1"/>
  <c r="AO44" i="18"/>
  <c r="AP44" i="18"/>
  <c r="AQ44" i="18"/>
  <c r="AR44" i="18"/>
  <c r="AS44" i="18"/>
  <c r="AT44" i="18"/>
  <c r="AU44" i="18"/>
  <c r="AN45" i="18"/>
  <c r="AO45" i="18"/>
  <c r="AP45" i="18"/>
  <c r="AQ45" i="18"/>
  <c r="AR45" i="18"/>
  <c r="AS45" i="18"/>
  <c r="AT45" i="18"/>
  <c r="AU45" i="18"/>
  <c r="AN4" i="18"/>
  <c r="AO4" i="18"/>
  <c r="AP4" i="18"/>
  <c r="AQ4" i="18"/>
  <c r="AR4" i="18"/>
  <c r="AS4" i="18"/>
  <c r="AT4" i="18"/>
  <c r="CD3" i="15"/>
  <c r="CE3" i="15"/>
  <c r="CF3" i="15"/>
  <c r="CG3" i="15"/>
  <c r="CH3" i="15"/>
  <c r="CI3" i="15"/>
  <c r="CJ3" i="15"/>
  <c r="CK3" i="15"/>
  <c r="CD5" i="15"/>
  <c r="CE5" i="15"/>
  <c r="CF5" i="15"/>
  <c r="CG5" i="15"/>
  <c r="CH5" i="15"/>
  <c r="CI5" i="15"/>
  <c r="CJ5" i="15"/>
  <c r="CK5" i="15"/>
  <c r="CD6" i="15"/>
  <c r="CE6" i="15"/>
  <c r="CF6" i="15"/>
  <c r="CG6" i="15"/>
  <c r="CH6" i="15"/>
  <c r="CI6" i="15"/>
  <c r="CJ6" i="15"/>
  <c r="CK6" i="15"/>
  <c r="CD7" i="15"/>
  <c r="CE7" i="15"/>
  <c r="CF7" i="15"/>
  <c r="CG7" i="15"/>
  <c r="CH7" i="15"/>
  <c r="CI7" i="15"/>
  <c r="CJ7" i="15"/>
  <c r="CK7" i="15"/>
  <c r="CD8" i="15"/>
  <c r="CE8" i="15"/>
  <c r="CF8" i="15"/>
  <c r="CG8" i="15"/>
  <c r="CH8" i="15"/>
  <c r="CI8" i="15"/>
  <c r="CJ8" i="15"/>
  <c r="CK8" i="15"/>
  <c r="CD9" i="15"/>
  <c r="CE9" i="15"/>
  <c r="CF9" i="15"/>
  <c r="CG9" i="15"/>
  <c r="CH9" i="15"/>
  <c r="CI9" i="15"/>
  <c r="CJ9" i="15"/>
  <c r="CK9" i="15"/>
  <c r="CD10" i="15"/>
  <c r="CE10" i="15"/>
  <c r="CF10" i="15"/>
  <c r="CG10" i="15"/>
  <c r="CH10" i="15"/>
  <c r="CI10" i="15"/>
  <c r="CJ10" i="15"/>
  <c r="CK10" i="15"/>
  <c r="CD11" i="15"/>
  <c r="CE11" i="15"/>
  <c r="CF11" i="15"/>
  <c r="CG11" i="15"/>
  <c r="CH11" i="15"/>
  <c r="CI11" i="15"/>
  <c r="CJ11" i="15"/>
  <c r="CK11" i="15"/>
  <c r="CD12" i="15"/>
  <c r="CE12" i="15"/>
  <c r="CF12" i="15"/>
  <c r="CG12" i="15"/>
  <c r="CH12" i="15"/>
  <c r="CI12" i="15"/>
  <c r="CJ12" i="15"/>
  <c r="CK12" i="15"/>
  <c r="CD13" i="15"/>
  <c r="CE13" i="15"/>
  <c r="CF13" i="15"/>
  <c r="CG13" i="15"/>
  <c r="CH13" i="15"/>
  <c r="CI13" i="15"/>
  <c r="CJ13" i="15"/>
  <c r="CK13" i="15"/>
  <c r="CD14" i="15"/>
  <c r="CE14" i="15"/>
  <c r="CF14" i="15"/>
  <c r="CG14" i="15"/>
  <c r="CH14" i="15"/>
  <c r="CI14" i="15"/>
  <c r="CJ14" i="15"/>
  <c r="CK14" i="15"/>
  <c r="CD15" i="15"/>
  <c r="CE15" i="15"/>
  <c r="CF15" i="15"/>
  <c r="CG15" i="15"/>
  <c r="CH15" i="15"/>
  <c r="CI15" i="15"/>
  <c r="CJ15" i="15"/>
  <c r="CK15" i="15"/>
  <c r="CD16" i="15"/>
  <c r="CE16" i="15"/>
  <c r="CF16" i="15"/>
  <c r="CG16" i="15"/>
  <c r="CH16" i="15"/>
  <c r="CI16" i="15"/>
  <c r="CJ16" i="15"/>
  <c r="CK16" i="15"/>
  <c r="CD17" i="15"/>
  <c r="CE17" i="15"/>
  <c r="CF17" i="15"/>
  <c r="CG17" i="15"/>
  <c r="CH17" i="15"/>
  <c r="CI17" i="15"/>
  <c r="CJ17" i="15"/>
  <c r="CK17" i="15"/>
  <c r="CD18" i="15"/>
  <c r="CE18" i="15"/>
  <c r="CF18" i="15"/>
  <c r="CG18" i="15"/>
  <c r="CH18" i="15"/>
  <c r="CI18" i="15"/>
  <c r="CJ18" i="15"/>
  <c r="CK18" i="15"/>
  <c r="CD19" i="15"/>
  <c r="CE19" i="15"/>
  <c r="CF19" i="15"/>
  <c r="CG19" i="15"/>
  <c r="CH19" i="15"/>
  <c r="CI19" i="15"/>
  <c r="CJ19" i="15"/>
  <c r="CK19" i="15"/>
  <c r="CD20" i="15"/>
  <c r="CE20" i="15"/>
  <c r="CF20" i="15"/>
  <c r="CG20" i="15"/>
  <c r="CH20" i="15"/>
  <c r="CI20" i="15"/>
  <c r="CJ20" i="15"/>
  <c r="CK20" i="15"/>
  <c r="CD21" i="15"/>
  <c r="CE21" i="15"/>
  <c r="CF21" i="15"/>
  <c r="CG21" i="15"/>
  <c r="CH21" i="15"/>
  <c r="CI21" i="15"/>
  <c r="CJ21" i="15"/>
  <c r="CK21" i="15"/>
  <c r="CD22" i="15"/>
  <c r="CE22" i="15"/>
  <c r="CF22" i="15"/>
  <c r="CG22" i="15"/>
  <c r="CH22" i="15"/>
  <c r="CI22" i="15"/>
  <c r="CJ22" i="15"/>
  <c r="CK22" i="15"/>
  <c r="CD23" i="15"/>
  <c r="CE23" i="15"/>
  <c r="CF23" i="15"/>
  <c r="CG23" i="15"/>
  <c r="CH23" i="15"/>
  <c r="CI23" i="15"/>
  <c r="CJ23" i="15"/>
  <c r="CK23" i="15"/>
  <c r="CD24" i="15"/>
  <c r="CE24" i="15"/>
  <c r="CF24" i="15"/>
  <c r="CG24" i="15"/>
  <c r="CH24" i="15"/>
  <c r="CI24" i="15"/>
  <c r="CJ24" i="15"/>
  <c r="CK24" i="15"/>
  <c r="CD25" i="15"/>
  <c r="CE25" i="15"/>
  <c r="CF25" i="15"/>
  <c r="CG25" i="15"/>
  <c r="CH25" i="15"/>
  <c r="CI25" i="15"/>
  <c r="CJ25" i="15"/>
  <c r="CK25" i="15"/>
  <c r="CD26" i="15"/>
  <c r="CE26" i="15"/>
  <c r="CF26" i="15"/>
  <c r="CG26" i="15"/>
  <c r="CH26" i="15"/>
  <c r="CI26" i="15"/>
  <c r="CJ26" i="15"/>
  <c r="CK26" i="15"/>
  <c r="CD27" i="15"/>
  <c r="CE27" i="15"/>
  <c r="CF27" i="15"/>
  <c r="CG27" i="15"/>
  <c r="CH27" i="15"/>
  <c r="CI27" i="15"/>
  <c r="CJ27" i="15"/>
  <c r="CK27" i="15"/>
  <c r="CD28" i="15"/>
  <c r="CE28" i="15"/>
  <c r="CF28" i="15"/>
  <c r="CG28" i="15"/>
  <c r="CH28" i="15"/>
  <c r="CI28" i="15"/>
  <c r="CJ28" i="15"/>
  <c r="CK28" i="15"/>
  <c r="CD29" i="15"/>
  <c r="CE29" i="15"/>
  <c r="CF29" i="15"/>
  <c r="CG29" i="15"/>
  <c r="CH29" i="15"/>
  <c r="CI29" i="15"/>
  <c r="CJ29" i="15"/>
  <c r="CK29" i="15"/>
  <c r="CD30" i="15"/>
  <c r="CE30" i="15"/>
  <c r="CF30" i="15"/>
  <c r="CG30" i="15"/>
  <c r="CH30" i="15"/>
  <c r="CI30" i="15"/>
  <c r="CJ30" i="15"/>
  <c r="CK30" i="15"/>
  <c r="CD31" i="15"/>
  <c r="CE31" i="15"/>
  <c r="CF31" i="15"/>
  <c r="CG31" i="15"/>
  <c r="CH31" i="15"/>
  <c r="CI31" i="15"/>
  <c r="CJ31" i="15"/>
  <c r="CK31" i="15"/>
  <c r="CD32" i="15"/>
  <c r="CE32" i="15"/>
  <c r="CF32" i="15"/>
  <c r="CG32" i="15"/>
  <c r="CH32" i="15"/>
  <c r="CI32" i="15"/>
  <c r="CJ32" i="15"/>
  <c r="CK32" i="15"/>
  <c r="CD33" i="15"/>
  <c r="CE33" i="15"/>
  <c r="CF33" i="15"/>
  <c r="CG33" i="15"/>
  <c r="CH33" i="15"/>
  <c r="CI33" i="15"/>
  <c r="CJ33" i="15"/>
  <c r="CK33" i="15"/>
  <c r="CD34" i="15"/>
  <c r="CE34" i="15"/>
  <c r="CF34" i="15"/>
  <c r="CG34" i="15"/>
  <c r="CH34" i="15"/>
  <c r="CI34" i="15"/>
  <c r="CJ34" i="15"/>
  <c r="CK34" i="15"/>
  <c r="CD35" i="15"/>
  <c r="CE35" i="15"/>
  <c r="CF35" i="15"/>
  <c r="CG35" i="15"/>
  <c r="CH35" i="15"/>
  <c r="CI35" i="15"/>
  <c r="CJ35" i="15"/>
  <c r="CK35" i="15"/>
  <c r="CD36" i="15"/>
  <c r="CE36" i="15"/>
  <c r="CF36" i="15"/>
  <c r="CG36" i="15"/>
  <c r="CH36" i="15"/>
  <c r="CI36" i="15"/>
  <c r="CJ36" i="15"/>
  <c r="CK36" i="15"/>
  <c r="CD37" i="15"/>
  <c r="CE37" i="15"/>
  <c r="CF37" i="15"/>
  <c r="CG37" i="15"/>
  <c r="CH37" i="15"/>
  <c r="CI37" i="15"/>
  <c r="CJ37" i="15"/>
  <c r="CK37" i="15"/>
  <c r="CD38" i="15"/>
  <c r="CE38" i="15"/>
  <c r="CF38" i="15"/>
  <c r="CG38" i="15"/>
  <c r="CH38" i="15"/>
  <c r="CI38" i="15"/>
  <c r="CJ38" i="15"/>
  <c r="CK38" i="15"/>
  <c r="CD39" i="15"/>
  <c r="CE39" i="15"/>
  <c r="CF39" i="15"/>
  <c r="CG39" i="15"/>
  <c r="CH39" i="15"/>
  <c r="CI39" i="15"/>
  <c r="CJ39" i="15"/>
  <c r="CK39" i="15"/>
  <c r="CD40" i="15"/>
  <c r="CE40" i="15"/>
  <c r="CF40" i="15"/>
  <c r="CG40" i="15"/>
  <c r="CH40" i="15"/>
  <c r="CI40" i="15"/>
  <c r="CJ40" i="15"/>
  <c r="CK40" i="15"/>
  <c r="CD41" i="15"/>
  <c r="CE41" i="15"/>
  <c r="CF41" i="15"/>
  <c r="CG41" i="15"/>
  <c r="CH41" i="15"/>
  <c r="CI41" i="15"/>
  <c r="CJ41" i="15"/>
  <c r="CK41" i="15"/>
  <c r="CD43" i="15"/>
  <c r="AP43" i="15"/>
  <c r="AQ43" i="15"/>
  <c r="AR43" i="15"/>
  <c r="AS43" i="15"/>
  <c r="AT43" i="15"/>
  <c r="AU43" i="15"/>
  <c r="AV43" i="15"/>
  <c r="AW43" i="15"/>
  <c r="AP44" i="15"/>
  <c r="AQ44" i="15"/>
  <c r="AR44" i="15"/>
  <c r="AS44" i="15"/>
  <c r="AT44" i="15"/>
  <c r="AU44" i="15"/>
  <c r="AV44" i="15"/>
  <c r="AW44" i="15"/>
  <c r="AP4" i="15"/>
  <c r="CD4" i="15" s="1"/>
  <c r="AQ4" i="15"/>
  <c r="CE4" i="15" s="1"/>
  <c r="AR4" i="15"/>
  <c r="CF4" i="15" s="1"/>
  <c r="AS4" i="15"/>
  <c r="CG4" i="15" s="1"/>
  <c r="AT4" i="15"/>
  <c r="CH4" i="15" s="1"/>
  <c r="AU4" i="15"/>
  <c r="CI4" i="15" s="1"/>
  <c r="AV4" i="15"/>
  <c r="CJ4" i="15" s="1"/>
  <c r="AW4" i="15"/>
  <c r="CK4" i="15" s="1"/>
  <c r="BA28" i="5"/>
  <c r="BA21" i="5"/>
  <c r="BJ4" i="5"/>
  <c r="BA4" i="5"/>
  <c r="CP4" i="5" s="1"/>
  <c r="BB4" i="5"/>
  <c r="CQ4" i="5" s="1"/>
  <c r="BC4" i="5"/>
  <c r="CR4" i="5" s="1"/>
  <c r="BD4" i="5"/>
  <c r="CS4" i="5" s="1"/>
  <c r="BE4" i="5"/>
  <c r="CT4" i="5" s="1"/>
  <c r="BF4" i="5"/>
  <c r="CU4" i="5" s="1"/>
  <c r="BG4" i="5"/>
  <c r="CV4" i="5" s="1"/>
  <c r="BH4" i="5"/>
  <c r="BI4" i="5"/>
  <c r="BB43" i="5"/>
  <c r="BC43" i="5"/>
  <c r="BD43" i="5"/>
  <c r="BE43" i="5"/>
  <c r="BF43" i="5"/>
  <c r="BG43" i="5"/>
  <c r="BH43" i="5"/>
  <c r="BI43" i="5"/>
  <c r="BJ43" i="5"/>
  <c r="BB44" i="5"/>
  <c r="BC44" i="5"/>
  <c r="BD44" i="5"/>
  <c r="BE44" i="5"/>
  <c r="BF44" i="5"/>
  <c r="BG44" i="5"/>
  <c r="BH44" i="5"/>
  <c r="BI44" i="5"/>
  <c r="BJ44" i="5"/>
  <c r="CK43" i="15" l="1"/>
  <c r="CW4" i="5"/>
  <c r="CY4" i="5"/>
  <c r="CX4" i="5"/>
  <c r="CH44" i="15"/>
  <c r="CI44" i="15"/>
  <c r="CK44" i="15"/>
  <c r="CJ44" i="15"/>
  <c r="CF44" i="15"/>
  <c r="CG43" i="15"/>
  <c r="CG44" i="15"/>
  <c r="CH43" i="15"/>
  <c r="CF43" i="15"/>
  <c r="CI43" i="15"/>
  <c r="CJ43" i="15"/>
  <c r="CE44" i="15"/>
  <c r="CE43" i="15"/>
  <c r="CD44" i="15"/>
  <c r="AZ28" i="5"/>
  <c r="AZ21" i="5"/>
  <c r="AY32" i="5" l="1"/>
  <c r="AY28" i="5"/>
  <c r="AY21" i="5"/>
  <c r="AX32" i="5" l="1"/>
  <c r="AX28" i="5"/>
  <c r="AX21" i="5"/>
  <c r="AW35" i="5" l="1"/>
  <c r="AW32" i="5"/>
  <c r="AW28" i="5"/>
  <c r="AW21" i="5"/>
  <c r="BX3" i="15" l="1"/>
  <c r="BY3" i="15"/>
  <c r="BZ3" i="15"/>
  <c r="CA3" i="15"/>
  <c r="CB3" i="15"/>
  <c r="CC3" i="15"/>
  <c r="BX5" i="15"/>
  <c r="BY5" i="15"/>
  <c r="BZ5" i="15"/>
  <c r="CA5" i="15"/>
  <c r="CB5" i="15"/>
  <c r="CC5" i="15"/>
  <c r="BX6" i="15"/>
  <c r="BY6" i="15"/>
  <c r="BZ6" i="15"/>
  <c r="CA6" i="15"/>
  <c r="CB6" i="15"/>
  <c r="CC6" i="15"/>
  <c r="BX7" i="15"/>
  <c r="BY7" i="15"/>
  <c r="BZ7" i="15"/>
  <c r="CA7" i="15"/>
  <c r="CB7" i="15"/>
  <c r="CC7" i="15"/>
  <c r="BX8" i="15"/>
  <c r="BY8" i="15"/>
  <c r="BZ8" i="15"/>
  <c r="CA8" i="15"/>
  <c r="CB8" i="15"/>
  <c r="CC8" i="15"/>
  <c r="BX9" i="15"/>
  <c r="BY9" i="15"/>
  <c r="BZ9" i="15"/>
  <c r="CA9" i="15"/>
  <c r="CB9" i="15"/>
  <c r="CC9" i="15"/>
  <c r="BX10" i="15"/>
  <c r="BY10" i="15"/>
  <c r="BZ10" i="15"/>
  <c r="CA10" i="15"/>
  <c r="CB10" i="15"/>
  <c r="CC10" i="15"/>
  <c r="BX11" i="15"/>
  <c r="BY11" i="15"/>
  <c r="BZ11" i="15"/>
  <c r="CA11" i="15"/>
  <c r="CB11" i="15"/>
  <c r="CC11" i="15"/>
  <c r="BX12" i="15"/>
  <c r="BY12" i="15"/>
  <c r="BZ12" i="15"/>
  <c r="CA12" i="15"/>
  <c r="CB12" i="15"/>
  <c r="CC12" i="15"/>
  <c r="BX13" i="15"/>
  <c r="BY13" i="15"/>
  <c r="BZ13" i="15"/>
  <c r="CA13" i="15"/>
  <c r="CB13" i="15"/>
  <c r="CC13" i="15"/>
  <c r="BX14" i="15"/>
  <c r="BY14" i="15"/>
  <c r="BZ14" i="15"/>
  <c r="CA14" i="15"/>
  <c r="CB14" i="15"/>
  <c r="CC14" i="15"/>
  <c r="BX15" i="15"/>
  <c r="BY15" i="15"/>
  <c r="BZ15" i="15"/>
  <c r="CA15" i="15"/>
  <c r="CB15" i="15"/>
  <c r="CC15" i="15"/>
  <c r="BX16" i="15"/>
  <c r="BY16" i="15"/>
  <c r="BZ16" i="15"/>
  <c r="CA16" i="15"/>
  <c r="CB16" i="15"/>
  <c r="CC16" i="15"/>
  <c r="BX17" i="15"/>
  <c r="BY17" i="15"/>
  <c r="BZ17" i="15"/>
  <c r="CA17" i="15"/>
  <c r="CB17" i="15"/>
  <c r="CC17" i="15"/>
  <c r="BX18" i="15"/>
  <c r="BY18" i="15"/>
  <c r="BZ18" i="15"/>
  <c r="CA18" i="15"/>
  <c r="CB18" i="15"/>
  <c r="CC18" i="15"/>
  <c r="BX19" i="15"/>
  <c r="BY19" i="15"/>
  <c r="BZ19" i="15"/>
  <c r="CA19" i="15"/>
  <c r="CB19" i="15"/>
  <c r="CC19" i="15"/>
  <c r="BX20" i="15"/>
  <c r="BY20" i="15"/>
  <c r="BZ20" i="15"/>
  <c r="CA20" i="15"/>
  <c r="CB20" i="15"/>
  <c r="CC20" i="15"/>
  <c r="BX21" i="15"/>
  <c r="BY21" i="15"/>
  <c r="BZ21" i="15"/>
  <c r="CA21" i="15"/>
  <c r="CB21" i="15"/>
  <c r="CC21" i="15"/>
  <c r="BX22" i="15"/>
  <c r="BY22" i="15"/>
  <c r="BZ22" i="15"/>
  <c r="CA22" i="15"/>
  <c r="CB22" i="15"/>
  <c r="CC22" i="15"/>
  <c r="BX23" i="15"/>
  <c r="BY23" i="15"/>
  <c r="BZ23" i="15"/>
  <c r="CA23" i="15"/>
  <c r="CB23" i="15"/>
  <c r="CC23" i="15"/>
  <c r="BX24" i="15"/>
  <c r="BY24" i="15"/>
  <c r="BZ24" i="15"/>
  <c r="CA24" i="15"/>
  <c r="CB24" i="15"/>
  <c r="CC24" i="15"/>
  <c r="BX25" i="15"/>
  <c r="BY25" i="15"/>
  <c r="BZ25" i="15"/>
  <c r="CA25" i="15"/>
  <c r="CB25" i="15"/>
  <c r="CC25" i="15"/>
  <c r="BX26" i="15"/>
  <c r="BY26" i="15"/>
  <c r="BZ26" i="15"/>
  <c r="CA26" i="15"/>
  <c r="CB26" i="15"/>
  <c r="CC26" i="15"/>
  <c r="BX27" i="15"/>
  <c r="BY27" i="15"/>
  <c r="BZ27" i="15"/>
  <c r="CA27" i="15"/>
  <c r="CB27" i="15"/>
  <c r="CC27" i="15"/>
  <c r="BX28" i="15"/>
  <c r="BY28" i="15"/>
  <c r="BZ28" i="15"/>
  <c r="CA28" i="15"/>
  <c r="CB28" i="15"/>
  <c r="CC28" i="15"/>
  <c r="BX29" i="15"/>
  <c r="BY29" i="15"/>
  <c r="BZ29" i="15"/>
  <c r="CA29" i="15"/>
  <c r="CB29" i="15"/>
  <c r="CC29" i="15"/>
  <c r="BX30" i="15"/>
  <c r="BY30" i="15"/>
  <c r="BZ30" i="15"/>
  <c r="CA30" i="15"/>
  <c r="CB30" i="15"/>
  <c r="CC30" i="15"/>
  <c r="BX31" i="15"/>
  <c r="BY31" i="15"/>
  <c r="BZ31" i="15"/>
  <c r="CA31" i="15"/>
  <c r="CB31" i="15"/>
  <c r="CC31" i="15"/>
  <c r="BX32" i="15"/>
  <c r="BY32" i="15"/>
  <c r="BZ32" i="15"/>
  <c r="CA32" i="15"/>
  <c r="CB32" i="15"/>
  <c r="CC32" i="15"/>
  <c r="BX33" i="15"/>
  <c r="BY33" i="15"/>
  <c r="BZ33" i="15"/>
  <c r="CA33" i="15"/>
  <c r="CB33" i="15"/>
  <c r="CC33" i="15"/>
  <c r="BX34" i="15"/>
  <c r="BY34" i="15"/>
  <c r="BZ34" i="15"/>
  <c r="CA34" i="15"/>
  <c r="CB34" i="15"/>
  <c r="CC34" i="15"/>
  <c r="BX35" i="15"/>
  <c r="BY35" i="15"/>
  <c r="BZ35" i="15"/>
  <c r="CA35" i="15"/>
  <c r="CB35" i="15"/>
  <c r="CC35" i="15"/>
  <c r="BX36" i="15"/>
  <c r="BY36" i="15"/>
  <c r="BZ36" i="15"/>
  <c r="CA36" i="15"/>
  <c r="CB36" i="15"/>
  <c r="CC36" i="15"/>
  <c r="BX37" i="15"/>
  <c r="BY37" i="15"/>
  <c r="BZ37" i="15"/>
  <c r="CA37" i="15"/>
  <c r="CB37" i="15"/>
  <c r="CC37" i="15"/>
  <c r="BX38" i="15"/>
  <c r="BY38" i="15"/>
  <c r="BZ38" i="15"/>
  <c r="CA38" i="15"/>
  <c r="CB38" i="15"/>
  <c r="CC38" i="15"/>
  <c r="BX39" i="15"/>
  <c r="BY39" i="15"/>
  <c r="BZ39" i="15"/>
  <c r="CA39" i="15"/>
  <c r="CB39" i="15"/>
  <c r="CC39" i="15"/>
  <c r="BX40" i="15"/>
  <c r="BY40" i="15"/>
  <c r="BZ40" i="15"/>
  <c r="CA40" i="15"/>
  <c r="CB40" i="15"/>
  <c r="CC40" i="15"/>
  <c r="BX41" i="15"/>
  <c r="BY41" i="15"/>
  <c r="BZ41" i="15"/>
  <c r="CA41" i="15"/>
  <c r="CB41" i="15"/>
  <c r="CC41" i="15"/>
  <c r="AJ43" i="15"/>
  <c r="AK43" i="15"/>
  <c r="AL43" i="15"/>
  <c r="AM43" i="15"/>
  <c r="AN43" i="15"/>
  <c r="AO43" i="15"/>
  <c r="AJ44" i="15"/>
  <c r="AK44" i="15"/>
  <c r="AL44" i="15"/>
  <c r="AM44" i="15"/>
  <c r="AN44" i="15"/>
  <c r="AO44" i="15"/>
  <c r="AL4" i="15"/>
  <c r="BZ4" i="15" s="1"/>
  <c r="AK4" i="15"/>
  <c r="BY4" i="15" s="1"/>
  <c r="AJ4" i="15"/>
  <c r="BX4" i="15" s="1"/>
  <c r="AO4" i="15"/>
  <c r="CC4" i="15" s="1"/>
  <c r="AN4" i="15"/>
  <c r="CB4" i="15" s="1"/>
  <c r="AM4" i="15"/>
  <c r="CA4" i="15" s="1"/>
  <c r="AV35" i="5"/>
  <c r="AV32" i="5"/>
  <c r="AV28" i="5"/>
  <c r="AV27" i="5"/>
  <c r="AV21" i="5"/>
  <c r="AV20" i="5"/>
  <c r="AV5" i="5"/>
  <c r="CB43" i="15" l="1"/>
  <c r="CB44" i="15"/>
  <c r="BY44" i="15"/>
  <c r="BZ43" i="15"/>
  <c r="BX43" i="15"/>
  <c r="BX44" i="15"/>
  <c r="CC43" i="15"/>
  <c r="BZ44" i="15"/>
  <c r="CA44" i="15"/>
  <c r="CA43" i="15"/>
  <c r="CC44" i="15"/>
  <c r="BY43" i="15"/>
  <c r="AU35" i="5"/>
  <c r="AU32" i="5"/>
  <c r="AU28" i="5"/>
  <c r="AU27" i="5"/>
  <c r="AU21" i="5"/>
  <c r="AU20" i="5"/>
  <c r="AU5" i="5"/>
  <c r="AT35" i="5" l="1"/>
  <c r="AT32" i="5"/>
  <c r="AT28" i="5"/>
  <c r="AT27" i="5"/>
  <c r="AT21" i="5"/>
  <c r="AT20" i="5"/>
  <c r="AT5" i="5"/>
  <c r="AS35" i="5" l="1"/>
  <c r="AS32" i="5"/>
  <c r="AS28" i="5"/>
  <c r="AS27" i="5"/>
  <c r="AS21" i="5"/>
  <c r="AS20" i="5"/>
  <c r="AS15" i="5"/>
  <c r="AR5" i="5"/>
  <c r="AS5" i="5"/>
  <c r="AR35" i="5" l="1"/>
  <c r="AR32" i="5"/>
  <c r="AR28" i="5"/>
  <c r="AR27" i="5"/>
  <c r="AR21" i="5"/>
  <c r="AR20" i="5"/>
  <c r="AR19" i="5"/>
  <c r="AR15" i="5"/>
  <c r="AR11" i="5"/>
  <c r="AQ35" i="5" l="1"/>
  <c r="AQ32" i="5"/>
  <c r="AQ30" i="5"/>
  <c r="AQ28" i="5"/>
  <c r="AQ27" i="5"/>
  <c r="AQ21" i="5"/>
  <c r="AQ20" i="5"/>
  <c r="AQ19" i="5"/>
  <c r="AQ15" i="5"/>
  <c r="AQ11" i="5"/>
  <c r="AQ5" i="5"/>
  <c r="L43" i="15" l="1"/>
  <c r="M43" i="15"/>
  <c r="N43" i="15"/>
  <c r="O43" i="15"/>
  <c r="P43" i="15"/>
  <c r="Q43" i="15"/>
  <c r="R43" i="15"/>
  <c r="S43" i="15"/>
  <c r="T43" i="15"/>
  <c r="U43" i="15"/>
  <c r="V43" i="15"/>
  <c r="W43" i="15"/>
  <c r="X43" i="15"/>
  <c r="Y43" i="15"/>
  <c r="Z43" i="15"/>
  <c r="AA43" i="15"/>
  <c r="AB43" i="15"/>
  <c r="AC43" i="15"/>
  <c r="AD43" i="15"/>
  <c r="AE43" i="15"/>
  <c r="AF43" i="15"/>
  <c r="AG43" i="15"/>
  <c r="AH43" i="15"/>
  <c r="AI43" i="15"/>
  <c r="L44" i="15"/>
  <c r="M44" i="15"/>
  <c r="N44" i="15"/>
  <c r="O44" i="15"/>
  <c r="P44" i="15"/>
  <c r="Q44" i="15"/>
  <c r="R44" i="15"/>
  <c r="S44" i="15"/>
  <c r="T44" i="15"/>
  <c r="U44" i="15"/>
  <c r="V44" i="15"/>
  <c r="W44" i="15"/>
  <c r="X44" i="15"/>
  <c r="Y44" i="15"/>
  <c r="Z44" i="15"/>
  <c r="AA44" i="15"/>
  <c r="AB44" i="15"/>
  <c r="AC44" i="15"/>
  <c r="AD44" i="15"/>
  <c r="AE44" i="15"/>
  <c r="AF44" i="15"/>
  <c r="AG44" i="15"/>
  <c r="AH44" i="15"/>
  <c r="AI44" i="15"/>
  <c r="U43" i="5"/>
  <c r="U44" i="5"/>
  <c r="AQ43" i="5"/>
  <c r="AR43" i="5"/>
  <c r="AS43" i="5"/>
  <c r="AT43" i="5"/>
  <c r="AU43" i="5"/>
  <c r="AV43" i="5"/>
  <c r="AW43" i="5"/>
  <c r="AX43" i="5"/>
  <c r="AY43" i="5"/>
  <c r="AZ43" i="5"/>
  <c r="BA43" i="5"/>
  <c r="AQ44" i="5"/>
  <c r="AR44" i="5"/>
  <c r="AS44" i="5"/>
  <c r="AT44" i="5"/>
  <c r="AU44" i="5"/>
  <c r="AV44" i="5"/>
  <c r="AW44" i="5"/>
  <c r="AX44" i="5"/>
  <c r="AY44" i="5"/>
  <c r="AZ44" i="5"/>
  <c r="BA44" i="5"/>
  <c r="BS3" i="15" l="1"/>
  <c r="BT3" i="15"/>
  <c r="BU3" i="15"/>
  <c r="BV3" i="15"/>
  <c r="BW3" i="15"/>
  <c r="BS5" i="15"/>
  <c r="BT5" i="15"/>
  <c r="BU5" i="15"/>
  <c r="BV5" i="15"/>
  <c r="BW5" i="15"/>
  <c r="BS6" i="15"/>
  <c r="BT6" i="15"/>
  <c r="BU6" i="15"/>
  <c r="BV6" i="15"/>
  <c r="BW6" i="15"/>
  <c r="BS7" i="15"/>
  <c r="BT7" i="15"/>
  <c r="BU7" i="15"/>
  <c r="BV7" i="15"/>
  <c r="BW7" i="15"/>
  <c r="BS8" i="15"/>
  <c r="BT8" i="15"/>
  <c r="BU8" i="15"/>
  <c r="BV8" i="15"/>
  <c r="BW8" i="15"/>
  <c r="BS9" i="15"/>
  <c r="BT9" i="15"/>
  <c r="BU9" i="15"/>
  <c r="BV9" i="15"/>
  <c r="BW9" i="15"/>
  <c r="BS10" i="15"/>
  <c r="BT10" i="15"/>
  <c r="BU10" i="15"/>
  <c r="BV10" i="15"/>
  <c r="BW10" i="15"/>
  <c r="BS11" i="15"/>
  <c r="BT11" i="15"/>
  <c r="BU11" i="15"/>
  <c r="BV11" i="15"/>
  <c r="BW11" i="15"/>
  <c r="BS12" i="15"/>
  <c r="BT12" i="15"/>
  <c r="BU12" i="15"/>
  <c r="BV12" i="15"/>
  <c r="BW12" i="15"/>
  <c r="BS13" i="15"/>
  <c r="BT13" i="15"/>
  <c r="BU13" i="15"/>
  <c r="BV13" i="15"/>
  <c r="BW13" i="15"/>
  <c r="BS14" i="15"/>
  <c r="BT14" i="15"/>
  <c r="BU14" i="15"/>
  <c r="BV14" i="15"/>
  <c r="BW14" i="15"/>
  <c r="BS15" i="15"/>
  <c r="BT15" i="15"/>
  <c r="BU15" i="15"/>
  <c r="BV15" i="15"/>
  <c r="BW15" i="15"/>
  <c r="BS16" i="15"/>
  <c r="BT16" i="15"/>
  <c r="BU16" i="15"/>
  <c r="BV16" i="15"/>
  <c r="BW16" i="15"/>
  <c r="BS17" i="15"/>
  <c r="BT17" i="15"/>
  <c r="BU17" i="15"/>
  <c r="BV17" i="15"/>
  <c r="BW17" i="15"/>
  <c r="BS18" i="15"/>
  <c r="BT18" i="15"/>
  <c r="BU18" i="15"/>
  <c r="BV18" i="15"/>
  <c r="BW18" i="15"/>
  <c r="BS19" i="15"/>
  <c r="BT19" i="15"/>
  <c r="BU19" i="15"/>
  <c r="BV19" i="15"/>
  <c r="BW19" i="15"/>
  <c r="BS20" i="15"/>
  <c r="BT20" i="15"/>
  <c r="BU20" i="15"/>
  <c r="BV20" i="15"/>
  <c r="BW20" i="15"/>
  <c r="BS21" i="15"/>
  <c r="BT21" i="15"/>
  <c r="BU21" i="15"/>
  <c r="BV21" i="15"/>
  <c r="BW21" i="15"/>
  <c r="BS22" i="15"/>
  <c r="BT22" i="15"/>
  <c r="BU22" i="15"/>
  <c r="BV22" i="15"/>
  <c r="BW22" i="15"/>
  <c r="BS23" i="15"/>
  <c r="BT23" i="15"/>
  <c r="BU23" i="15"/>
  <c r="BV23" i="15"/>
  <c r="BW23" i="15"/>
  <c r="BS24" i="15"/>
  <c r="BT24" i="15"/>
  <c r="BU24" i="15"/>
  <c r="BV24" i="15"/>
  <c r="BW24" i="15"/>
  <c r="BS25" i="15"/>
  <c r="BT25" i="15"/>
  <c r="BU25" i="15"/>
  <c r="BV25" i="15"/>
  <c r="BW25" i="15"/>
  <c r="BS26" i="15"/>
  <c r="BT26" i="15"/>
  <c r="BU26" i="15"/>
  <c r="BV26" i="15"/>
  <c r="BW26" i="15"/>
  <c r="BS27" i="15"/>
  <c r="BT27" i="15"/>
  <c r="BU27" i="15"/>
  <c r="BV27" i="15"/>
  <c r="BW27" i="15"/>
  <c r="BS28" i="15"/>
  <c r="BT28" i="15"/>
  <c r="BU28" i="15"/>
  <c r="BV28" i="15"/>
  <c r="BW28" i="15"/>
  <c r="BS29" i="15"/>
  <c r="BT29" i="15"/>
  <c r="BU29" i="15"/>
  <c r="BV29" i="15"/>
  <c r="BW29" i="15"/>
  <c r="BS30" i="15"/>
  <c r="BT30" i="15"/>
  <c r="BU30" i="15"/>
  <c r="BV30" i="15"/>
  <c r="BW30" i="15"/>
  <c r="BS31" i="15"/>
  <c r="BT31" i="15"/>
  <c r="BU31" i="15"/>
  <c r="BV31" i="15"/>
  <c r="BW31" i="15"/>
  <c r="BS32" i="15"/>
  <c r="BT32" i="15"/>
  <c r="BU32" i="15"/>
  <c r="BV32" i="15"/>
  <c r="BW32" i="15"/>
  <c r="BS33" i="15"/>
  <c r="BT33" i="15"/>
  <c r="BU33" i="15"/>
  <c r="BV33" i="15"/>
  <c r="BW33" i="15"/>
  <c r="BS34" i="15"/>
  <c r="BT34" i="15"/>
  <c r="BU34" i="15"/>
  <c r="BV34" i="15"/>
  <c r="BW34" i="15"/>
  <c r="BS35" i="15"/>
  <c r="BT35" i="15"/>
  <c r="BU35" i="15"/>
  <c r="BV35" i="15"/>
  <c r="BW35" i="15"/>
  <c r="BS36" i="15"/>
  <c r="BT36" i="15"/>
  <c r="BU36" i="15"/>
  <c r="BV36" i="15"/>
  <c r="BW36" i="15"/>
  <c r="BS37" i="15"/>
  <c r="BT37" i="15"/>
  <c r="BU37" i="15"/>
  <c r="BV37" i="15"/>
  <c r="BW37" i="15"/>
  <c r="BS38" i="15"/>
  <c r="BT38" i="15"/>
  <c r="BU38" i="15"/>
  <c r="BV38" i="15"/>
  <c r="BW38" i="15"/>
  <c r="BS39" i="15"/>
  <c r="BT39" i="15"/>
  <c r="BU39" i="15"/>
  <c r="BV39" i="15"/>
  <c r="BW39" i="15"/>
  <c r="BS40" i="15"/>
  <c r="BT40" i="15"/>
  <c r="BU40" i="15"/>
  <c r="BV40" i="15"/>
  <c r="BW40" i="15"/>
  <c r="BS41" i="15"/>
  <c r="BT41" i="15"/>
  <c r="BU41" i="15"/>
  <c r="BV41" i="15"/>
  <c r="BW41" i="15"/>
  <c r="AE4" i="15"/>
  <c r="BS4" i="15" s="1"/>
  <c r="AF4" i="15"/>
  <c r="BT4" i="15" s="1"/>
  <c r="AG4" i="15"/>
  <c r="BU4" i="15" s="1"/>
  <c r="AH4" i="15"/>
  <c r="BV4" i="15" s="1"/>
  <c r="AI4" i="15"/>
  <c r="BW4" i="15" s="1"/>
  <c r="AP38" i="5"/>
  <c r="AP37" i="5"/>
  <c r="AP35" i="5"/>
  <c r="AP32" i="5"/>
  <c r="AP30" i="5"/>
  <c r="AP28" i="5"/>
  <c r="AP27" i="5"/>
  <c r="AP26" i="5"/>
  <c r="AP21" i="5"/>
  <c r="AP20" i="5"/>
  <c r="AP19" i="5"/>
  <c r="AP15" i="5"/>
  <c r="AP11" i="5"/>
  <c r="AP6" i="5"/>
  <c r="AP5" i="5"/>
  <c r="AP44" i="5" l="1"/>
  <c r="AP43" i="5"/>
  <c r="BW44" i="15"/>
  <c r="BW43" i="15"/>
  <c r="BV43" i="15"/>
  <c r="BV44" i="15"/>
  <c r="BU44" i="15"/>
  <c r="BU43" i="15"/>
  <c r="BT43" i="15"/>
  <c r="BT44" i="15"/>
  <c r="BS43" i="15"/>
  <c r="BS44" i="15"/>
  <c r="AQ4" i="5"/>
  <c r="AR4" i="5"/>
  <c r="CG4" i="5" s="1"/>
  <c r="AS4" i="5"/>
  <c r="AT4" i="5"/>
  <c r="CI4" i="5" s="1"/>
  <c r="AU4" i="5"/>
  <c r="AV4" i="5"/>
  <c r="CK4" i="5" s="1"/>
  <c r="AW4" i="5"/>
  <c r="AX4" i="5"/>
  <c r="CM4" i="5" s="1"/>
  <c r="AY4" i="5"/>
  <c r="CN4" i="5" s="1"/>
  <c r="AZ4" i="5"/>
  <c r="CO4" i="5" s="1"/>
  <c r="CJ4" i="5" l="1"/>
  <c r="CF4" i="5"/>
  <c r="CL4" i="5"/>
  <c r="CH4" i="5"/>
  <c r="AO38" i="5"/>
  <c r="AO37" i="5"/>
  <c r="AO35" i="5"/>
  <c r="AO32" i="5"/>
  <c r="AO30" i="5"/>
  <c r="AO28" i="5"/>
  <c r="AO27" i="5"/>
  <c r="AO26" i="5"/>
  <c r="AO24" i="5"/>
  <c r="AO21" i="5"/>
  <c r="AO20" i="5"/>
  <c r="AO19" i="5"/>
  <c r="AO15" i="5"/>
  <c r="AO11" i="5"/>
  <c r="AO6" i="5"/>
  <c r="AO5" i="5"/>
  <c r="AO44" i="5" l="1"/>
  <c r="AO43" i="5"/>
  <c r="AN38" i="5"/>
  <c r="AN37" i="5"/>
  <c r="AN35" i="5"/>
  <c r="AN33" i="5"/>
  <c r="AN32" i="5"/>
  <c r="AN30" i="5"/>
  <c r="AN28" i="5"/>
  <c r="AN27" i="5"/>
  <c r="AN26" i="5"/>
  <c r="AN24" i="5"/>
  <c r="AN21" i="5"/>
  <c r="AN20" i="5"/>
  <c r="AN19" i="5"/>
  <c r="AN15" i="5"/>
  <c r="AN11" i="5"/>
  <c r="AN6" i="5"/>
  <c r="AN5" i="5"/>
  <c r="AN4" i="5"/>
  <c r="AN43" i="5" l="1"/>
  <c r="AN44" i="5"/>
  <c r="CC4" i="5"/>
  <c r="BO3" i="15"/>
  <c r="BP3" i="15"/>
  <c r="BQ3" i="15"/>
  <c r="BO5" i="15"/>
  <c r="BP5" i="15"/>
  <c r="BQ5" i="15"/>
  <c r="BR5" i="15"/>
  <c r="BO6" i="15"/>
  <c r="BP6" i="15"/>
  <c r="BQ6" i="15"/>
  <c r="BR6" i="15"/>
  <c r="BO7" i="15"/>
  <c r="BP7" i="15"/>
  <c r="BQ7" i="15"/>
  <c r="BR7" i="15"/>
  <c r="BO8" i="15"/>
  <c r="BP8" i="15"/>
  <c r="BQ8" i="15"/>
  <c r="BR8" i="15"/>
  <c r="BO9" i="15"/>
  <c r="BP9" i="15"/>
  <c r="BQ9" i="15"/>
  <c r="BR9" i="15"/>
  <c r="BO10" i="15"/>
  <c r="BP10" i="15"/>
  <c r="BQ10" i="15"/>
  <c r="BR10" i="15"/>
  <c r="BO11" i="15"/>
  <c r="BP11" i="15"/>
  <c r="BQ11" i="15"/>
  <c r="BR11" i="15"/>
  <c r="BO12" i="15"/>
  <c r="BP12" i="15"/>
  <c r="BQ12" i="15"/>
  <c r="BR12" i="15"/>
  <c r="BO13" i="15"/>
  <c r="BP13" i="15"/>
  <c r="BQ13" i="15"/>
  <c r="BR13" i="15"/>
  <c r="BO14" i="15"/>
  <c r="BP14" i="15"/>
  <c r="BQ14" i="15"/>
  <c r="BR14" i="15"/>
  <c r="BO15" i="15"/>
  <c r="BP15" i="15"/>
  <c r="BQ15" i="15"/>
  <c r="BR15" i="15"/>
  <c r="BO16" i="15"/>
  <c r="BP16" i="15"/>
  <c r="BQ16" i="15"/>
  <c r="BR16" i="15"/>
  <c r="BO17" i="15"/>
  <c r="BP17" i="15"/>
  <c r="BQ17" i="15"/>
  <c r="BR17" i="15"/>
  <c r="BO18" i="15"/>
  <c r="BP18" i="15"/>
  <c r="BQ18" i="15"/>
  <c r="BR18" i="15"/>
  <c r="BO19" i="15"/>
  <c r="BP19" i="15"/>
  <c r="BQ19" i="15"/>
  <c r="BR19" i="15"/>
  <c r="BO20" i="15"/>
  <c r="BP20" i="15"/>
  <c r="BQ20" i="15"/>
  <c r="BR20" i="15"/>
  <c r="BO21" i="15"/>
  <c r="BP21" i="15"/>
  <c r="BQ21" i="15"/>
  <c r="BR21" i="15"/>
  <c r="BO22" i="15"/>
  <c r="BP22" i="15"/>
  <c r="BQ22" i="15"/>
  <c r="BR22" i="15"/>
  <c r="BO23" i="15"/>
  <c r="BP23" i="15"/>
  <c r="BQ23" i="15"/>
  <c r="BR23" i="15"/>
  <c r="BO24" i="15"/>
  <c r="BP24" i="15"/>
  <c r="BQ24" i="15"/>
  <c r="BR24" i="15"/>
  <c r="BO25" i="15"/>
  <c r="BP25" i="15"/>
  <c r="BQ25" i="15"/>
  <c r="BR25" i="15"/>
  <c r="BO26" i="15"/>
  <c r="BP26" i="15"/>
  <c r="BQ26" i="15"/>
  <c r="BR26" i="15"/>
  <c r="BO27" i="15"/>
  <c r="BP27" i="15"/>
  <c r="BQ27" i="15"/>
  <c r="BR27" i="15"/>
  <c r="BO28" i="15"/>
  <c r="BP28" i="15"/>
  <c r="BQ28" i="15"/>
  <c r="BR28" i="15"/>
  <c r="BO29" i="15"/>
  <c r="BP29" i="15"/>
  <c r="BQ29" i="15"/>
  <c r="BR29" i="15"/>
  <c r="BO30" i="15"/>
  <c r="BP30" i="15"/>
  <c r="BQ30" i="15"/>
  <c r="BR30" i="15"/>
  <c r="BO31" i="15"/>
  <c r="BP31" i="15"/>
  <c r="BQ31" i="15"/>
  <c r="BR31" i="15"/>
  <c r="BO32" i="15"/>
  <c r="BP32" i="15"/>
  <c r="BQ32" i="15"/>
  <c r="BR32" i="15"/>
  <c r="BO33" i="15"/>
  <c r="BP33" i="15"/>
  <c r="BQ33" i="15"/>
  <c r="BR33" i="15"/>
  <c r="BO34" i="15"/>
  <c r="BP34" i="15"/>
  <c r="BQ34" i="15"/>
  <c r="BR34" i="15"/>
  <c r="BO35" i="15"/>
  <c r="BP35" i="15"/>
  <c r="BQ35" i="15"/>
  <c r="BR35" i="15"/>
  <c r="BO36" i="15"/>
  <c r="BP36" i="15"/>
  <c r="BQ36" i="15"/>
  <c r="BR36" i="15"/>
  <c r="BO37" i="15"/>
  <c r="BP37" i="15"/>
  <c r="BQ37" i="15"/>
  <c r="BR37" i="15"/>
  <c r="BO38" i="15"/>
  <c r="BP38" i="15"/>
  <c r="BQ38" i="15"/>
  <c r="BR38" i="15"/>
  <c r="BO39" i="15"/>
  <c r="BP39" i="15"/>
  <c r="BQ39" i="15"/>
  <c r="BR39" i="15"/>
  <c r="BO40" i="15"/>
  <c r="BP40" i="15"/>
  <c r="BQ40" i="15"/>
  <c r="BR40" i="15"/>
  <c r="BO41" i="15"/>
  <c r="BP41" i="15"/>
  <c r="BQ41" i="15"/>
  <c r="BR41" i="15"/>
  <c r="AA4" i="15"/>
  <c r="BO4" i="15" s="1"/>
  <c r="AB4" i="15"/>
  <c r="BP4" i="15" s="1"/>
  <c r="AC4" i="15"/>
  <c r="BQ4" i="15" s="1"/>
  <c r="AD4" i="15"/>
  <c r="BR4" i="15" s="1"/>
  <c r="AO4" i="5"/>
  <c r="AP4" i="5"/>
  <c r="AM41" i="5"/>
  <c r="AM40" i="5"/>
  <c r="AM38" i="5"/>
  <c r="AM37" i="5"/>
  <c r="AM35" i="5"/>
  <c r="AM33" i="5"/>
  <c r="AM32" i="5"/>
  <c r="AM30" i="5"/>
  <c r="AM28" i="5"/>
  <c r="AM27" i="5"/>
  <c r="AM26" i="5"/>
  <c r="AM24" i="5"/>
  <c r="AM20" i="5"/>
  <c r="AM19" i="5"/>
  <c r="AM15" i="5"/>
  <c r="AM11" i="5"/>
  <c r="AM7" i="5"/>
  <c r="AM6" i="5"/>
  <c r="AM5" i="5"/>
  <c r="AM43" i="5" l="1"/>
  <c r="AM44" i="5"/>
  <c r="CE4" i="5"/>
  <c r="CD4" i="5"/>
  <c r="BR43" i="15"/>
  <c r="BR44" i="15"/>
  <c r="BQ43" i="15"/>
  <c r="BQ44" i="15"/>
  <c r="BP43" i="15"/>
  <c r="BP44" i="15"/>
  <c r="BO44" i="15"/>
  <c r="BO43" i="15"/>
  <c r="AL41" i="5"/>
  <c r="AL40" i="5"/>
  <c r="AL38" i="5"/>
  <c r="AL37" i="5"/>
  <c r="AL36" i="5"/>
  <c r="AL35" i="5"/>
  <c r="AL33" i="5"/>
  <c r="AL32" i="5"/>
  <c r="AL30" i="5"/>
  <c r="AL27" i="5"/>
  <c r="AL26" i="5"/>
  <c r="AL24" i="5"/>
  <c r="AL22" i="5"/>
  <c r="AL21" i="5"/>
  <c r="AL20" i="5"/>
  <c r="AL19" i="5"/>
  <c r="AL17" i="5"/>
  <c r="AL15" i="5"/>
  <c r="AL11" i="5"/>
  <c r="AL7" i="5"/>
  <c r="AL6" i="5"/>
  <c r="AL5" i="5"/>
  <c r="AL44" i="5" l="1"/>
  <c r="AL43" i="5"/>
  <c r="AM4" i="5"/>
  <c r="AK41" i="5"/>
  <c r="AK40" i="5"/>
  <c r="AK38" i="5"/>
  <c r="AK37" i="5"/>
  <c r="AK36" i="5"/>
  <c r="AK35" i="5"/>
  <c r="AK34" i="5"/>
  <c r="AK33" i="5"/>
  <c r="AK32" i="5"/>
  <c r="AK30" i="5"/>
  <c r="AK27" i="5"/>
  <c r="AK26" i="5"/>
  <c r="AK24" i="5"/>
  <c r="AK22" i="5"/>
  <c r="AK19" i="5"/>
  <c r="AK17" i="5"/>
  <c r="AK15" i="5"/>
  <c r="AK11" i="5"/>
  <c r="AK8" i="5"/>
  <c r="AK7" i="5"/>
  <c r="AK6" i="5"/>
  <c r="AK5" i="5"/>
  <c r="CB4" i="5" l="1"/>
  <c r="AK43" i="5"/>
  <c r="AK44" i="5"/>
  <c r="AJ41" i="5"/>
  <c r="AJ40" i="5"/>
  <c r="AJ38" i="5"/>
  <c r="AJ37" i="5"/>
  <c r="AJ36" i="5"/>
  <c r="AJ35" i="5"/>
  <c r="AJ34" i="5"/>
  <c r="AJ33" i="5"/>
  <c r="AJ32" i="5"/>
  <c r="AJ30" i="5"/>
  <c r="AJ28" i="5"/>
  <c r="AJ27" i="5"/>
  <c r="AJ26" i="5"/>
  <c r="AJ24" i="5"/>
  <c r="AJ23" i="5"/>
  <c r="W23" i="5"/>
  <c r="AJ22" i="5"/>
  <c r="AJ21" i="5"/>
  <c r="AJ20" i="5"/>
  <c r="AJ19" i="5"/>
  <c r="AJ18" i="5"/>
  <c r="AJ17" i="5"/>
  <c r="AJ15" i="5"/>
  <c r="AJ13" i="5"/>
  <c r="AJ11" i="5"/>
  <c r="AJ8" i="5"/>
  <c r="AJ7" i="5"/>
  <c r="AJ6" i="5"/>
  <c r="AJ5" i="5"/>
  <c r="AJ44" i="5" l="1"/>
  <c r="AJ43" i="5"/>
  <c r="AI41" i="5"/>
  <c r="AI40" i="5"/>
  <c r="AI38" i="5"/>
  <c r="AI37" i="5"/>
  <c r="AI36" i="5"/>
  <c r="AI35" i="5"/>
  <c r="AI34" i="5"/>
  <c r="AI33" i="5"/>
  <c r="AI32" i="5"/>
  <c r="AI30" i="5"/>
  <c r="AI28" i="5"/>
  <c r="AI26" i="5"/>
  <c r="AI24" i="5"/>
  <c r="AI23" i="5"/>
  <c r="AI22" i="5"/>
  <c r="AI21" i="5"/>
  <c r="AI20" i="5"/>
  <c r="AI19" i="5"/>
  <c r="AI17" i="5"/>
  <c r="AI18" i="5"/>
  <c r="AI15" i="5"/>
  <c r="AI13" i="5"/>
  <c r="AI11" i="5"/>
  <c r="AI10" i="5"/>
  <c r="AI8" i="5"/>
  <c r="AI7" i="5"/>
  <c r="AI6" i="5"/>
  <c r="AI5" i="5"/>
  <c r="AI43" i="5" l="1"/>
  <c r="AI44" i="5"/>
  <c r="AH41" i="5" l="1"/>
  <c r="AH40" i="5"/>
  <c r="AH38" i="5"/>
  <c r="AH37" i="5"/>
  <c r="AH36" i="5"/>
  <c r="AH35" i="5"/>
  <c r="AH34" i="5"/>
  <c r="AH33" i="5"/>
  <c r="AH32" i="5"/>
  <c r="AH30" i="5"/>
  <c r="AH28" i="5"/>
  <c r="AH27" i="5"/>
  <c r="AH26" i="5"/>
  <c r="AH24" i="5"/>
  <c r="AH23" i="5"/>
  <c r="AH22" i="5"/>
  <c r="AH21" i="5"/>
  <c r="AH20" i="5"/>
  <c r="AH19" i="5"/>
  <c r="AH18" i="5"/>
  <c r="AH17" i="5"/>
  <c r="AH15" i="5"/>
  <c r="AH14" i="5"/>
  <c r="AH13" i="5"/>
  <c r="AH11" i="5"/>
  <c r="AH10" i="5"/>
  <c r="AH8" i="5"/>
  <c r="AH7" i="5"/>
  <c r="AH6" i="5"/>
  <c r="AH5" i="5"/>
  <c r="AH44" i="5" l="1"/>
  <c r="AH43" i="5"/>
  <c r="H16" i="14"/>
  <c r="H17" i="14"/>
  <c r="H18" i="14"/>
  <c r="H19" i="14"/>
  <c r="H20" i="14"/>
  <c r="H21" i="14"/>
  <c r="AG41" i="5" l="1"/>
  <c r="AG40" i="5"/>
  <c r="AG39" i="5"/>
  <c r="AG38" i="5"/>
  <c r="AG37" i="5"/>
  <c r="AG36" i="5"/>
  <c r="AG35" i="5"/>
  <c r="AG34" i="5"/>
  <c r="AG33" i="5"/>
  <c r="AG31" i="5"/>
  <c r="AG30" i="5"/>
  <c r="AG29" i="5"/>
  <c r="AG27" i="5"/>
  <c r="AG26" i="5"/>
  <c r="AG25" i="5"/>
  <c r="AG24" i="5"/>
  <c r="AG23" i="5"/>
  <c r="AG22" i="5"/>
  <c r="AG21" i="5"/>
  <c r="AG20" i="5"/>
  <c r="AG18" i="5"/>
  <c r="AG17" i="5"/>
  <c r="AG16" i="5"/>
  <c r="AG15" i="5"/>
  <c r="AG14" i="5"/>
  <c r="AG13" i="5"/>
  <c r="AG12" i="5"/>
  <c r="AG11" i="5"/>
  <c r="AG10" i="5"/>
  <c r="AG9" i="5"/>
  <c r="AG8" i="5"/>
  <c r="AG7" i="5"/>
  <c r="AG6" i="5"/>
  <c r="AG5" i="5"/>
  <c r="BI24" i="15"/>
  <c r="AF41" i="5"/>
  <c r="AF40" i="5"/>
  <c r="AF39" i="5"/>
  <c r="AF38" i="5"/>
  <c r="AF37" i="5"/>
  <c r="AF35" i="5"/>
  <c r="AF34" i="5"/>
  <c r="AF33" i="5"/>
  <c r="AF31" i="5"/>
  <c r="AF30" i="5"/>
  <c r="AF29" i="5"/>
  <c r="AF27" i="5"/>
  <c r="AF26" i="5"/>
  <c r="AF25" i="5"/>
  <c r="AF23" i="5"/>
  <c r="AF22" i="5"/>
  <c r="AF21" i="5"/>
  <c r="AF20" i="5"/>
  <c r="AF18" i="5"/>
  <c r="AF17" i="5"/>
  <c r="AF16" i="5"/>
  <c r="AF14" i="5"/>
  <c r="AF13" i="5"/>
  <c r="AF12" i="5"/>
  <c r="AF11" i="5"/>
  <c r="AF10" i="5"/>
  <c r="AF9" i="5"/>
  <c r="AF7" i="5"/>
  <c r="AF8" i="5"/>
  <c r="AF6" i="5"/>
  <c r="AF5" i="5"/>
  <c r="AE41" i="5"/>
  <c r="AE40" i="5"/>
  <c r="AE39" i="5"/>
  <c r="AE38" i="5"/>
  <c r="AE37" i="5"/>
  <c r="AE36" i="5"/>
  <c r="AE35" i="5"/>
  <c r="AE34" i="5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6" i="5"/>
  <c r="AE5" i="5"/>
  <c r="AE43" i="5" l="1"/>
  <c r="AE44" i="5"/>
  <c r="AF43" i="5"/>
  <c r="AF44" i="5"/>
  <c r="AG43" i="5"/>
  <c r="AG44" i="5"/>
  <c r="W4" i="5"/>
  <c r="AD41" i="5" l="1"/>
  <c r="AD40" i="5"/>
  <c r="AD39" i="5"/>
  <c r="AD38" i="5"/>
  <c r="AD37" i="5"/>
  <c r="AD36" i="5"/>
  <c r="AD35" i="5"/>
  <c r="AD34" i="5"/>
  <c r="AD33" i="5"/>
  <c r="AD32" i="5"/>
  <c r="AD31" i="5"/>
  <c r="AD30" i="5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5" i="5"/>
  <c r="BF3" i="15"/>
  <c r="AD44" i="5" l="1"/>
  <c r="AD43" i="5"/>
  <c r="AC41" i="5"/>
  <c r="AC40" i="5"/>
  <c r="AC39" i="5"/>
  <c r="AC38" i="5"/>
  <c r="AC37" i="5"/>
  <c r="AC36" i="5"/>
  <c r="AC35" i="5"/>
  <c r="AC34" i="5"/>
  <c r="AC33" i="5"/>
  <c r="AC32" i="5"/>
  <c r="AC31" i="5"/>
  <c r="AC30" i="5"/>
  <c r="AC29" i="5"/>
  <c r="AC28" i="5"/>
  <c r="AC27" i="5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AC7" i="5"/>
  <c r="AC6" i="5"/>
  <c r="AC5" i="5"/>
  <c r="AC43" i="5" l="1"/>
  <c r="AC44" i="5"/>
  <c r="AB41" i="5"/>
  <c r="AB40" i="5"/>
  <c r="AB39" i="5"/>
  <c r="AB38" i="5"/>
  <c r="AB37" i="5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B6" i="5"/>
  <c r="AB5" i="5"/>
  <c r="AB43" i="5" l="1"/>
  <c r="AB44" i="5"/>
  <c r="E108" i="18"/>
  <c r="E104" i="18"/>
  <c r="E100" i="18"/>
  <c r="E96" i="18"/>
  <c r="E92" i="18"/>
  <c r="E88" i="18"/>
  <c r="E84" i="18"/>
  <c r="E80" i="18"/>
  <c r="E76" i="18"/>
  <c r="E72" i="18"/>
  <c r="E68" i="18"/>
  <c r="R68" i="18" s="1"/>
  <c r="E64" i="18"/>
  <c r="S65" i="18" s="1"/>
  <c r="E60" i="18"/>
  <c r="E56" i="18"/>
  <c r="E52" i="18"/>
  <c r="M44" i="18"/>
  <c r="N44" i="18"/>
  <c r="O44" i="18"/>
  <c r="P44" i="18"/>
  <c r="Q44" i="18"/>
  <c r="R44" i="18"/>
  <c r="S44" i="18"/>
  <c r="T44" i="18"/>
  <c r="U44" i="18"/>
  <c r="V44" i="18"/>
  <c r="W44" i="18"/>
  <c r="X44" i="18"/>
  <c r="Y44" i="18"/>
  <c r="Z44" i="18"/>
  <c r="AA44" i="18"/>
  <c r="AB44" i="18"/>
  <c r="AC44" i="18"/>
  <c r="AD44" i="18"/>
  <c r="AE44" i="18"/>
  <c r="AF44" i="18"/>
  <c r="AG44" i="18"/>
  <c r="AH44" i="18"/>
  <c r="AI44" i="18"/>
  <c r="AJ44" i="18"/>
  <c r="AK44" i="18"/>
  <c r="AL44" i="18"/>
  <c r="AM44" i="18"/>
  <c r="M45" i="18"/>
  <c r="N45" i="18"/>
  <c r="O45" i="18"/>
  <c r="P45" i="18"/>
  <c r="Q45" i="18"/>
  <c r="R45" i="18"/>
  <c r="S45" i="18"/>
  <c r="T45" i="18"/>
  <c r="U45" i="18"/>
  <c r="V45" i="18"/>
  <c r="W45" i="18"/>
  <c r="X45" i="18"/>
  <c r="Y45" i="18"/>
  <c r="Z45" i="18"/>
  <c r="AA45" i="18"/>
  <c r="AB45" i="18"/>
  <c r="AC45" i="18"/>
  <c r="AD45" i="18"/>
  <c r="AE45" i="18"/>
  <c r="AF45" i="18"/>
  <c r="AG45" i="18"/>
  <c r="AH45" i="18"/>
  <c r="AI45" i="18"/>
  <c r="AJ45" i="18"/>
  <c r="AK45" i="18"/>
  <c r="AL45" i="18"/>
  <c r="AM45" i="18"/>
  <c r="L44" i="18"/>
  <c r="L45" i="18"/>
  <c r="K44" i="18"/>
  <c r="K45" i="18"/>
  <c r="J45" i="18"/>
  <c r="J44" i="18"/>
  <c r="J46" i="18" s="1"/>
  <c r="E48" i="18"/>
  <c r="E111" i="16"/>
  <c r="E104" i="16"/>
  <c r="E97" i="16"/>
  <c r="E90" i="16"/>
  <c r="E83" i="16"/>
  <c r="E76" i="16"/>
  <c r="E69" i="16"/>
  <c r="E62" i="16"/>
  <c r="E55" i="16"/>
  <c r="H55" i="16" s="1"/>
  <c r="E48" i="16"/>
  <c r="H97" i="16"/>
  <c r="AG5" i="16"/>
  <c r="AH5" i="16"/>
  <c r="AI5" i="16"/>
  <c r="AJ5" i="16"/>
  <c r="AK5" i="16"/>
  <c r="AL5" i="16"/>
  <c r="AM5" i="16"/>
  <c r="AN5" i="16"/>
  <c r="AO5" i="16"/>
  <c r="AP5" i="16"/>
  <c r="AQ5" i="16"/>
  <c r="AR5" i="16"/>
  <c r="AS5" i="16"/>
  <c r="AT5" i="16"/>
  <c r="AU5" i="16"/>
  <c r="AV5" i="16"/>
  <c r="AW5" i="16"/>
  <c r="AX5" i="16"/>
  <c r="AG6" i="16"/>
  <c r="AH6" i="16"/>
  <c r="AI6" i="16"/>
  <c r="AJ6" i="16"/>
  <c r="AK6" i="16"/>
  <c r="AL6" i="16"/>
  <c r="AM6" i="16"/>
  <c r="AN6" i="16"/>
  <c r="AO6" i="16"/>
  <c r="AP6" i="16"/>
  <c r="AQ6" i="16"/>
  <c r="AR6" i="16"/>
  <c r="AS6" i="16"/>
  <c r="AT6" i="16"/>
  <c r="AU6" i="16"/>
  <c r="AV6" i="16"/>
  <c r="AW6" i="16"/>
  <c r="AX6" i="16"/>
  <c r="AG7" i="16"/>
  <c r="AH7" i="16"/>
  <c r="AI7" i="16"/>
  <c r="AJ7" i="16"/>
  <c r="AK7" i="16"/>
  <c r="AL7" i="16"/>
  <c r="AM7" i="16"/>
  <c r="AN7" i="16"/>
  <c r="AO7" i="16"/>
  <c r="AP7" i="16"/>
  <c r="AQ7" i="16"/>
  <c r="AR7" i="16"/>
  <c r="AS7" i="16"/>
  <c r="AT7" i="16"/>
  <c r="AU7" i="16"/>
  <c r="AV7" i="16"/>
  <c r="AW7" i="16"/>
  <c r="AX7" i="16"/>
  <c r="AG8" i="16"/>
  <c r="AH8" i="16"/>
  <c r="AI8" i="16"/>
  <c r="AJ8" i="16"/>
  <c r="AK8" i="16"/>
  <c r="AL8" i="16"/>
  <c r="AM8" i="16"/>
  <c r="AN8" i="16"/>
  <c r="AO8" i="16"/>
  <c r="AP8" i="16"/>
  <c r="AQ8" i="16"/>
  <c r="AR8" i="16"/>
  <c r="AS8" i="16"/>
  <c r="AT8" i="16"/>
  <c r="AU8" i="16"/>
  <c r="AV8" i="16"/>
  <c r="AW8" i="16"/>
  <c r="AX8" i="16"/>
  <c r="AG9" i="16"/>
  <c r="AH9" i="16"/>
  <c r="AI9" i="16"/>
  <c r="AJ9" i="16"/>
  <c r="AK9" i="16"/>
  <c r="AL9" i="16"/>
  <c r="AM9" i="16"/>
  <c r="AN9" i="16"/>
  <c r="AO9" i="16"/>
  <c r="AP9" i="16"/>
  <c r="AQ9" i="16"/>
  <c r="AR9" i="16"/>
  <c r="AS9" i="16"/>
  <c r="AT9" i="16"/>
  <c r="AU9" i="16"/>
  <c r="AV9" i="16"/>
  <c r="AW9" i="16"/>
  <c r="AX9" i="16"/>
  <c r="AG10" i="16"/>
  <c r="AH10" i="16"/>
  <c r="AI10" i="16"/>
  <c r="AJ10" i="16"/>
  <c r="AK10" i="16"/>
  <c r="AL10" i="16"/>
  <c r="AM10" i="16"/>
  <c r="AN10" i="16"/>
  <c r="AO10" i="16"/>
  <c r="AP10" i="16"/>
  <c r="AQ10" i="16"/>
  <c r="AR10" i="16"/>
  <c r="AS10" i="16"/>
  <c r="AT10" i="16"/>
  <c r="AU10" i="16"/>
  <c r="AV10" i="16"/>
  <c r="AW10" i="16"/>
  <c r="AX10" i="16"/>
  <c r="AG11" i="16"/>
  <c r="AH11" i="16"/>
  <c r="AI11" i="16"/>
  <c r="AJ11" i="16"/>
  <c r="AK11" i="16"/>
  <c r="AL11" i="16"/>
  <c r="AM11" i="16"/>
  <c r="AN11" i="16"/>
  <c r="AO11" i="16"/>
  <c r="AP11" i="16"/>
  <c r="AQ11" i="16"/>
  <c r="AR11" i="16"/>
  <c r="AS11" i="16"/>
  <c r="AT11" i="16"/>
  <c r="AU11" i="16"/>
  <c r="AV11" i="16"/>
  <c r="AW11" i="16"/>
  <c r="AX11" i="16"/>
  <c r="AG12" i="16"/>
  <c r="AH12" i="16"/>
  <c r="AI12" i="16"/>
  <c r="AJ12" i="16"/>
  <c r="AK12" i="16"/>
  <c r="AL12" i="16"/>
  <c r="AM12" i="16"/>
  <c r="AN12" i="16"/>
  <c r="AO12" i="16"/>
  <c r="AP12" i="16"/>
  <c r="AQ12" i="16"/>
  <c r="AR12" i="16"/>
  <c r="AS12" i="16"/>
  <c r="AT12" i="16"/>
  <c r="AU12" i="16"/>
  <c r="AV12" i="16"/>
  <c r="AW12" i="16"/>
  <c r="AX12" i="16"/>
  <c r="AG13" i="16"/>
  <c r="AH13" i="16"/>
  <c r="AI13" i="16"/>
  <c r="AJ13" i="16"/>
  <c r="AK13" i="16"/>
  <c r="AL13" i="16"/>
  <c r="AM13" i="16"/>
  <c r="AN13" i="16"/>
  <c r="AO13" i="16"/>
  <c r="AP13" i="16"/>
  <c r="AQ13" i="16"/>
  <c r="AR13" i="16"/>
  <c r="AS13" i="16"/>
  <c r="AT13" i="16"/>
  <c r="AU13" i="16"/>
  <c r="AV13" i="16"/>
  <c r="AW13" i="16"/>
  <c r="AX13" i="16"/>
  <c r="AG14" i="16"/>
  <c r="AH14" i="16"/>
  <c r="AI14" i="16"/>
  <c r="AJ14" i="16"/>
  <c r="AK14" i="16"/>
  <c r="AL14" i="16"/>
  <c r="AM14" i="16"/>
  <c r="AN14" i="16"/>
  <c r="AO14" i="16"/>
  <c r="AP14" i="16"/>
  <c r="AQ14" i="16"/>
  <c r="AR14" i="16"/>
  <c r="AS14" i="16"/>
  <c r="AT14" i="16"/>
  <c r="AU14" i="16"/>
  <c r="AV14" i="16"/>
  <c r="AW14" i="16"/>
  <c r="AX14" i="16"/>
  <c r="AG15" i="16"/>
  <c r="AH15" i="16"/>
  <c r="AI15" i="16"/>
  <c r="AJ15" i="16"/>
  <c r="AK15" i="16"/>
  <c r="AL15" i="16"/>
  <c r="AM15" i="16"/>
  <c r="AN15" i="16"/>
  <c r="AO15" i="16"/>
  <c r="AP15" i="16"/>
  <c r="AQ15" i="16"/>
  <c r="AR15" i="16"/>
  <c r="AS15" i="16"/>
  <c r="AT15" i="16"/>
  <c r="AU15" i="16"/>
  <c r="AV15" i="16"/>
  <c r="AW15" i="16"/>
  <c r="AX15" i="16"/>
  <c r="AG16" i="16"/>
  <c r="AH16" i="16"/>
  <c r="AI16" i="16"/>
  <c r="AJ16" i="16"/>
  <c r="AK16" i="16"/>
  <c r="AL16" i="16"/>
  <c r="AM16" i="16"/>
  <c r="AN16" i="16"/>
  <c r="AO16" i="16"/>
  <c r="AP16" i="16"/>
  <c r="AQ16" i="16"/>
  <c r="AR16" i="16"/>
  <c r="AS16" i="16"/>
  <c r="AT16" i="16"/>
  <c r="AU16" i="16"/>
  <c r="AV16" i="16"/>
  <c r="AW16" i="16"/>
  <c r="AX16" i="16"/>
  <c r="AG17" i="16"/>
  <c r="AH17" i="16"/>
  <c r="AI17" i="16"/>
  <c r="AJ17" i="16"/>
  <c r="AK17" i="16"/>
  <c r="AL17" i="16"/>
  <c r="AM17" i="16"/>
  <c r="AN17" i="16"/>
  <c r="AO17" i="16"/>
  <c r="AP17" i="16"/>
  <c r="AQ17" i="16"/>
  <c r="AR17" i="16"/>
  <c r="AS17" i="16"/>
  <c r="AT17" i="16"/>
  <c r="AU17" i="16"/>
  <c r="AV17" i="16"/>
  <c r="AW17" i="16"/>
  <c r="AX17" i="16"/>
  <c r="AG18" i="16"/>
  <c r="AH18" i="16"/>
  <c r="AI18" i="16"/>
  <c r="AJ18" i="16"/>
  <c r="AK18" i="16"/>
  <c r="AL18" i="16"/>
  <c r="AM18" i="16"/>
  <c r="AN18" i="16"/>
  <c r="AO18" i="16"/>
  <c r="AP18" i="16"/>
  <c r="AQ18" i="16"/>
  <c r="AR18" i="16"/>
  <c r="AS18" i="16"/>
  <c r="AT18" i="16"/>
  <c r="AU18" i="16"/>
  <c r="AV18" i="16"/>
  <c r="AW18" i="16"/>
  <c r="AX18" i="16"/>
  <c r="AG19" i="16"/>
  <c r="AH19" i="16"/>
  <c r="AI19" i="16"/>
  <c r="AJ19" i="16"/>
  <c r="AK19" i="16"/>
  <c r="AL19" i="16"/>
  <c r="AM19" i="16"/>
  <c r="AN19" i="16"/>
  <c r="AO19" i="16"/>
  <c r="AP19" i="16"/>
  <c r="AQ19" i="16"/>
  <c r="AR19" i="16"/>
  <c r="AS19" i="16"/>
  <c r="AT19" i="16"/>
  <c r="AU19" i="16"/>
  <c r="AV19" i="16"/>
  <c r="AW19" i="16"/>
  <c r="AX19" i="16"/>
  <c r="AG20" i="16"/>
  <c r="AH20" i="16"/>
  <c r="AI20" i="16"/>
  <c r="AJ20" i="16"/>
  <c r="AK20" i="16"/>
  <c r="AL20" i="16"/>
  <c r="AM20" i="16"/>
  <c r="AN20" i="16"/>
  <c r="AO20" i="16"/>
  <c r="AP20" i="16"/>
  <c r="AQ20" i="16"/>
  <c r="AR20" i="16"/>
  <c r="AS20" i="16"/>
  <c r="AT20" i="16"/>
  <c r="AU20" i="16"/>
  <c r="AV20" i="16"/>
  <c r="AW20" i="16"/>
  <c r="AX20" i="16"/>
  <c r="AG21" i="16"/>
  <c r="AH21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V21" i="16"/>
  <c r="AW21" i="16"/>
  <c r="AX21" i="16"/>
  <c r="AG22" i="16"/>
  <c r="AH22" i="16"/>
  <c r="AI22" i="16"/>
  <c r="AJ22" i="16"/>
  <c r="AK22" i="16"/>
  <c r="AL22" i="16"/>
  <c r="AM22" i="16"/>
  <c r="AN22" i="16"/>
  <c r="AO22" i="16"/>
  <c r="AP22" i="16"/>
  <c r="AQ22" i="16"/>
  <c r="AR22" i="16"/>
  <c r="AS22" i="16"/>
  <c r="AT22" i="16"/>
  <c r="AU22" i="16"/>
  <c r="AV22" i="16"/>
  <c r="AW22" i="16"/>
  <c r="AX22" i="16"/>
  <c r="AG23" i="16"/>
  <c r="AH23" i="16"/>
  <c r="AI23" i="16"/>
  <c r="AJ23" i="16"/>
  <c r="AK23" i="16"/>
  <c r="AL23" i="16"/>
  <c r="AM23" i="16"/>
  <c r="AN23" i="16"/>
  <c r="AO23" i="16"/>
  <c r="AP23" i="16"/>
  <c r="AQ23" i="16"/>
  <c r="AR23" i="16"/>
  <c r="AS23" i="16"/>
  <c r="AT23" i="16"/>
  <c r="AU23" i="16"/>
  <c r="AV23" i="16"/>
  <c r="AW23" i="16"/>
  <c r="AX23" i="16"/>
  <c r="AG24" i="16"/>
  <c r="AH24" i="16"/>
  <c r="AI24" i="16"/>
  <c r="AJ24" i="16"/>
  <c r="AK24" i="16"/>
  <c r="AL24" i="16"/>
  <c r="AM24" i="16"/>
  <c r="AN24" i="16"/>
  <c r="AO24" i="16"/>
  <c r="AP24" i="16"/>
  <c r="AQ24" i="16"/>
  <c r="AR24" i="16"/>
  <c r="AS24" i="16"/>
  <c r="AT24" i="16"/>
  <c r="AU24" i="16"/>
  <c r="AV24" i="16"/>
  <c r="AW24" i="16"/>
  <c r="AX24" i="16"/>
  <c r="AG25" i="16"/>
  <c r="AH25" i="16"/>
  <c r="AI25" i="16"/>
  <c r="AJ25" i="16"/>
  <c r="AK25" i="16"/>
  <c r="AL25" i="16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AG26" i="16"/>
  <c r="AH26" i="16"/>
  <c r="AI26" i="16"/>
  <c r="AJ26" i="16"/>
  <c r="AK26" i="16"/>
  <c r="AL26" i="16"/>
  <c r="AM26" i="16"/>
  <c r="AN26" i="16"/>
  <c r="AO26" i="16"/>
  <c r="AP26" i="16"/>
  <c r="AQ26" i="16"/>
  <c r="AR26" i="16"/>
  <c r="AS26" i="16"/>
  <c r="AT26" i="16"/>
  <c r="AU26" i="16"/>
  <c r="AV26" i="16"/>
  <c r="AW26" i="16"/>
  <c r="AX26" i="16"/>
  <c r="AG27" i="16"/>
  <c r="AH27" i="16"/>
  <c r="AI27" i="16"/>
  <c r="AJ27" i="16"/>
  <c r="AK27" i="16"/>
  <c r="AL27" i="16"/>
  <c r="AM27" i="16"/>
  <c r="AN27" i="16"/>
  <c r="AO27" i="16"/>
  <c r="AP27" i="16"/>
  <c r="AQ27" i="16"/>
  <c r="AR27" i="16"/>
  <c r="AS27" i="16"/>
  <c r="AT27" i="16"/>
  <c r="AU27" i="16"/>
  <c r="AV27" i="16"/>
  <c r="AW27" i="16"/>
  <c r="AX27" i="16"/>
  <c r="AG28" i="16"/>
  <c r="AH28" i="16"/>
  <c r="AI28" i="16"/>
  <c r="AJ28" i="16"/>
  <c r="AK28" i="16"/>
  <c r="AL28" i="16"/>
  <c r="AM28" i="16"/>
  <c r="AN28" i="16"/>
  <c r="AO28" i="16"/>
  <c r="AP28" i="16"/>
  <c r="AQ28" i="16"/>
  <c r="AR28" i="16"/>
  <c r="AS28" i="16"/>
  <c r="AT28" i="16"/>
  <c r="AU28" i="16"/>
  <c r="AV28" i="16"/>
  <c r="AW28" i="16"/>
  <c r="AX28" i="16"/>
  <c r="AG29" i="16"/>
  <c r="AH29" i="16"/>
  <c r="AI29" i="16"/>
  <c r="AJ29" i="16"/>
  <c r="AK29" i="16"/>
  <c r="AL29" i="16"/>
  <c r="AM29" i="16"/>
  <c r="AN29" i="16"/>
  <c r="AO29" i="16"/>
  <c r="AP29" i="16"/>
  <c r="AQ29" i="16"/>
  <c r="AR29" i="16"/>
  <c r="AS29" i="16"/>
  <c r="AT29" i="16"/>
  <c r="AU29" i="16"/>
  <c r="AV29" i="16"/>
  <c r="AW29" i="16"/>
  <c r="AX29" i="16"/>
  <c r="AG30" i="16"/>
  <c r="AH30" i="16"/>
  <c r="AI30" i="16"/>
  <c r="AJ30" i="16"/>
  <c r="AK30" i="16"/>
  <c r="AL30" i="16"/>
  <c r="AM30" i="16"/>
  <c r="AN30" i="16"/>
  <c r="AO30" i="16"/>
  <c r="AP30" i="16"/>
  <c r="AQ30" i="16"/>
  <c r="AR30" i="16"/>
  <c r="AS30" i="16"/>
  <c r="AT30" i="16"/>
  <c r="AU30" i="16"/>
  <c r="AV30" i="16"/>
  <c r="AW30" i="16"/>
  <c r="AX30" i="16"/>
  <c r="AG31" i="16"/>
  <c r="AH31" i="16"/>
  <c r="AI31" i="16"/>
  <c r="AJ31" i="16"/>
  <c r="AK31" i="16"/>
  <c r="AL31" i="16"/>
  <c r="AM31" i="16"/>
  <c r="AN31" i="16"/>
  <c r="AO31" i="16"/>
  <c r="AP31" i="16"/>
  <c r="AQ31" i="16"/>
  <c r="AR31" i="16"/>
  <c r="AS31" i="16"/>
  <c r="AT31" i="16"/>
  <c r="AU31" i="16"/>
  <c r="AV31" i="16"/>
  <c r="AW31" i="16"/>
  <c r="AX31" i="16"/>
  <c r="AG32" i="16"/>
  <c r="AH32" i="16"/>
  <c r="AI32" i="16"/>
  <c r="AJ32" i="16"/>
  <c r="AK32" i="16"/>
  <c r="AL32" i="16"/>
  <c r="AM32" i="16"/>
  <c r="AN32" i="16"/>
  <c r="AO32" i="16"/>
  <c r="AP32" i="16"/>
  <c r="AQ32" i="16"/>
  <c r="AR32" i="16"/>
  <c r="AS32" i="16"/>
  <c r="AT32" i="16"/>
  <c r="AU32" i="16"/>
  <c r="AV32" i="16"/>
  <c r="AW32" i="16"/>
  <c r="AX32" i="16"/>
  <c r="AG33" i="16"/>
  <c r="AH33" i="16"/>
  <c r="AI33" i="16"/>
  <c r="AJ33" i="16"/>
  <c r="AK33" i="16"/>
  <c r="AL33" i="16"/>
  <c r="AM33" i="16"/>
  <c r="AN33" i="16"/>
  <c r="AO33" i="16"/>
  <c r="AP33" i="16"/>
  <c r="AQ33" i="16"/>
  <c r="AR33" i="16"/>
  <c r="AS33" i="16"/>
  <c r="AT33" i="16"/>
  <c r="AU33" i="16"/>
  <c r="AV33" i="16"/>
  <c r="AW33" i="16"/>
  <c r="AX33" i="16"/>
  <c r="AG34" i="16"/>
  <c r="AH34" i="16"/>
  <c r="AI34" i="16"/>
  <c r="AJ34" i="16"/>
  <c r="AK34" i="16"/>
  <c r="AL34" i="16"/>
  <c r="AM34" i="16"/>
  <c r="AN34" i="16"/>
  <c r="AO34" i="16"/>
  <c r="AP34" i="16"/>
  <c r="AQ34" i="16"/>
  <c r="AR34" i="16"/>
  <c r="AS34" i="16"/>
  <c r="AT34" i="16"/>
  <c r="AU34" i="16"/>
  <c r="AV34" i="16"/>
  <c r="AW34" i="16"/>
  <c r="AX34" i="16"/>
  <c r="AG35" i="16"/>
  <c r="AH35" i="16"/>
  <c r="AI35" i="16"/>
  <c r="AJ35" i="16"/>
  <c r="AK35" i="16"/>
  <c r="AL35" i="16"/>
  <c r="AM35" i="16"/>
  <c r="AN35" i="16"/>
  <c r="AO35" i="16"/>
  <c r="AP35" i="16"/>
  <c r="AQ35" i="16"/>
  <c r="AR35" i="16"/>
  <c r="AS35" i="16"/>
  <c r="AT35" i="16"/>
  <c r="AU35" i="16"/>
  <c r="AV35" i="16"/>
  <c r="AW35" i="16"/>
  <c r="AX35" i="16"/>
  <c r="AG36" i="16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G37" i="16"/>
  <c r="AH37" i="16"/>
  <c r="AI37" i="16"/>
  <c r="AJ37" i="16"/>
  <c r="AK37" i="16"/>
  <c r="AL37" i="16"/>
  <c r="AM37" i="16"/>
  <c r="AN37" i="16"/>
  <c r="AO37" i="16"/>
  <c r="AP37" i="16"/>
  <c r="AQ37" i="16"/>
  <c r="AR37" i="16"/>
  <c r="AS37" i="16"/>
  <c r="AT37" i="16"/>
  <c r="AU37" i="16"/>
  <c r="AV37" i="16"/>
  <c r="AW37" i="16"/>
  <c r="AX37" i="16"/>
  <c r="AG38" i="16"/>
  <c r="AH38" i="16"/>
  <c r="AI38" i="16"/>
  <c r="AJ38" i="16"/>
  <c r="AK38" i="16"/>
  <c r="AL38" i="16"/>
  <c r="AM38" i="16"/>
  <c r="AN38" i="16"/>
  <c r="AO38" i="16"/>
  <c r="AP38" i="16"/>
  <c r="AQ38" i="16"/>
  <c r="AR38" i="16"/>
  <c r="AS38" i="16"/>
  <c r="AT38" i="16"/>
  <c r="AU38" i="16"/>
  <c r="AV38" i="16"/>
  <c r="AW38" i="16"/>
  <c r="AX38" i="16"/>
  <c r="AG39" i="16"/>
  <c r="AH39" i="16"/>
  <c r="AI39" i="16"/>
  <c r="AJ39" i="16"/>
  <c r="AK39" i="16"/>
  <c r="AL39" i="16"/>
  <c r="AM39" i="16"/>
  <c r="AN39" i="16"/>
  <c r="AO39" i="16"/>
  <c r="AP39" i="16"/>
  <c r="AQ39" i="16"/>
  <c r="AR39" i="16"/>
  <c r="AS39" i="16"/>
  <c r="AT39" i="16"/>
  <c r="AU39" i="16"/>
  <c r="AV39" i="16"/>
  <c r="AW39" i="16"/>
  <c r="AX39" i="16"/>
  <c r="AG40" i="16"/>
  <c r="AH40" i="16"/>
  <c r="AI40" i="16"/>
  <c r="AJ40" i="16"/>
  <c r="AK40" i="16"/>
  <c r="AL40" i="16"/>
  <c r="AM40" i="16"/>
  <c r="AN40" i="16"/>
  <c r="AO40" i="16"/>
  <c r="AP40" i="16"/>
  <c r="AQ40" i="16"/>
  <c r="AR40" i="16"/>
  <c r="AS40" i="16"/>
  <c r="AT40" i="16"/>
  <c r="AU40" i="16"/>
  <c r="AV40" i="16"/>
  <c r="AW40" i="16"/>
  <c r="AX40" i="16"/>
  <c r="AG41" i="16"/>
  <c r="AH41" i="16"/>
  <c r="AI41" i="16"/>
  <c r="AJ41" i="16"/>
  <c r="AK41" i="16"/>
  <c r="AL41" i="16"/>
  <c r="AM41" i="16"/>
  <c r="AN41" i="16"/>
  <c r="AO41" i="16"/>
  <c r="AP41" i="16"/>
  <c r="AQ41" i="16"/>
  <c r="AR41" i="16"/>
  <c r="AS41" i="16"/>
  <c r="AT41" i="16"/>
  <c r="AU41" i="16"/>
  <c r="AV41" i="16"/>
  <c r="AW41" i="16"/>
  <c r="AX41" i="16"/>
  <c r="AF41" i="16"/>
  <c r="AF7" i="16"/>
  <c r="AF8" i="16"/>
  <c r="AF9" i="16"/>
  <c r="AF10" i="16"/>
  <c r="AF11" i="16"/>
  <c r="AF12" i="16"/>
  <c r="AF13" i="16"/>
  <c r="AF14" i="16"/>
  <c r="AF15" i="16"/>
  <c r="AF16" i="16"/>
  <c r="AF17" i="16"/>
  <c r="AF18" i="16"/>
  <c r="AF19" i="16"/>
  <c r="AF20" i="16"/>
  <c r="AF21" i="16"/>
  <c r="AF22" i="16"/>
  <c r="AF23" i="16"/>
  <c r="AF24" i="16"/>
  <c r="AF25" i="16"/>
  <c r="AF26" i="16"/>
  <c r="AF27" i="16"/>
  <c r="AF28" i="16"/>
  <c r="AF29" i="16"/>
  <c r="AF30" i="16"/>
  <c r="AF31" i="16"/>
  <c r="AF32" i="16"/>
  <c r="AF33" i="16"/>
  <c r="AF34" i="16"/>
  <c r="AF35" i="16"/>
  <c r="AF36" i="16"/>
  <c r="AF37" i="16"/>
  <c r="AF38" i="16"/>
  <c r="AF39" i="16"/>
  <c r="AF40" i="16"/>
  <c r="AF6" i="16"/>
  <c r="AF5" i="16"/>
  <c r="AZ5" i="15"/>
  <c r="BA5" i="15"/>
  <c r="BB5" i="15"/>
  <c r="BC5" i="15"/>
  <c r="BD5" i="15"/>
  <c r="BE5" i="15"/>
  <c r="BF5" i="15"/>
  <c r="BG5" i="15"/>
  <c r="BH5" i="15"/>
  <c r="BI5" i="15"/>
  <c r="BJ5" i="15"/>
  <c r="BK5" i="15"/>
  <c r="BL5" i="15"/>
  <c r="BM5" i="15"/>
  <c r="BN5" i="15"/>
  <c r="AZ6" i="15"/>
  <c r="BA6" i="15"/>
  <c r="BB6" i="15"/>
  <c r="BC6" i="15"/>
  <c r="BD6" i="15"/>
  <c r="BE6" i="15"/>
  <c r="BF6" i="15"/>
  <c r="BG6" i="15"/>
  <c r="BH6" i="15"/>
  <c r="BI6" i="15"/>
  <c r="BJ6" i="15"/>
  <c r="BK6" i="15"/>
  <c r="BL6" i="15"/>
  <c r="BM6" i="15"/>
  <c r="BN6" i="15"/>
  <c r="AZ7" i="15"/>
  <c r="BA7" i="15"/>
  <c r="BB7" i="15"/>
  <c r="BC7" i="15"/>
  <c r="BD7" i="15"/>
  <c r="BE7" i="15"/>
  <c r="BF7" i="15"/>
  <c r="BG7" i="15"/>
  <c r="BH7" i="15"/>
  <c r="BI7" i="15"/>
  <c r="BJ7" i="15"/>
  <c r="BK7" i="15"/>
  <c r="BL7" i="15"/>
  <c r="BM7" i="15"/>
  <c r="BN7" i="15"/>
  <c r="AZ8" i="15"/>
  <c r="BA8" i="15"/>
  <c r="BB8" i="15"/>
  <c r="BC8" i="15"/>
  <c r="BD8" i="15"/>
  <c r="BE8" i="15"/>
  <c r="BF8" i="15"/>
  <c r="BG8" i="15"/>
  <c r="BH8" i="15"/>
  <c r="BI8" i="15"/>
  <c r="BJ8" i="15"/>
  <c r="BK8" i="15"/>
  <c r="BL8" i="15"/>
  <c r="BM8" i="15"/>
  <c r="BN8" i="15"/>
  <c r="AZ9" i="15"/>
  <c r="BA9" i="15"/>
  <c r="BB9" i="15"/>
  <c r="BC9" i="15"/>
  <c r="BD9" i="15"/>
  <c r="BE9" i="15"/>
  <c r="BF9" i="15"/>
  <c r="BG9" i="15"/>
  <c r="BH9" i="15"/>
  <c r="BI9" i="15"/>
  <c r="BJ9" i="15"/>
  <c r="BK9" i="15"/>
  <c r="BL9" i="15"/>
  <c r="BM9" i="15"/>
  <c r="BN9" i="15"/>
  <c r="AZ10" i="15"/>
  <c r="BA10" i="15"/>
  <c r="BB10" i="15"/>
  <c r="BC10" i="15"/>
  <c r="BD10" i="15"/>
  <c r="BE10" i="15"/>
  <c r="BF10" i="15"/>
  <c r="BG10" i="15"/>
  <c r="BH10" i="15"/>
  <c r="BI10" i="15"/>
  <c r="BJ10" i="15"/>
  <c r="BK10" i="15"/>
  <c r="BL10" i="15"/>
  <c r="BM10" i="15"/>
  <c r="BN10" i="15"/>
  <c r="AZ11" i="15"/>
  <c r="BA11" i="15"/>
  <c r="BB11" i="15"/>
  <c r="BC11" i="15"/>
  <c r="BD11" i="15"/>
  <c r="BE11" i="15"/>
  <c r="BF11" i="15"/>
  <c r="BG11" i="15"/>
  <c r="BH11" i="15"/>
  <c r="BI11" i="15"/>
  <c r="BJ11" i="15"/>
  <c r="BK11" i="15"/>
  <c r="BL11" i="15"/>
  <c r="BM11" i="15"/>
  <c r="BN11" i="15"/>
  <c r="AZ12" i="15"/>
  <c r="BA12" i="15"/>
  <c r="BB12" i="15"/>
  <c r="BC12" i="15"/>
  <c r="BD12" i="15"/>
  <c r="BE12" i="15"/>
  <c r="BF12" i="15"/>
  <c r="BG12" i="15"/>
  <c r="BH12" i="15"/>
  <c r="BI12" i="15"/>
  <c r="BJ12" i="15"/>
  <c r="BK12" i="15"/>
  <c r="BL12" i="15"/>
  <c r="BM12" i="15"/>
  <c r="BN12" i="15"/>
  <c r="AZ13" i="15"/>
  <c r="BA13" i="15"/>
  <c r="BB13" i="15"/>
  <c r="BC13" i="15"/>
  <c r="BD13" i="15"/>
  <c r="BE13" i="15"/>
  <c r="BF13" i="15"/>
  <c r="BG13" i="15"/>
  <c r="BH13" i="15"/>
  <c r="BI13" i="15"/>
  <c r="BJ13" i="15"/>
  <c r="BK13" i="15"/>
  <c r="BL13" i="15"/>
  <c r="BM13" i="15"/>
  <c r="BN13" i="15"/>
  <c r="AZ14" i="15"/>
  <c r="BA14" i="15"/>
  <c r="BB14" i="15"/>
  <c r="BC14" i="15"/>
  <c r="BD14" i="15"/>
  <c r="BE14" i="15"/>
  <c r="BF14" i="15"/>
  <c r="BG14" i="15"/>
  <c r="BH14" i="15"/>
  <c r="BI14" i="15"/>
  <c r="BJ14" i="15"/>
  <c r="BK14" i="15"/>
  <c r="BL14" i="15"/>
  <c r="BM14" i="15"/>
  <c r="BN14" i="15"/>
  <c r="AZ15" i="15"/>
  <c r="BA15" i="15"/>
  <c r="BB15" i="15"/>
  <c r="BC15" i="15"/>
  <c r="BD15" i="15"/>
  <c r="BE15" i="15"/>
  <c r="BF15" i="15"/>
  <c r="BG15" i="15"/>
  <c r="BH15" i="15"/>
  <c r="BI15" i="15"/>
  <c r="BJ15" i="15"/>
  <c r="BK15" i="15"/>
  <c r="BL15" i="15"/>
  <c r="BM15" i="15"/>
  <c r="BN15" i="15"/>
  <c r="AZ16" i="15"/>
  <c r="BA16" i="15"/>
  <c r="BB16" i="15"/>
  <c r="BC16" i="15"/>
  <c r="BD16" i="15"/>
  <c r="BE16" i="15"/>
  <c r="BF16" i="15"/>
  <c r="BG16" i="15"/>
  <c r="BH16" i="15"/>
  <c r="BI16" i="15"/>
  <c r="BJ16" i="15"/>
  <c r="BK16" i="15"/>
  <c r="BL16" i="15"/>
  <c r="BM16" i="15"/>
  <c r="BN16" i="15"/>
  <c r="AZ17" i="15"/>
  <c r="BA17" i="15"/>
  <c r="BB17" i="15"/>
  <c r="BC17" i="15"/>
  <c r="BD17" i="15"/>
  <c r="BE17" i="15"/>
  <c r="BF17" i="15"/>
  <c r="BG17" i="15"/>
  <c r="BH17" i="15"/>
  <c r="BI17" i="15"/>
  <c r="BJ17" i="15"/>
  <c r="BK17" i="15"/>
  <c r="BL17" i="15"/>
  <c r="BM17" i="15"/>
  <c r="BN17" i="15"/>
  <c r="AZ18" i="15"/>
  <c r="BA18" i="15"/>
  <c r="BB18" i="15"/>
  <c r="BC18" i="15"/>
  <c r="BD18" i="15"/>
  <c r="BE18" i="15"/>
  <c r="BF18" i="15"/>
  <c r="BG18" i="15"/>
  <c r="BH18" i="15"/>
  <c r="BI18" i="15"/>
  <c r="BJ18" i="15"/>
  <c r="BK18" i="15"/>
  <c r="BL18" i="15"/>
  <c r="BM18" i="15"/>
  <c r="BN18" i="15"/>
  <c r="AZ19" i="15"/>
  <c r="BA19" i="15"/>
  <c r="BB19" i="15"/>
  <c r="BC19" i="15"/>
  <c r="BD19" i="15"/>
  <c r="BE19" i="15"/>
  <c r="BF19" i="15"/>
  <c r="BG19" i="15"/>
  <c r="BH19" i="15"/>
  <c r="BI19" i="15"/>
  <c r="BJ19" i="15"/>
  <c r="BK19" i="15"/>
  <c r="BL19" i="15"/>
  <c r="BM19" i="15"/>
  <c r="BN19" i="15"/>
  <c r="AZ20" i="15"/>
  <c r="BA20" i="15"/>
  <c r="BB20" i="15"/>
  <c r="BC20" i="15"/>
  <c r="BD20" i="15"/>
  <c r="BE20" i="15"/>
  <c r="BF20" i="15"/>
  <c r="BG20" i="15"/>
  <c r="BH20" i="15"/>
  <c r="BI20" i="15"/>
  <c r="BJ20" i="15"/>
  <c r="BK20" i="15"/>
  <c r="BL20" i="15"/>
  <c r="BM20" i="15"/>
  <c r="BN20" i="15"/>
  <c r="AZ21" i="15"/>
  <c r="BA21" i="15"/>
  <c r="BB21" i="15"/>
  <c r="BC21" i="15"/>
  <c r="BD21" i="15"/>
  <c r="BE21" i="15"/>
  <c r="BF21" i="15"/>
  <c r="BG21" i="15"/>
  <c r="BH21" i="15"/>
  <c r="BI21" i="15"/>
  <c r="BJ21" i="15"/>
  <c r="BK21" i="15"/>
  <c r="BL21" i="15"/>
  <c r="BM21" i="15"/>
  <c r="BN21" i="15"/>
  <c r="AZ22" i="15"/>
  <c r="BA22" i="15"/>
  <c r="BB22" i="15"/>
  <c r="BC22" i="15"/>
  <c r="BD22" i="15"/>
  <c r="BE22" i="15"/>
  <c r="BF22" i="15"/>
  <c r="BG22" i="15"/>
  <c r="BH22" i="15"/>
  <c r="BI22" i="15"/>
  <c r="BJ22" i="15"/>
  <c r="BK22" i="15"/>
  <c r="BL22" i="15"/>
  <c r="BM22" i="15"/>
  <c r="BN22" i="15"/>
  <c r="AZ23" i="15"/>
  <c r="BA23" i="15"/>
  <c r="BB23" i="15"/>
  <c r="BC23" i="15"/>
  <c r="BD23" i="15"/>
  <c r="BE23" i="15"/>
  <c r="BF23" i="15"/>
  <c r="BG23" i="15"/>
  <c r="BH23" i="15"/>
  <c r="BI23" i="15"/>
  <c r="BJ23" i="15"/>
  <c r="BK23" i="15"/>
  <c r="BL23" i="15"/>
  <c r="BM23" i="15"/>
  <c r="BN23" i="15"/>
  <c r="AZ24" i="15"/>
  <c r="BA24" i="15"/>
  <c r="BB24" i="15"/>
  <c r="BC24" i="15"/>
  <c r="BD24" i="15"/>
  <c r="BE24" i="15"/>
  <c r="BF24" i="15"/>
  <c r="BG24" i="15"/>
  <c r="BH24" i="15"/>
  <c r="BJ24" i="15"/>
  <c r="BK24" i="15"/>
  <c r="BL24" i="15"/>
  <c r="BM24" i="15"/>
  <c r="BN24" i="15"/>
  <c r="AZ25" i="15"/>
  <c r="BA25" i="15"/>
  <c r="BB25" i="15"/>
  <c r="BC25" i="15"/>
  <c r="BD25" i="15"/>
  <c r="BE25" i="15"/>
  <c r="BF25" i="15"/>
  <c r="BG25" i="15"/>
  <c r="BH25" i="15"/>
  <c r="BI25" i="15"/>
  <c r="BJ25" i="15"/>
  <c r="BK25" i="15"/>
  <c r="BL25" i="15"/>
  <c r="BM25" i="15"/>
  <c r="BN25" i="15"/>
  <c r="AZ26" i="15"/>
  <c r="BA26" i="15"/>
  <c r="BB26" i="15"/>
  <c r="BC26" i="15"/>
  <c r="BD26" i="15"/>
  <c r="BE26" i="15"/>
  <c r="BF26" i="15"/>
  <c r="BG26" i="15"/>
  <c r="BH26" i="15"/>
  <c r="BI26" i="15"/>
  <c r="BJ26" i="15"/>
  <c r="BK26" i="15"/>
  <c r="BL26" i="15"/>
  <c r="BM26" i="15"/>
  <c r="BN26" i="15"/>
  <c r="AZ27" i="15"/>
  <c r="BA27" i="15"/>
  <c r="BB27" i="15"/>
  <c r="BC27" i="15"/>
  <c r="BD27" i="15"/>
  <c r="BE27" i="15"/>
  <c r="BF27" i="15"/>
  <c r="BG27" i="15"/>
  <c r="BH27" i="15"/>
  <c r="BI27" i="15"/>
  <c r="BJ27" i="15"/>
  <c r="BK27" i="15"/>
  <c r="BL27" i="15"/>
  <c r="BM27" i="15"/>
  <c r="BN27" i="15"/>
  <c r="AZ28" i="15"/>
  <c r="BA28" i="15"/>
  <c r="BB28" i="15"/>
  <c r="BC28" i="15"/>
  <c r="BD28" i="15"/>
  <c r="BE28" i="15"/>
  <c r="BF28" i="15"/>
  <c r="BG28" i="15"/>
  <c r="BH28" i="15"/>
  <c r="BI28" i="15"/>
  <c r="BJ28" i="15"/>
  <c r="BK28" i="15"/>
  <c r="BL28" i="15"/>
  <c r="BM28" i="15"/>
  <c r="BN28" i="15"/>
  <c r="AZ29" i="15"/>
  <c r="BA29" i="15"/>
  <c r="BB29" i="15"/>
  <c r="BC29" i="15"/>
  <c r="BD29" i="15"/>
  <c r="BE29" i="15"/>
  <c r="BF29" i="15"/>
  <c r="BG29" i="15"/>
  <c r="BH29" i="15"/>
  <c r="BI29" i="15"/>
  <c r="BJ29" i="15"/>
  <c r="BK29" i="15"/>
  <c r="BL29" i="15"/>
  <c r="BM29" i="15"/>
  <c r="BN29" i="15"/>
  <c r="AZ30" i="15"/>
  <c r="BA30" i="15"/>
  <c r="BB30" i="15"/>
  <c r="BC30" i="15"/>
  <c r="BD30" i="15"/>
  <c r="BE30" i="15"/>
  <c r="BF30" i="15"/>
  <c r="BG30" i="15"/>
  <c r="BH30" i="15"/>
  <c r="BI30" i="15"/>
  <c r="BJ30" i="15"/>
  <c r="BK30" i="15"/>
  <c r="BL30" i="15"/>
  <c r="BM30" i="15"/>
  <c r="BN30" i="15"/>
  <c r="AZ31" i="15"/>
  <c r="BA31" i="15"/>
  <c r="BB31" i="15"/>
  <c r="BC31" i="15"/>
  <c r="BD31" i="15"/>
  <c r="BE31" i="15"/>
  <c r="BF31" i="15"/>
  <c r="BG31" i="15"/>
  <c r="BH31" i="15"/>
  <c r="BI31" i="15"/>
  <c r="BJ31" i="15"/>
  <c r="BK31" i="15"/>
  <c r="BL31" i="15"/>
  <c r="BM31" i="15"/>
  <c r="BN31" i="15"/>
  <c r="AZ32" i="15"/>
  <c r="BA32" i="15"/>
  <c r="BB32" i="15"/>
  <c r="BC32" i="15"/>
  <c r="BD32" i="15"/>
  <c r="BE32" i="15"/>
  <c r="BF32" i="15"/>
  <c r="BG32" i="15"/>
  <c r="BH32" i="15"/>
  <c r="BI32" i="15"/>
  <c r="BJ32" i="15"/>
  <c r="BK32" i="15"/>
  <c r="BL32" i="15"/>
  <c r="BM32" i="15"/>
  <c r="BN32" i="15"/>
  <c r="AZ33" i="15"/>
  <c r="BA33" i="15"/>
  <c r="BB33" i="15"/>
  <c r="BC33" i="15"/>
  <c r="BD33" i="15"/>
  <c r="BE33" i="15"/>
  <c r="BF33" i="15"/>
  <c r="BG33" i="15"/>
  <c r="BH33" i="15"/>
  <c r="BI33" i="15"/>
  <c r="BJ33" i="15"/>
  <c r="BK33" i="15"/>
  <c r="BL33" i="15"/>
  <c r="BM33" i="15"/>
  <c r="BN33" i="15"/>
  <c r="AZ34" i="15"/>
  <c r="BA34" i="15"/>
  <c r="BB34" i="15"/>
  <c r="BC34" i="15"/>
  <c r="BD34" i="15"/>
  <c r="BE34" i="15"/>
  <c r="BF34" i="15"/>
  <c r="BG34" i="15"/>
  <c r="BH34" i="15"/>
  <c r="BI34" i="15"/>
  <c r="BJ34" i="15"/>
  <c r="BK34" i="15"/>
  <c r="BL34" i="15"/>
  <c r="BM34" i="15"/>
  <c r="BN34" i="15"/>
  <c r="AZ35" i="15"/>
  <c r="BA35" i="15"/>
  <c r="BB35" i="15"/>
  <c r="BC35" i="15"/>
  <c r="BD35" i="15"/>
  <c r="BE35" i="15"/>
  <c r="BF35" i="15"/>
  <c r="BG35" i="15"/>
  <c r="BH35" i="15"/>
  <c r="BI35" i="15"/>
  <c r="BJ35" i="15"/>
  <c r="BK35" i="15"/>
  <c r="BL35" i="15"/>
  <c r="BM35" i="15"/>
  <c r="BN35" i="15"/>
  <c r="AZ36" i="15"/>
  <c r="BA36" i="15"/>
  <c r="BB36" i="15"/>
  <c r="BC36" i="15"/>
  <c r="BD36" i="15"/>
  <c r="BE36" i="15"/>
  <c r="BF36" i="15"/>
  <c r="BG36" i="15"/>
  <c r="BH36" i="15"/>
  <c r="BI36" i="15"/>
  <c r="BJ36" i="15"/>
  <c r="BK36" i="15"/>
  <c r="BL36" i="15"/>
  <c r="BM36" i="15"/>
  <c r="BN36" i="15"/>
  <c r="AZ37" i="15"/>
  <c r="BA37" i="15"/>
  <c r="BB37" i="15"/>
  <c r="BC37" i="15"/>
  <c r="BD37" i="15"/>
  <c r="BE37" i="15"/>
  <c r="BF37" i="15"/>
  <c r="BG37" i="15"/>
  <c r="BH37" i="15"/>
  <c r="BI37" i="15"/>
  <c r="BJ37" i="15"/>
  <c r="BK37" i="15"/>
  <c r="BL37" i="15"/>
  <c r="BM37" i="15"/>
  <c r="BN37" i="15"/>
  <c r="AZ38" i="15"/>
  <c r="BA38" i="15"/>
  <c r="BB38" i="15"/>
  <c r="BC38" i="15"/>
  <c r="BD38" i="15"/>
  <c r="BE38" i="15"/>
  <c r="BF38" i="15"/>
  <c r="BG38" i="15"/>
  <c r="BH38" i="15"/>
  <c r="BI38" i="15"/>
  <c r="BJ38" i="15"/>
  <c r="BK38" i="15"/>
  <c r="BL38" i="15"/>
  <c r="BM38" i="15"/>
  <c r="BN38" i="15"/>
  <c r="AZ39" i="15"/>
  <c r="BA39" i="15"/>
  <c r="BB39" i="15"/>
  <c r="BC39" i="15"/>
  <c r="BD39" i="15"/>
  <c r="BE39" i="15"/>
  <c r="BF39" i="15"/>
  <c r="BG39" i="15"/>
  <c r="BH39" i="15"/>
  <c r="BI39" i="15"/>
  <c r="BJ39" i="15"/>
  <c r="BK39" i="15"/>
  <c r="BL39" i="15"/>
  <c r="BM39" i="15"/>
  <c r="BN39" i="15"/>
  <c r="AZ40" i="15"/>
  <c r="BA40" i="15"/>
  <c r="BB40" i="15"/>
  <c r="BC40" i="15"/>
  <c r="BD40" i="15"/>
  <c r="BE40" i="15"/>
  <c r="BF40" i="15"/>
  <c r="BG40" i="15"/>
  <c r="BH40" i="15"/>
  <c r="BI40" i="15"/>
  <c r="BJ40" i="15"/>
  <c r="BK40" i="15"/>
  <c r="BL40" i="15"/>
  <c r="BM40" i="15"/>
  <c r="BN40" i="15"/>
  <c r="AZ41" i="15"/>
  <c r="BA41" i="15"/>
  <c r="BB41" i="15"/>
  <c r="BC41" i="15"/>
  <c r="BD41" i="15"/>
  <c r="BE41" i="15"/>
  <c r="BF41" i="15"/>
  <c r="BG41" i="15"/>
  <c r="BH41" i="15"/>
  <c r="BI41" i="15"/>
  <c r="BJ41" i="15"/>
  <c r="BK41" i="15"/>
  <c r="BL41" i="15"/>
  <c r="BM41" i="15"/>
  <c r="BN41" i="15"/>
  <c r="AY7" i="15"/>
  <c r="AY8" i="15"/>
  <c r="AY9" i="15"/>
  <c r="AY10" i="15"/>
  <c r="AY11" i="15"/>
  <c r="AY12" i="15"/>
  <c r="AY13" i="15"/>
  <c r="AY14" i="15"/>
  <c r="AY15" i="15"/>
  <c r="AY16" i="15"/>
  <c r="AY17" i="15"/>
  <c r="AY18" i="15"/>
  <c r="AY19" i="15"/>
  <c r="AY20" i="15"/>
  <c r="AY21" i="15"/>
  <c r="AY22" i="15"/>
  <c r="AY23" i="15"/>
  <c r="AY24" i="15"/>
  <c r="AY25" i="15"/>
  <c r="AY26" i="15"/>
  <c r="AY27" i="15"/>
  <c r="AY28" i="15"/>
  <c r="AY29" i="15"/>
  <c r="AY30" i="15"/>
  <c r="AY31" i="15"/>
  <c r="AY32" i="15"/>
  <c r="AY33" i="15"/>
  <c r="AY34" i="15"/>
  <c r="AY35" i="15"/>
  <c r="AY36" i="15"/>
  <c r="AY37" i="15"/>
  <c r="AY38" i="15"/>
  <c r="AY39" i="15"/>
  <c r="AY40" i="15"/>
  <c r="AY41" i="15"/>
  <c r="AY6" i="15"/>
  <c r="AY5" i="15"/>
  <c r="E91" i="15"/>
  <c r="E88" i="15"/>
  <c r="E85" i="15"/>
  <c r="E82" i="15"/>
  <c r="E79" i="15"/>
  <c r="E76" i="15"/>
  <c r="E73" i="15"/>
  <c r="E70" i="15"/>
  <c r="E67" i="15"/>
  <c r="E64" i="15"/>
  <c r="E61" i="15"/>
  <c r="E58" i="15"/>
  <c r="E55" i="15"/>
  <c r="E52" i="15"/>
  <c r="E49" i="15"/>
  <c r="E46" i="15"/>
  <c r="J21" i="14"/>
  <c r="J16" i="14"/>
  <c r="J17" i="14"/>
  <c r="J18" i="14"/>
  <c r="J19" i="14"/>
  <c r="J20" i="14"/>
  <c r="E97" i="5"/>
  <c r="E94" i="5"/>
  <c r="E91" i="5"/>
  <c r="E88" i="5"/>
  <c r="E85" i="5"/>
  <c r="E82" i="5"/>
  <c r="H43" i="5"/>
  <c r="E79" i="5"/>
  <c r="E76" i="5"/>
  <c r="E71" i="5"/>
  <c r="E68" i="5"/>
  <c r="E63" i="5"/>
  <c r="E60" i="5"/>
  <c r="E55" i="5"/>
  <c r="E52" i="5"/>
  <c r="E49" i="5"/>
  <c r="E46" i="5"/>
  <c r="E16" i="14"/>
  <c r="F16" i="14"/>
  <c r="G16" i="14" a="1"/>
  <c r="G16" i="14" s="1"/>
  <c r="E17" i="14"/>
  <c r="F17" i="14"/>
  <c r="G17" i="14" a="1"/>
  <c r="G17" i="14" s="1"/>
  <c r="E18" i="14"/>
  <c r="F18" i="14"/>
  <c r="G18" i="14" a="1"/>
  <c r="G18" i="14" s="1"/>
  <c r="E19" i="14"/>
  <c r="F19" i="14"/>
  <c r="G19" i="14" a="1"/>
  <c r="G19" i="14" s="1"/>
  <c r="E20" i="14"/>
  <c r="F20" i="14"/>
  <c r="G20" i="14" a="1"/>
  <c r="G20" i="14" s="1"/>
  <c r="E21" i="14"/>
  <c r="F21" i="14"/>
  <c r="G21" i="14" a="1"/>
  <c r="G21" i="14" s="1"/>
  <c r="H83" i="16" l="1"/>
  <c r="Z84" i="16" a="1"/>
  <c r="Z84" i="16" s="1"/>
  <c r="S84" i="16" a="1"/>
  <c r="S84" i="16" s="1"/>
  <c r="P84" i="16" a="1"/>
  <c r="P84" i="16" s="1"/>
  <c r="U84" i="16" a="1"/>
  <c r="U84" i="16" s="1"/>
  <c r="Y84" i="16" a="1"/>
  <c r="Y84" i="16" s="1"/>
  <c r="L84" i="16" a="1"/>
  <c r="L84" i="16" s="1"/>
  <c r="W84" i="16" a="1"/>
  <c r="W84" i="16" s="1"/>
  <c r="N84" i="16" a="1"/>
  <c r="N84" i="16" s="1"/>
  <c r="AA84" i="16" a="1"/>
  <c r="AA84" i="16" s="1"/>
  <c r="R84" i="16" a="1"/>
  <c r="R84" i="16" s="1"/>
  <c r="I84" i="16" a="1"/>
  <c r="I84" i="16" s="1"/>
  <c r="AD84" i="16" a="1"/>
  <c r="AD84" i="16" s="1"/>
  <c r="T84" i="16" a="1"/>
  <c r="T84" i="16" s="1"/>
  <c r="X84" i="16" a="1"/>
  <c r="X84" i="16" s="1"/>
  <c r="Q84" i="16" a="1"/>
  <c r="Q84" i="16" s="1"/>
  <c r="M84" i="16" a="1"/>
  <c r="M84" i="16" s="1"/>
  <c r="AC84" i="16" a="1"/>
  <c r="AC84" i="16" s="1"/>
  <c r="V84" i="16" a="1"/>
  <c r="V84" i="16" s="1"/>
  <c r="O84" i="16" a="1"/>
  <c r="O84" i="16" s="1"/>
  <c r="AB84" i="16" a="1"/>
  <c r="AB84" i="16" s="1"/>
  <c r="AQ88" i="18"/>
  <c r="AQ89" i="18"/>
  <c r="AO88" i="18"/>
  <c r="AR88" i="18"/>
  <c r="AR89" i="18"/>
  <c r="AS88" i="18"/>
  <c r="AS89" i="18"/>
  <c r="AT88" i="18"/>
  <c r="AT89" i="18"/>
  <c r="AU88" i="18"/>
  <c r="AU89" i="18"/>
  <c r="AO89" i="18"/>
  <c r="AN88" i="18"/>
  <c r="AN89" i="18"/>
  <c r="AP88" i="18"/>
  <c r="AP89" i="18"/>
  <c r="CF49" i="15"/>
  <c r="CH49" i="15"/>
  <c r="CH50" i="15" a="1"/>
  <c r="CH50" i="15" s="1"/>
  <c r="CD50" i="15" a="1"/>
  <c r="CD50" i="15" s="1"/>
  <c r="CG50" i="15" a="1"/>
  <c r="CG50" i="15" s="1"/>
  <c r="CJ49" i="15"/>
  <c r="CK50" i="15" a="1"/>
  <c r="CK50" i="15" s="1"/>
  <c r="CI49" i="15"/>
  <c r="CF50" i="15" a="1"/>
  <c r="CF50" i="15" s="1"/>
  <c r="CK49" i="15"/>
  <c r="CI50" i="15" a="1"/>
  <c r="CI50" i="15" s="1"/>
  <c r="CE49" i="15"/>
  <c r="CE50" i="15" a="1"/>
  <c r="CE50" i="15" s="1"/>
  <c r="CD49" i="15"/>
  <c r="CG49" i="15"/>
  <c r="CJ50" i="15" a="1"/>
  <c r="CJ50" i="15" s="1"/>
  <c r="CI73" i="15"/>
  <c r="CE73" i="15"/>
  <c r="CD74" i="15" a="1"/>
  <c r="CD74" i="15" s="1"/>
  <c r="CH73" i="15"/>
  <c r="CF73" i="15"/>
  <c r="CK74" i="15" a="1"/>
  <c r="CK74" i="15" s="1"/>
  <c r="CI74" i="15" a="1"/>
  <c r="CI74" i="15" s="1"/>
  <c r="CG74" i="15" a="1"/>
  <c r="CG74" i="15" s="1"/>
  <c r="CD73" i="15"/>
  <c r="CH74" i="15" a="1"/>
  <c r="CH74" i="15" s="1"/>
  <c r="CJ73" i="15"/>
  <c r="CJ74" i="15" a="1"/>
  <c r="CJ74" i="15" s="1"/>
  <c r="CE74" i="15" a="1"/>
  <c r="CE74" i="15" s="1"/>
  <c r="CF74" i="15" a="1"/>
  <c r="CF74" i="15" s="1"/>
  <c r="CG73" i="15"/>
  <c r="CK73" i="15"/>
  <c r="H90" i="16"/>
  <c r="AD91" i="16" a="1"/>
  <c r="AD91" i="16" s="1"/>
  <c r="V91" i="16" a="1"/>
  <c r="V91" i="16" s="1"/>
  <c r="N91" i="16" a="1"/>
  <c r="N91" i="16" s="1"/>
  <c r="Z91" i="16" a="1"/>
  <c r="Z91" i="16" s="1"/>
  <c r="AC91" i="16" a="1"/>
  <c r="AC91" i="16" s="1"/>
  <c r="U91" i="16" a="1"/>
  <c r="U91" i="16" s="1"/>
  <c r="M91" i="16" a="1"/>
  <c r="M91" i="16" s="1"/>
  <c r="AB91" i="16" a="1"/>
  <c r="AB91" i="16" s="1"/>
  <c r="T91" i="16" a="1"/>
  <c r="T91" i="16" s="1"/>
  <c r="L91" i="16" a="1"/>
  <c r="L91" i="16" s="1"/>
  <c r="AA91" i="16" a="1"/>
  <c r="AA91" i="16" s="1"/>
  <c r="S91" i="16" a="1"/>
  <c r="S91" i="16" s="1"/>
  <c r="I91" i="16" a="1"/>
  <c r="I91" i="16" s="1"/>
  <c r="R91" i="16" a="1"/>
  <c r="R91" i="16" s="1"/>
  <c r="P91" i="16" a="1"/>
  <c r="P91" i="16" s="1"/>
  <c r="W91" i="16" a="1"/>
  <c r="W91" i="16" s="1"/>
  <c r="Y91" i="16" a="1"/>
  <c r="Y91" i="16" s="1"/>
  <c r="Q91" i="16" a="1"/>
  <c r="Q91" i="16" s="1"/>
  <c r="X91" i="16" a="1"/>
  <c r="X91" i="16" s="1"/>
  <c r="O91" i="16" a="1"/>
  <c r="O91" i="16" s="1"/>
  <c r="AO64" i="18"/>
  <c r="AO65" i="18"/>
  <c r="AU64" i="18"/>
  <c r="AU65" i="18"/>
  <c r="AP64" i="18"/>
  <c r="AP65" i="18"/>
  <c r="AQ64" i="18"/>
  <c r="AQ65" i="18"/>
  <c r="AR64" i="18"/>
  <c r="AR65" i="18"/>
  <c r="AS64" i="18"/>
  <c r="AS65" i="18"/>
  <c r="AT64" i="18"/>
  <c r="AT65" i="18"/>
  <c r="AN64" i="18"/>
  <c r="AN65" i="18"/>
  <c r="W93" i="18"/>
  <c r="AP92" i="18"/>
  <c r="AP93" i="18"/>
  <c r="AN93" i="18"/>
  <c r="AQ92" i="18"/>
  <c r="AQ93" i="18"/>
  <c r="AR92" i="18"/>
  <c r="AR93" i="18"/>
  <c r="AS92" i="18"/>
  <c r="AS93" i="18"/>
  <c r="AT92" i="18"/>
  <c r="AT93" i="18"/>
  <c r="AU92" i="18"/>
  <c r="AU93" i="18"/>
  <c r="AN92" i="18"/>
  <c r="AO92" i="18"/>
  <c r="AO93" i="18"/>
  <c r="CD70" i="15"/>
  <c r="CJ71" i="15" a="1"/>
  <c r="CJ71" i="15" s="1"/>
  <c r="CH70" i="15"/>
  <c r="CG71" i="15" a="1"/>
  <c r="CG71" i="15" s="1"/>
  <c r="CJ70" i="15"/>
  <c r="CI70" i="15"/>
  <c r="CI71" i="15" a="1"/>
  <c r="CI71" i="15" s="1"/>
  <c r="CK70" i="15"/>
  <c r="CE70" i="15"/>
  <c r="CD71" i="15" a="1"/>
  <c r="CD71" i="15" s="1"/>
  <c r="CK71" i="15" a="1"/>
  <c r="CK71" i="15" s="1"/>
  <c r="CG70" i="15"/>
  <c r="CE71" i="15" a="1"/>
  <c r="CE71" i="15" s="1"/>
  <c r="CF70" i="15"/>
  <c r="CH71" i="15" a="1"/>
  <c r="CH71" i="15" s="1"/>
  <c r="CF71" i="15" a="1"/>
  <c r="CF71" i="15" s="1"/>
  <c r="CF52" i="15"/>
  <c r="CD52" i="15"/>
  <c r="CI52" i="15"/>
  <c r="CK52" i="15"/>
  <c r="CJ52" i="15"/>
  <c r="CK53" i="15" a="1"/>
  <c r="CK53" i="15" s="1"/>
  <c r="CF53" i="15" a="1"/>
  <c r="CF53" i="15" s="1"/>
  <c r="CG53" i="15" a="1"/>
  <c r="CG53" i="15" s="1"/>
  <c r="CH53" i="15" a="1"/>
  <c r="CH53" i="15" s="1"/>
  <c r="CH52" i="15"/>
  <c r="CI53" i="15" a="1"/>
  <c r="CI53" i="15" s="1"/>
  <c r="CE52" i="15"/>
  <c r="CG52" i="15"/>
  <c r="CE53" i="15" a="1"/>
  <c r="CE53" i="15" s="1"/>
  <c r="CJ53" i="15" a="1"/>
  <c r="CJ53" i="15" s="1"/>
  <c r="CD53" i="15" a="1"/>
  <c r="CD53" i="15" s="1"/>
  <c r="CF76" i="15"/>
  <c r="CG76" i="15"/>
  <c r="CH76" i="15"/>
  <c r="CI76" i="15"/>
  <c r="CJ76" i="15"/>
  <c r="CK76" i="15"/>
  <c r="CE76" i="15"/>
  <c r="CD76" i="15"/>
  <c r="CI77" i="15" a="1"/>
  <c r="CI77" i="15" s="1"/>
  <c r="CE77" i="15" a="1"/>
  <c r="CE77" i="15" s="1"/>
  <c r="CF77" i="15" a="1"/>
  <c r="CF77" i="15" s="1"/>
  <c r="CD77" i="15" a="1"/>
  <c r="CD77" i="15" s="1"/>
  <c r="CH77" i="15" a="1"/>
  <c r="CH77" i="15" s="1"/>
  <c r="CJ77" i="15" a="1"/>
  <c r="CJ77" i="15" s="1"/>
  <c r="CK77" i="15" a="1"/>
  <c r="CK77" i="15" s="1"/>
  <c r="CG77" i="15" a="1"/>
  <c r="CG77" i="15" s="1"/>
  <c r="Y98" i="16" a="1"/>
  <c r="Y98" i="16" s="1"/>
  <c r="Q98" i="16" a="1"/>
  <c r="Q98" i="16" s="1"/>
  <c r="I98" i="16" a="1"/>
  <c r="I98" i="16" s="1"/>
  <c r="X98" i="16" a="1"/>
  <c r="X98" i="16" s="1"/>
  <c r="P98" i="16" a="1"/>
  <c r="P98" i="16" s="1"/>
  <c r="N98" i="16" a="1"/>
  <c r="N98" i="16" s="1"/>
  <c r="AD98" i="16" a="1"/>
  <c r="AD98" i="16" s="1"/>
  <c r="W98" i="16" a="1"/>
  <c r="W98" i="16" s="1"/>
  <c r="U98" i="16" a="1"/>
  <c r="U98" i="16" s="1"/>
  <c r="R98" i="16" a="1"/>
  <c r="R98" i="16" s="1"/>
  <c r="AC98" i="16" a="1"/>
  <c r="AC98" i="16" s="1"/>
  <c r="V98" i="16" a="1"/>
  <c r="V98" i="16" s="1"/>
  <c r="O98" i="16" a="1"/>
  <c r="O98" i="16" s="1"/>
  <c r="AB98" i="16" a="1"/>
  <c r="AB98" i="16" s="1"/>
  <c r="AA98" i="16" a="1"/>
  <c r="AA98" i="16" s="1"/>
  <c r="T98" i="16" a="1"/>
  <c r="T98" i="16" s="1"/>
  <c r="M98" i="16" a="1"/>
  <c r="M98" i="16" s="1"/>
  <c r="Z98" i="16" a="1"/>
  <c r="Z98" i="16" s="1"/>
  <c r="S98" i="16" a="1"/>
  <c r="S98" i="16" s="1"/>
  <c r="L98" i="16" a="1"/>
  <c r="L98" i="16" s="1"/>
  <c r="AP52" i="18"/>
  <c r="AP53" i="18"/>
  <c r="AN53" i="18"/>
  <c r="AQ52" i="18"/>
  <c r="AQ53" i="18"/>
  <c r="AR52" i="18"/>
  <c r="AR53" i="18"/>
  <c r="AS52" i="18"/>
  <c r="AS53" i="18"/>
  <c r="AT52" i="18"/>
  <c r="AT53" i="18"/>
  <c r="AN52" i="18"/>
  <c r="AU52" i="18"/>
  <c r="AU53" i="18"/>
  <c r="AO52" i="18"/>
  <c r="AO53" i="18"/>
  <c r="AO96" i="18"/>
  <c r="AO97" i="18"/>
  <c r="AP96" i="18"/>
  <c r="AP97" i="18"/>
  <c r="AQ96" i="18"/>
  <c r="AQ97" i="18"/>
  <c r="AU96" i="18"/>
  <c r="AR96" i="18"/>
  <c r="AR97" i="18"/>
  <c r="AS96" i="18"/>
  <c r="AS97" i="18"/>
  <c r="AU97" i="18"/>
  <c r="AT96" i="18"/>
  <c r="AT97" i="18"/>
  <c r="AN96" i="18"/>
  <c r="AN97" i="18"/>
  <c r="AO56" i="18"/>
  <c r="AO57" i="18"/>
  <c r="AU56" i="18"/>
  <c r="AP56" i="18"/>
  <c r="AP57" i="18"/>
  <c r="AQ56" i="18"/>
  <c r="AQ57" i="18"/>
  <c r="AU57" i="18"/>
  <c r="AR56" i="18"/>
  <c r="AR57" i="18"/>
  <c r="AS56" i="18"/>
  <c r="AS57" i="18"/>
  <c r="AT56" i="18"/>
  <c r="AT57" i="18"/>
  <c r="AN56" i="18"/>
  <c r="AN57" i="18"/>
  <c r="CI59" i="15" a="1"/>
  <c r="CI59" i="15" s="1"/>
  <c r="CD58" i="15"/>
  <c r="CK58" i="15"/>
  <c r="CJ58" i="15"/>
  <c r="CJ59" i="15" a="1"/>
  <c r="CJ59" i="15" s="1"/>
  <c r="CF59" i="15" a="1"/>
  <c r="CF59" i="15" s="1"/>
  <c r="CE59" i="15" a="1"/>
  <c r="CE59" i="15" s="1"/>
  <c r="CH58" i="15"/>
  <c r="CD59" i="15" a="1"/>
  <c r="CD59" i="15" s="1"/>
  <c r="CF58" i="15"/>
  <c r="CE58" i="15"/>
  <c r="CK59" i="15" a="1"/>
  <c r="CK59" i="15" s="1"/>
  <c r="CH59" i="15" a="1"/>
  <c r="CH59" i="15" s="1"/>
  <c r="CG58" i="15"/>
  <c r="CI58" i="15"/>
  <c r="CG59" i="15" a="1"/>
  <c r="CG59" i="15" s="1"/>
  <c r="CF82" i="15"/>
  <c r="CG82" i="15"/>
  <c r="CH82" i="15"/>
  <c r="CJ82" i="15"/>
  <c r="CI82" i="15"/>
  <c r="CD82" i="15"/>
  <c r="CK82" i="15"/>
  <c r="CE82" i="15"/>
  <c r="CI83" i="15" a="1"/>
  <c r="CI83" i="15" s="1"/>
  <c r="CF83" i="15" a="1"/>
  <c r="CF83" i="15" s="1"/>
  <c r="CK83" i="15" a="1"/>
  <c r="CK83" i="15" s="1"/>
  <c r="CJ83" i="15" a="1"/>
  <c r="CJ83" i="15" s="1"/>
  <c r="CD83" i="15" a="1"/>
  <c r="CD83" i="15" s="1"/>
  <c r="CE83" i="15" a="1"/>
  <c r="CE83" i="15" s="1"/>
  <c r="CH83" i="15" a="1"/>
  <c r="CH83" i="15" s="1"/>
  <c r="CG83" i="15" a="1"/>
  <c r="CG83" i="15" s="1"/>
  <c r="I55" i="16"/>
  <c r="W56" i="16" a="1"/>
  <c r="W56" i="16" s="1"/>
  <c r="P56" i="16" a="1"/>
  <c r="P56" i="16" s="1"/>
  <c r="AA56" i="16" a="1"/>
  <c r="AA56" i="16" s="1"/>
  <c r="AD56" i="16" a="1"/>
  <c r="AD56" i="16" s="1"/>
  <c r="V56" i="16" a="1"/>
  <c r="V56" i="16" s="1"/>
  <c r="O56" i="16" a="1"/>
  <c r="O56" i="16" s="1"/>
  <c r="I56" i="16" a="1"/>
  <c r="I56" i="16" s="1"/>
  <c r="AC56" i="16" a="1"/>
  <c r="AC56" i="16" s="1"/>
  <c r="U56" i="16" a="1"/>
  <c r="U56" i="16" s="1"/>
  <c r="N56" i="16" a="1"/>
  <c r="N56" i="16" s="1"/>
  <c r="S56" i="16" a="1"/>
  <c r="S56" i="16" s="1"/>
  <c r="AB56" i="16" a="1"/>
  <c r="AB56" i="16" s="1"/>
  <c r="T56" i="16" a="1"/>
  <c r="T56" i="16" s="1"/>
  <c r="M56" i="16" a="1"/>
  <c r="M56" i="16" s="1"/>
  <c r="L56" i="16" a="1"/>
  <c r="L56" i="16" s="1"/>
  <c r="Q56" i="16" a="1"/>
  <c r="Q56" i="16" s="1"/>
  <c r="X56" i="16" a="1"/>
  <c r="X56" i="16" s="1"/>
  <c r="Z56" i="16" a="1"/>
  <c r="Z56" i="16" s="1"/>
  <c r="R56" i="16" a="1"/>
  <c r="R56" i="16" s="1"/>
  <c r="Y56" i="16" a="1"/>
  <c r="Y56" i="16" s="1"/>
  <c r="H111" i="16"/>
  <c r="AC112" i="16" a="1"/>
  <c r="AC112" i="16" s="1"/>
  <c r="V112" i="16" a="1"/>
  <c r="V112" i="16" s="1"/>
  <c r="N112" i="16" a="1"/>
  <c r="N112" i="16" s="1"/>
  <c r="Z112" i="16" a="1"/>
  <c r="Z112" i="16" s="1"/>
  <c r="AB112" i="16" a="1"/>
  <c r="AB112" i="16" s="1"/>
  <c r="U112" i="16" a="1"/>
  <c r="U112" i="16" s="1"/>
  <c r="M112" i="16" a="1"/>
  <c r="M112" i="16" s="1"/>
  <c r="AD112" i="16" a="1"/>
  <c r="AD112" i="16" s="1"/>
  <c r="T112" i="16" a="1"/>
  <c r="T112" i="16" s="1"/>
  <c r="L112" i="16" a="1"/>
  <c r="L112" i="16" s="1"/>
  <c r="O112" i="16" a="1"/>
  <c r="O112" i="16" s="1"/>
  <c r="AA112" i="16" a="1"/>
  <c r="AA112" i="16" s="1"/>
  <c r="S112" i="16" a="1"/>
  <c r="S112" i="16" s="1"/>
  <c r="I112" i="16" a="1"/>
  <c r="I112" i="16" s="1"/>
  <c r="R112" i="16" a="1"/>
  <c r="R112" i="16" s="1"/>
  <c r="W112" i="16" a="1"/>
  <c r="W112" i="16" s="1"/>
  <c r="Y112" i="16" a="1"/>
  <c r="Y112" i="16" s="1"/>
  <c r="Q112" i="16" a="1"/>
  <c r="Q112" i="16" s="1"/>
  <c r="X112" i="16" a="1"/>
  <c r="X112" i="16" s="1"/>
  <c r="P112" i="16" a="1"/>
  <c r="P112" i="16" s="1"/>
  <c r="AO60" i="18"/>
  <c r="AO61" i="18"/>
  <c r="AU60" i="18"/>
  <c r="AP60" i="18"/>
  <c r="AP61" i="18"/>
  <c r="AQ60" i="18"/>
  <c r="AQ61" i="18"/>
  <c r="AR60" i="18"/>
  <c r="AR61" i="18"/>
  <c r="AS60" i="18"/>
  <c r="AS61" i="18"/>
  <c r="AU61" i="18"/>
  <c r="AT60" i="18"/>
  <c r="AT61" i="18"/>
  <c r="AN60" i="18"/>
  <c r="AN61" i="18"/>
  <c r="AU72" i="18"/>
  <c r="AU73" i="18"/>
  <c r="AN72" i="18"/>
  <c r="AN73" i="18"/>
  <c r="AO72" i="18"/>
  <c r="AO73" i="18"/>
  <c r="AP72" i="18"/>
  <c r="AP73" i="18"/>
  <c r="AQ72" i="18"/>
  <c r="AQ73" i="18"/>
  <c r="AS72" i="18"/>
  <c r="AR72" i="18"/>
  <c r="AR73" i="18"/>
  <c r="AS73" i="18"/>
  <c r="AT72" i="18"/>
  <c r="AT73" i="18"/>
  <c r="AU104" i="18"/>
  <c r="AU105" i="18"/>
  <c r="AN104" i="18"/>
  <c r="AN105" i="18"/>
  <c r="AO104" i="18"/>
  <c r="AO105" i="18"/>
  <c r="AS105" i="18"/>
  <c r="AP104" i="18"/>
  <c r="AP105" i="18"/>
  <c r="AS104" i="18"/>
  <c r="AQ104" i="18"/>
  <c r="AQ105" i="18"/>
  <c r="AR104" i="18"/>
  <c r="AR105" i="18"/>
  <c r="AT104" i="18"/>
  <c r="AT105" i="18"/>
  <c r="CI46" i="15"/>
  <c r="CK46" i="15"/>
  <c r="CG46" i="15"/>
  <c r="CJ47" i="15" a="1"/>
  <c r="CJ47" i="15" s="1"/>
  <c r="CD47" i="15" a="1"/>
  <c r="CD47" i="15" s="1"/>
  <c r="CD46" i="15"/>
  <c r="CE46" i="15"/>
  <c r="CF46" i="15"/>
  <c r="CG47" i="15" a="1"/>
  <c r="CG47" i="15" s="1"/>
  <c r="CH47" i="15" a="1"/>
  <c r="CH47" i="15" s="1"/>
  <c r="CE47" i="15" a="1"/>
  <c r="CE47" i="15" s="1"/>
  <c r="CJ46" i="15"/>
  <c r="CK47" i="15" a="1"/>
  <c r="CK47" i="15" s="1"/>
  <c r="CH46" i="15"/>
  <c r="CI47" i="15" a="1"/>
  <c r="CI47" i="15" s="1"/>
  <c r="CF47" i="15" a="1"/>
  <c r="CF47" i="15" s="1"/>
  <c r="CF79" i="15"/>
  <c r="CD79" i="15"/>
  <c r="CG79" i="15"/>
  <c r="CH79" i="15"/>
  <c r="CI79" i="15"/>
  <c r="CK79" i="15"/>
  <c r="CE79" i="15"/>
  <c r="CJ79" i="15"/>
  <c r="CI80" i="15" a="1"/>
  <c r="CI80" i="15" s="1"/>
  <c r="CD80" i="15" a="1"/>
  <c r="CD80" i="15" s="1"/>
  <c r="CJ80" i="15" a="1"/>
  <c r="CJ80" i="15" s="1"/>
  <c r="CK80" i="15" a="1"/>
  <c r="CK80" i="15" s="1"/>
  <c r="CG80" i="15" a="1"/>
  <c r="CG80" i="15" s="1"/>
  <c r="CF80" i="15" a="1"/>
  <c r="CF80" i="15" s="1"/>
  <c r="CE80" i="15" a="1"/>
  <c r="CE80" i="15" s="1"/>
  <c r="CH80" i="15" a="1"/>
  <c r="CH80" i="15" s="1"/>
  <c r="CI62" i="15" a="1"/>
  <c r="CI62" i="15" s="1"/>
  <c r="CH62" i="15" a="1"/>
  <c r="CH62" i="15" s="1"/>
  <c r="CI61" i="15"/>
  <c r="CE61" i="15"/>
  <c r="CK61" i="15"/>
  <c r="CJ62" i="15" a="1"/>
  <c r="CJ62" i="15" s="1"/>
  <c r="CD62" i="15" a="1"/>
  <c r="CD62" i="15" s="1"/>
  <c r="CK62" i="15" a="1"/>
  <c r="CK62" i="15" s="1"/>
  <c r="CD61" i="15"/>
  <c r="CG61" i="15"/>
  <c r="CF62" i="15" a="1"/>
  <c r="CF62" i="15" s="1"/>
  <c r="CG62" i="15" a="1"/>
  <c r="CG62" i="15" s="1"/>
  <c r="CH61" i="15"/>
  <c r="CE62" i="15" a="1"/>
  <c r="CE62" i="15" s="1"/>
  <c r="CJ61" i="15"/>
  <c r="CF61" i="15"/>
  <c r="CF85" i="15"/>
  <c r="CD85" i="15"/>
  <c r="CG85" i="15"/>
  <c r="CH85" i="15"/>
  <c r="CI85" i="15"/>
  <c r="CK85" i="15"/>
  <c r="CE85" i="15"/>
  <c r="CJ85" i="15"/>
  <c r="CE86" i="15" a="1"/>
  <c r="CE86" i="15" s="1"/>
  <c r="CD86" i="15" a="1"/>
  <c r="CD86" i="15" s="1"/>
  <c r="CK86" i="15" a="1"/>
  <c r="CK86" i="15" s="1"/>
  <c r="CF86" i="15" a="1"/>
  <c r="CF86" i="15" s="1"/>
  <c r="CJ86" i="15" a="1"/>
  <c r="CJ86" i="15" s="1"/>
  <c r="CH86" i="15" a="1"/>
  <c r="CH86" i="15" s="1"/>
  <c r="CI86" i="15" a="1"/>
  <c r="CI86" i="15" s="1"/>
  <c r="CG86" i="15" a="1"/>
  <c r="CG86" i="15" s="1"/>
  <c r="H62" i="16"/>
  <c r="AD63" i="16" a="1"/>
  <c r="AD63" i="16" s="1"/>
  <c r="X63" i="16" a="1"/>
  <c r="X63" i="16" s="1"/>
  <c r="R63" i="16" a="1"/>
  <c r="R63" i="16" s="1"/>
  <c r="I63" i="16" a="1"/>
  <c r="I63" i="16" s="1"/>
  <c r="M63" i="16" a="1"/>
  <c r="M63" i="16" s="1"/>
  <c r="Y63" i="16" a="1"/>
  <c r="Y63" i="16" s="1"/>
  <c r="AC63" i="16" a="1"/>
  <c r="AC63" i="16" s="1"/>
  <c r="W63" i="16" a="1"/>
  <c r="W63" i="16" s="1"/>
  <c r="Q63" i="16" a="1"/>
  <c r="Q63" i="16" s="1"/>
  <c r="U63" i="16" a="1"/>
  <c r="U63" i="16" s="1"/>
  <c r="L63" i="16" a="1"/>
  <c r="L63" i="16" s="1"/>
  <c r="AB63" i="16" a="1"/>
  <c r="AB63" i="16" s="1"/>
  <c r="V63" i="16" a="1"/>
  <c r="V63" i="16" s="1"/>
  <c r="P63" i="16" a="1"/>
  <c r="P63" i="16" s="1"/>
  <c r="AA63" i="16" a="1"/>
  <c r="AA63" i="16" s="1"/>
  <c r="O63" i="16" a="1"/>
  <c r="O63" i="16" s="1"/>
  <c r="N63" i="16" a="1"/>
  <c r="N63" i="16" s="1"/>
  <c r="Z63" i="16" a="1"/>
  <c r="Z63" i="16" s="1"/>
  <c r="T63" i="16" a="1"/>
  <c r="T63" i="16" s="1"/>
  <c r="S63" i="16" a="1"/>
  <c r="S63" i="16" s="1"/>
  <c r="P48" i="18"/>
  <c r="AQ48" i="18"/>
  <c r="AQ49" i="18"/>
  <c r="AO49" i="18"/>
  <c r="AR48" i="18"/>
  <c r="AR49" i="18"/>
  <c r="AS48" i="18"/>
  <c r="AS49" i="18"/>
  <c r="AT48" i="18"/>
  <c r="AT49" i="18"/>
  <c r="AU48" i="18"/>
  <c r="AU49" i="18"/>
  <c r="AO48" i="18"/>
  <c r="AN48" i="18"/>
  <c r="AN49" i="18"/>
  <c r="AP48" i="18"/>
  <c r="AP49" i="18"/>
  <c r="Z64" i="18"/>
  <c r="AT76" i="18"/>
  <c r="AT77" i="18"/>
  <c r="AR76" i="18"/>
  <c r="AU76" i="18"/>
  <c r="AU77" i="18"/>
  <c r="AN76" i="18"/>
  <c r="AN77" i="18"/>
  <c r="AO76" i="18"/>
  <c r="AO77" i="18"/>
  <c r="AR77" i="18"/>
  <c r="AP76" i="18"/>
  <c r="AP77" i="18"/>
  <c r="AQ76" i="18"/>
  <c r="AQ77" i="18"/>
  <c r="AS76" i="18"/>
  <c r="AS77" i="18"/>
  <c r="AT108" i="18"/>
  <c r="AT109" i="18"/>
  <c r="AR109" i="18"/>
  <c r="AU108" i="18"/>
  <c r="AU109" i="18"/>
  <c r="AN108" i="18"/>
  <c r="AN109" i="18"/>
  <c r="AO108" i="18"/>
  <c r="AO109" i="18"/>
  <c r="AP108" i="18"/>
  <c r="AP109" i="18"/>
  <c r="AR108" i="18"/>
  <c r="AQ108" i="18"/>
  <c r="AQ109" i="18"/>
  <c r="AS108" i="18"/>
  <c r="AS109" i="18"/>
  <c r="H48" i="16"/>
  <c r="AA49" i="16" a="1"/>
  <c r="AA49" i="16" s="1"/>
  <c r="T49" i="16" a="1"/>
  <c r="T49" i="16" s="1"/>
  <c r="L49" i="16" a="1"/>
  <c r="L49" i="16" s="1"/>
  <c r="P49" i="16" a="1"/>
  <c r="P49" i="16" s="1"/>
  <c r="N49" i="16" a="1"/>
  <c r="N49" i="16" s="1"/>
  <c r="AB49" i="16" a="1"/>
  <c r="AB49" i="16" s="1"/>
  <c r="Z49" i="16" a="1"/>
  <c r="Z49" i="16" s="1"/>
  <c r="S49" i="16" a="1"/>
  <c r="S49" i="16" s="1"/>
  <c r="W49" i="16" a="1"/>
  <c r="W49" i="16" s="1"/>
  <c r="AC49" i="16" a="1"/>
  <c r="AC49" i="16" s="1"/>
  <c r="M49" i="16" a="1"/>
  <c r="M49" i="16" s="1"/>
  <c r="Y49" i="16" a="1"/>
  <c r="Y49" i="16" s="1"/>
  <c r="R49" i="16" a="1"/>
  <c r="R49" i="16" s="1"/>
  <c r="I49" i="16" a="1"/>
  <c r="I49" i="16" s="1"/>
  <c r="V49" i="16" a="1"/>
  <c r="V49" i="16" s="1"/>
  <c r="U49" i="16" a="1"/>
  <c r="U49" i="16" s="1"/>
  <c r="X49" i="16" a="1"/>
  <c r="X49" i="16" s="1"/>
  <c r="Q49" i="16" a="1"/>
  <c r="Q49" i="16" s="1"/>
  <c r="AD49" i="16" a="1"/>
  <c r="AD49" i="16" s="1"/>
  <c r="O49" i="16" a="1"/>
  <c r="O49" i="16" s="1"/>
  <c r="H104" i="16"/>
  <c r="Z105" i="16" a="1"/>
  <c r="Z105" i="16" s="1"/>
  <c r="L105" i="16" a="1"/>
  <c r="L105" i="16" s="1"/>
  <c r="P105" i="16" a="1"/>
  <c r="P105" i="16" s="1"/>
  <c r="AA105" i="16" a="1"/>
  <c r="AA105" i="16" s="1"/>
  <c r="Y105" i="16" a="1"/>
  <c r="Y105" i="16" s="1"/>
  <c r="R105" i="16" a="1"/>
  <c r="R105" i="16" s="1"/>
  <c r="I105" i="16" a="1"/>
  <c r="I105" i="16" s="1"/>
  <c r="V105" i="16" a="1"/>
  <c r="V105" i="16" s="1"/>
  <c r="M105" i="16" a="1"/>
  <c r="M105" i="16" s="1"/>
  <c r="X105" i="16" a="1"/>
  <c r="X105" i="16" s="1"/>
  <c r="Q105" i="16" a="1"/>
  <c r="Q105" i="16" s="1"/>
  <c r="AD105" i="16" a="1"/>
  <c r="AD105" i="16" s="1"/>
  <c r="W105" i="16" a="1"/>
  <c r="W105" i="16" s="1"/>
  <c r="AC105" i="16" a="1"/>
  <c r="AC105" i="16" s="1"/>
  <c r="U105" i="16" a="1"/>
  <c r="U105" i="16" s="1"/>
  <c r="O105" i="16" a="1"/>
  <c r="O105" i="16" s="1"/>
  <c r="AB105" i="16" a="1"/>
  <c r="AB105" i="16" s="1"/>
  <c r="T105" i="16" a="1"/>
  <c r="T105" i="16" s="1"/>
  <c r="N105" i="16" a="1"/>
  <c r="N105" i="16" s="1"/>
  <c r="S105" i="16" a="1"/>
  <c r="S105" i="16" s="1"/>
  <c r="AM69" i="18"/>
  <c r="AN68" i="18"/>
  <c r="AN69" i="18"/>
  <c r="AT69" i="18"/>
  <c r="AO68" i="18"/>
  <c r="AO69" i="18"/>
  <c r="AP68" i="18"/>
  <c r="AP69" i="18"/>
  <c r="AQ68" i="18"/>
  <c r="AQ69" i="18"/>
  <c r="AR68" i="18"/>
  <c r="AR69" i="18"/>
  <c r="AT68" i="18"/>
  <c r="AS68" i="18"/>
  <c r="AS69" i="18"/>
  <c r="AU68" i="18"/>
  <c r="AU69" i="18"/>
  <c r="CD64" i="15"/>
  <c r="CJ64" i="15"/>
  <c r="CI64" i="15"/>
  <c r="CF64" i="15"/>
  <c r="CF65" i="15" a="1"/>
  <c r="CF65" i="15" s="1"/>
  <c r="CK65" i="15" a="1"/>
  <c r="CK65" i="15" s="1"/>
  <c r="CH64" i="15"/>
  <c r="CE64" i="15"/>
  <c r="CE65" i="15" a="1"/>
  <c r="CE65" i="15" s="1"/>
  <c r="CG65" i="15" a="1"/>
  <c r="CG65" i="15" s="1"/>
  <c r="CI65" i="15" a="1"/>
  <c r="CI65" i="15" s="1"/>
  <c r="CJ65" i="15" a="1"/>
  <c r="CJ65" i="15" s="1"/>
  <c r="CH65" i="15" a="1"/>
  <c r="CH65" i="15" s="1"/>
  <c r="CG64" i="15"/>
  <c r="CK64" i="15"/>
  <c r="CD65" i="15" a="1"/>
  <c r="CD65" i="15" s="1"/>
  <c r="CF88" i="15"/>
  <c r="CG88" i="15"/>
  <c r="CH88" i="15"/>
  <c r="CI88" i="15"/>
  <c r="CJ88" i="15"/>
  <c r="CK88" i="15"/>
  <c r="CE88" i="15"/>
  <c r="CD88" i="15"/>
  <c r="CJ89" i="15" a="1"/>
  <c r="CJ89" i="15" s="1"/>
  <c r="CF89" i="15" a="1"/>
  <c r="CF89" i="15" s="1"/>
  <c r="CE89" i="15" a="1"/>
  <c r="CE89" i="15" s="1"/>
  <c r="CH89" i="15" a="1"/>
  <c r="CH89" i="15" s="1"/>
  <c r="CI89" i="15" a="1"/>
  <c r="CI89" i="15" s="1"/>
  <c r="CD89" i="15" a="1"/>
  <c r="CD89" i="15" s="1"/>
  <c r="CK89" i="15" a="1"/>
  <c r="CK89" i="15" s="1"/>
  <c r="CG89" i="15" a="1"/>
  <c r="CG89" i="15" s="1"/>
  <c r="H69" i="16"/>
  <c r="Y70" i="16" a="1"/>
  <c r="Y70" i="16" s="1"/>
  <c r="Q70" i="16" a="1"/>
  <c r="Q70" i="16" s="1"/>
  <c r="M70" i="16" a="1"/>
  <c r="M70" i="16" s="1"/>
  <c r="X70" i="16" a="1"/>
  <c r="X70" i="16" s="1"/>
  <c r="P70" i="16" a="1"/>
  <c r="P70" i="16" s="1"/>
  <c r="S70" i="16" a="1"/>
  <c r="S70" i="16" s="1"/>
  <c r="AD70" i="16" a="1"/>
  <c r="AD70" i="16" s="1"/>
  <c r="W70" i="16" a="1"/>
  <c r="W70" i="16" s="1"/>
  <c r="O70" i="16" a="1"/>
  <c r="O70" i="16" s="1"/>
  <c r="I70" i="16" a="1"/>
  <c r="I70" i="16" s="1"/>
  <c r="R70" i="16" a="1"/>
  <c r="R70" i="16" s="1"/>
  <c r="AC70" i="16" a="1"/>
  <c r="AC70" i="16" s="1"/>
  <c r="V70" i="16" a="1"/>
  <c r="V70" i="16" s="1"/>
  <c r="N70" i="16" a="1"/>
  <c r="N70" i="16" s="1"/>
  <c r="U70" i="16" a="1"/>
  <c r="U70" i="16" s="1"/>
  <c r="AA70" i="16" a="1"/>
  <c r="AA70" i="16" s="1"/>
  <c r="Z70" i="16" a="1"/>
  <c r="Z70" i="16" s="1"/>
  <c r="AB70" i="16" a="1"/>
  <c r="AB70" i="16" s="1"/>
  <c r="T70" i="16" a="1"/>
  <c r="T70" i="16" s="1"/>
  <c r="L70" i="16" a="1"/>
  <c r="L70" i="16" s="1"/>
  <c r="AC64" i="18"/>
  <c r="AS80" i="18"/>
  <c r="AS81" i="18"/>
  <c r="AT80" i="18"/>
  <c r="AT81" i="18"/>
  <c r="AU80" i="18"/>
  <c r="AU81" i="18"/>
  <c r="AQ81" i="18"/>
  <c r="AN80" i="18"/>
  <c r="AN81" i="18"/>
  <c r="AO80" i="18"/>
  <c r="AO81" i="18"/>
  <c r="AQ80" i="18"/>
  <c r="AP80" i="18"/>
  <c r="AP81" i="18"/>
  <c r="AR80" i="18"/>
  <c r="AR81" i="18"/>
  <c r="CH55" i="15"/>
  <c r="CH56" i="15" a="1"/>
  <c r="CH56" i="15" s="1"/>
  <c r="CG56" i="15" a="1"/>
  <c r="CG56" i="15" s="1"/>
  <c r="CF56" i="15" a="1"/>
  <c r="CF56" i="15" s="1"/>
  <c r="CG55" i="15"/>
  <c r="CK55" i="15"/>
  <c r="CI55" i="15"/>
  <c r="CD55" i="15"/>
  <c r="CE55" i="15"/>
  <c r="CF55" i="15"/>
  <c r="CE56" i="15" a="1"/>
  <c r="CE56" i="15" s="1"/>
  <c r="CI56" i="15" a="1"/>
  <c r="CI56" i="15" s="1"/>
  <c r="CD56" i="15" a="1"/>
  <c r="CD56" i="15" s="1"/>
  <c r="CK56" i="15" a="1"/>
  <c r="CK56" i="15" s="1"/>
  <c r="CJ55" i="15"/>
  <c r="CJ56" i="15" a="1"/>
  <c r="CJ56" i="15" s="1"/>
  <c r="AN100" i="18"/>
  <c r="AN101" i="18"/>
  <c r="AT100" i="18"/>
  <c r="AO100" i="18"/>
  <c r="AO101" i="18"/>
  <c r="AP100" i="18"/>
  <c r="AP101" i="18"/>
  <c r="AQ100" i="18"/>
  <c r="AQ101" i="18"/>
  <c r="AR100" i="18"/>
  <c r="AR101" i="18"/>
  <c r="AS100" i="18"/>
  <c r="AS101" i="18"/>
  <c r="AT101" i="18"/>
  <c r="AU100" i="18"/>
  <c r="AU101" i="18"/>
  <c r="CJ68" i="15" a="1"/>
  <c r="CJ68" i="15" s="1"/>
  <c r="CJ67" i="15"/>
  <c r="CE68" i="15" a="1"/>
  <c r="CE68" i="15" s="1"/>
  <c r="CK68" i="15" a="1"/>
  <c r="CK68" i="15" s="1"/>
  <c r="CK67" i="15"/>
  <c r="CG68" i="15" a="1"/>
  <c r="CG68" i="15" s="1"/>
  <c r="CD68" i="15" a="1"/>
  <c r="CD68" i="15" s="1"/>
  <c r="CF68" i="15" a="1"/>
  <c r="CF68" i="15" s="1"/>
  <c r="CE67" i="15"/>
  <c r="CI68" i="15" a="1"/>
  <c r="CI68" i="15" s="1"/>
  <c r="CD67" i="15"/>
  <c r="CH68" i="15" a="1"/>
  <c r="CH68" i="15" s="1"/>
  <c r="CH67" i="15"/>
  <c r="CG67" i="15"/>
  <c r="CF67" i="15"/>
  <c r="CI67" i="15"/>
  <c r="CF91" i="15"/>
  <c r="CG91" i="15"/>
  <c r="CJ91" i="15"/>
  <c r="CH91" i="15"/>
  <c r="CI91" i="15"/>
  <c r="CD91" i="15"/>
  <c r="CK91" i="15"/>
  <c r="CE91" i="15"/>
  <c r="CK92" i="15" a="1"/>
  <c r="CK92" i="15" s="1"/>
  <c r="CI92" i="15" a="1"/>
  <c r="CI92" i="15" s="1"/>
  <c r="CF92" i="15" a="1"/>
  <c r="CF92" i="15" s="1"/>
  <c r="CD92" i="15" a="1"/>
  <c r="CD92" i="15" s="1"/>
  <c r="CE92" i="15" a="1"/>
  <c r="CE92" i="15" s="1"/>
  <c r="CG92" i="15" a="1"/>
  <c r="CG92" i="15" s="1"/>
  <c r="CH92" i="15" a="1"/>
  <c r="CH92" i="15" s="1"/>
  <c r="CJ92" i="15" a="1"/>
  <c r="CJ92" i="15" s="1"/>
  <c r="H76" i="16"/>
  <c r="Y77" i="16" a="1"/>
  <c r="Y77" i="16" s="1"/>
  <c r="R77" i="16" a="1"/>
  <c r="R77" i="16" s="1"/>
  <c r="Z77" i="16" a="1"/>
  <c r="Z77" i="16" s="1"/>
  <c r="X77" i="16" a="1"/>
  <c r="X77" i="16" s="1"/>
  <c r="Q77" i="16" a="1"/>
  <c r="Q77" i="16" s="1"/>
  <c r="I77" i="16" a="1"/>
  <c r="I77" i="16" s="1"/>
  <c r="N77" i="16" a="1"/>
  <c r="N77" i="16" s="1"/>
  <c r="S77" i="16" a="1"/>
  <c r="S77" i="16" s="1"/>
  <c r="W77" i="16" a="1"/>
  <c r="W77" i="16" s="1"/>
  <c r="P77" i="16" a="1"/>
  <c r="P77" i="16" s="1"/>
  <c r="U77" i="16" a="1"/>
  <c r="U77" i="16" s="1"/>
  <c r="AA77" i="16" a="1"/>
  <c r="AA77" i="16" s="1"/>
  <c r="AD77" i="16" a="1"/>
  <c r="AD77" i="16" s="1"/>
  <c r="V77" i="16" a="1"/>
  <c r="V77" i="16" s="1"/>
  <c r="O77" i="16" a="1"/>
  <c r="O77" i="16" s="1"/>
  <c r="AC77" i="16" a="1"/>
  <c r="AC77" i="16" s="1"/>
  <c r="AB77" i="16" a="1"/>
  <c r="AB77" i="16" s="1"/>
  <c r="T77" i="16" a="1"/>
  <c r="T77" i="16" s="1"/>
  <c r="M77" i="16" a="1"/>
  <c r="M77" i="16" s="1"/>
  <c r="L77" i="16" a="1"/>
  <c r="L77" i="16" s="1"/>
  <c r="L65" i="18"/>
  <c r="AR84" i="18"/>
  <c r="AR85" i="18"/>
  <c r="AP84" i="18"/>
  <c r="AS84" i="18"/>
  <c r="AS85" i="18"/>
  <c r="AT84" i="18"/>
  <c r="AT85" i="18"/>
  <c r="AU84" i="18"/>
  <c r="AU85" i="18"/>
  <c r="AN84" i="18"/>
  <c r="AN85" i="18"/>
  <c r="AP85" i="18"/>
  <c r="AO84" i="18"/>
  <c r="AO85" i="18"/>
  <c r="AQ84" i="18"/>
  <c r="AQ85" i="18"/>
  <c r="BR82" i="5"/>
  <c r="BV82" i="5"/>
  <c r="BZ82" i="5"/>
  <c r="CD82" i="5"/>
  <c r="CH82" i="5"/>
  <c r="CL82" i="5"/>
  <c r="CP82" i="5"/>
  <c r="CT82" i="5"/>
  <c r="CX82" i="5"/>
  <c r="BP82" i="5"/>
  <c r="BT82" i="5"/>
  <c r="CB82" i="5"/>
  <c r="CJ82" i="5"/>
  <c r="CR82" i="5"/>
  <c r="BQ82" i="5"/>
  <c r="BU82" i="5"/>
  <c r="BY82" i="5"/>
  <c r="CC82" i="5"/>
  <c r="CG82" i="5"/>
  <c r="CK82" i="5"/>
  <c r="CO82" i="5"/>
  <c r="CS82" i="5"/>
  <c r="CW82" i="5"/>
  <c r="BO82" i="5"/>
  <c r="BS82" i="5"/>
  <c r="BW82" i="5"/>
  <c r="CA82" i="5"/>
  <c r="CE82" i="5"/>
  <c r="CI82" i="5"/>
  <c r="CM82" i="5"/>
  <c r="CQ82" i="5"/>
  <c r="CU82" i="5"/>
  <c r="CY82" i="5"/>
  <c r="BX82" i="5"/>
  <c r="CF82" i="5"/>
  <c r="CN82" i="5"/>
  <c r="CV82" i="5"/>
  <c r="BO94" i="5"/>
  <c r="BS94" i="5"/>
  <c r="BW94" i="5"/>
  <c r="CA94" i="5"/>
  <c r="CE94" i="5"/>
  <c r="CI94" i="5"/>
  <c r="CM94" i="5"/>
  <c r="CQ94" i="5"/>
  <c r="CU94" i="5"/>
  <c r="CY94" i="5"/>
  <c r="CS94" i="5"/>
  <c r="BP94" i="5"/>
  <c r="BT94" i="5"/>
  <c r="BX94" i="5"/>
  <c r="CB94" i="5"/>
  <c r="CF94" i="5"/>
  <c r="CJ94" i="5"/>
  <c r="CN94" i="5"/>
  <c r="CR94" i="5"/>
  <c r="CV94" i="5"/>
  <c r="BQ94" i="5"/>
  <c r="BU94" i="5"/>
  <c r="BY94" i="5"/>
  <c r="CC94" i="5"/>
  <c r="CG94" i="5"/>
  <c r="CK94" i="5"/>
  <c r="CO94" i="5"/>
  <c r="CW94" i="5"/>
  <c r="CD94" i="5"/>
  <c r="CT94" i="5"/>
  <c r="BR94" i="5"/>
  <c r="CH94" i="5"/>
  <c r="CX94" i="5"/>
  <c r="BV94" i="5"/>
  <c r="CL94" i="5"/>
  <c r="BZ94" i="5"/>
  <c r="CP94" i="5"/>
  <c r="BP85" i="5"/>
  <c r="BT85" i="5"/>
  <c r="BX85" i="5"/>
  <c r="CB85" i="5"/>
  <c r="CF85" i="5"/>
  <c r="CJ85" i="5"/>
  <c r="CN85" i="5"/>
  <c r="CR85" i="5"/>
  <c r="CV85" i="5"/>
  <c r="CX85" i="5"/>
  <c r="BS85" i="5"/>
  <c r="BW85" i="5"/>
  <c r="CE85" i="5"/>
  <c r="CM85" i="5"/>
  <c r="CU85" i="5"/>
  <c r="BQ85" i="5"/>
  <c r="BU85" i="5"/>
  <c r="BY85" i="5"/>
  <c r="CC85" i="5"/>
  <c r="CG85" i="5"/>
  <c r="CK85" i="5"/>
  <c r="CO85" i="5"/>
  <c r="CS85" i="5"/>
  <c r="CW85" i="5"/>
  <c r="BR85" i="5"/>
  <c r="BV85" i="5"/>
  <c r="BZ85" i="5"/>
  <c r="CD85" i="5"/>
  <c r="CH85" i="5"/>
  <c r="CL85" i="5"/>
  <c r="CP85" i="5"/>
  <c r="CT85" i="5"/>
  <c r="BO85" i="5"/>
  <c r="CA85" i="5"/>
  <c r="CI85" i="5"/>
  <c r="CQ85" i="5"/>
  <c r="CY85" i="5"/>
  <c r="BR97" i="5"/>
  <c r="BV97" i="5"/>
  <c r="BZ97" i="5"/>
  <c r="CD97" i="5"/>
  <c r="CH97" i="5"/>
  <c r="CL97" i="5"/>
  <c r="CP97" i="5"/>
  <c r="CT97" i="5"/>
  <c r="CX97" i="5"/>
  <c r="BT97" i="5"/>
  <c r="CB97" i="5"/>
  <c r="CJ97" i="5"/>
  <c r="CR97" i="5"/>
  <c r="BO97" i="5"/>
  <c r="BS97" i="5"/>
  <c r="BW97" i="5"/>
  <c r="CA97" i="5"/>
  <c r="CE97" i="5"/>
  <c r="CI97" i="5"/>
  <c r="CM97" i="5"/>
  <c r="CQ97" i="5"/>
  <c r="CU97" i="5"/>
  <c r="CY97" i="5"/>
  <c r="BP97" i="5"/>
  <c r="BX97" i="5"/>
  <c r="CF97" i="5"/>
  <c r="CN97" i="5"/>
  <c r="CV97" i="5"/>
  <c r="BY97" i="5"/>
  <c r="CO97" i="5"/>
  <c r="CC97" i="5"/>
  <c r="CS97" i="5"/>
  <c r="BQ97" i="5"/>
  <c r="CG97" i="5"/>
  <c r="BU97" i="5"/>
  <c r="CK97" i="5"/>
  <c r="CW97" i="5"/>
  <c r="BP91" i="5"/>
  <c r="BT91" i="5"/>
  <c r="BX91" i="5"/>
  <c r="CB91" i="5"/>
  <c r="CF91" i="5"/>
  <c r="CJ91" i="5"/>
  <c r="CN91" i="5"/>
  <c r="CR91" i="5"/>
  <c r="CV91" i="5"/>
  <c r="BR91" i="5"/>
  <c r="BV91" i="5"/>
  <c r="BZ91" i="5"/>
  <c r="CD91" i="5"/>
  <c r="CH91" i="5"/>
  <c r="CL91" i="5"/>
  <c r="CP91" i="5"/>
  <c r="CT91" i="5"/>
  <c r="BS91" i="5"/>
  <c r="CA91" i="5"/>
  <c r="CI91" i="5"/>
  <c r="CQ91" i="5"/>
  <c r="CY91" i="5"/>
  <c r="BQ91" i="5"/>
  <c r="BU91" i="5"/>
  <c r="BY91" i="5"/>
  <c r="CC91" i="5"/>
  <c r="CG91" i="5"/>
  <c r="CK91" i="5"/>
  <c r="CO91" i="5"/>
  <c r="CS91" i="5"/>
  <c r="CW91" i="5"/>
  <c r="CX91" i="5"/>
  <c r="BO91" i="5"/>
  <c r="BW91" i="5"/>
  <c r="CE91" i="5"/>
  <c r="CM91" i="5"/>
  <c r="CU91" i="5"/>
  <c r="BR88" i="5"/>
  <c r="BV88" i="5"/>
  <c r="BZ88" i="5"/>
  <c r="CD88" i="5"/>
  <c r="CH88" i="5"/>
  <c r="CL88" i="5"/>
  <c r="CP88" i="5"/>
  <c r="CT88" i="5"/>
  <c r="CX88" i="5"/>
  <c r="BX88" i="5"/>
  <c r="CF88" i="5"/>
  <c r="CN88" i="5"/>
  <c r="CV88" i="5"/>
  <c r="BQ88" i="5"/>
  <c r="BY88" i="5"/>
  <c r="CG88" i="5"/>
  <c r="CO88" i="5"/>
  <c r="CW88" i="5"/>
  <c r="BO88" i="5"/>
  <c r="BS88" i="5"/>
  <c r="BW88" i="5"/>
  <c r="CA88" i="5"/>
  <c r="CE88" i="5"/>
  <c r="CI88" i="5"/>
  <c r="CM88" i="5"/>
  <c r="CQ88" i="5"/>
  <c r="CU88" i="5"/>
  <c r="CY88" i="5"/>
  <c r="BP88" i="5"/>
  <c r="BT88" i="5"/>
  <c r="CB88" i="5"/>
  <c r="CJ88" i="5"/>
  <c r="CR88" i="5"/>
  <c r="BU88" i="5"/>
  <c r="CC88" i="5"/>
  <c r="CK88" i="5"/>
  <c r="CS88" i="5"/>
  <c r="AU84" i="16" a="1"/>
  <c r="AU84" i="16" s="1"/>
  <c r="AU105" i="16" a="1"/>
  <c r="AU105" i="16" s="1"/>
  <c r="AU98" i="16" a="1"/>
  <c r="AU98" i="16" s="1"/>
  <c r="AU70" i="16" a="1"/>
  <c r="AU70" i="16" s="1"/>
  <c r="AU49" i="16" a="1"/>
  <c r="AU49" i="16" s="1"/>
  <c r="AU112" i="16" a="1"/>
  <c r="AU112" i="16" s="1"/>
  <c r="AU91" i="16" a="1"/>
  <c r="AU91" i="16" s="1"/>
  <c r="AU77" i="16" a="1"/>
  <c r="AU77" i="16" s="1"/>
  <c r="AU56" i="16" a="1"/>
  <c r="AU56" i="16" s="1"/>
  <c r="AU63" i="16" a="1"/>
  <c r="AU63" i="16" s="1"/>
  <c r="AM84" i="16" a="1"/>
  <c r="AM84" i="16" s="1"/>
  <c r="AM105" i="16" a="1"/>
  <c r="AM105" i="16" s="1"/>
  <c r="AM98" i="16" a="1"/>
  <c r="AM98" i="16" s="1"/>
  <c r="AM70" i="16" a="1"/>
  <c r="AM70" i="16" s="1"/>
  <c r="AM49" i="16" a="1"/>
  <c r="AM49" i="16" s="1"/>
  <c r="AM91" i="16" a="1"/>
  <c r="AM91" i="16" s="1"/>
  <c r="AM77" i="16" a="1"/>
  <c r="AM77" i="16" s="1"/>
  <c r="AM56" i="16" a="1"/>
  <c r="AM56" i="16" s="1"/>
  <c r="AM112" i="16" a="1"/>
  <c r="AM112" i="16" s="1"/>
  <c r="AM63" i="16" a="1"/>
  <c r="AM63" i="16" s="1"/>
  <c r="AF91" i="16" a="1"/>
  <c r="AF91" i="16" s="1"/>
  <c r="AF112" i="16" a="1"/>
  <c r="AF112" i="16" s="1"/>
  <c r="AF105" i="16" a="1"/>
  <c r="AF105" i="16" s="1"/>
  <c r="AF77" i="16" a="1"/>
  <c r="AF77" i="16" s="1"/>
  <c r="AF49" i="16" a="1"/>
  <c r="AF49" i="16" s="1"/>
  <c r="AF70" i="16" a="1"/>
  <c r="AF70" i="16" s="1"/>
  <c r="AF84" i="16" a="1"/>
  <c r="AF84" i="16" s="1"/>
  <c r="AF98" i="16" a="1"/>
  <c r="AF98" i="16" s="1"/>
  <c r="AF63" i="16" a="1"/>
  <c r="AF63" i="16" s="1"/>
  <c r="AF56" i="16" a="1"/>
  <c r="AF56" i="16" s="1"/>
  <c r="AT112" i="16" a="1"/>
  <c r="AT112" i="16" s="1"/>
  <c r="AT98" i="16" a="1"/>
  <c r="AT98" i="16" s="1"/>
  <c r="AT91" i="16" a="1"/>
  <c r="AT91" i="16" s="1"/>
  <c r="AT77" i="16" a="1"/>
  <c r="AT77" i="16" s="1"/>
  <c r="AT84" i="16" a="1"/>
  <c r="AT84" i="16" s="1"/>
  <c r="AT63" i="16" a="1"/>
  <c r="AT63" i="16" s="1"/>
  <c r="AT105" i="16" a="1"/>
  <c r="AT105" i="16" s="1"/>
  <c r="AT70" i="16" a="1"/>
  <c r="AT70" i="16" s="1"/>
  <c r="AT56" i="16" a="1"/>
  <c r="AT56" i="16" s="1"/>
  <c r="AT49" i="16" a="1"/>
  <c r="AT49" i="16" s="1"/>
  <c r="AL112" i="16" a="1"/>
  <c r="AL112" i="16" s="1"/>
  <c r="AL91" i="16" a="1"/>
  <c r="AL91" i="16" s="1"/>
  <c r="AL77" i="16" a="1"/>
  <c r="AL77" i="16" s="1"/>
  <c r="AL98" i="16" a="1"/>
  <c r="AL98" i="16" s="1"/>
  <c r="AL63" i="16" a="1"/>
  <c r="AL63" i="16" s="1"/>
  <c r="AL105" i="16" a="1"/>
  <c r="AL105" i="16" s="1"/>
  <c r="AL84" i="16" a="1"/>
  <c r="AL84" i="16" s="1"/>
  <c r="AL70" i="16" a="1"/>
  <c r="AL70" i="16" s="1"/>
  <c r="AL56" i="16" a="1"/>
  <c r="AL56" i="16" s="1"/>
  <c r="AL49" i="16" a="1"/>
  <c r="AL49" i="16" s="1"/>
  <c r="AH105" i="16" a="1"/>
  <c r="AH105" i="16" s="1"/>
  <c r="AH98" i="16" a="1"/>
  <c r="AH98" i="16" s="1"/>
  <c r="AH77" i="16" a="1"/>
  <c r="AH77" i="16" s="1"/>
  <c r="AH112" i="16" a="1"/>
  <c r="AH112" i="16" s="1"/>
  <c r="AH56" i="16" a="1"/>
  <c r="AH56" i="16" s="1"/>
  <c r="AH91" i="16" a="1"/>
  <c r="AH91" i="16" s="1"/>
  <c r="AH63" i="16" a="1"/>
  <c r="AH63" i="16" s="1"/>
  <c r="AH70" i="16" a="1"/>
  <c r="AH70" i="16" s="1"/>
  <c r="AH84" i="16" a="1"/>
  <c r="AH84" i="16" s="1"/>
  <c r="AH49" i="16" a="1"/>
  <c r="AH49" i="16" s="1"/>
  <c r="AW112" i="16" a="1"/>
  <c r="AW112" i="16" s="1"/>
  <c r="AW98" i="16" a="1"/>
  <c r="AW98" i="16" s="1"/>
  <c r="AW91" i="16" a="1"/>
  <c r="AW91" i="16" s="1"/>
  <c r="AW56" i="16" a="1"/>
  <c r="AW56" i="16" s="1"/>
  <c r="AW63" i="16" a="1"/>
  <c r="AW63" i="16" s="1"/>
  <c r="AW84" i="16" a="1"/>
  <c r="AW84" i="16" s="1"/>
  <c r="AW70" i="16" a="1"/>
  <c r="AW70" i="16" s="1"/>
  <c r="AW105" i="16" a="1"/>
  <c r="AW105" i="16" s="1"/>
  <c r="AW77" i="16" a="1"/>
  <c r="AW77" i="16" s="1"/>
  <c r="AW49" i="16" a="1"/>
  <c r="AW49" i="16" s="1"/>
  <c r="AS105" i="16" a="1"/>
  <c r="AS105" i="16" s="1"/>
  <c r="AS112" i="16" a="1"/>
  <c r="AS112" i="16" s="1"/>
  <c r="AS84" i="16" a="1"/>
  <c r="AS84" i="16" s="1"/>
  <c r="AS56" i="16" a="1"/>
  <c r="AS56" i="16" s="1"/>
  <c r="AS98" i="16" a="1"/>
  <c r="AS98" i="16" s="1"/>
  <c r="AS77" i="16" a="1"/>
  <c r="AS77" i="16" s="1"/>
  <c r="AS63" i="16" a="1"/>
  <c r="AS63" i="16" s="1"/>
  <c r="AS49" i="16" a="1"/>
  <c r="AS49" i="16" s="1"/>
  <c r="AS91" i="16" a="1"/>
  <c r="AS91" i="16" s="1"/>
  <c r="AS70" i="16" a="1"/>
  <c r="AS70" i="16" s="1"/>
  <c r="AO98" i="16" a="1"/>
  <c r="AO98" i="16" s="1"/>
  <c r="AO112" i="16" a="1"/>
  <c r="AO112" i="16" s="1"/>
  <c r="AO91" i="16" a="1"/>
  <c r="AO91" i="16" s="1"/>
  <c r="AO56" i="16" a="1"/>
  <c r="AO56" i="16" s="1"/>
  <c r="AO84" i="16" a="1"/>
  <c r="AO84" i="16" s="1"/>
  <c r="AO63" i="16" a="1"/>
  <c r="AO63" i="16" s="1"/>
  <c r="AO105" i="16" a="1"/>
  <c r="AO105" i="16" s="1"/>
  <c r="AO70" i="16" a="1"/>
  <c r="AO70" i="16" s="1"/>
  <c r="AO77" i="16" a="1"/>
  <c r="AO77" i="16" s="1"/>
  <c r="AO49" i="16" a="1"/>
  <c r="AO49" i="16" s="1"/>
  <c r="AK105" i="16" a="1"/>
  <c r="AK105" i="16" s="1"/>
  <c r="AK112" i="16" a="1"/>
  <c r="AK112" i="16" s="1"/>
  <c r="AK84" i="16" a="1"/>
  <c r="AK84" i="16" s="1"/>
  <c r="AK91" i="16" a="1"/>
  <c r="AK91" i="16" s="1"/>
  <c r="AK56" i="16" a="1"/>
  <c r="AK56" i="16" s="1"/>
  <c r="AK77" i="16" a="1"/>
  <c r="AK77" i="16" s="1"/>
  <c r="AK98" i="16" a="1"/>
  <c r="AK98" i="16" s="1"/>
  <c r="AK63" i="16" a="1"/>
  <c r="AK63" i="16" s="1"/>
  <c r="AK49" i="16" a="1"/>
  <c r="AK49" i="16" s="1"/>
  <c r="AK70" i="16" a="1"/>
  <c r="AK70" i="16" s="1"/>
  <c r="AG98" i="16" a="1"/>
  <c r="AG98" i="16" s="1"/>
  <c r="AG112" i="16" a="1"/>
  <c r="AG112" i="16" s="1"/>
  <c r="AG91" i="16" a="1"/>
  <c r="AG91" i="16" s="1"/>
  <c r="AG84" i="16" a="1"/>
  <c r="AG84" i="16" s="1"/>
  <c r="AG105" i="16" a="1"/>
  <c r="AG105" i="16" s="1"/>
  <c r="AG56" i="16" a="1"/>
  <c r="AG56" i="16" s="1"/>
  <c r="AG70" i="16" a="1"/>
  <c r="AG70" i="16" s="1"/>
  <c r="AG77" i="16" a="1"/>
  <c r="AG77" i="16" s="1"/>
  <c r="AG63" i="16" a="1"/>
  <c r="AG63" i="16" s="1"/>
  <c r="AG49" i="16" a="1"/>
  <c r="AG49" i="16" s="1"/>
  <c r="AQ112" i="16" a="1"/>
  <c r="AQ112" i="16" s="1"/>
  <c r="AQ91" i="16" a="1"/>
  <c r="AQ91" i="16" s="1"/>
  <c r="AQ105" i="16" a="1"/>
  <c r="AQ105" i="16" s="1"/>
  <c r="AQ98" i="16" a="1"/>
  <c r="AQ98" i="16" s="1"/>
  <c r="AQ63" i="16" a="1"/>
  <c r="AQ63" i="16" s="1"/>
  <c r="AQ49" i="16" a="1"/>
  <c r="AQ49" i="16" s="1"/>
  <c r="AQ70" i="16" a="1"/>
  <c r="AQ70" i="16" s="1"/>
  <c r="AQ77" i="16" a="1"/>
  <c r="AQ77" i="16" s="1"/>
  <c r="AQ84" i="16" a="1"/>
  <c r="AQ84" i="16" s="1"/>
  <c r="AQ56" i="16" a="1"/>
  <c r="AQ56" i="16" s="1"/>
  <c r="AI112" i="16" a="1"/>
  <c r="AI112" i="16" s="1"/>
  <c r="AI91" i="16" a="1"/>
  <c r="AI91" i="16" s="1"/>
  <c r="AI105" i="16" a="1"/>
  <c r="AI105" i="16" s="1"/>
  <c r="AI84" i="16" a="1"/>
  <c r="AI84" i="16" s="1"/>
  <c r="AI63" i="16" a="1"/>
  <c r="AI63" i="16" s="1"/>
  <c r="AI49" i="16" a="1"/>
  <c r="AI49" i="16" s="1"/>
  <c r="AI77" i="16" a="1"/>
  <c r="AI77" i="16" s="1"/>
  <c r="AI98" i="16" a="1"/>
  <c r="AI98" i="16" s="1"/>
  <c r="AI70" i="16" a="1"/>
  <c r="AI70" i="16" s="1"/>
  <c r="AI56" i="16" a="1"/>
  <c r="AI56" i="16" s="1"/>
  <c r="AX105" i="16" a="1"/>
  <c r="AX105" i="16" s="1"/>
  <c r="AX84" i="16" a="1"/>
  <c r="AX84" i="16" s="1"/>
  <c r="AX112" i="16" a="1"/>
  <c r="AX112" i="16" s="1"/>
  <c r="AX98" i="16" a="1"/>
  <c r="AX98" i="16" s="1"/>
  <c r="AX77" i="16" a="1"/>
  <c r="AX77" i="16" s="1"/>
  <c r="AX56" i="16" a="1"/>
  <c r="AX56" i="16" s="1"/>
  <c r="AX91" i="16" a="1"/>
  <c r="AX91" i="16" s="1"/>
  <c r="AX63" i="16" a="1"/>
  <c r="AX63" i="16" s="1"/>
  <c r="AX70" i="16" a="1"/>
  <c r="AX70" i="16" s="1"/>
  <c r="AX49" i="16" a="1"/>
  <c r="AX49" i="16" s="1"/>
  <c r="AP105" i="16" a="1"/>
  <c r="AP105" i="16" s="1"/>
  <c r="AP84" i="16" a="1"/>
  <c r="AP84" i="16" s="1"/>
  <c r="AP98" i="16" a="1"/>
  <c r="AP98" i="16" s="1"/>
  <c r="AP77" i="16" a="1"/>
  <c r="AP77" i="16" s="1"/>
  <c r="AP91" i="16" a="1"/>
  <c r="AP91" i="16" s="1"/>
  <c r="AP56" i="16" a="1"/>
  <c r="AP56" i="16" s="1"/>
  <c r="AP63" i="16" a="1"/>
  <c r="AP63" i="16" s="1"/>
  <c r="AP70" i="16" a="1"/>
  <c r="AP70" i="16" s="1"/>
  <c r="AP112" i="16" a="1"/>
  <c r="AP112" i="16" s="1"/>
  <c r="AP49" i="16" a="1"/>
  <c r="AP49" i="16" s="1"/>
  <c r="AV91" i="16" a="1"/>
  <c r="AV91" i="16" s="1"/>
  <c r="AV112" i="16" a="1"/>
  <c r="AV112" i="16" s="1"/>
  <c r="AV105" i="16" a="1"/>
  <c r="AV105" i="16" s="1"/>
  <c r="AV84" i="16" a="1"/>
  <c r="AV84" i="16" s="1"/>
  <c r="AV77" i="16" a="1"/>
  <c r="AV77" i="16" s="1"/>
  <c r="AV49" i="16" a="1"/>
  <c r="AV49" i="16" s="1"/>
  <c r="AV63" i="16" a="1"/>
  <c r="AV63" i="16" s="1"/>
  <c r="AV98" i="16" a="1"/>
  <c r="AV98" i="16" s="1"/>
  <c r="AV70" i="16" a="1"/>
  <c r="AV70" i="16" s="1"/>
  <c r="AV56" i="16" a="1"/>
  <c r="AV56" i="16" s="1"/>
  <c r="AR98" i="16" a="1"/>
  <c r="AR98" i="16" s="1"/>
  <c r="AR105" i="16" a="1"/>
  <c r="AR105" i="16" s="1"/>
  <c r="AR112" i="16" a="1"/>
  <c r="AR112" i="16" s="1"/>
  <c r="AR77" i="16" a="1"/>
  <c r="AR77" i="16" s="1"/>
  <c r="AR70" i="16" a="1"/>
  <c r="AR70" i="16" s="1"/>
  <c r="AR84" i="16" a="1"/>
  <c r="AR84" i="16" s="1"/>
  <c r="AR56" i="16" a="1"/>
  <c r="AR56" i="16" s="1"/>
  <c r="AR49" i="16" a="1"/>
  <c r="AR49" i="16" s="1"/>
  <c r="AR91" i="16" a="1"/>
  <c r="AR91" i="16" s="1"/>
  <c r="AR63" i="16" a="1"/>
  <c r="AR63" i="16" s="1"/>
  <c r="AN91" i="16" a="1"/>
  <c r="AN91" i="16" s="1"/>
  <c r="AN112" i="16" a="1"/>
  <c r="AN112" i="16" s="1"/>
  <c r="AN105" i="16" a="1"/>
  <c r="AN105" i="16" s="1"/>
  <c r="AN84" i="16" a="1"/>
  <c r="AN84" i="16" s="1"/>
  <c r="AN77" i="16" a="1"/>
  <c r="AN77" i="16" s="1"/>
  <c r="AN49" i="16" a="1"/>
  <c r="AN49" i="16" s="1"/>
  <c r="AN63" i="16" a="1"/>
  <c r="AN63" i="16" s="1"/>
  <c r="AN70" i="16" a="1"/>
  <c r="AN70" i="16" s="1"/>
  <c r="AN98" i="16" a="1"/>
  <c r="AN98" i="16" s="1"/>
  <c r="AN56" i="16" a="1"/>
  <c r="AN56" i="16" s="1"/>
  <c r="AJ98" i="16" a="1"/>
  <c r="AJ98" i="16" s="1"/>
  <c r="AJ105" i="16" a="1"/>
  <c r="AJ105" i="16" s="1"/>
  <c r="AJ112" i="16" a="1"/>
  <c r="AJ112" i="16" s="1"/>
  <c r="AJ77" i="16" a="1"/>
  <c r="AJ77" i="16" s="1"/>
  <c r="AJ70" i="16" a="1"/>
  <c r="AJ70" i="16" s="1"/>
  <c r="AJ91" i="16" a="1"/>
  <c r="AJ91" i="16" s="1"/>
  <c r="AJ56" i="16" a="1"/>
  <c r="AJ56" i="16" s="1"/>
  <c r="AJ49" i="16" a="1"/>
  <c r="AJ49" i="16" s="1"/>
  <c r="AJ84" i="16" a="1"/>
  <c r="AJ84" i="16" s="1"/>
  <c r="AJ63" i="16" a="1"/>
  <c r="AJ63" i="16" s="1"/>
  <c r="BK44" i="15"/>
  <c r="BK43" i="15"/>
  <c r="BC44" i="15"/>
  <c r="BC43" i="15"/>
  <c r="BN43" i="15"/>
  <c r="BN44" i="15"/>
  <c r="BJ43" i="15"/>
  <c r="BJ44" i="15"/>
  <c r="BB43" i="15"/>
  <c r="BB44" i="15"/>
  <c r="BL44" i="15"/>
  <c r="BL43" i="15"/>
  <c r="BH44" i="15"/>
  <c r="BH43" i="15"/>
  <c r="BD43" i="15"/>
  <c r="BD44" i="15"/>
  <c r="AZ44" i="15"/>
  <c r="AZ43" i="15"/>
  <c r="BG44" i="15"/>
  <c r="BG43" i="15"/>
  <c r="BF43" i="15"/>
  <c r="BF44" i="15"/>
  <c r="BM43" i="15"/>
  <c r="BM44" i="15"/>
  <c r="BI44" i="15"/>
  <c r="BI43" i="15"/>
  <c r="BE43" i="15"/>
  <c r="BE44" i="15"/>
  <c r="BA43" i="15"/>
  <c r="BA44" i="15"/>
  <c r="O69" i="18"/>
  <c r="Y68" i="18"/>
  <c r="P69" i="18"/>
  <c r="AG68" i="18"/>
  <c r="AI69" i="18"/>
  <c r="AK92" i="18"/>
  <c r="H68" i="18"/>
  <c r="AJ69" i="18"/>
  <c r="AP64" i="15"/>
  <c r="AT64" i="15"/>
  <c r="AP65" i="15" a="1"/>
  <c r="AP65" i="15" s="1"/>
  <c r="AS65" i="15" a="1"/>
  <c r="AS65" i="15" s="1"/>
  <c r="AR64" i="15"/>
  <c r="AV64" i="15"/>
  <c r="AT65" i="15" a="1"/>
  <c r="AT65" i="15" s="1"/>
  <c r="AW65" i="15" a="1"/>
  <c r="AW65" i="15" s="1"/>
  <c r="AU64" i="15"/>
  <c r="AQ65" i="15" a="1"/>
  <c r="AQ65" i="15" s="1"/>
  <c r="AS64" i="15"/>
  <c r="AR65" i="15" a="1"/>
  <c r="AR65" i="15" s="1"/>
  <c r="AW64" i="15"/>
  <c r="AU65" i="15" a="1"/>
  <c r="AU65" i="15" s="1"/>
  <c r="AQ64" i="15"/>
  <c r="AV65" i="15" a="1"/>
  <c r="AV65" i="15" s="1"/>
  <c r="AP76" i="15"/>
  <c r="AT76" i="15"/>
  <c r="AP77" i="15" a="1"/>
  <c r="AP77" i="15" s="1"/>
  <c r="AS77" i="15" a="1"/>
  <c r="AS77" i="15" s="1"/>
  <c r="AR76" i="15"/>
  <c r="AV76" i="15"/>
  <c r="AT77" i="15" a="1"/>
  <c r="AT77" i="15" s="1"/>
  <c r="AW77" i="15" a="1"/>
  <c r="AW77" i="15" s="1"/>
  <c r="AU76" i="15"/>
  <c r="AQ77" i="15" a="1"/>
  <c r="AQ77" i="15" s="1"/>
  <c r="AW76" i="15"/>
  <c r="AU77" i="15" a="1"/>
  <c r="AU77" i="15" s="1"/>
  <c r="AQ76" i="15"/>
  <c r="AV77" i="15" a="1"/>
  <c r="AV77" i="15" s="1"/>
  <c r="AS76" i="15"/>
  <c r="AR77" i="15" a="1"/>
  <c r="AR77" i="15" s="1"/>
  <c r="AP67" i="15"/>
  <c r="AT67" i="15"/>
  <c r="AP68" i="15" a="1"/>
  <c r="AP68" i="15" s="1"/>
  <c r="AS68" i="15" a="1"/>
  <c r="AS68" i="15" s="1"/>
  <c r="AR67" i="15"/>
  <c r="AV67" i="15"/>
  <c r="AT68" i="15" a="1"/>
  <c r="AT68" i="15" s="1"/>
  <c r="AW68" i="15" a="1"/>
  <c r="AW68" i="15" s="1"/>
  <c r="AQ67" i="15"/>
  <c r="AQ68" i="15" a="1"/>
  <c r="AQ68" i="15" s="1"/>
  <c r="AV68" i="15" a="1"/>
  <c r="AV68" i="15" s="1"/>
  <c r="AU67" i="15"/>
  <c r="AU68" i="15" a="1"/>
  <c r="AU68" i="15" s="1"/>
  <c r="AS67" i="15"/>
  <c r="AR68" i="15" a="1"/>
  <c r="AR68" i="15" s="1"/>
  <c r="AW67" i="15"/>
  <c r="AP79" i="15"/>
  <c r="AT79" i="15"/>
  <c r="AP80" i="15" a="1"/>
  <c r="AP80" i="15" s="1"/>
  <c r="AS80" i="15" a="1"/>
  <c r="AS80" i="15" s="1"/>
  <c r="AR79" i="15"/>
  <c r="AV79" i="15"/>
  <c r="AT80" i="15" a="1"/>
  <c r="AT80" i="15" s="1"/>
  <c r="AW80" i="15" a="1"/>
  <c r="AW80" i="15" s="1"/>
  <c r="AQ79" i="15"/>
  <c r="AQ80" i="15" a="1"/>
  <c r="AQ80" i="15" s="1"/>
  <c r="AV80" i="15" a="1"/>
  <c r="AV80" i="15" s="1"/>
  <c r="AU79" i="15"/>
  <c r="AW79" i="15"/>
  <c r="AS79" i="15"/>
  <c r="AR80" i="15" a="1"/>
  <c r="AR80" i="15" s="1"/>
  <c r="AU80" i="15" a="1"/>
  <c r="AU80" i="15" s="1"/>
  <c r="AP91" i="15"/>
  <c r="AT91" i="15"/>
  <c r="AP92" i="15" a="1"/>
  <c r="AP92" i="15" s="1"/>
  <c r="AS92" i="15" a="1"/>
  <c r="AS92" i="15" s="1"/>
  <c r="AR91" i="15"/>
  <c r="AV91" i="15"/>
  <c r="AT92" i="15" a="1"/>
  <c r="AT92" i="15" s="1"/>
  <c r="AW92" i="15" a="1"/>
  <c r="AW92" i="15" s="1"/>
  <c r="AQ91" i="15"/>
  <c r="AQ92" i="15" a="1"/>
  <c r="AQ92" i="15" s="1"/>
  <c r="AV92" i="15" a="1"/>
  <c r="AV92" i="15" s="1"/>
  <c r="AW91" i="15"/>
  <c r="AS91" i="15"/>
  <c r="AR92" i="15" a="1"/>
  <c r="AR92" i="15" s="1"/>
  <c r="AU91" i="15"/>
  <c r="AU92" i="15" a="1"/>
  <c r="AU92" i="15" s="1"/>
  <c r="AP46" i="15"/>
  <c r="AT46" i="15"/>
  <c r="AP47" i="15" a="1"/>
  <c r="AP47" i="15" s="1"/>
  <c r="AS47" i="15" a="1"/>
  <c r="AS47" i="15" s="1"/>
  <c r="AQ46" i="15"/>
  <c r="AU46" i="15"/>
  <c r="AQ47" i="15" a="1"/>
  <c r="AQ47" i="15" s="1"/>
  <c r="AV47" i="15" a="1"/>
  <c r="AV47" i="15" s="1"/>
  <c r="AR46" i="15"/>
  <c r="AV46" i="15"/>
  <c r="AT47" i="15" a="1"/>
  <c r="AT47" i="15" s="1"/>
  <c r="AW47" i="15" a="1"/>
  <c r="AW47" i="15" s="1"/>
  <c r="AS46" i="15"/>
  <c r="AW46" i="15"/>
  <c r="AR47" i="15" a="1"/>
  <c r="AR47" i="15" s="1"/>
  <c r="AU47" i="15" a="1"/>
  <c r="AU47" i="15" s="1"/>
  <c r="AP58" i="15"/>
  <c r="AT58" i="15"/>
  <c r="AP59" i="15" a="1"/>
  <c r="AP59" i="15" s="1"/>
  <c r="AS59" i="15" a="1"/>
  <c r="AS59" i="15" s="1"/>
  <c r="AR58" i="15"/>
  <c r="AV58" i="15"/>
  <c r="AT59" i="15" a="1"/>
  <c r="AT59" i="15" s="1"/>
  <c r="AW59" i="15" a="1"/>
  <c r="AW59" i="15" s="1"/>
  <c r="AU58" i="15"/>
  <c r="AQ59" i="15" a="1"/>
  <c r="AQ59" i="15" s="1"/>
  <c r="AW58" i="15"/>
  <c r="AU59" i="15" a="1"/>
  <c r="AU59" i="15" s="1"/>
  <c r="AQ58" i="15"/>
  <c r="AV59" i="15" a="1"/>
  <c r="AV59" i="15" s="1"/>
  <c r="AS58" i="15"/>
  <c r="AR59" i="15" a="1"/>
  <c r="AR59" i="15" s="1"/>
  <c r="AP70" i="15"/>
  <c r="AT70" i="15"/>
  <c r="AP71" i="15" a="1"/>
  <c r="AP71" i="15" s="1"/>
  <c r="AS71" i="15" a="1"/>
  <c r="AS71" i="15" s="1"/>
  <c r="AR70" i="15"/>
  <c r="AV70" i="15"/>
  <c r="AT71" i="15" a="1"/>
  <c r="AT71" i="15" s="1"/>
  <c r="AW71" i="15" a="1"/>
  <c r="AW71" i="15" s="1"/>
  <c r="AU70" i="15"/>
  <c r="AQ71" i="15" a="1"/>
  <c r="AQ71" i="15" s="1"/>
  <c r="AW70" i="15"/>
  <c r="AU71" i="15" a="1"/>
  <c r="AU71" i="15" s="1"/>
  <c r="AQ70" i="15"/>
  <c r="AV71" i="15" a="1"/>
  <c r="AV71" i="15" s="1"/>
  <c r="AS70" i="15"/>
  <c r="AR71" i="15" a="1"/>
  <c r="AR71" i="15" s="1"/>
  <c r="AP82" i="15"/>
  <c r="AT82" i="15"/>
  <c r="AP83" i="15" a="1"/>
  <c r="AP83" i="15" s="1"/>
  <c r="AS83" i="15" a="1"/>
  <c r="AS83" i="15" s="1"/>
  <c r="AR82" i="15"/>
  <c r="AV82" i="15"/>
  <c r="AT83" i="15" a="1"/>
  <c r="AT83" i="15" s="1"/>
  <c r="AW83" i="15" a="1"/>
  <c r="AW83" i="15" s="1"/>
  <c r="AU82" i="15"/>
  <c r="AQ83" i="15" a="1"/>
  <c r="AQ83" i="15" s="1"/>
  <c r="AS82" i="15"/>
  <c r="AR83" i="15" a="1"/>
  <c r="AR83" i="15" s="1"/>
  <c r="AW82" i="15"/>
  <c r="AU83" i="15" a="1"/>
  <c r="AU83" i="15" s="1"/>
  <c r="AQ82" i="15"/>
  <c r="AV83" i="15" a="1"/>
  <c r="AV83" i="15" s="1"/>
  <c r="AP52" i="15"/>
  <c r="AT52" i="15"/>
  <c r="AP53" i="15" a="1"/>
  <c r="AP53" i="15" s="1"/>
  <c r="AS53" i="15" a="1"/>
  <c r="AS53" i="15" s="1"/>
  <c r="AR52" i="15"/>
  <c r="AV52" i="15"/>
  <c r="AT53" i="15" a="1"/>
  <c r="AT53" i="15" s="1"/>
  <c r="AW53" i="15" a="1"/>
  <c r="AW53" i="15" s="1"/>
  <c r="AU52" i="15"/>
  <c r="AV53" i="15" a="1"/>
  <c r="AV53" i="15" s="1"/>
  <c r="AS52" i="15"/>
  <c r="AR53" i="15" a="1"/>
  <c r="AR53" i="15" s="1"/>
  <c r="AW52" i="15"/>
  <c r="AU53" i="15" a="1"/>
  <c r="AU53" i="15" s="1"/>
  <c r="AQ52" i="15"/>
  <c r="AQ53" i="15" a="1"/>
  <c r="AQ53" i="15" s="1"/>
  <c r="AP88" i="15"/>
  <c r="AT88" i="15"/>
  <c r="AP89" i="15" a="1"/>
  <c r="AP89" i="15" s="1"/>
  <c r="AS89" i="15" a="1"/>
  <c r="AS89" i="15" s="1"/>
  <c r="AR88" i="15"/>
  <c r="AV88" i="15"/>
  <c r="AT89" i="15" a="1"/>
  <c r="AT89" i="15" s="1"/>
  <c r="AW89" i="15" a="1"/>
  <c r="AW89" i="15" s="1"/>
  <c r="AU88" i="15"/>
  <c r="AQ88" i="15"/>
  <c r="AV89" i="15" a="1"/>
  <c r="AV89" i="15" s="1"/>
  <c r="AW88" i="15"/>
  <c r="AU89" i="15" a="1"/>
  <c r="AU89" i="15" s="1"/>
  <c r="AQ89" i="15" a="1"/>
  <c r="AQ89" i="15" s="1"/>
  <c r="AS88" i="15"/>
  <c r="AR89" i="15" a="1"/>
  <c r="AR89" i="15" s="1"/>
  <c r="AP55" i="15"/>
  <c r="AT55" i="15"/>
  <c r="AP56" i="15" a="1"/>
  <c r="AP56" i="15" s="1"/>
  <c r="AS56" i="15" a="1"/>
  <c r="AS56" i="15" s="1"/>
  <c r="AR55" i="15"/>
  <c r="AV55" i="15"/>
  <c r="AT56" i="15" a="1"/>
  <c r="AT56" i="15" s="1"/>
  <c r="AW56" i="15" a="1"/>
  <c r="AW56" i="15" s="1"/>
  <c r="AQ55" i="15"/>
  <c r="AQ56" i="15" a="1"/>
  <c r="AQ56" i="15" s="1"/>
  <c r="AV56" i="15" a="1"/>
  <c r="AV56" i="15" s="1"/>
  <c r="AU56" i="15" a="1"/>
  <c r="AU56" i="15" s="1"/>
  <c r="AS55" i="15"/>
  <c r="AR56" i="15" a="1"/>
  <c r="AR56" i="15" s="1"/>
  <c r="AU55" i="15"/>
  <c r="AW55" i="15"/>
  <c r="AP49" i="15"/>
  <c r="AT49" i="15"/>
  <c r="AP50" i="15" a="1"/>
  <c r="AP50" i="15" s="1"/>
  <c r="AS50" i="15" a="1"/>
  <c r="AS50" i="15" s="1"/>
  <c r="AR49" i="15"/>
  <c r="AV49" i="15"/>
  <c r="AT50" i="15" a="1"/>
  <c r="AT50" i="15" s="1"/>
  <c r="AW50" i="15" a="1"/>
  <c r="AW50" i="15" s="1"/>
  <c r="AQ49" i="15"/>
  <c r="AQ50" i="15" a="1"/>
  <c r="AQ50" i="15" s="1"/>
  <c r="AV50" i="15" a="1"/>
  <c r="AV50" i="15" s="1"/>
  <c r="AW49" i="15"/>
  <c r="AS49" i="15"/>
  <c r="AR50" i="15" a="1"/>
  <c r="AR50" i="15" s="1"/>
  <c r="AU49" i="15"/>
  <c r="AU50" i="15" a="1"/>
  <c r="AU50" i="15" s="1"/>
  <c r="AP61" i="15"/>
  <c r="AT61" i="15"/>
  <c r="AP62" i="15" a="1"/>
  <c r="AP62" i="15" s="1"/>
  <c r="AS62" i="15" a="1"/>
  <c r="AS62" i="15" s="1"/>
  <c r="AR61" i="15"/>
  <c r="AV61" i="15"/>
  <c r="AT62" i="15" a="1"/>
  <c r="AT62" i="15" s="1"/>
  <c r="AW62" i="15" a="1"/>
  <c r="AW62" i="15" s="1"/>
  <c r="AQ61" i="15"/>
  <c r="AQ62" i="15" a="1"/>
  <c r="AQ62" i="15" s="1"/>
  <c r="AV62" i="15" a="1"/>
  <c r="AV62" i="15" s="1"/>
  <c r="AU61" i="15"/>
  <c r="AW61" i="15"/>
  <c r="AS61" i="15"/>
  <c r="AR62" i="15" a="1"/>
  <c r="AR62" i="15" s="1"/>
  <c r="AU62" i="15" a="1"/>
  <c r="AU62" i="15" s="1"/>
  <c r="AP73" i="15"/>
  <c r="AT73" i="15"/>
  <c r="AP74" i="15" a="1"/>
  <c r="AP74" i="15" s="1"/>
  <c r="AS74" i="15" a="1"/>
  <c r="AS74" i="15" s="1"/>
  <c r="AR73" i="15"/>
  <c r="AV73" i="15"/>
  <c r="AT74" i="15" a="1"/>
  <c r="AT74" i="15" s="1"/>
  <c r="AW74" i="15" a="1"/>
  <c r="AW74" i="15" s="1"/>
  <c r="AQ73" i="15"/>
  <c r="AQ74" i="15" a="1"/>
  <c r="AQ74" i="15" s="1"/>
  <c r="AV74" i="15" a="1"/>
  <c r="AV74" i="15" s="1"/>
  <c r="AU73" i="15"/>
  <c r="AW73" i="15"/>
  <c r="AU74" i="15" a="1"/>
  <c r="AU74" i="15" s="1"/>
  <c r="AS73" i="15"/>
  <c r="AR74" i="15" a="1"/>
  <c r="AR74" i="15" s="1"/>
  <c r="AP85" i="15"/>
  <c r="AT85" i="15"/>
  <c r="AP86" i="15" a="1"/>
  <c r="AP86" i="15" s="1"/>
  <c r="AS86" i="15" a="1"/>
  <c r="AS86" i="15" s="1"/>
  <c r="AR85" i="15"/>
  <c r="AV85" i="15"/>
  <c r="AT86" i="15" a="1"/>
  <c r="AT86" i="15" s="1"/>
  <c r="AW86" i="15" a="1"/>
  <c r="AW86" i="15" s="1"/>
  <c r="AQ85" i="15"/>
  <c r="AQ86" i="15" a="1"/>
  <c r="AQ86" i="15" s="1"/>
  <c r="AV86" i="15" a="1"/>
  <c r="AV86" i="15" s="1"/>
  <c r="AU85" i="15"/>
  <c r="AU86" i="15" a="1"/>
  <c r="AU86" i="15" s="1"/>
  <c r="AS85" i="15"/>
  <c r="AR86" i="15" a="1"/>
  <c r="AR86" i="15" s="1"/>
  <c r="AW85" i="15"/>
  <c r="CC52" i="15"/>
  <c r="BZ52" i="15"/>
  <c r="BZ53" i="15" a="1"/>
  <c r="BZ53" i="15" s="1"/>
  <c r="BY52" i="15"/>
  <c r="CC53" i="15" a="1"/>
  <c r="CC53" i="15" s="1"/>
  <c r="BX53" i="15" a="1"/>
  <c r="BX53" i="15" s="1"/>
  <c r="BX52" i="15"/>
  <c r="BY53" i="15" a="1"/>
  <c r="BY53" i="15" s="1"/>
  <c r="CB52" i="15"/>
  <c r="CB53" i="15" a="1"/>
  <c r="CB53" i="15" s="1"/>
  <c r="CA53" i="15" a="1"/>
  <c r="CA53" i="15" s="1"/>
  <c r="CA52" i="15"/>
  <c r="BY64" i="15"/>
  <c r="BX64" i="15"/>
  <c r="CA65" i="15" a="1"/>
  <c r="CA65" i="15" s="1"/>
  <c r="BX65" i="15" a="1"/>
  <c r="BX65" i="15" s="1"/>
  <c r="CB64" i="15"/>
  <c r="CC64" i="15"/>
  <c r="CA64" i="15"/>
  <c r="BZ64" i="15"/>
  <c r="CB65" i="15" a="1"/>
  <c r="CB65" i="15" s="1"/>
  <c r="BY65" i="15" a="1"/>
  <c r="BY65" i="15" s="1"/>
  <c r="CC65" i="15" a="1"/>
  <c r="CC65" i="15" s="1"/>
  <c r="BZ65" i="15" a="1"/>
  <c r="BZ65" i="15" s="1"/>
  <c r="BX76" i="15"/>
  <c r="CB76" i="15"/>
  <c r="CA76" i="15"/>
  <c r="BY76" i="15"/>
  <c r="CC76" i="15"/>
  <c r="BZ76" i="15"/>
  <c r="BX77" i="15" a="1"/>
  <c r="BX77" i="15" s="1"/>
  <c r="BY77" i="15" a="1"/>
  <c r="BY77" i="15" s="1"/>
  <c r="BZ77" i="15" a="1"/>
  <c r="BZ77" i="15" s="1"/>
  <c r="CB77" i="15" a="1"/>
  <c r="CB77" i="15" s="1"/>
  <c r="CC77" i="15" a="1"/>
  <c r="CC77" i="15" s="1"/>
  <c r="CA77" i="15" a="1"/>
  <c r="CA77" i="15" s="1"/>
  <c r="CA88" i="15"/>
  <c r="BY88" i="15"/>
  <c r="BX88" i="15"/>
  <c r="CB88" i="15"/>
  <c r="CC88" i="15"/>
  <c r="BZ88" i="15"/>
  <c r="CC89" i="15" a="1"/>
  <c r="CC89" i="15" s="1"/>
  <c r="BY89" i="15" a="1"/>
  <c r="BY89" i="15" s="1"/>
  <c r="CB89" i="15" a="1"/>
  <c r="CB89" i="15" s="1"/>
  <c r="BX89" i="15" a="1"/>
  <c r="BX89" i="15" s="1"/>
  <c r="BZ89" i="15" a="1"/>
  <c r="BZ89" i="15" s="1"/>
  <c r="CA89" i="15" a="1"/>
  <c r="CA89" i="15" s="1"/>
  <c r="BZ55" i="15"/>
  <c r="BX55" i="15"/>
  <c r="CC55" i="15"/>
  <c r="CA55" i="15"/>
  <c r="CB56" i="15" a="1"/>
  <c r="CB56" i="15" s="1"/>
  <c r="BX56" i="15" a="1"/>
  <c r="BX56" i="15" s="1"/>
  <c r="CA56" i="15" a="1"/>
  <c r="CA56" i="15" s="1"/>
  <c r="CC56" i="15" a="1"/>
  <c r="CC56" i="15" s="1"/>
  <c r="CB55" i="15"/>
  <c r="BZ56" i="15" a="1"/>
  <c r="BZ56" i="15" s="1"/>
  <c r="BY55" i="15"/>
  <c r="BY56" i="15" a="1"/>
  <c r="BY56" i="15" s="1"/>
  <c r="CA67" i="15"/>
  <c r="CB67" i="15"/>
  <c r="BX67" i="15"/>
  <c r="BZ67" i="15"/>
  <c r="CC68" i="15" a="1"/>
  <c r="CC68" i="15" s="1"/>
  <c r="CB68" i="15" a="1"/>
  <c r="CB68" i="15" s="1"/>
  <c r="BY68" i="15" a="1"/>
  <c r="BY68" i="15" s="1"/>
  <c r="BX68" i="15" a="1"/>
  <c r="BX68" i="15" s="1"/>
  <c r="BZ68" i="15" a="1"/>
  <c r="BZ68" i="15" s="1"/>
  <c r="BY67" i="15"/>
  <c r="CA68" i="15" a="1"/>
  <c r="CA68" i="15" s="1"/>
  <c r="CC67" i="15"/>
  <c r="CA79" i="15"/>
  <c r="BY79" i="15"/>
  <c r="BZ79" i="15"/>
  <c r="BX79" i="15"/>
  <c r="CB79" i="15"/>
  <c r="CC79" i="15"/>
  <c r="CA80" i="15" a="1"/>
  <c r="CA80" i="15" s="1"/>
  <c r="BY80" i="15" a="1"/>
  <c r="BY80" i="15" s="1"/>
  <c r="CC80" i="15" a="1"/>
  <c r="CC80" i="15" s="1"/>
  <c r="CB80" i="15" a="1"/>
  <c r="CB80" i="15" s="1"/>
  <c r="BX80" i="15" a="1"/>
  <c r="BX80" i="15" s="1"/>
  <c r="BZ80" i="15" a="1"/>
  <c r="BZ80" i="15" s="1"/>
  <c r="BZ91" i="15"/>
  <c r="BX91" i="15"/>
  <c r="CB91" i="15"/>
  <c r="CC91" i="15"/>
  <c r="CB92" i="15" a="1"/>
  <c r="CB92" i="15" s="1"/>
  <c r="CA91" i="15"/>
  <c r="BY91" i="15"/>
  <c r="BX92" i="15" a="1"/>
  <c r="BX92" i="15" s="1"/>
  <c r="CA92" i="15" a="1"/>
  <c r="CA92" i="15" s="1"/>
  <c r="BZ92" i="15" a="1"/>
  <c r="BZ92" i="15" s="1"/>
  <c r="CC92" i="15" a="1"/>
  <c r="CC92" i="15" s="1"/>
  <c r="BY92" i="15" a="1"/>
  <c r="BY92" i="15" s="1"/>
  <c r="BY47" i="15" a="1"/>
  <c r="BY47" i="15" s="1"/>
  <c r="CA46" i="15"/>
  <c r="BX46" i="15"/>
  <c r="CB47" i="15" a="1"/>
  <c r="CB47" i="15" s="1"/>
  <c r="CC46" i="15"/>
  <c r="BX47" i="15" a="1"/>
  <c r="BX47" i="15" s="1"/>
  <c r="CC47" i="15" a="1"/>
  <c r="CC47" i="15" s="1"/>
  <c r="BZ46" i="15"/>
  <c r="CA47" i="15" a="1"/>
  <c r="CA47" i="15" s="1"/>
  <c r="BY46" i="15"/>
  <c r="BZ47" i="15" a="1"/>
  <c r="BZ47" i="15" s="1"/>
  <c r="CB46" i="15"/>
  <c r="CA59" i="15" a="1"/>
  <c r="CA59" i="15" s="1"/>
  <c r="BZ58" i="15"/>
  <c r="CB58" i="15"/>
  <c r="CA58" i="15"/>
  <c r="CB59" i="15" a="1"/>
  <c r="CB59" i="15" s="1"/>
  <c r="BX59" i="15" a="1"/>
  <c r="BX59" i="15" s="1"/>
  <c r="CC58" i="15"/>
  <c r="BX58" i="15"/>
  <c r="BZ59" i="15" a="1"/>
  <c r="BZ59" i="15" s="1"/>
  <c r="CC59" i="15" a="1"/>
  <c r="CC59" i="15" s="1"/>
  <c r="BY58" i="15"/>
  <c r="BY59" i="15" a="1"/>
  <c r="BY59" i="15" s="1"/>
  <c r="BX70" i="15"/>
  <c r="CB70" i="15"/>
  <c r="BY70" i="15"/>
  <c r="CC71" i="15" a="1"/>
  <c r="CC71" i="15" s="1"/>
  <c r="CA70" i="15"/>
  <c r="CB71" i="15" a="1"/>
  <c r="CB71" i="15" s="1"/>
  <c r="BX71" i="15" a="1"/>
  <c r="BX71" i="15" s="1"/>
  <c r="BZ71" i="15" a="1"/>
  <c r="BZ71" i="15" s="1"/>
  <c r="CA71" i="15" a="1"/>
  <c r="CA71" i="15" s="1"/>
  <c r="BY71" i="15" a="1"/>
  <c r="BY71" i="15" s="1"/>
  <c r="CC70" i="15"/>
  <c r="BZ70" i="15"/>
  <c r="BZ82" i="15"/>
  <c r="CB82" i="15"/>
  <c r="BY82" i="15"/>
  <c r="CA82" i="15"/>
  <c r="BX82" i="15"/>
  <c r="CC82" i="15"/>
  <c r="CA83" i="15" a="1"/>
  <c r="CA83" i="15" s="1"/>
  <c r="BY83" i="15" a="1"/>
  <c r="BY83" i="15" s="1"/>
  <c r="CC83" i="15" a="1"/>
  <c r="CC83" i="15" s="1"/>
  <c r="CB83" i="15" a="1"/>
  <c r="CB83" i="15" s="1"/>
  <c r="BZ83" i="15" a="1"/>
  <c r="BZ83" i="15" s="1"/>
  <c r="BX83" i="15" a="1"/>
  <c r="BX83" i="15" s="1"/>
  <c r="BX49" i="15"/>
  <c r="CA49" i="15"/>
  <c r="BX50" i="15" a="1"/>
  <c r="BX50" i="15" s="1"/>
  <c r="CB49" i="15"/>
  <c r="BZ49" i="15"/>
  <c r="CC50" i="15" a="1"/>
  <c r="CC50" i="15" s="1"/>
  <c r="CC49" i="15"/>
  <c r="BZ50" i="15" a="1"/>
  <c r="BZ50" i="15" s="1"/>
  <c r="CA50" i="15" a="1"/>
  <c r="CA50" i="15" s="1"/>
  <c r="BY49" i="15"/>
  <c r="BY50" i="15" a="1"/>
  <c r="BY50" i="15" s="1"/>
  <c r="CB50" i="15" a="1"/>
  <c r="CB50" i="15" s="1"/>
  <c r="BY62" i="15" a="1"/>
  <c r="BY62" i="15" s="1"/>
  <c r="CA62" i="15" a="1"/>
  <c r="CA62" i="15" s="1"/>
  <c r="CB62" i="15" a="1"/>
  <c r="CB62" i="15" s="1"/>
  <c r="CC61" i="15"/>
  <c r="BY61" i="15"/>
  <c r="BZ61" i="15"/>
  <c r="BX61" i="15"/>
  <c r="CB61" i="15"/>
  <c r="CC62" i="15" a="1"/>
  <c r="CC62" i="15" s="1"/>
  <c r="CA61" i="15"/>
  <c r="BX62" i="15" a="1"/>
  <c r="BX62" i="15" s="1"/>
  <c r="BZ62" i="15" a="1"/>
  <c r="BZ62" i="15" s="1"/>
  <c r="BX73" i="15"/>
  <c r="CB74" i="15" a="1"/>
  <c r="CB74" i="15" s="1"/>
  <c r="BZ73" i="15"/>
  <c r="CB73" i="15"/>
  <c r="BX74" i="15" a="1"/>
  <c r="BX74" i="15" s="1"/>
  <c r="CC73" i="15"/>
  <c r="CA73" i="15"/>
  <c r="CC74" i="15" a="1"/>
  <c r="CC74" i="15" s="1"/>
  <c r="BY73" i="15"/>
  <c r="CA74" i="15" a="1"/>
  <c r="CA74" i="15" s="1"/>
  <c r="BZ74" i="15" a="1"/>
  <c r="BZ74" i="15" s="1"/>
  <c r="BY74" i="15" a="1"/>
  <c r="BY74" i="15" s="1"/>
  <c r="BX85" i="15"/>
  <c r="CB85" i="15"/>
  <c r="BZ85" i="15"/>
  <c r="BY85" i="15"/>
  <c r="CC85" i="15"/>
  <c r="CA85" i="15"/>
  <c r="CC86" i="15" a="1"/>
  <c r="CC86" i="15" s="1"/>
  <c r="CB86" i="15" a="1"/>
  <c r="CB86" i="15" s="1"/>
  <c r="CA86" i="15" a="1"/>
  <c r="CA86" i="15" s="1"/>
  <c r="BY86" i="15" a="1"/>
  <c r="BY86" i="15" s="1"/>
  <c r="BX86" i="15" a="1"/>
  <c r="BX86" i="15" s="1"/>
  <c r="BZ86" i="15" a="1"/>
  <c r="BZ86" i="15" s="1"/>
  <c r="BD49" i="5"/>
  <c r="BH49" i="5"/>
  <c r="BE50" i="5" a="1"/>
  <c r="BE50" i="5" s="1"/>
  <c r="BH50" i="5" a="1"/>
  <c r="BH50" i="5" s="1"/>
  <c r="BE49" i="5"/>
  <c r="BI49" i="5"/>
  <c r="BC50" i="5" a="1"/>
  <c r="BC50" i="5" s="1"/>
  <c r="BF50" i="5" a="1"/>
  <c r="BF50" i="5" s="1"/>
  <c r="BF49" i="5"/>
  <c r="BD50" i="5" a="1"/>
  <c r="BD50" i="5" s="1"/>
  <c r="BI50" i="5" a="1"/>
  <c r="BI50" i="5" s="1"/>
  <c r="BB50" i="5" a="1"/>
  <c r="BB50" i="5" s="1"/>
  <c r="BG49" i="5"/>
  <c r="BJ50" i="5" a="1"/>
  <c r="BJ50" i="5" s="1"/>
  <c r="BB49" i="5"/>
  <c r="BJ49" i="5"/>
  <c r="BC49" i="5"/>
  <c r="BG50" i="5" a="1"/>
  <c r="BG50" i="5" s="1"/>
  <c r="BB63" i="5"/>
  <c r="BF63" i="5"/>
  <c r="BJ63" i="5"/>
  <c r="BD64" i="5" a="1"/>
  <c r="BD64" i="5" s="1"/>
  <c r="BI64" i="5" a="1"/>
  <c r="BI64" i="5" s="1"/>
  <c r="BC63" i="5"/>
  <c r="BG63" i="5"/>
  <c r="BB64" i="5" a="1"/>
  <c r="BB64" i="5" s="1"/>
  <c r="BG64" i="5" a="1"/>
  <c r="BG64" i="5" s="1"/>
  <c r="BJ64" i="5" a="1"/>
  <c r="BJ64" i="5" s="1"/>
  <c r="BD63" i="5"/>
  <c r="BH64" i="5" a="1"/>
  <c r="BH64" i="5" s="1"/>
  <c r="BI63" i="5"/>
  <c r="BF64" i="5" a="1"/>
  <c r="BF64" i="5" s="1"/>
  <c r="BE63" i="5"/>
  <c r="BC64" i="5" a="1"/>
  <c r="BC64" i="5" s="1"/>
  <c r="BH63" i="5"/>
  <c r="BE64" i="5" a="1"/>
  <c r="BE64" i="5" s="1"/>
  <c r="BD79" i="5"/>
  <c r="BH79" i="5"/>
  <c r="BE80" i="5" a="1"/>
  <c r="BE80" i="5" s="1"/>
  <c r="BH80" i="5" a="1"/>
  <c r="BH80" i="5" s="1"/>
  <c r="BE79" i="5"/>
  <c r="BI79" i="5"/>
  <c r="BC80" i="5" a="1"/>
  <c r="BC80" i="5" s="1"/>
  <c r="BF80" i="5" a="1"/>
  <c r="BF80" i="5" s="1"/>
  <c r="BB79" i="5"/>
  <c r="BJ79" i="5"/>
  <c r="BI80" i="5" a="1"/>
  <c r="BI80" i="5" s="1"/>
  <c r="BG79" i="5"/>
  <c r="BJ80" i="5" a="1"/>
  <c r="BJ80" i="5" s="1"/>
  <c r="BC79" i="5"/>
  <c r="BB80" i="5" a="1"/>
  <c r="BB80" i="5" s="1"/>
  <c r="BG80" i="5" a="1"/>
  <c r="BG80" i="5" s="1"/>
  <c r="BF79" i="5"/>
  <c r="BD80" i="5" a="1"/>
  <c r="BD80" i="5" s="1"/>
  <c r="BE88" i="5"/>
  <c r="BI88" i="5"/>
  <c r="BC89" i="5" a="1"/>
  <c r="BC89" i="5" s="1"/>
  <c r="BF89" i="5" a="1"/>
  <c r="BF89" i="5" s="1"/>
  <c r="BB88" i="5"/>
  <c r="BF88" i="5"/>
  <c r="BJ88" i="5"/>
  <c r="BD89" i="5" a="1"/>
  <c r="BD89" i="5" s="1"/>
  <c r="BI89" i="5" a="1"/>
  <c r="BI89" i="5" s="1"/>
  <c r="BG88" i="5"/>
  <c r="BJ89" i="5" a="1"/>
  <c r="BJ89" i="5" s="1"/>
  <c r="BC88" i="5"/>
  <c r="BB89" i="5" a="1"/>
  <c r="BB89" i="5" s="1"/>
  <c r="BH88" i="5"/>
  <c r="BE89" i="5" a="1"/>
  <c r="BE89" i="5" s="1"/>
  <c r="BG89" i="5" a="1"/>
  <c r="BG89" i="5" s="1"/>
  <c r="BD88" i="5"/>
  <c r="BH89" i="5" a="1"/>
  <c r="BH89" i="5" s="1"/>
  <c r="BC68" i="5"/>
  <c r="BG68" i="5"/>
  <c r="BB69" i="5" a="1"/>
  <c r="BB69" i="5" s="1"/>
  <c r="BE69" i="5" a="1"/>
  <c r="BE69" i="5" s="1"/>
  <c r="BJ69" i="5" a="1"/>
  <c r="BJ69" i="5" s="1"/>
  <c r="BD68" i="5"/>
  <c r="BH68" i="5"/>
  <c r="BC69" i="5" a="1"/>
  <c r="BC69" i="5" s="1"/>
  <c r="BH69" i="5" a="1"/>
  <c r="BH69" i="5" s="1"/>
  <c r="BE68" i="5"/>
  <c r="BI69" i="5" a="1"/>
  <c r="BI69" i="5" s="1"/>
  <c r="BI68" i="5"/>
  <c r="BF69" i="5" a="1"/>
  <c r="BF69" i="5" s="1"/>
  <c r="BF68" i="5"/>
  <c r="BD69" i="5" a="1"/>
  <c r="BD69" i="5" s="1"/>
  <c r="BB68" i="5"/>
  <c r="BJ68" i="5"/>
  <c r="BG69" i="5" a="1"/>
  <c r="BG69" i="5" s="1"/>
  <c r="BB91" i="5"/>
  <c r="BF91" i="5"/>
  <c r="BJ91" i="5"/>
  <c r="BD92" i="5" a="1"/>
  <c r="BD92" i="5" s="1"/>
  <c r="BI92" i="5" a="1"/>
  <c r="BI92" i="5" s="1"/>
  <c r="BC91" i="5"/>
  <c r="BG91" i="5"/>
  <c r="BB92" i="5" a="1"/>
  <c r="BB92" i="5" s="1"/>
  <c r="BG92" i="5" a="1"/>
  <c r="BG92" i="5" s="1"/>
  <c r="BJ92" i="5" a="1"/>
  <c r="BJ92" i="5" s="1"/>
  <c r="BH91" i="5"/>
  <c r="BE92" i="5" a="1"/>
  <c r="BE92" i="5" s="1"/>
  <c r="BD91" i="5"/>
  <c r="BH92" i="5" a="1"/>
  <c r="BH92" i="5" s="1"/>
  <c r="BI91" i="5"/>
  <c r="BF92" i="5" a="1"/>
  <c r="BF92" i="5" s="1"/>
  <c r="BC92" i="5" a="1"/>
  <c r="BC92" i="5" s="1"/>
  <c r="BE91" i="5"/>
  <c r="BC55" i="5"/>
  <c r="BG55" i="5"/>
  <c r="BB56" i="5" a="1"/>
  <c r="BB56" i="5" s="1"/>
  <c r="BE56" i="5" a="1"/>
  <c r="BE56" i="5" s="1"/>
  <c r="BJ56" i="5" a="1"/>
  <c r="BJ56" i="5" s="1"/>
  <c r="BD55" i="5"/>
  <c r="BH55" i="5"/>
  <c r="BC56" i="5" a="1"/>
  <c r="BC56" i="5" s="1"/>
  <c r="BH56" i="5" a="1"/>
  <c r="BH56" i="5" s="1"/>
  <c r="BI55" i="5"/>
  <c r="BF56" i="5" a="1"/>
  <c r="BF56" i="5" s="1"/>
  <c r="BD56" i="5" a="1"/>
  <c r="BD56" i="5" s="1"/>
  <c r="BB55" i="5"/>
  <c r="BJ55" i="5"/>
  <c r="BG56" i="5" a="1"/>
  <c r="BG56" i="5" s="1"/>
  <c r="BE55" i="5"/>
  <c r="BI56" i="5" a="1"/>
  <c r="BI56" i="5" s="1"/>
  <c r="BF55" i="5"/>
  <c r="BE71" i="5"/>
  <c r="BI71" i="5"/>
  <c r="BF72" i="5" a="1"/>
  <c r="BF72" i="5" s="1"/>
  <c r="BI72" i="5" a="1"/>
  <c r="BI72" i="5" s="1"/>
  <c r="BB71" i="5"/>
  <c r="BF71" i="5"/>
  <c r="BJ71" i="5"/>
  <c r="BD72" i="5" a="1"/>
  <c r="BD72" i="5" s="1"/>
  <c r="BG72" i="5" a="1"/>
  <c r="BG72" i="5" s="1"/>
  <c r="BG71" i="5"/>
  <c r="BE72" i="5" a="1"/>
  <c r="BE72" i="5" s="1"/>
  <c r="BJ72" i="5" a="1"/>
  <c r="BJ72" i="5" s="1"/>
  <c r="BD71" i="5"/>
  <c r="BC72" i="5" a="1"/>
  <c r="BC72" i="5" s="1"/>
  <c r="BH71" i="5"/>
  <c r="BC71" i="5"/>
  <c r="BB72" i="5" a="1"/>
  <c r="BB72" i="5" s="1"/>
  <c r="BH72" i="5" a="1"/>
  <c r="BH72" i="5" s="1"/>
  <c r="BE82" i="5"/>
  <c r="BI82" i="5"/>
  <c r="BF83" i="5" a="1"/>
  <c r="BF83" i="5" s="1"/>
  <c r="BI83" i="5" a="1"/>
  <c r="BI83" i="5" s="1"/>
  <c r="BB82" i="5"/>
  <c r="BF82" i="5"/>
  <c r="BJ82" i="5"/>
  <c r="BD83" i="5" a="1"/>
  <c r="BD83" i="5" s="1"/>
  <c r="BG83" i="5" a="1"/>
  <c r="BG83" i="5" s="1"/>
  <c r="BC82" i="5"/>
  <c r="BB83" i="5" a="1"/>
  <c r="BB83" i="5" s="1"/>
  <c r="BJ83" i="5" a="1"/>
  <c r="BJ83" i="5" s="1"/>
  <c r="BD82" i="5"/>
  <c r="BC83" i="5" a="1"/>
  <c r="BC83" i="5" s="1"/>
  <c r="BH83" i="5" a="1"/>
  <c r="BH83" i="5" s="1"/>
  <c r="BG82" i="5"/>
  <c r="BE83" i="5" a="1"/>
  <c r="BE83" i="5" s="1"/>
  <c r="BH82" i="5"/>
  <c r="BC94" i="5"/>
  <c r="BG94" i="5"/>
  <c r="BB95" i="5" a="1"/>
  <c r="BB95" i="5" s="1"/>
  <c r="BE95" i="5" a="1"/>
  <c r="BE95" i="5" s="1"/>
  <c r="BJ95" i="5" a="1"/>
  <c r="BJ95" i="5" s="1"/>
  <c r="BD94" i="5"/>
  <c r="BH94" i="5"/>
  <c r="BC95" i="5" a="1"/>
  <c r="BC95" i="5" s="1"/>
  <c r="BH95" i="5" a="1"/>
  <c r="BH95" i="5" s="1"/>
  <c r="BI94" i="5"/>
  <c r="BF95" i="5" a="1"/>
  <c r="BF95" i="5" s="1"/>
  <c r="BB94" i="5"/>
  <c r="BJ94" i="5"/>
  <c r="BG95" i="5" a="1"/>
  <c r="BG95" i="5" s="1"/>
  <c r="BE94" i="5"/>
  <c r="BI95" i="5" a="1"/>
  <c r="BI95" i="5" s="1"/>
  <c r="BF94" i="5"/>
  <c r="BD95" i="5" a="1"/>
  <c r="BD95" i="5" s="1"/>
  <c r="BE52" i="5"/>
  <c r="BI52" i="5"/>
  <c r="BF53" i="5" a="1"/>
  <c r="BF53" i="5" s="1"/>
  <c r="BI53" i="5" a="1"/>
  <c r="BI53" i="5" s="1"/>
  <c r="BB52" i="5"/>
  <c r="BF52" i="5"/>
  <c r="BJ52" i="5"/>
  <c r="BD53" i="5" a="1"/>
  <c r="BD53" i="5" s="1"/>
  <c r="BG53" i="5" a="1"/>
  <c r="BG53" i="5" s="1"/>
  <c r="BG52" i="5"/>
  <c r="BE53" i="5" a="1"/>
  <c r="BE53" i="5" s="1"/>
  <c r="BJ53" i="5" a="1"/>
  <c r="BJ53" i="5" s="1"/>
  <c r="BD52" i="5"/>
  <c r="BH53" i="5" a="1"/>
  <c r="BH53" i="5" s="1"/>
  <c r="BH52" i="5"/>
  <c r="BC52" i="5"/>
  <c r="BB53" i="5" a="1"/>
  <c r="BB53" i="5" s="1"/>
  <c r="BC53" i="5" a="1"/>
  <c r="BC53" i="5" s="1"/>
  <c r="BC46" i="5"/>
  <c r="BG46" i="5"/>
  <c r="BB47" i="5" a="1"/>
  <c r="BB47" i="5" s="1"/>
  <c r="BG47" i="5" a="1"/>
  <c r="BG47" i="5" s="1"/>
  <c r="BJ47" i="5" a="1"/>
  <c r="BJ47" i="5" s="1"/>
  <c r="BD46" i="5"/>
  <c r="BH46" i="5"/>
  <c r="BE47" i="5" a="1"/>
  <c r="BE47" i="5" s="1"/>
  <c r="BH47" i="5" a="1"/>
  <c r="BH47" i="5" s="1"/>
  <c r="BE46" i="5"/>
  <c r="BC47" i="5" a="1"/>
  <c r="BC47" i="5" s="1"/>
  <c r="BB46" i="5"/>
  <c r="BF46" i="5"/>
  <c r="BD47" i="5" a="1"/>
  <c r="BD47" i="5" s="1"/>
  <c r="BI47" i="5" a="1"/>
  <c r="BI47" i="5" s="1"/>
  <c r="BI46" i="5"/>
  <c r="BF47" i="5" a="1"/>
  <c r="BF47" i="5" s="1"/>
  <c r="BJ46" i="5"/>
  <c r="BE60" i="5"/>
  <c r="BI60" i="5"/>
  <c r="BC61" i="5" a="1"/>
  <c r="BC61" i="5" s="1"/>
  <c r="BF61" i="5" a="1"/>
  <c r="BF61" i="5" s="1"/>
  <c r="BB60" i="5"/>
  <c r="BF60" i="5"/>
  <c r="BJ60" i="5"/>
  <c r="BD61" i="5" a="1"/>
  <c r="BD61" i="5" s="1"/>
  <c r="BI61" i="5" a="1"/>
  <c r="BI61" i="5" s="1"/>
  <c r="BC60" i="5"/>
  <c r="BB61" i="5" a="1"/>
  <c r="BB61" i="5" s="1"/>
  <c r="BG61" i="5" a="1"/>
  <c r="BG61" i="5" s="1"/>
  <c r="BG60" i="5"/>
  <c r="BJ61" i="5" a="1"/>
  <c r="BJ61" i="5" s="1"/>
  <c r="BD60" i="5"/>
  <c r="BH61" i="5" a="1"/>
  <c r="BH61" i="5" s="1"/>
  <c r="BH60" i="5"/>
  <c r="BE61" i="5" a="1"/>
  <c r="BE61" i="5" s="1"/>
  <c r="BC76" i="5"/>
  <c r="BG76" i="5"/>
  <c r="BB77" i="5" a="1"/>
  <c r="BB77" i="5" s="1"/>
  <c r="BG77" i="5" a="1"/>
  <c r="BG77" i="5" s="1"/>
  <c r="BJ77" i="5" a="1"/>
  <c r="BJ77" i="5" s="1"/>
  <c r="BD76" i="5"/>
  <c r="BH76" i="5"/>
  <c r="BE77" i="5" a="1"/>
  <c r="BE77" i="5" s="1"/>
  <c r="BH77" i="5" a="1"/>
  <c r="BH77" i="5" s="1"/>
  <c r="BI76" i="5"/>
  <c r="BF77" i="5" a="1"/>
  <c r="BF77" i="5" s="1"/>
  <c r="BE76" i="5"/>
  <c r="BC77" i="5" a="1"/>
  <c r="BC77" i="5" s="1"/>
  <c r="BF76" i="5"/>
  <c r="BD77" i="5" a="1"/>
  <c r="BD77" i="5" s="1"/>
  <c r="BB76" i="5"/>
  <c r="BJ76" i="5"/>
  <c r="BI77" i="5" a="1"/>
  <c r="BI77" i="5" s="1"/>
  <c r="BC85" i="5"/>
  <c r="BG85" i="5"/>
  <c r="BB86" i="5" a="1"/>
  <c r="BB86" i="5" s="1"/>
  <c r="BE86" i="5" a="1"/>
  <c r="BE86" i="5" s="1"/>
  <c r="BJ86" i="5" a="1"/>
  <c r="BJ86" i="5" s="1"/>
  <c r="BD85" i="5"/>
  <c r="BH85" i="5"/>
  <c r="BC86" i="5" a="1"/>
  <c r="BC86" i="5" s="1"/>
  <c r="BH86" i="5" a="1"/>
  <c r="BH86" i="5" s="1"/>
  <c r="BE85" i="5"/>
  <c r="BI86" i="5" a="1"/>
  <c r="BI86" i="5" s="1"/>
  <c r="BF85" i="5"/>
  <c r="BD86" i="5" a="1"/>
  <c r="BD86" i="5" s="1"/>
  <c r="BI85" i="5"/>
  <c r="BF86" i="5" a="1"/>
  <c r="BF86" i="5" s="1"/>
  <c r="BG86" i="5" a="1"/>
  <c r="BG86" i="5" s="1"/>
  <c r="BB85" i="5"/>
  <c r="BJ85" i="5"/>
  <c r="BB97" i="5"/>
  <c r="BC97" i="5"/>
  <c r="BG97" i="5"/>
  <c r="BB98" i="5" a="1"/>
  <c r="BB98" i="5" s="1"/>
  <c r="BE98" i="5" a="1"/>
  <c r="BE98" i="5" s="1"/>
  <c r="BJ98" i="5" a="1"/>
  <c r="BJ98" i="5" s="1"/>
  <c r="BE97" i="5"/>
  <c r="BI97" i="5"/>
  <c r="BF98" i="5" a="1"/>
  <c r="BF98" i="5" s="1"/>
  <c r="BD97" i="5"/>
  <c r="BH97" i="5"/>
  <c r="BC98" i="5" a="1"/>
  <c r="BC98" i="5" s="1"/>
  <c r="BH98" i="5" a="1"/>
  <c r="BH98" i="5" s="1"/>
  <c r="BI98" i="5" a="1"/>
  <c r="BI98" i="5" s="1"/>
  <c r="BG98" i="5" a="1"/>
  <c r="BG98" i="5" s="1"/>
  <c r="BD98" i="5" a="1"/>
  <c r="BD98" i="5" s="1"/>
  <c r="BF97" i="5"/>
  <c r="BJ97" i="5"/>
  <c r="AJ64" i="15"/>
  <c r="AN64" i="15"/>
  <c r="AL65" i="15" a="1"/>
  <c r="AL65" i="15" s="1"/>
  <c r="AK64" i="15"/>
  <c r="AO64" i="15"/>
  <c r="AJ65" i="15" a="1"/>
  <c r="AJ65" i="15" s="1"/>
  <c r="AO65" i="15" a="1"/>
  <c r="AO65" i="15" s="1"/>
  <c r="AL64" i="15"/>
  <c r="AM64" i="15"/>
  <c r="AK65" i="15" a="1"/>
  <c r="AK65" i="15" s="1"/>
  <c r="AN65" i="15" a="1"/>
  <c r="AN65" i="15" s="1"/>
  <c r="AM65" i="15" a="1"/>
  <c r="AM65" i="15" s="1"/>
  <c r="AK88" i="15"/>
  <c r="AO88" i="15"/>
  <c r="AJ89" i="15" a="1"/>
  <c r="AJ89" i="15" s="1"/>
  <c r="AO89" i="15" a="1"/>
  <c r="AO89" i="15" s="1"/>
  <c r="AL88" i="15"/>
  <c r="AJ88" i="15"/>
  <c r="AL89" i="15" a="1"/>
  <c r="AL89" i="15" s="1"/>
  <c r="AN89" i="15" a="1"/>
  <c r="AN89" i="15" s="1"/>
  <c r="AK89" i="15" a="1"/>
  <c r="AK89" i="15" s="1"/>
  <c r="AM88" i="15"/>
  <c r="AM89" i="15" a="1"/>
  <c r="AM89" i="15" s="1"/>
  <c r="AN88" i="15"/>
  <c r="AJ55" i="15"/>
  <c r="AN55" i="15"/>
  <c r="AK55" i="15"/>
  <c r="AO55" i="15"/>
  <c r="AJ56" i="15" a="1"/>
  <c r="AJ56" i="15" s="1"/>
  <c r="AL56" i="15" a="1"/>
  <c r="AL56" i="15" s="1"/>
  <c r="AN56" i="15" a="1"/>
  <c r="AN56" i="15" s="1"/>
  <c r="AM56" i="15" a="1"/>
  <c r="AM56" i="15" s="1"/>
  <c r="AK56" i="15" a="1"/>
  <c r="AK56" i="15" s="1"/>
  <c r="AM55" i="15"/>
  <c r="AO56" i="15" a="1"/>
  <c r="AO56" i="15" s="1"/>
  <c r="AL55" i="15"/>
  <c r="AK67" i="15"/>
  <c r="AO67" i="15"/>
  <c r="AJ68" i="15" a="1"/>
  <c r="AJ68" i="15" s="1"/>
  <c r="AL67" i="15"/>
  <c r="AM67" i="15"/>
  <c r="AL68" i="15" a="1"/>
  <c r="AL68" i="15" s="1"/>
  <c r="AN68" i="15" a="1"/>
  <c r="AN68" i="15" s="1"/>
  <c r="AM68" i="15" a="1"/>
  <c r="AM68" i="15" s="1"/>
  <c r="AO68" i="15" a="1"/>
  <c r="AO68" i="15" s="1"/>
  <c r="AN67" i="15"/>
  <c r="AJ67" i="15"/>
  <c r="AK68" i="15" a="1"/>
  <c r="AK68" i="15" s="1"/>
  <c r="AK79" i="15"/>
  <c r="AO79" i="15"/>
  <c r="AJ80" i="15" a="1"/>
  <c r="AJ80" i="15" s="1"/>
  <c r="AL80" i="15" a="1"/>
  <c r="AL80" i="15" s="1"/>
  <c r="AN80" i="15" a="1"/>
  <c r="AN80" i="15" s="1"/>
  <c r="AL79" i="15"/>
  <c r="AN79" i="15"/>
  <c r="AM79" i="15"/>
  <c r="AK80" i="15" a="1"/>
  <c r="AK80" i="15" s="1"/>
  <c r="AM80" i="15" a="1"/>
  <c r="AM80" i="15" s="1"/>
  <c r="AJ79" i="15"/>
  <c r="AO80" i="15" a="1"/>
  <c r="AO80" i="15" s="1"/>
  <c r="AL91" i="15"/>
  <c r="AJ91" i="15"/>
  <c r="AO91" i="15"/>
  <c r="AK92" i="15" a="1"/>
  <c r="AK92" i="15" s="1"/>
  <c r="AM91" i="15"/>
  <c r="AL92" i="15" a="1"/>
  <c r="AL92" i="15" s="1"/>
  <c r="AM92" i="15" a="1"/>
  <c r="AM92" i="15" s="1"/>
  <c r="AK91" i="15"/>
  <c r="AN92" i="15" a="1"/>
  <c r="AN92" i="15" s="1"/>
  <c r="AO92" i="15" a="1"/>
  <c r="AO92" i="15" s="1"/>
  <c r="AN91" i="15"/>
  <c r="AJ92" i="15" a="1"/>
  <c r="AJ92" i="15" s="1"/>
  <c r="AJ46" i="15"/>
  <c r="AN46" i="15"/>
  <c r="AL47" i="15" a="1"/>
  <c r="AL47" i="15" s="1"/>
  <c r="AO47" i="15" a="1"/>
  <c r="AO47" i="15" s="1"/>
  <c r="AK46" i="15"/>
  <c r="AO46" i="15"/>
  <c r="AJ47" i="15" a="1"/>
  <c r="AJ47" i="15" s="1"/>
  <c r="AM47" i="15" a="1"/>
  <c r="AM47" i="15" s="1"/>
  <c r="AN47" i="15" a="1"/>
  <c r="AN47" i="15" s="1"/>
  <c r="AM46" i="15"/>
  <c r="AK47" i="15" a="1"/>
  <c r="AK47" i="15" s="1"/>
  <c r="AL46" i="15"/>
  <c r="AK58" i="15"/>
  <c r="AO58" i="15"/>
  <c r="AJ59" i="15" a="1"/>
  <c r="AJ59" i="15" s="1"/>
  <c r="AM59" i="15" a="1"/>
  <c r="AM59" i="15" s="1"/>
  <c r="AL58" i="15"/>
  <c r="AK59" i="15" a="1"/>
  <c r="AK59" i="15" s="1"/>
  <c r="AM58" i="15"/>
  <c r="AN58" i="15"/>
  <c r="AL59" i="15" a="1"/>
  <c r="AL59" i="15" s="1"/>
  <c r="AJ58" i="15"/>
  <c r="AO59" i="15" a="1"/>
  <c r="AO59" i="15" s="1"/>
  <c r="AN59" i="15" a="1"/>
  <c r="AN59" i="15" s="1"/>
  <c r="AK70" i="15"/>
  <c r="AO70" i="15"/>
  <c r="AJ71" i="15" a="1"/>
  <c r="AJ71" i="15" s="1"/>
  <c r="AM71" i="15" a="1"/>
  <c r="AM71" i="15" s="1"/>
  <c r="AL70" i="15"/>
  <c r="AK71" i="15" a="1"/>
  <c r="AK71" i="15" s="1"/>
  <c r="AN70" i="15"/>
  <c r="AL71" i="15" a="1"/>
  <c r="AL71" i="15" s="1"/>
  <c r="AN71" i="15" a="1"/>
  <c r="AN71" i="15" s="1"/>
  <c r="AJ70" i="15"/>
  <c r="AO71" i="15" a="1"/>
  <c r="AO71" i="15" s="1"/>
  <c r="AM70" i="15"/>
  <c r="AL82" i="15"/>
  <c r="AK83" i="15" a="1"/>
  <c r="AK83" i="15" s="1"/>
  <c r="AM82" i="15"/>
  <c r="AN83" i="15" a="1"/>
  <c r="AN83" i="15" s="1"/>
  <c r="AK82" i="15"/>
  <c r="AJ83" i="15" a="1"/>
  <c r="AJ83" i="15" s="1"/>
  <c r="AM83" i="15" a="1"/>
  <c r="AM83" i="15" s="1"/>
  <c r="AJ82" i="15"/>
  <c r="AN82" i="15"/>
  <c r="AL83" i="15" a="1"/>
  <c r="AL83" i="15" s="1"/>
  <c r="AO82" i="15"/>
  <c r="AO83" i="15" a="1"/>
  <c r="AO83" i="15" s="1"/>
  <c r="AM52" i="15"/>
  <c r="AK53" i="15" a="1"/>
  <c r="AK53" i="15" s="1"/>
  <c r="AN53" i="15" a="1"/>
  <c r="AN53" i="15" s="1"/>
  <c r="AJ52" i="15"/>
  <c r="AN52" i="15"/>
  <c r="AL53" i="15" a="1"/>
  <c r="AL53" i="15" s="1"/>
  <c r="AO52" i="15"/>
  <c r="AM53" i="15" a="1"/>
  <c r="AM53" i="15" s="1"/>
  <c r="AL52" i="15"/>
  <c r="AJ53" i="15" a="1"/>
  <c r="AJ53" i="15" s="1"/>
  <c r="AK52" i="15"/>
  <c r="AO53" i="15" a="1"/>
  <c r="AO53" i="15" s="1"/>
  <c r="AJ76" i="15"/>
  <c r="AN76" i="15"/>
  <c r="AL77" i="15" a="1"/>
  <c r="AL77" i="15" s="1"/>
  <c r="AK76" i="15"/>
  <c r="AO76" i="15"/>
  <c r="AJ77" i="15" a="1"/>
  <c r="AJ77" i="15" s="1"/>
  <c r="AO77" i="15" a="1"/>
  <c r="AO77" i="15" s="1"/>
  <c r="AM76" i="15"/>
  <c r="AK77" i="15" a="1"/>
  <c r="AK77" i="15" s="1"/>
  <c r="AN77" i="15" a="1"/>
  <c r="AN77" i="15" s="1"/>
  <c r="AM77" i="15" a="1"/>
  <c r="AM77" i="15" s="1"/>
  <c r="AL76" i="15"/>
  <c r="AL49" i="15"/>
  <c r="AM49" i="15"/>
  <c r="AK50" i="15" a="1"/>
  <c r="AK50" i="15" s="1"/>
  <c r="AM50" i="15" a="1"/>
  <c r="AM50" i="15" s="1"/>
  <c r="AO50" i="15" a="1"/>
  <c r="AO50" i="15" s="1"/>
  <c r="AJ49" i="15"/>
  <c r="AK49" i="15"/>
  <c r="AJ50" i="15" a="1"/>
  <c r="AJ50" i="15" s="1"/>
  <c r="AN50" i="15" a="1"/>
  <c r="AN50" i="15" s="1"/>
  <c r="AL50" i="15" a="1"/>
  <c r="AL50" i="15" s="1"/>
  <c r="AN49" i="15"/>
  <c r="AO49" i="15"/>
  <c r="AM61" i="15"/>
  <c r="AK62" i="15" a="1"/>
  <c r="AK62" i="15" s="1"/>
  <c r="AM62" i="15" a="1"/>
  <c r="AM62" i="15" s="1"/>
  <c r="AO62" i="15" a="1"/>
  <c r="AO62" i="15" s="1"/>
  <c r="AJ61" i="15"/>
  <c r="AN61" i="15"/>
  <c r="AO61" i="15"/>
  <c r="AL62" i="15" a="1"/>
  <c r="AL62" i="15" s="1"/>
  <c r="AK61" i="15"/>
  <c r="AN62" i="15" a="1"/>
  <c r="AN62" i="15" s="1"/>
  <c r="AL61" i="15"/>
  <c r="AJ62" i="15" a="1"/>
  <c r="AJ62" i="15" s="1"/>
  <c r="AM73" i="15"/>
  <c r="AK74" i="15" a="1"/>
  <c r="AK74" i="15" s="1"/>
  <c r="AM74" i="15" a="1"/>
  <c r="AM74" i="15" s="1"/>
  <c r="AO74" i="15" a="1"/>
  <c r="AO74" i="15" s="1"/>
  <c r="AJ73" i="15"/>
  <c r="AN73" i="15"/>
  <c r="AL73" i="15"/>
  <c r="AK73" i="15"/>
  <c r="AJ74" i="15" a="1"/>
  <c r="AJ74" i="15" s="1"/>
  <c r="AN74" i="15" a="1"/>
  <c r="AN74" i="15" s="1"/>
  <c r="AO73" i="15"/>
  <c r="AL74" i="15" a="1"/>
  <c r="AL74" i="15" s="1"/>
  <c r="AJ85" i="15"/>
  <c r="AN85" i="15"/>
  <c r="AK85" i="15"/>
  <c r="AO85" i="15"/>
  <c r="AJ86" i="15" a="1"/>
  <c r="AJ86" i="15" s="1"/>
  <c r="AL86" i="15" a="1"/>
  <c r="AL86" i="15" s="1"/>
  <c r="AN86" i="15" a="1"/>
  <c r="AN86" i="15" s="1"/>
  <c r="AM85" i="15"/>
  <c r="AK86" i="15" a="1"/>
  <c r="AK86" i="15" s="1"/>
  <c r="AO86" i="15" a="1"/>
  <c r="AO86" i="15" s="1"/>
  <c r="AL85" i="15"/>
  <c r="AM86" i="15" a="1"/>
  <c r="AM86" i="15" s="1"/>
  <c r="BB64" i="15"/>
  <c r="BF64" i="15"/>
  <c r="BJ64" i="15"/>
  <c r="BN64" i="15"/>
  <c r="BR64" i="15"/>
  <c r="BA65" i="15" a="1"/>
  <c r="BA65" i="15" s="1"/>
  <c r="BE65" i="15" a="1"/>
  <c r="BE65" i="15" s="1"/>
  <c r="BI65" i="15" a="1"/>
  <c r="BI65" i="15" s="1"/>
  <c r="BM65" i="15" a="1"/>
  <c r="BM65" i="15" s="1"/>
  <c r="BQ65" i="15" a="1"/>
  <c r="BQ65" i="15" s="1"/>
  <c r="BA64" i="15"/>
  <c r="BE64" i="15"/>
  <c r="BI64" i="15"/>
  <c r="BM64" i="15"/>
  <c r="BQ64" i="15"/>
  <c r="BW64" i="15"/>
  <c r="AZ65" i="15" a="1"/>
  <c r="AZ65" i="15" s="1"/>
  <c r="BD65" i="15" a="1"/>
  <c r="BD65" i="15" s="1"/>
  <c r="BH65" i="15" a="1"/>
  <c r="BH65" i="15" s="1"/>
  <c r="BL65" i="15" a="1"/>
  <c r="BL65" i="15" s="1"/>
  <c r="BP65" i="15" a="1"/>
  <c r="BP65" i="15" s="1"/>
  <c r="BD64" i="15"/>
  <c r="BL64" i="15"/>
  <c r="BV64" i="15"/>
  <c r="BC65" i="15" a="1"/>
  <c r="BC65" i="15" s="1"/>
  <c r="BK65" i="15" a="1"/>
  <c r="BK65" i="15" s="1"/>
  <c r="AY65" i="15" a="1"/>
  <c r="AY65" i="15" s="1"/>
  <c r="BC64" i="15"/>
  <c r="BK64" i="15"/>
  <c r="BU64" i="15"/>
  <c r="BB65" i="15" a="1"/>
  <c r="BB65" i="15" s="1"/>
  <c r="BJ65" i="15" a="1"/>
  <c r="BJ65" i="15" s="1"/>
  <c r="BR65" i="15" a="1"/>
  <c r="BR65" i="15" s="1"/>
  <c r="AZ64" i="15"/>
  <c r="BP64" i="15"/>
  <c r="BG65" i="15" a="1"/>
  <c r="BG65" i="15" s="1"/>
  <c r="BG64" i="15"/>
  <c r="BN65" i="15" a="1"/>
  <c r="BN65" i="15" s="1"/>
  <c r="BF65" i="15" a="1"/>
  <c r="BF65" i="15" s="1"/>
  <c r="N64" i="15"/>
  <c r="R64" i="15"/>
  <c r="V64" i="15"/>
  <c r="Z64" i="15"/>
  <c r="AD64" i="15"/>
  <c r="AH64" i="15"/>
  <c r="O65" i="15" a="1"/>
  <c r="O65" i="15" s="1"/>
  <c r="R65" i="15" a="1"/>
  <c r="R65" i="15" s="1"/>
  <c r="U65" i="15" a="1"/>
  <c r="U65" i="15" s="1"/>
  <c r="X65" i="15" a="1"/>
  <c r="X65" i="15" s="1"/>
  <c r="AE65" i="15" a="1"/>
  <c r="AE65" i="15" s="1"/>
  <c r="AI65" i="15" a="1"/>
  <c r="AI65" i="15" s="1"/>
  <c r="BH64" i="15"/>
  <c r="BO65" i="15" a="1"/>
  <c r="BO65" i="15" s="1"/>
  <c r="O64" i="15"/>
  <c r="S64" i="15"/>
  <c r="W64" i="15"/>
  <c r="AA64" i="15"/>
  <c r="AE64" i="15"/>
  <c r="AI64" i="15"/>
  <c r="L65" i="15" a="1"/>
  <c r="L65" i="15" s="1"/>
  <c r="S65" i="15" a="1"/>
  <c r="S65" i="15" s="1"/>
  <c r="V65" i="15" a="1"/>
  <c r="V65" i="15" s="1"/>
  <c r="Y65" i="15" a="1"/>
  <c r="Y65" i="15" s="1"/>
  <c r="AB65" i="15" a="1"/>
  <c r="AB65" i="15" s="1"/>
  <c r="AF65" i="15" a="1"/>
  <c r="AF65" i="15" s="1"/>
  <c r="L64" i="15"/>
  <c r="T64" i="15"/>
  <c r="AB64" i="15"/>
  <c r="P65" i="15" a="1"/>
  <c r="P65" i="15" s="1"/>
  <c r="W65" i="15" a="1"/>
  <c r="W65" i="15" s="1"/>
  <c r="AC65" i="15" a="1"/>
  <c r="AC65" i="15" s="1"/>
  <c r="P64" i="15"/>
  <c r="AF64" i="15"/>
  <c r="Z65" i="15" a="1"/>
  <c r="Z65" i="15" s="1"/>
  <c r="I65" i="15" a="1"/>
  <c r="I65" i="15" s="1"/>
  <c r="BO64" i="15"/>
  <c r="M64" i="15"/>
  <c r="U64" i="15"/>
  <c r="AC64" i="15"/>
  <c r="Q65" i="15" a="1"/>
  <c r="Q65" i="15" s="1"/>
  <c r="AD65" i="15" a="1"/>
  <c r="AD65" i="15" s="1"/>
  <c r="X64" i="15"/>
  <c r="M65" i="15" a="1"/>
  <c r="M65" i="15" s="1"/>
  <c r="AG65" i="15" a="1"/>
  <c r="AG65" i="15" s="1"/>
  <c r="N65" i="15" a="1"/>
  <c r="N65" i="15" s="1"/>
  <c r="Q64" i="15"/>
  <c r="T65" i="15" a="1"/>
  <c r="T65" i="15" s="1"/>
  <c r="AG64" i="15"/>
  <c r="AH65" i="15" a="1"/>
  <c r="AH65" i="15" s="1"/>
  <c r="K65" i="15" a="1"/>
  <c r="K65" i="15" s="1"/>
  <c r="Y64" i="15"/>
  <c r="AA65" i="15" a="1"/>
  <c r="AA65" i="15" s="1"/>
  <c r="BW65" i="15" a="1"/>
  <c r="BW65" i="15" s="1"/>
  <c r="BS65" i="15" a="1"/>
  <c r="BS65" i="15" s="1"/>
  <c r="BS64" i="15"/>
  <c r="BT65" i="15" a="1"/>
  <c r="BT65" i="15" s="1"/>
  <c r="BU65" i="15" a="1"/>
  <c r="BU65" i="15" s="1"/>
  <c r="BT64" i="15"/>
  <c r="BV65" i="15" a="1"/>
  <c r="BV65" i="15" s="1"/>
  <c r="BB88" i="15"/>
  <c r="BF88" i="15"/>
  <c r="BJ88" i="15"/>
  <c r="BN88" i="15"/>
  <c r="BR88" i="15"/>
  <c r="BV88" i="15"/>
  <c r="AY89" i="15" a="1"/>
  <c r="AY89" i="15" s="1"/>
  <c r="BA88" i="15"/>
  <c r="BE88" i="15"/>
  <c r="BI88" i="15"/>
  <c r="BM88" i="15"/>
  <c r="BQ88" i="15"/>
  <c r="BU88" i="15"/>
  <c r="BA89" i="15" a="1"/>
  <c r="BA89" i="15" s="1"/>
  <c r="BC89" i="15" a="1"/>
  <c r="BC89" i="15" s="1"/>
  <c r="BE89" i="15" a="1"/>
  <c r="BE89" i="15" s="1"/>
  <c r="BG89" i="15" a="1"/>
  <c r="BG89" i="15" s="1"/>
  <c r="BI89" i="15" a="1"/>
  <c r="BI89" i="15" s="1"/>
  <c r="BK89" i="15" a="1"/>
  <c r="BK89" i="15" s="1"/>
  <c r="BM89" i="15" a="1"/>
  <c r="BM89" i="15" s="1"/>
  <c r="BO89" i="15" a="1"/>
  <c r="BO89" i="15" s="1"/>
  <c r="BQ89" i="15" a="1"/>
  <c r="BQ89" i="15" s="1"/>
  <c r="AZ88" i="15"/>
  <c r="BH88" i="15"/>
  <c r="BP88" i="15"/>
  <c r="BC88" i="15"/>
  <c r="BK88" i="15"/>
  <c r="BS88" i="15"/>
  <c r="AZ89" i="15" a="1"/>
  <c r="AZ89" i="15" s="1"/>
  <c r="BD89" i="15" a="1"/>
  <c r="BD89" i="15" s="1"/>
  <c r="BH89" i="15" a="1"/>
  <c r="BH89" i="15" s="1"/>
  <c r="BL89" i="15" a="1"/>
  <c r="BL89" i="15" s="1"/>
  <c r="BP89" i="15" a="1"/>
  <c r="BP89" i="15" s="1"/>
  <c r="BG88" i="15"/>
  <c r="BW88" i="15"/>
  <c r="BF89" i="15" a="1"/>
  <c r="BF89" i="15" s="1"/>
  <c r="BN89" i="15" a="1"/>
  <c r="BN89" i="15" s="1"/>
  <c r="BL88" i="15"/>
  <c r="BT88" i="15"/>
  <c r="O88" i="15"/>
  <c r="S88" i="15"/>
  <c r="W88" i="15"/>
  <c r="AA88" i="15"/>
  <c r="AE88" i="15"/>
  <c r="AI88" i="15"/>
  <c r="L89" i="15" a="1"/>
  <c r="L89" i="15" s="1"/>
  <c r="P89" i="15" a="1"/>
  <c r="P89" i="15" s="1"/>
  <c r="T89" i="15" a="1"/>
  <c r="T89" i="15" s="1"/>
  <c r="X89" i="15" a="1"/>
  <c r="X89" i="15" s="1"/>
  <c r="AB89" i="15" a="1"/>
  <c r="AB89" i="15" s="1"/>
  <c r="AF89" i="15" a="1"/>
  <c r="AF89" i="15" s="1"/>
  <c r="N89" i="15" a="1"/>
  <c r="N89" i="15" s="1"/>
  <c r="Z89" i="15" a="1"/>
  <c r="Z89" i="15" s="1"/>
  <c r="AH89" i="15" a="1"/>
  <c r="AH89" i="15" s="1"/>
  <c r="BB89" i="15" a="1"/>
  <c r="BB89" i="15" s="1"/>
  <c r="BR89" i="15" a="1"/>
  <c r="BR89" i="15" s="1"/>
  <c r="L88" i="15"/>
  <c r="P88" i="15"/>
  <c r="T88" i="15"/>
  <c r="X88" i="15"/>
  <c r="AB88" i="15"/>
  <c r="AF88" i="15"/>
  <c r="M89" i="15" a="1"/>
  <c r="M89" i="15" s="1"/>
  <c r="Q89" i="15" a="1"/>
  <c r="Q89" i="15" s="1"/>
  <c r="U89" i="15" a="1"/>
  <c r="U89" i="15" s="1"/>
  <c r="Y89" i="15" a="1"/>
  <c r="Y89" i="15" s="1"/>
  <c r="AC89" i="15" a="1"/>
  <c r="AC89" i="15" s="1"/>
  <c r="AG89" i="15" a="1"/>
  <c r="AG89" i="15" s="1"/>
  <c r="K89" i="15" a="1"/>
  <c r="K89" i="15" s="1"/>
  <c r="BD88" i="15"/>
  <c r="M88" i="15"/>
  <c r="Q88" i="15"/>
  <c r="U88" i="15"/>
  <c r="Y88" i="15"/>
  <c r="AC88" i="15"/>
  <c r="AG88" i="15"/>
  <c r="R89" i="15" a="1"/>
  <c r="R89" i="15" s="1"/>
  <c r="V89" i="15" a="1"/>
  <c r="V89" i="15" s="1"/>
  <c r="AD89" i="15" a="1"/>
  <c r="AD89" i="15" s="1"/>
  <c r="BO88" i="15"/>
  <c r="Z88" i="15"/>
  <c r="O89" i="15" a="1"/>
  <c r="O89" i="15" s="1"/>
  <c r="AE89" i="15" a="1"/>
  <c r="AE89" i="15" s="1"/>
  <c r="BJ89" i="15" a="1"/>
  <c r="BJ89" i="15" s="1"/>
  <c r="N88" i="15"/>
  <c r="S89" i="15" a="1"/>
  <c r="S89" i="15" s="1"/>
  <c r="V88" i="15"/>
  <c r="AA89" i="15" a="1"/>
  <c r="AA89" i="15" s="1"/>
  <c r="I89" i="15" a="1"/>
  <c r="I89" i="15" s="1"/>
  <c r="AD88" i="15"/>
  <c r="AI89" i="15" a="1"/>
  <c r="AI89" i="15" s="1"/>
  <c r="R88" i="15"/>
  <c r="AH88" i="15"/>
  <c r="W89" i="15" a="1"/>
  <c r="W89" i="15" s="1"/>
  <c r="BV89" i="15" a="1"/>
  <c r="BV89" i="15" s="1"/>
  <c r="BT89" i="15" a="1"/>
  <c r="BT89" i="15" s="1"/>
  <c r="BS89" i="15" a="1"/>
  <c r="BS89" i="15" s="1"/>
  <c r="BU89" i="15" a="1"/>
  <c r="BU89" i="15" s="1"/>
  <c r="BW89" i="15" a="1"/>
  <c r="BW89" i="15" s="1"/>
  <c r="BB55" i="15"/>
  <c r="BF55" i="15"/>
  <c r="BJ55" i="15"/>
  <c r="BN55" i="15"/>
  <c r="BR55" i="15"/>
  <c r="AZ56" i="15" a="1"/>
  <c r="AZ56" i="15" s="1"/>
  <c r="BB56" i="15" a="1"/>
  <c r="BB56" i="15" s="1"/>
  <c r="BD56" i="15" a="1"/>
  <c r="BD56" i="15" s="1"/>
  <c r="BF56" i="15" a="1"/>
  <c r="BF56" i="15" s="1"/>
  <c r="BH56" i="15" a="1"/>
  <c r="BH56" i="15" s="1"/>
  <c r="BJ56" i="15" a="1"/>
  <c r="BJ56" i="15" s="1"/>
  <c r="BL56" i="15" a="1"/>
  <c r="BL56" i="15" s="1"/>
  <c r="BN56" i="15" a="1"/>
  <c r="BN56" i="15" s="1"/>
  <c r="BP56" i="15" a="1"/>
  <c r="BP56" i="15" s="1"/>
  <c r="BR56" i="15" a="1"/>
  <c r="BR56" i="15" s="1"/>
  <c r="BC55" i="15"/>
  <c r="BG55" i="15"/>
  <c r="BK55" i="15"/>
  <c r="BO55" i="15"/>
  <c r="BE55" i="15"/>
  <c r="BM55" i="15"/>
  <c r="BD55" i="15"/>
  <c r="BL55" i="15"/>
  <c r="BC56" i="15" a="1"/>
  <c r="BC56" i="15" s="1"/>
  <c r="BG56" i="15" a="1"/>
  <c r="BG56" i="15" s="1"/>
  <c r="BK56" i="15" a="1"/>
  <c r="BK56" i="15" s="1"/>
  <c r="BO56" i="15" a="1"/>
  <c r="BO56" i="15" s="1"/>
  <c r="BA55" i="15"/>
  <c r="BQ55" i="15"/>
  <c r="AZ55" i="15"/>
  <c r="BP55" i="15"/>
  <c r="BE56" i="15" a="1"/>
  <c r="BE56" i="15" s="1"/>
  <c r="BM56" i="15" a="1"/>
  <c r="BM56" i="15" s="1"/>
  <c r="BI55" i="15"/>
  <c r="BA56" i="15" a="1"/>
  <c r="BA56" i="15" s="1"/>
  <c r="BQ56" i="15" a="1"/>
  <c r="BQ56" i="15" s="1"/>
  <c r="BH55" i="15"/>
  <c r="N55" i="15"/>
  <c r="R55" i="15"/>
  <c r="V55" i="15"/>
  <c r="Z55" i="15"/>
  <c r="AD55" i="15"/>
  <c r="AH55" i="15"/>
  <c r="AF56" i="15" a="1"/>
  <c r="AF56" i="15" s="1"/>
  <c r="O55" i="15"/>
  <c r="S55" i="15"/>
  <c r="W55" i="15"/>
  <c r="AA55" i="15"/>
  <c r="AE55" i="15"/>
  <c r="AI55" i="15"/>
  <c r="L56" i="15" a="1"/>
  <c r="L56" i="15" s="1"/>
  <c r="N56" i="15" a="1"/>
  <c r="N56" i="15" s="1"/>
  <c r="P56" i="15" a="1"/>
  <c r="P56" i="15" s="1"/>
  <c r="R56" i="15" a="1"/>
  <c r="R56" i="15" s="1"/>
  <c r="T56" i="15" a="1"/>
  <c r="T56" i="15" s="1"/>
  <c r="V56" i="15" a="1"/>
  <c r="V56" i="15" s="1"/>
  <c r="X56" i="15" a="1"/>
  <c r="X56" i="15" s="1"/>
  <c r="Z56" i="15" a="1"/>
  <c r="Z56" i="15" s="1"/>
  <c r="AB56" i="15" a="1"/>
  <c r="AB56" i="15" s="1"/>
  <c r="AD56" i="15" a="1"/>
  <c r="AD56" i="15" s="1"/>
  <c r="AG56" i="15" a="1"/>
  <c r="AG56" i="15" s="1"/>
  <c r="L55" i="15"/>
  <c r="T55" i="15"/>
  <c r="AB55" i="15"/>
  <c r="K56" i="15" a="1"/>
  <c r="K56" i="15" s="1"/>
  <c r="M55" i="15"/>
  <c r="U55" i="15"/>
  <c r="AC55" i="15"/>
  <c r="O56" i="15" a="1"/>
  <c r="O56" i="15" s="1"/>
  <c r="S56" i="15" a="1"/>
  <c r="S56" i="15" s="1"/>
  <c r="W56" i="15" a="1"/>
  <c r="W56" i="15" s="1"/>
  <c r="AA56" i="15" a="1"/>
  <c r="AA56" i="15" s="1"/>
  <c r="AE56" i="15" a="1"/>
  <c r="AE56" i="15" s="1"/>
  <c r="P55" i="15"/>
  <c r="X55" i="15"/>
  <c r="AF55" i="15"/>
  <c r="AH56" i="15" a="1"/>
  <c r="AH56" i="15" s="1"/>
  <c r="Q55" i="15"/>
  <c r="Q56" i="15" a="1"/>
  <c r="Q56" i="15" s="1"/>
  <c r="AI56" i="15" a="1"/>
  <c r="AI56" i="15" s="1"/>
  <c r="I56" i="15" a="1"/>
  <c r="I56" i="15" s="1"/>
  <c r="AG55" i="15"/>
  <c r="Y56" i="15" a="1"/>
  <c r="Y56" i="15" s="1"/>
  <c r="M56" i="15" a="1"/>
  <c r="M56" i="15" s="1"/>
  <c r="AC56" i="15" a="1"/>
  <c r="AC56" i="15" s="1"/>
  <c r="Y55" i="15"/>
  <c r="U56" i="15" a="1"/>
  <c r="U56" i="15" s="1"/>
  <c r="BI56" i="15" a="1"/>
  <c r="BI56" i="15" s="1"/>
  <c r="AY56" i="15" a="1"/>
  <c r="AY56" i="15" s="1"/>
  <c r="BW55" i="15"/>
  <c r="BU55" i="15"/>
  <c r="BS55" i="15"/>
  <c r="BW56" i="15" a="1"/>
  <c r="BW56" i="15" s="1"/>
  <c r="BU56" i="15" a="1"/>
  <c r="BU56" i="15" s="1"/>
  <c r="BV55" i="15"/>
  <c r="BV56" i="15" a="1"/>
  <c r="BV56" i="15" s="1"/>
  <c r="BS56" i="15" a="1"/>
  <c r="BS56" i="15" s="1"/>
  <c r="BT55" i="15"/>
  <c r="BT56" i="15" a="1"/>
  <c r="BT56" i="15" s="1"/>
  <c r="BC67" i="15"/>
  <c r="BG67" i="15"/>
  <c r="BK67" i="15"/>
  <c r="BO67" i="15"/>
  <c r="BB67" i="15"/>
  <c r="BF67" i="15"/>
  <c r="BJ67" i="15"/>
  <c r="BN67" i="15"/>
  <c r="BR67" i="15"/>
  <c r="AZ68" i="15" a="1"/>
  <c r="AZ68" i="15" s="1"/>
  <c r="BB68" i="15" a="1"/>
  <c r="BB68" i="15" s="1"/>
  <c r="BD68" i="15" a="1"/>
  <c r="BD68" i="15" s="1"/>
  <c r="BF68" i="15" a="1"/>
  <c r="BF68" i="15" s="1"/>
  <c r="BH68" i="15" a="1"/>
  <c r="BH68" i="15" s="1"/>
  <c r="BJ68" i="15" a="1"/>
  <c r="BJ68" i="15" s="1"/>
  <c r="BL68" i="15" a="1"/>
  <c r="BL68" i="15" s="1"/>
  <c r="BN68" i="15" a="1"/>
  <c r="BN68" i="15" s="1"/>
  <c r="BP68" i="15" a="1"/>
  <c r="BP68" i="15" s="1"/>
  <c r="BR68" i="15" a="1"/>
  <c r="BR68" i="15" s="1"/>
  <c r="BE67" i="15"/>
  <c r="BM67" i="15"/>
  <c r="BD67" i="15"/>
  <c r="BL67" i="15"/>
  <c r="BC68" i="15" a="1"/>
  <c r="BC68" i="15" s="1"/>
  <c r="BG68" i="15" a="1"/>
  <c r="BG68" i="15" s="1"/>
  <c r="BK68" i="15" a="1"/>
  <c r="BK68" i="15" s="1"/>
  <c r="BO68" i="15" a="1"/>
  <c r="BO68" i="15" s="1"/>
  <c r="BA67" i="15"/>
  <c r="BQ67" i="15"/>
  <c r="BH67" i="15"/>
  <c r="BA68" i="15" a="1"/>
  <c r="BA68" i="15" s="1"/>
  <c r="BI68" i="15" a="1"/>
  <c r="BI68" i="15" s="1"/>
  <c r="BQ68" i="15" a="1"/>
  <c r="BQ68" i="15" s="1"/>
  <c r="BP67" i="15"/>
  <c r="BM68" i="15" a="1"/>
  <c r="BM68" i="15" s="1"/>
  <c r="L67" i="15"/>
  <c r="P67" i="15"/>
  <c r="T67" i="15"/>
  <c r="X67" i="15"/>
  <c r="AB67" i="15"/>
  <c r="AF67" i="15"/>
  <c r="O68" i="15" a="1"/>
  <c r="O68" i="15" s="1"/>
  <c r="R68" i="15" a="1"/>
  <c r="R68" i="15" s="1"/>
  <c r="W68" i="15" a="1"/>
  <c r="W68" i="15" s="1"/>
  <c r="Z68" i="15" a="1"/>
  <c r="Z68" i="15" s="1"/>
  <c r="AE68" i="15" a="1"/>
  <c r="AE68" i="15" s="1"/>
  <c r="AI68" i="15" a="1"/>
  <c r="AI68" i="15" s="1"/>
  <c r="M67" i="15"/>
  <c r="Q67" i="15"/>
  <c r="U67" i="15"/>
  <c r="Y67" i="15"/>
  <c r="AC67" i="15"/>
  <c r="AG67" i="15"/>
  <c r="M68" i="15" a="1"/>
  <c r="M68" i="15" s="1"/>
  <c r="P68" i="15" a="1"/>
  <c r="P68" i="15" s="1"/>
  <c r="U68" i="15" a="1"/>
  <c r="U68" i="15" s="1"/>
  <c r="X68" i="15" a="1"/>
  <c r="X68" i="15" s="1"/>
  <c r="AC68" i="15" a="1"/>
  <c r="AC68" i="15" s="1"/>
  <c r="AF68" i="15" a="1"/>
  <c r="AF68" i="15" s="1"/>
  <c r="BI67" i="15"/>
  <c r="R67" i="15"/>
  <c r="Z67" i="15"/>
  <c r="AH67" i="15"/>
  <c r="N68" i="15" a="1"/>
  <c r="N68" i="15" s="1"/>
  <c r="S68" i="15" a="1"/>
  <c r="S68" i="15" s="1"/>
  <c r="AD68" i="15" a="1"/>
  <c r="AD68" i="15" s="1"/>
  <c r="N67" i="15"/>
  <c r="V67" i="15"/>
  <c r="AD67" i="15"/>
  <c r="V68" i="15" a="1"/>
  <c r="V68" i="15" s="1"/>
  <c r="AG68" i="15" a="1"/>
  <c r="AG68" i="15" s="1"/>
  <c r="BE68" i="15" a="1"/>
  <c r="BE68" i="15" s="1"/>
  <c r="AY68" i="15" a="1"/>
  <c r="AY68" i="15" s="1"/>
  <c r="S67" i="15"/>
  <c r="AA67" i="15"/>
  <c r="AI67" i="15"/>
  <c r="T68" i="15" a="1"/>
  <c r="T68" i="15" s="1"/>
  <c r="Y68" i="15" a="1"/>
  <c r="Y68" i="15" s="1"/>
  <c r="I68" i="15" a="1"/>
  <c r="I68" i="15" s="1"/>
  <c r="AA68" i="15" a="1"/>
  <c r="AA68" i="15" s="1"/>
  <c r="K68" i="15" a="1"/>
  <c r="K68" i="15" s="1"/>
  <c r="AZ67" i="15"/>
  <c r="O67" i="15"/>
  <c r="Q68" i="15" a="1"/>
  <c r="Q68" i="15" s="1"/>
  <c r="AE67" i="15"/>
  <c r="AB68" i="15" a="1"/>
  <c r="AB68" i="15" s="1"/>
  <c r="L68" i="15" a="1"/>
  <c r="L68" i="15" s="1"/>
  <c r="AH68" i="15" a="1"/>
  <c r="AH68" i="15" s="1"/>
  <c r="W67" i="15"/>
  <c r="BW67" i="15"/>
  <c r="BV67" i="15"/>
  <c r="BV68" i="15" a="1"/>
  <c r="BV68" i="15" s="1"/>
  <c r="BU67" i="15"/>
  <c r="BT67" i="15"/>
  <c r="BS67" i="15"/>
  <c r="BW68" i="15" a="1"/>
  <c r="BW68" i="15" s="1"/>
  <c r="BU68" i="15" a="1"/>
  <c r="BU68" i="15" s="1"/>
  <c r="BS68" i="15" a="1"/>
  <c r="BS68" i="15" s="1"/>
  <c r="BT68" i="15" a="1"/>
  <c r="BT68" i="15" s="1"/>
  <c r="AZ79" i="15"/>
  <c r="BD79" i="15"/>
  <c r="BH79" i="15"/>
  <c r="BL79" i="15"/>
  <c r="BP79" i="15"/>
  <c r="BT79" i="15"/>
  <c r="BC80" i="15" a="1"/>
  <c r="BC80" i="15" s="1"/>
  <c r="BF80" i="15" a="1"/>
  <c r="BF80" i="15" s="1"/>
  <c r="BK80" i="15" a="1"/>
  <c r="BK80" i="15" s="1"/>
  <c r="BN80" i="15" a="1"/>
  <c r="BN80" i="15" s="1"/>
  <c r="BC79" i="15"/>
  <c r="BG79" i="15"/>
  <c r="BK79" i="15"/>
  <c r="BO79" i="15"/>
  <c r="BS79" i="15"/>
  <c r="BW79" i="15"/>
  <c r="AZ80" i="15" a="1"/>
  <c r="AZ80" i="15" s="1"/>
  <c r="BE80" i="15" a="1"/>
  <c r="BE80" i="15" s="1"/>
  <c r="BH80" i="15" a="1"/>
  <c r="BH80" i="15" s="1"/>
  <c r="BM80" i="15" a="1"/>
  <c r="BM80" i="15" s="1"/>
  <c r="BP80" i="15" a="1"/>
  <c r="BP80" i="15" s="1"/>
  <c r="BB79" i="15"/>
  <c r="BJ79" i="15"/>
  <c r="BR79" i="15"/>
  <c r="BJ80" i="15" a="1"/>
  <c r="BJ80" i="15" s="1"/>
  <c r="BO80" i="15" a="1"/>
  <c r="BO80" i="15" s="1"/>
  <c r="BE79" i="15"/>
  <c r="BM79" i="15"/>
  <c r="BU79" i="15"/>
  <c r="BA80" i="15" a="1"/>
  <c r="BA80" i="15" s="1"/>
  <c r="BL80" i="15" a="1"/>
  <c r="BL80" i="15" s="1"/>
  <c r="BQ80" i="15" a="1"/>
  <c r="BQ80" i="15" s="1"/>
  <c r="AY80" i="15" a="1"/>
  <c r="AY80" i="15" s="1"/>
  <c r="BA79" i="15"/>
  <c r="BQ79" i="15"/>
  <c r="BD80" i="15" a="1"/>
  <c r="BD80" i="15" s="1"/>
  <c r="BF79" i="15"/>
  <c r="BV79" i="15"/>
  <c r="BG80" i="15" a="1"/>
  <c r="BG80" i="15" s="1"/>
  <c r="BR80" i="15" a="1"/>
  <c r="BR80" i="15" s="1"/>
  <c r="BN79" i="15"/>
  <c r="O79" i="15"/>
  <c r="S79" i="15"/>
  <c r="W79" i="15"/>
  <c r="AA79" i="15"/>
  <c r="AE79" i="15"/>
  <c r="AI79" i="15"/>
  <c r="L80" i="15" a="1"/>
  <c r="L80" i="15" s="1"/>
  <c r="N80" i="15" a="1"/>
  <c r="N80" i="15" s="1"/>
  <c r="P80" i="15" a="1"/>
  <c r="P80" i="15" s="1"/>
  <c r="R80" i="15" a="1"/>
  <c r="R80" i="15" s="1"/>
  <c r="T80" i="15" a="1"/>
  <c r="T80" i="15" s="1"/>
  <c r="V80" i="15" a="1"/>
  <c r="V80" i="15" s="1"/>
  <c r="X80" i="15" a="1"/>
  <c r="X80" i="15" s="1"/>
  <c r="Z80" i="15" a="1"/>
  <c r="Z80" i="15" s="1"/>
  <c r="AB80" i="15" a="1"/>
  <c r="AB80" i="15" s="1"/>
  <c r="AD80" i="15" a="1"/>
  <c r="AD80" i="15" s="1"/>
  <c r="AG80" i="15" a="1"/>
  <c r="AG80" i="15" s="1"/>
  <c r="M79" i="15"/>
  <c r="U79" i="15"/>
  <c r="AC79" i="15"/>
  <c r="O80" i="15" a="1"/>
  <c r="O80" i="15" s="1"/>
  <c r="S80" i="15" a="1"/>
  <c r="S80" i="15" s="1"/>
  <c r="W80" i="15" a="1"/>
  <c r="W80" i="15" s="1"/>
  <c r="AA80" i="15" a="1"/>
  <c r="AA80" i="15" s="1"/>
  <c r="AE80" i="15" a="1"/>
  <c r="AE80" i="15" s="1"/>
  <c r="L79" i="15"/>
  <c r="P79" i="15"/>
  <c r="T79" i="15"/>
  <c r="X79" i="15"/>
  <c r="AB79" i="15"/>
  <c r="AF79" i="15"/>
  <c r="AH80" i="15" a="1"/>
  <c r="AH80" i="15" s="1"/>
  <c r="I80" i="15" a="1"/>
  <c r="I80" i="15" s="1"/>
  <c r="BB80" i="15" a="1"/>
  <c r="BB80" i="15" s="1"/>
  <c r="Q79" i="15"/>
  <c r="Y79" i="15"/>
  <c r="AG79" i="15"/>
  <c r="M80" i="15" a="1"/>
  <c r="M80" i="15" s="1"/>
  <c r="Q80" i="15" a="1"/>
  <c r="Q80" i="15" s="1"/>
  <c r="U80" i="15" a="1"/>
  <c r="U80" i="15" s="1"/>
  <c r="Y80" i="15" a="1"/>
  <c r="Y80" i="15" s="1"/>
  <c r="AC80" i="15" a="1"/>
  <c r="AC80" i="15" s="1"/>
  <c r="AI80" i="15" a="1"/>
  <c r="AI80" i="15" s="1"/>
  <c r="Z79" i="15"/>
  <c r="BI79" i="15"/>
  <c r="R79" i="15"/>
  <c r="AH79" i="15"/>
  <c r="BI80" i="15" a="1"/>
  <c r="BI80" i="15" s="1"/>
  <c r="V79" i="15"/>
  <c r="K80" i="15" a="1"/>
  <c r="K80" i="15" s="1"/>
  <c r="N79" i="15"/>
  <c r="AD79" i="15"/>
  <c r="AF80" i="15" a="1"/>
  <c r="AF80" i="15" s="1"/>
  <c r="BS80" i="15" a="1"/>
  <c r="BS80" i="15" s="1"/>
  <c r="BV80" i="15" a="1"/>
  <c r="BV80" i="15" s="1"/>
  <c r="BT80" i="15" a="1"/>
  <c r="BT80" i="15" s="1"/>
  <c r="BW80" i="15" a="1"/>
  <c r="BW80" i="15" s="1"/>
  <c r="BU80" i="15" a="1"/>
  <c r="BU80" i="15" s="1"/>
  <c r="BC91" i="15"/>
  <c r="BG91" i="15"/>
  <c r="BK91" i="15"/>
  <c r="BO91" i="15"/>
  <c r="BS91" i="15"/>
  <c r="BW91" i="15"/>
  <c r="AZ92" i="15" a="1"/>
  <c r="AZ92" i="15" s="1"/>
  <c r="BE92" i="15" a="1"/>
  <c r="BE92" i="15" s="1"/>
  <c r="BH92" i="15" a="1"/>
  <c r="BH92" i="15" s="1"/>
  <c r="BM92" i="15" a="1"/>
  <c r="BM92" i="15" s="1"/>
  <c r="BP92" i="15" a="1"/>
  <c r="BP92" i="15" s="1"/>
  <c r="BD91" i="15"/>
  <c r="BI91" i="15"/>
  <c r="BN91" i="15"/>
  <c r="BT91" i="15"/>
  <c r="BB92" i="15" a="1"/>
  <c r="BB92" i="15" s="1"/>
  <c r="BF92" i="15" a="1"/>
  <c r="BF92" i="15" s="1"/>
  <c r="BI92" i="15" a="1"/>
  <c r="BI92" i="15" s="1"/>
  <c r="AZ91" i="15"/>
  <c r="BE91" i="15"/>
  <c r="BJ91" i="15"/>
  <c r="BP91" i="15"/>
  <c r="BU91" i="15"/>
  <c r="BC92" i="15" a="1"/>
  <c r="BC92" i="15" s="1"/>
  <c r="BJ92" i="15" a="1"/>
  <c r="BJ92" i="15" s="1"/>
  <c r="BN92" i="15" a="1"/>
  <c r="BN92" i="15" s="1"/>
  <c r="BQ92" i="15" a="1"/>
  <c r="BQ92" i="15" s="1"/>
  <c r="BH91" i="15"/>
  <c r="BR91" i="15"/>
  <c r="BA92" i="15" a="1"/>
  <c r="BA92" i="15" s="1"/>
  <c r="BO92" i="15" a="1"/>
  <c r="BO92" i="15" s="1"/>
  <c r="AY92" i="15" a="1"/>
  <c r="AY92" i="15" s="1"/>
  <c r="BA91" i="15"/>
  <c r="BL91" i="15"/>
  <c r="BV91" i="15"/>
  <c r="BD92" i="15" a="1"/>
  <c r="BD92" i="15" s="1"/>
  <c r="BK92" i="15" a="1"/>
  <c r="BK92" i="15" s="1"/>
  <c r="BR92" i="15" a="1"/>
  <c r="BR92" i="15" s="1"/>
  <c r="BF91" i="15"/>
  <c r="M91" i="15"/>
  <c r="Q91" i="15"/>
  <c r="U91" i="15"/>
  <c r="Y91" i="15"/>
  <c r="AC91" i="15"/>
  <c r="AG91" i="15"/>
  <c r="M92" i="15" a="1"/>
  <c r="M92" i="15" s="1"/>
  <c r="O92" i="15" a="1"/>
  <c r="O92" i="15" s="1"/>
  <c r="Q92" i="15" a="1"/>
  <c r="Q92" i="15" s="1"/>
  <c r="S92" i="15" a="1"/>
  <c r="S92" i="15" s="1"/>
  <c r="U92" i="15" a="1"/>
  <c r="U92" i="15" s="1"/>
  <c r="W92" i="15" a="1"/>
  <c r="W92" i="15" s="1"/>
  <c r="Y92" i="15" a="1"/>
  <c r="Y92" i="15" s="1"/>
  <c r="AA92" i="15" a="1"/>
  <c r="AA92" i="15" s="1"/>
  <c r="AC92" i="15" a="1"/>
  <c r="AC92" i="15" s="1"/>
  <c r="AE92" i="15" a="1"/>
  <c r="AE92" i="15" s="1"/>
  <c r="AI92" i="15" a="1"/>
  <c r="AI92" i="15" s="1"/>
  <c r="BQ91" i="15"/>
  <c r="O91" i="15"/>
  <c r="S91" i="15"/>
  <c r="W91" i="15"/>
  <c r="AA91" i="15"/>
  <c r="AE91" i="15"/>
  <c r="AI91" i="15"/>
  <c r="L92" i="15" a="1"/>
  <c r="L92" i="15" s="1"/>
  <c r="P92" i="15" a="1"/>
  <c r="P92" i="15" s="1"/>
  <c r="T92" i="15" a="1"/>
  <c r="T92" i="15" s="1"/>
  <c r="X92" i="15" a="1"/>
  <c r="X92" i="15" s="1"/>
  <c r="AB92" i="15" a="1"/>
  <c r="AB92" i="15" s="1"/>
  <c r="AG92" i="15" a="1"/>
  <c r="AG92" i="15" s="1"/>
  <c r="BM91" i="15"/>
  <c r="N91" i="15"/>
  <c r="R91" i="15"/>
  <c r="V91" i="15"/>
  <c r="Z91" i="15"/>
  <c r="AD91" i="15"/>
  <c r="AH91" i="15"/>
  <c r="AF92" i="15" a="1"/>
  <c r="AF92" i="15" s="1"/>
  <c r="BG92" i="15" a="1"/>
  <c r="BG92" i="15" s="1"/>
  <c r="N92" i="15" a="1"/>
  <c r="N92" i="15" s="1"/>
  <c r="R92" i="15" a="1"/>
  <c r="R92" i="15" s="1"/>
  <c r="V92" i="15" a="1"/>
  <c r="V92" i="15" s="1"/>
  <c r="Z92" i="15" a="1"/>
  <c r="Z92" i="15" s="1"/>
  <c r="AD92" i="15" a="1"/>
  <c r="AD92" i="15" s="1"/>
  <c r="I92" i="15" a="1"/>
  <c r="I92" i="15" s="1"/>
  <c r="BL92" i="15" a="1"/>
  <c r="BL92" i="15" s="1"/>
  <c r="T91" i="15"/>
  <c r="X91" i="15"/>
  <c r="K92" i="15" a="1"/>
  <c r="K92" i="15" s="1"/>
  <c r="BB91" i="15"/>
  <c r="L91" i="15"/>
  <c r="AB91" i="15"/>
  <c r="P91" i="15"/>
  <c r="AF91" i="15"/>
  <c r="AH92" i="15" a="1"/>
  <c r="AH92" i="15" s="1"/>
  <c r="BU92" i="15" a="1"/>
  <c r="BU92" i="15" s="1"/>
  <c r="BT92" i="15" a="1"/>
  <c r="BT92" i="15" s="1"/>
  <c r="BS92" i="15" a="1"/>
  <c r="BS92" i="15" s="1"/>
  <c r="BW92" i="15" a="1"/>
  <c r="BW92" i="15" s="1"/>
  <c r="BV92" i="15" a="1"/>
  <c r="BV92" i="15" s="1"/>
  <c r="BC46" i="15"/>
  <c r="BG46" i="15"/>
  <c r="BK46" i="15"/>
  <c r="BO46" i="15"/>
  <c r="BS46" i="15"/>
  <c r="BW46" i="15"/>
  <c r="AZ47" i="15" a="1"/>
  <c r="AZ47" i="15" s="1"/>
  <c r="BD47" i="15" a="1"/>
  <c r="BD47" i="15" s="1"/>
  <c r="BH47" i="15" a="1"/>
  <c r="BH47" i="15" s="1"/>
  <c r="BL47" i="15" a="1"/>
  <c r="BL47" i="15" s="1"/>
  <c r="BP47" i="15" a="1"/>
  <c r="BP47" i="15" s="1"/>
  <c r="AZ46" i="15"/>
  <c r="BD46" i="15"/>
  <c r="BH46" i="15"/>
  <c r="BL46" i="15"/>
  <c r="BP46" i="15"/>
  <c r="BT46" i="15"/>
  <c r="BA47" i="15" a="1"/>
  <c r="BA47" i="15" s="1"/>
  <c r="BE47" i="15" a="1"/>
  <c r="BE47" i="15" s="1"/>
  <c r="BI47" i="15" a="1"/>
  <c r="BI47" i="15" s="1"/>
  <c r="BM47" i="15" a="1"/>
  <c r="BM47" i="15" s="1"/>
  <c r="BQ47" i="15" a="1"/>
  <c r="BQ47" i="15" s="1"/>
  <c r="BF46" i="15"/>
  <c r="BN46" i="15"/>
  <c r="BV46" i="15"/>
  <c r="BC47" i="15" a="1"/>
  <c r="BC47" i="15" s="1"/>
  <c r="BK47" i="15" a="1"/>
  <c r="BK47" i="15" s="1"/>
  <c r="BE46" i="15"/>
  <c r="BM46" i="15"/>
  <c r="BU46" i="15"/>
  <c r="BB47" i="15" a="1"/>
  <c r="BB47" i="15" s="1"/>
  <c r="BJ47" i="15" a="1"/>
  <c r="BJ47" i="15" s="1"/>
  <c r="BR47" i="15" a="1"/>
  <c r="BR47" i="15" s="1"/>
  <c r="BJ46" i="15"/>
  <c r="BO47" i="15" a="1"/>
  <c r="BO47" i="15" s="1"/>
  <c r="AY47" i="15" a="1"/>
  <c r="AY47" i="15" s="1"/>
  <c r="L46" i="15"/>
  <c r="P46" i="15"/>
  <c r="T46" i="15"/>
  <c r="X46" i="15"/>
  <c r="AB46" i="15"/>
  <c r="AF46" i="15"/>
  <c r="M47" i="15" a="1"/>
  <c r="M47" i="15" s="1"/>
  <c r="BI46" i="15"/>
  <c r="BN47" i="15" a="1"/>
  <c r="BN47" i="15" s="1"/>
  <c r="BR46" i="15"/>
  <c r="Q46" i="15"/>
  <c r="V46" i="15"/>
  <c r="AA46" i="15"/>
  <c r="AG46" i="15"/>
  <c r="P47" i="15" a="1"/>
  <c r="P47" i="15" s="1"/>
  <c r="T47" i="15" a="1"/>
  <c r="T47" i="15" s="1"/>
  <c r="X47" i="15" a="1"/>
  <c r="X47" i="15" s="1"/>
  <c r="AB47" i="15" a="1"/>
  <c r="AB47" i="15" s="1"/>
  <c r="AF47" i="15" a="1"/>
  <c r="AF47" i="15" s="1"/>
  <c r="BA46" i="15"/>
  <c r="BF47" i="15" a="1"/>
  <c r="BF47" i="15" s="1"/>
  <c r="R46" i="15"/>
  <c r="Y46" i="15"/>
  <c r="AE46" i="15"/>
  <c r="L47" i="15" a="1"/>
  <c r="L47" i="15" s="1"/>
  <c r="R47" i="15" a="1"/>
  <c r="R47" i="15" s="1"/>
  <c r="W47" i="15" a="1"/>
  <c r="W47" i="15" s="1"/>
  <c r="AC47" i="15" a="1"/>
  <c r="AC47" i="15" s="1"/>
  <c r="AH47" i="15" a="1"/>
  <c r="AH47" i="15" s="1"/>
  <c r="BB46" i="15"/>
  <c r="M46" i="15"/>
  <c r="S46" i="15"/>
  <c r="Z46" i="15"/>
  <c r="AH46" i="15"/>
  <c r="N47" i="15" a="1"/>
  <c r="N47" i="15" s="1"/>
  <c r="S47" i="15" a="1"/>
  <c r="S47" i="15" s="1"/>
  <c r="Y47" i="15" a="1"/>
  <c r="Y47" i="15" s="1"/>
  <c r="AD47" i="15" a="1"/>
  <c r="AD47" i="15" s="1"/>
  <c r="AI47" i="15" a="1"/>
  <c r="AI47" i="15" s="1"/>
  <c r="N46" i="15"/>
  <c r="AC46" i="15"/>
  <c r="O47" i="15" a="1"/>
  <c r="O47" i="15" s="1"/>
  <c r="Z47" i="15" a="1"/>
  <c r="Z47" i="15" s="1"/>
  <c r="I47" i="15" a="1"/>
  <c r="I47" i="15" s="1"/>
  <c r="U46" i="15"/>
  <c r="AI46" i="15"/>
  <c r="U47" i="15" a="1"/>
  <c r="U47" i="15" s="1"/>
  <c r="BQ46" i="15"/>
  <c r="O46" i="15"/>
  <c r="AD46" i="15"/>
  <c r="Q47" i="15" a="1"/>
  <c r="Q47" i="15" s="1"/>
  <c r="AA47" i="15" a="1"/>
  <c r="AA47" i="15" s="1"/>
  <c r="K47" i="15" a="1"/>
  <c r="K47" i="15" s="1"/>
  <c r="BG47" i="15" a="1"/>
  <c r="BG47" i="15" s="1"/>
  <c r="AE47" i="15" a="1"/>
  <c r="AE47" i="15" s="1"/>
  <c r="AG47" i="15" a="1"/>
  <c r="AG47" i="15" s="1"/>
  <c r="V47" i="15" a="1"/>
  <c r="V47" i="15" s="1"/>
  <c r="W46" i="15"/>
  <c r="BW47" i="15" a="1"/>
  <c r="BW47" i="15" s="1"/>
  <c r="BS47" i="15" a="1"/>
  <c r="BS47" i="15" s="1"/>
  <c r="BT47" i="15" a="1"/>
  <c r="BT47" i="15" s="1"/>
  <c r="BV47" i="15" a="1"/>
  <c r="BV47" i="15" s="1"/>
  <c r="BU47" i="15" a="1"/>
  <c r="BU47" i="15" s="1"/>
  <c r="AZ58" i="15"/>
  <c r="BD58" i="15"/>
  <c r="BH58" i="15"/>
  <c r="BL58" i="15"/>
  <c r="BP58" i="15"/>
  <c r="BV58" i="15"/>
  <c r="BC59" i="15" a="1"/>
  <c r="BC59" i="15" s="1"/>
  <c r="BG59" i="15" a="1"/>
  <c r="BG59" i="15" s="1"/>
  <c r="BK59" i="15" a="1"/>
  <c r="BK59" i="15" s="1"/>
  <c r="BO59" i="15" a="1"/>
  <c r="BO59" i="15" s="1"/>
  <c r="BA58" i="15"/>
  <c r="BE58" i="15"/>
  <c r="BI58" i="15"/>
  <c r="BM58" i="15"/>
  <c r="BQ58" i="15"/>
  <c r="BW58" i="15"/>
  <c r="AZ59" i="15" a="1"/>
  <c r="AZ59" i="15" s="1"/>
  <c r="BD59" i="15" a="1"/>
  <c r="BD59" i="15" s="1"/>
  <c r="BH59" i="15" a="1"/>
  <c r="BH59" i="15" s="1"/>
  <c r="BL59" i="15" a="1"/>
  <c r="BL59" i="15" s="1"/>
  <c r="BP59" i="15" a="1"/>
  <c r="BP59" i="15" s="1"/>
  <c r="BC58" i="15"/>
  <c r="BK58" i="15"/>
  <c r="BU58" i="15"/>
  <c r="BB59" i="15" a="1"/>
  <c r="BB59" i="15" s="1"/>
  <c r="BJ59" i="15" a="1"/>
  <c r="BJ59" i="15" s="1"/>
  <c r="BR59" i="15" a="1"/>
  <c r="BR59" i="15" s="1"/>
  <c r="BB58" i="15"/>
  <c r="BJ58" i="15"/>
  <c r="BR58" i="15"/>
  <c r="BA59" i="15" a="1"/>
  <c r="BA59" i="15" s="1"/>
  <c r="BI59" i="15" a="1"/>
  <c r="BI59" i="15" s="1"/>
  <c r="BQ59" i="15" a="1"/>
  <c r="BQ59" i="15" s="1"/>
  <c r="BO58" i="15"/>
  <c r="BF59" i="15" a="1"/>
  <c r="BF59" i="15" s="1"/>
  <c r="AY59" i="15" a="1"/>
  <c r="AY59" i="15" s="1"/>
  <c r="BN58" i="15"/>
  <c r="BE59" i="15" a="1"/>
  <c r="BE59" i="15" s="1"/>
  <c r="BG58" i="15"/>
  <c r="BN59" i="15" a="1"/>
  <c r="BN59" i="15" s="1"/>
  <c r="BF58" i="15"/>
  <c r="N58" i="15"/>
  <c r="R58" i="15"/>
  <c r="V58" i="15"/>
  <c r="Z58" i="15"/>
  <c r="AD58" i="15"/>
  <c r="AH58" i="15"/>
  <c r="R59" i="15" a="1"/>
  <c r="R59" i="15" s="1"/>
  <c r="U59" i="15" a="1"/>
  <c r="U59" i="15" s="1"/>
  <c r="X59" i="15" a="1"/>
  <c r="X59" i="15" s="1"/>
  <c r="AA59" i="15" a="1"/>
  <c r="AA59" i="15" s="1"/>
  <c r="AH59" i="15" a="1"/>
  <c r="AH59" i="15" s="1"/>
  <c r="O58" i="15"/>
  <c r="S58" i="15"/>
  <c r="W58" i="15"/>
  <c r="AA58" i="15"/>
  <c r="AE58" i="15"/>
  <c r="AI58" i="15"/>
  <c r="L59" i="15" a="1"/>
  <c r="L59" i="15" s="1"/>
  <c r="O59" i="15" a="1"/>
  <c r="O59" i="15" s="1"/>
  <c r="V59" i="15" a="1"/>
  <c r="V59" i="15" s="1"/>
  <c r="Y59" i="15" a="1"/>
  <c r="Y59" i="15" s="1"/>
  <c r="AB59" i="15" a="1"/>
  <c r="AB59" i="15" s="1"/>
  <c r="AE59" i="15" a="1"/>
  <c r="AE59" i="15" s="1"/>
  <c r="AI59" i="15" a="1"/>
  <c r="AI59" i="15" s="1"/>
  <c r="P58" i="15"/>
  <c r="X58" i="15"/>
  <c r="AF58" i="15"/>
  <c r="M59" i="15" a="1"/>
  <c r="M59" i="15" s="1"/>
  <c r="S59" i="15" a="1"/>
  <c r="S59" i="15" s="1"/>
  <c r="Z59" i="15" a="1"/>
  <c r="Z59" i="15" s="1"/>
  <c r="AF59" i="15" a="1"/>
  <c r="AF59" i="15" s="1"/>
  <c r="L58" i="15"/>
  <c r="T58" i="15"/>
  <c r="AB58" i="15"/>
  <c r="P59" i="15" a="1"/>
  <c r="P59" i="15" s="1"/>
  <c r="BM59" i="15" a="1"/>
  <c r="BM59" i="15" s="1"/>
  <c r="Q58" i="15"/>
  <c r="Y58" i="15"/>
  <c r="AG58" i="15"/>
  <c r="N59" i="15" a="1"/>
  <c r="N59" i="15" s="1"/>
  <c r="T59" i="15" a="1"/>
  <c r="T59" i="15" s="1"/>
  <c r="AG59" i="15" a="1"/>
  <c r="AG59" i="15" s="1"/>
  <c r="K59" i="15" a="1"/>
  <c r="K59" i="15" s="1"/>
  <c r="AC59" i="15" a="1"/>
  <c r="AC59" i="15" s="1"/>
  <c r="I59" i="15" a="1"/>
  <c r="I59" i="15" s="1"/>
  <c r="M58" i="15"/>
  <c r="Q59" i="15" a="1"/>
  <c r="Q59" i="15" s="1"/>
  <c r="AC58" i="15"/>
  <c r="AD59" i="15" a="1"/>
  <c r="AD59" i="15" s="1"/>
  <c r="U58" i="15"/>
  <c r="W59" i="15" a="1"/>
  <c r="W59" i="15" s="1"/>
  <c r="BS58" i="15"/>
  <c r="BS59" i="15" a="1"/>
  <c r="BS59" i="15" s="1"/>
  <c r="BW59" i="15" a="1"/>
  <c r="BW59" i="15" s="1"/>
  <c r="BT58" i="15"/>
  <c r="BT59" i="15" a="1"/>
  <c r="BT59" i="15" s="1"/>
  <c r="BV59" i="15" a="1"/>
  <c r="BV59" i="15" s="1"/>
  <c r="BU59" i="15" a="1"/>
  <c r="BU59" i="15" s="1"/>
  <c r="BA70" i="15"/>
  <c r="BE70" i="15"/>
  <c r="BI70" i="15"/>
  <c r="BM70" i="15"/>
  <c r="BQ70" i="15"/>
  <c r="BU70" i="15"/>
  <c r="BA71" i="15" a="1"/>
  <c r="BA71" i="15" s="1"/>
  <c r="BE71" i="15" a="1"/>
  <c r="BE71" i="15" s="1"/>
  <c r="BH71" i="15" a="1"/>
  <c r="BH71" i="15" s="1"/>
  <c r="BN71" i="15" a="1"/>
  <c r="BN71" i="15" s="1"/>
  <c r="AZ70" i="15"/>
  <c r="BD70" i="15"/>
  <c r="BH70" i="15"/>
  <c r="BL70" i="15"/>
  <c r="BP70" i="15"/>
  <c r="BT70" i="15"/>
  <c r="BD71" i="15" a="1"/>
  <c r="BD71" i="15" s="1"/>
  <c r="BG71" i="15" a="1"/>
  <c r="BG71" i="15" s="1"/>
  <c r="BJ71" i="15" a="1"/>
  <c r="BJ71" i="15" s="1"/>
  <c r="BC70" i="15"/>
  <c r="BK70" i="15"/>
  <c r="BS70" i="15"/>
  <c r="AZ71" i="15" a="1"/>
  <c r="AZ71" i="15" s="1"/>
  <c r="BL71" i="15" a="1"/>
  <c r="BL71" i="15" s="1"/>
  <c r="BP71" i="15" a="1"/>
  <c r="BP71" i="15" s="1"/>
  <c r="AY71" i="15" a="1"/>
  <c r="AY71" i="15" s="1"/>
  <c r="BB70" i="15"/>
  <c r="BJ70" i="15"/>
  <c r="BR70" i="15"/>
  <c r="BF71" i="15" a="1"/>
  <c r="BF71" i="15" s="1"/>
  <c r="BK71" i="15" a="1"/>
  <c r="BK71" i="15" s="1"/>
  <c r="BO71" i="15" a="1"/>
  <c r="BO71" i="15" s="1"/>
  <c r="BO70" i="15"/>
  <c r="BC71" i="15" a="1"/>
  <c r="BC71" i="15" s="1"/>
  <c r="BF70" i="15"/>
  <c r="BV70" i="15"/>
  <c r="BQ71" i="15" a="1"/>
  <c r="BQ71" i="15" s="1"/>
  <c r="BN70" i="15"/>
  <c r="BM71" i="15" a="1"/>
  <c r="BM71" i="15" s="1"/>
  <c r="N70" i="15"/>
  <c r="R70" i="15"/>
  <c r="V70" i="15"/>
  <c r="Z70" i="15"/>
  <c r="AD70" i="15"/>
  <c r="AH70" i="15"/>
  <c r="N71" i="15" a="1"/>
  <c r="N71" i="15" s="1"/>
  <c r="Q71" i="15" a="1"/>
  <c r="Q71" i="15" s="1"/>
  <c r="X71" i="15" a="1"/>
  <c r="X71" i="15" s="1"/>
  <c r="AA71" i="15" a="1"/>
  <c r="AA71" i="15" s="1"/>
  <c r="BW70" i="15"/>
  <c r="BR71" i="15" a="1"/>
  <c r="BR71" i="15" s="1"/>
  <c r="O70" i="15"/>
  <c r="S70" i="15"/>
  <c r="W70" i="15"/>
  <c r="AA70" i="15"/>
  <c r="AE70" i="15"/>
  <c r="BG70" i="15"/>
  <c r="P70" i="15"/>
  <c r="X70" i="15"/>
  <c r="AF70" i="15"/>
  <c r="O71" i="15" a="1"/>
  <c r="O71" i="15" s="1"/>
  <c r="S71" i="15" a="1"/>
  <c r="S71" i="15" s="1"/>
  <c r="W71" i="15" a="1"/>
  <c r="W71" i="15" s="1"/>
  <c r="AB71" i="15" a="1"/>
  <c r="AB71" i="15" s="1"/>
  <c r="AE71" i="15" a="1"/>
  <c r="AE71" i="15" s="1"/>
  <c r="AI71" i="15" a="1"/>
  <c r="AI71" i="15" s="1"/>
  <c r="U71" i="15" a="1"/>
  <c r="U71" i="15" s="1"/>
  <c r="AG71" i="15" a="1"/>
  <c r="AG71" i="15" s="1"/>
  <c r="BB71" i="15" a="1"/>
  <c r="BB71" i="15" s="1"/>
  <c r="Q70" i="15"/>
  <c r="Y70" i="15"/>
  <c r="AG70" i="15"/>
  <c r="L71" i="15" a="1"/>
  <c r="L71" i="15" s="1"/>
  <c r="P71" i="15" a="1"/>
  <c r="P71" i="15" s="1"/>
  <c r="T71" i="15" a="1"/>
  <c r="T71" i="15" s="1"/>
  <c r="AF71" i="15" a="1"/>
  <c r="AF71" i="15" s="1"/>
  <c r="K71" i="15" a="1"/>
  <c r="K71" i="15" s="1"/>
  <c r="BI71" i="15" a="1"/>
  <c r="BI71" i="15" s="1"/>
  <c r="L70" i="15"/>
  <c r="T70" i="15"/>
  <c r="AB70" i="15"/>
  <c r="AI70" i="15"/>
  <c r="Y71" i="15" a="1"/>
  <c r="Y71" i="15" s="1"/>
  <c r="AC71" i="15" a="1"/>
  <c r="AC71" i="15" s="1"/>
  <c r="M70" i="15"/>
  <c r="M71" i="15" a="1"/>
  <c r="M71" i="15" s="1"/>
  <c r="AD71" i="15" a="1"/>
  <c r="AD71" i="15" s="1"/>
  <c r="U70" i="15"/>
  <c r="AH71" i="15" a="1"/>
  <c r="AH71" i="15" s="1"/>
  <c r="I71" i="15" a="1"/>
  <c r="I71" i="15" s="1"/>
  <c r="Z71" i="15" a="1"/>
  <c r="Z71" i="15" s="1"/>
  <c r="R71" i="15" a="1"/>
  <c r="R71" i="15" s="1"/>
  <c r="AC70" i="15"/>
  <c r="V71" i="15" a="1"/>
  <c r="V71" i="15" s="1"/>
  <c r="BW71" i="15" a="1"/>
  <c r="BW71" i="15" s="1"/>
  <c r="BV71" i="15" a="1"/>
  <c r="BV71" i="15" s="1"/>
  <c r="BT71" i="15" a="1"/>
  <c r="BT71" i="15" s="1"/>
  <c r="BU71" i="15" a="1"/>
  <c r="BU71" i="15" s="1"/>
  <c r="BS71" i="15" a="1"/>
  <c r="BS71" i="15" s="1"/>
  <c r="BC82" i="15"/>
  <c r="BG82" i="15"/>
  <c r="BK82" i="15"/>
  <c r="BO82" i="15"/>
  <c r="BS82" i="15"/>
  <c r="BW82" i="15"/>
  <c r="AZ83" i="15" a="1"/>
  <c r="AZ83" i="15" s="1"/>
  <c r="BE83" i="15" a="1"/>
  <c r="BE83" i="15" s="1"/>
  <c r="AY83" i="15" a="1"/>
  <c r="AY83" i="15" s="1"/>
  <c r="BB82" i="15"/>
  <c r="BF82" i="15"/>
  <c r="BJ82" i="15"/>
  <c r="BN82" i="15"/>
  <c r="BR82" i="15"/>
  <c r="BV82" i="15"/>
  <c r="BB83" i="15" a="1"/>
  <c r="BB83" i="15" s="1"/>
  <c r="BH83" i="15" a="1"/>
  <c r="BH83" i="15" s="1"/>
  <c r="BJ83" i="15" a="1"/>
  <c r="BJ83" i="15" s="1"/>
  <c r="BL83" i="15" a="1"/>
  <c r="BL83" i="15" s="1"/>
  <c r="BN83" i="15" a="1"/>
  <c r="BN83" i="15" s="1"/>
  <c r="BP83" i="15" a="1"/>
  <c r="BP83" i="15" s="1"/>
  <c r="BR83" i="15" a="1"/>
  <c r="BR83" i="15" s="1"/>
  <c r="BE82" i="15"/>
  <c r="BM82" i="15"/>
  <c r="BU82" i="15"/>
  <c r="BA83" i="15" a="1"/>
  <c r="BA83" i="15" s="1"/>
  <c r="BG83" i="15" a="1"/>
  <c r="BG83" i="15" s="1"/>
  <c r="AZ82" i="15"/>
  <c r="BH82" i="15"/>
  <c r="BP82" i="15"/>
  <c r="BC83" i="15" a="1"/>
  <c r="BC83" i="15" s="1"/>
  <c r="BI83" i="15" a="1"/>
  <c r="BI83" i="15" s="1"/>
  <c r="BM83" i="15" a="1"/>
  <c r="BM83" i="15" s="1"/>
  <c r="BQ83" i="15" a="1"/>
  <c r="BQ83" i="15" s="1"/>
  <c r="BD82" i="15"/>
  <c r="BT82" i="15"/>
  <c r="BF83" i="15" a="1"/>
  <c r="BF83" i="15" s="1"/>
  <c r="BO83" i="15" a="1"/>
  <c r="BO83" i="15" s="1"/>
  <c r="BI82" i="15"/>
  <c r="BQ82" i="15"/>
  <c r="O82" i="15"/>
  <c r="S82" i="15"/>
  <c r="W82" i="15"/>
  <c r="AA82" i="15"/>
  <c r="AE82" i="15"/>
  <c r="AI82" i="15"/>
  <c r="L83" i="15" a="1"/>
  <c r="L83" i="15" s="1"/>
  <c r="O83" i="15" a="1"/>
  <c r="O83" i="15" s="1"/>
  <c r="V83" i="15" a="1"/>
  <c r="V83" i="15" s="1"/>
  <c r="Z83" i="15" a="1"/>
  <c r="Z83" i="15" s="1"/>
  <c r="AD83" i="15" a="1"/>
  <c r="AD83" i="15" s="1"/>
  <c r="AH83" i="15" a="1"/>
  <c r="AH83" i="15" s="1"/>
  <c r="M82" i="15"/>
  <c r="U82" i="15"/>
  <c r="Y82" i="15"/>
  <c r="AG82" i="15"/>
  <c r="N83" i="15" a="1"/>
  <c r="N83" i="15" s="1"/>
  <c r="T83" i="15" a="1"/>
  <c r="T83" i="15" s="1"/>
  <c r="AB83" i="15" a="1"/>
  <c r="AB83" i="15" s="1"/>
  <c r="L82" i="15"/>
  <c r="P82" i="15"/>
  <c r="T82" i="15"/>
  <c r="X82" i="15"/>
  <c r="AB82" i="15"/>
  <c r="AF82" i="15"/>
  <c r="M83" i="15" a="1"/>
  <c r="M83" i="15" s="1"/>
  <c r="P83" i="15" a="1"/>
  <c r="P83" i="15" s="1"/>
  <c r="S83" i="15" a="1"/>
  <c r="S83" i="15" s="1"/>
  <c r="W83" i="15" a="1"/>
  <c r="W83" i="15" s="1"/>
  <c r="AA83" i="15" a="1"/>
  <c r="AA83" i="15" s="1"/>
  <c r="AE83" i="15" a="1"/>
  <c r="AE83" i="15" s="1"/>
  <c r="AI83" i="15" a="1"/>
  <c r="AI83" i="15" s="1"/>
  <c r="K83" i="15" a="1"/>
  <c r="K83" i="15" s="1"/>
  <c r="BA82" i="15"/>
  <c r="BD83" i="15" a="1"/>
  <c r="BD83" i="15" s="1"/>
  <c r="Q82" i="15"/>
  <c r="AC82" i="15"/>
  <c r="Q83" i="15" a="1"/>
  <c r="Q83" i="15" s="1"/>
  <c r="X83" i="15" a="1"/>
  <c r="X83" i="15" s="1"/>
  <c r="AF83" i="15" a="1"/>
  <c r="AF83" i="15" s="1"/>
  <c r="BL82" i="15"/>
  <c r="N82" i="15"/>
  <c r="AD82" i="15"/>
  <c r="R83" i="15" a="1"/>
  <c r="R83" i="15" s="1"/>
  <c r="AG83" i="15" a="1"/>
  <c r="AG83" i="15" s="1"/>
  <c r="I83" i="15" a="1"/>
  <c r="I83" i="15" s="1"/>
  <c r="R82" i="15"/>
  <c r="AH82" i="15"/>
  <c r="U83" i="15" a="1"/>
  <c r="U83" i="15" s="1"/>
  <c r="Z82" i="15"/>
  <c r="AC83" i="15" a="1"/>
  <c r="AC83" i="15" s="1"/>
  <c r="BK83" i="15" a="1"/>
  <c r="BK83" i="15" s="1"/>
  <c r="V82" i="15"/>
  <c r="Y83" i="15" a="1"/>
  <c r="Y83" i="15" s="1"/>
  <c r="BU83" i="15" a="1"/>
  <c r="BU83" i="15" s="1"/>
  <c r="BW83" i="15" a="1"/>
  <c r="BW83" i="15" s="1"/>
  <c r="BV83" i="15" a="1"/>
  <c r="BV83" i="15" s="1"/>
  <c r="BS83" i="15" a="1"/>
  <c r="BS83" i="15" s="1"/>
  <c r="BT83" i="15" a="1"/>
  <c r="BT83" i="15" s="1"/>
  <c r="BC52" i="15"/>
  <c r="BG52" i="15"/>
  <c r="BK52" i="15"/>
  <c r="BO52" i="15"/>
  <c r="BS52" i="15"/>
  <c r="BW52" i="15"/>
  <c r="AZ53" i="15" a="1"/>
  <c r="AZ53" i="15" s="1"/>
  <c r="BD53" i="15" a="1"/>
  <c r="BD53" i="15" s="1"/>
  <c r="BH53" i="15" a="1"/>
  <c r="BH53" i="15" s="1"/>
  <c r="BL53" i="15" a="1"/>
  <c r="BL53" i="15" s="1"/>
  <c r="BP53" i="15" a="1"/>
  <c r="BP53" i="15" s="1"/>
  <c r="AZ52" i="15"/>
  <c r="BD52" i="15"/>
  <c r="BH52" i="15"/>
  <c r="BL52" i="15"/>
  <c r="BP52" i="15"/>
  <c r="BT52" i="15"/>
  <c r="BA53" i="15" a="1"/>
  <c r="BA53" i="15" s="1"/>
  <c r="BE53" i="15" a="1"/>
  <c r="BE53" i="15" s="1"/>
  <c r="BI53" i="15" a="1"/>
  <c r="BI53" i="15" s="1"/>
  <c r="BM53" i="15" a="1"/>
  <c r="BM53" i="15" s="1"/>
  <c r="BQ53" i="15" a="1"/>
  <c r="BQ53" i="15" s="1"/>
  <c r="BF52" i="15"/>
  <c r="BN52" i="15"/>
  <c r="BV52" i="15"/>
  <c r="BC53" i="15" a="1"/>
  <c r="BC53" i="15" s="1"/>
  <c r="BK53" i="15" a="1"/>
  <c r="BK53" i="15" s="1"/>
  <c r="BE52" i="15"/>
  <c r="BM52" i="15"/>
  <c r="BU52" i="15"/>
  <c r="BB53" i="15" a="1"/>
  <c r="BB53" i="15" s="1"/>
  <c r="BJ53" i="15" a="1"/>
  <c r="BJ53" i="15" s="1"/>
  <c r="BR53" i="15" a="1"/>
  <c r="BR53" i="15" s="1"/>
  <c r="BB52" i="15"/>
  <c r="BR52" i="15"/>
  <c r="BG53" i="15" a="1"/>
  <c r="BG53" i="15" s="1"/>
  <c r="AY53" i="15" a="1"/>
  <c r="AY53" i="15" s="1"/>
  <c r="BA52" i="15"/>
  <c r="BQ52" i="15"/>
  <c r="BF53" i="15" a="1"/>
  <c r="BF53" i="15" s="1"/>
  <c r="BI52" i="15"/>
  <c r="BN53" i="15" a="1"/>
  <c r="BN53" i="15" s="1"/>
  <c r="L52" i="15"/>
  <c r="P52" i="15"/>
  <c r="T52" i="15"/>
  <c r="X52" i="15"/>
  <c r="AB52" i="15"/>
  <c r="AF52" i="15"/>
  <c r="M53" i="15" a="1"/>
  <c r="M53" i="15" s="1"/>
  <c r="Q53" i="15" a="1"/>
  <c r="Q53" i="15" s="1"/>
  <c r="U53" i="15" a="1"/>
  <c r="U53" i="15" s="1"/>
  <c r="Y53" i="15" a="1"/>
  <c r="Y53" i="15" s="1"/>
  <c r="AC53" i="15" a="1"/>
  <c r="AC53" i="15" s="1"/>
  <c r="AG53" i="15" a="1"/>
  <c r="AG53" i="15" s="1"/>
  <c r="BJ52" i="15"/>
  <c r="M52" i="15"/>
  <c r="Q52" i="15"/>
  <c r="U52" i="15"/>
  <c r="Y52" i="15"/>
  <c r="AC52" i="15"/>
  <c r="AG52" i="15"/>
  <c r="N53" i="15" a="1"/>
  <c r="N53" i="15" s="1"/>
  <c r="R53" i="15" a="1"/>
  <c r="R53" i="15" s="1"/>
  <c r="V53" i="15" a="1"/>
  <c r="V53" i="15" s="1"/>
  <c r="Z53" i="15" a="1"/>
  <c r="Z53" i="15" s="1"/>
  <c r="AD53" i="15" a="1"/>
  <c r="AD53" i="15" s="1"/>
  <c r="AH53" i="15" a="1"/>
  <c r="AH53" i="15" s="1"/>
  <c r="R52" i="15"/>
  <c r="Z52" i="15"/>
  <c r="AH52" i="15"/>
  <c r="O53" i="15" a="1"/>
  <c r="O53" i="15" s="1"/>
  <c r="W53" i="15" a="1"/>
  <c r="W53" i="15" s="1"/>
  <c r="AE53" i="15" a="1"/>
  <c r="AE53" i="15" s="1"/>
  <c r="BO53" i="15" a="1"/>
  <c r="BO53" i="15" s="1"/>
  <c r="N52" i="15"/>
  <c r="V52" i="15"/>
  <c r="AD52" i="15"/>
  <c r="S53" i="15" a="1"/>
  <c r="S53" i="15" s="1"/>
  <c r="AI53" i="15" a="1"/>
  <c r="AI53" i="15" s="1"/>
  <c r="S52" i="15"/>
  <c r="AA52" i="15"/>
  <c r="AI52" i="15"/>
  <c r="P53" i="15" a="1"/>
  <c r="P53" i="15" s="1"/>
  <c r="X53" i="15" a="1"/>
  <c r="X53" i="15" s="1"/>
  <c r="AF53" i="15" a="1"/>
  <c r="AF53" i="15" s="1"/>
  <c r="I53" i="15" a="1"/>
  <c r="I53" i="15" s="1"/>
  <c r="AA53" i="15" a="1"/>
  <c r="AA53" i="15" s="1"/>
  <c r="L53" i="15" a="1"/>
  <c r="L53" i="15" s="1"/>
  <c r="O52" i="15"/>
  <c r="T53" i="15" a="1"/>
  <c r="T53" i="15" s="1"/>
  <c r="AE52" i="15"/>
  <c r="W52" i="15"/>
  <c r="AB53" i="15" a="1"/>
  <c r="AB53" i="15" s="1"/>
  <c r="K53" i="15" a="1"/>
  <c r="K53" i="15" s="1"/>
  <c r="BT53" i="15" a="1"/>
  <c r="BT53" i="15" s="1"/>
  <c r="BW53" i="15" a="1"/>
  <c r="BW53" i="15" s="1"/>
  <c r="BV53" i="15" a="1"/>
  <c r="BV53" i="15" s="1"/>
  <c r="BS53" i="15" a="1"/>
  <c r="BS53" i="15" s="1"/>
  <c r="BU53" i="15" a="1"/>
  <c r="BU53" i="15" s="1"/>
  <c r="BC76" i="15"/>
  <c r="BG76" i="15"/>
  <c r="BK76" i="15"/>
  <c r="BO76" i="15"/>
  <c r="BS76" i="15"/>
  <c r="BW76" i="15"/>
  <c r="AZ77" i="15" a="1"/>
  <c r="AZ77" i="15" s="1"/>
  <c r="BF77" i="15" a="1"/>
  <c r="BF77" i="15" s="1"/>
  <c r="BI77" i="15" a="1"/>
  <c r="BI77" i="15" s="1"/>
  <c r="BL77" i="15" a="1"/>
  <c r="BL77" i="15" s="1"/>
  <c r="BO77" i="15" a="1"/>
  <c r="BO77" i="15" s="1"/>
  <c r="BR77" i="15" a="1"/>
  <c r="BR77" i="15" s="1"/>
  <c r="AY77" i="15" a="1"/>
  <c r="AY77" i="15" s="1"/>
  <c r="BB76" i="15"/>
  <c r="BF76" i="15"/>
  <c r="BJ76" i="15"/>
  <c r="BN76" i="15"/>
  <c r="BR76" i="15"/>
  <c r="BV76" i="15"/>
  <c r="BC77" i="15" a="1"/>
  <c r="BC77" i="15" s="1"/>
  <c r="BH77" i="15" a="1"/>
  <c r="BH77" i="15" s="1"/>
  <c r="BN77" i="15" a="1"/>
  <c r="BN77" i="15" s="1"/>
  <c r="BQ77" i="15" a="1"/>
  <c r="BQ77" i="15" s="1"/>
  <c r="BA76" i="15"/>
  <c r="BI76" i="15"/>
  <c r="BQ76" i="15"/>
  <c r="BE77" i="15" a="1"/>
  <c r="BE77" i="15" s="1"/>
  <c r="BK77" i="15" a="1"/>
  <c r="BK77" i="15" s="1"/>
  <c r="BP77" i="15" a="1"/>
  <c r="BP77" i="15" s="1"/>
  <c r="BD76" i="15"/>
  <c r="BL76" i="15"/>
  <c r="BT76" i="15"/>
  <c r="BA77" i="15" a="1"/>
  <c r="BA77" i="15" s="1"/>
  <c r="BG77" i="15" a="1"/>
  <c r="BG77" i="15" s="1"/>
  <c r="BM77" i="15" a="1"/>
  <c r="BM77" i="15" s="1"/>
  <c r="BH76" i="15"/>
  <c r="BJ77" i="15" a="1"/>
  <c r="BJ77" i="15" s="1"/>
  <c r="BM76" i="15"/>
  <c r="BB77" i="15" a="1"/>
  <c r="BB77" i="15" s="1"/>
  <c r="BE76" i="15"/>
  <c r="O76" i="15"/>
  <c r="S76" i="15"/>
  <c r="W76" i="15"/>
  <c r="AA76" i="15"/>
  <c r="AE76" i="15"/>
  <c r="AI76" i="15"/>
  <c r="L77" i="15" a="1"/>
  <c r="L77" i="15" s="1"/>
  <c r="O77" i="15" a="1"/>
  <c r="O77" i="15" s="1"/>
  <c r="R77" i="15" a="1"/>
  <c r="R77" i="15" s="1"/>
  <c r="Y77" i="15" a="1"/>
  <c r="Y77" i="15" s="1"/>
  <c r="AB77" i="15" a="1"/>
  <c r="AB77" i="15" s="1"/>
  <c r="AE77" i="15" a="1"/>
  <c r="AE77" i="15" s="1"/>
  <c r="AI77" i="15" a="1"/>
  <c r="AI77" i="15" s="1"/>
  <c r="M76" i="15"/>
  <c r="Q76" i="15"/>
  <c r="U76" i="15"/>
  <c r="Y76" i="15"/>
  <c r="AC76" i="15"/>
  <c r="AG76" i="15"/>
  <c r="Q77" i="15" a="1"/>
  <c r="Q77" i="15" s="1"/>
  <c r="W77" i="15" a="1"/>
  <c r="W77" i="15" s="1"/>
  <c r="AG77" i="15" a="1"/>
  <c r="AG77" i="15" s="1"/>
  <c r="BP76" i="15"/>
  <c r="L76" i="15"/>
  <c r="P76" i="15"/>
  <c r="T76" i="15"/>
  <c r="X76" i="15"/>
  <c r="AB76" i="15"/>
  <c r="AF76" i="15"/>
  <c r="M77" i="15" a="1"/>
  <c r="M77" i="15" s="1"/>
  <c r="P77" i="15" a="1"/>
  <c r="P77" i="15" s="1"/>
  <c r="S77" i="15" a="1"/>
  <c r="S77" i="15" s="1"/>
  <c r="V77" i="15" a="1"/>
  <c r="V77" i="15" s="1"/>
  <c r="AC77" i="15" a="1"/>
  <c r="AC77" i="15" s="1"/>
  <c r="AF77" i="15" a="1"/>
  <c r="AF77" i="15" s="1"/>
  <c r="K77" i="15" a="1"/>
  <c r="K77" i="15" s="1"/>
  <c r="BU76" i="15"/>
  <c r="T77" i="15" a="1"/>
  <c r="T77" i="15" s="1"/>
  <c r="Z77" i="15" a="1"/>
  <c r="Z77" i="15" s="1"/>
  <c r="AZ76" i="15"/>
  <c r="V76" i="15"/>
  <c r="X77" i="15" a="1"/>
  <c r="X77" i="15" s="1"/>
  <c r="BD77" i="15" a="1"/>
  <c r="BD77" i="15" s="1"/>
  <c r="AA77" i="15" a="1"/>
  <c r="AA77" i="15" s="1"/>
  <c r="I77" i="15" a="1"/>
  <c r="I77" i="15" s="1"/>
  <c r="AD76" i="15"/>
  <c r="R76" i="15"/>
  <c r="AH76" i="15"/>
  <c r="U77" i="15" a="1"/>
  <c r="U77" i="15" s="1"/>
  <c r="AH77" i="15" a="1"/>
  <c r="AH77" i="15" s="1"/>
  <c r="Z76" i="15"/>
  <c r="N77" i="15" a="1"/>
  <c r="N77" i="15" s="1"/>
  <c r="N76" i="15"/>
  <c r="AD77" i="15" a="1"/>
  <c r="AD77" i="15" s="1"/>
  <c r="BW77" i="15" a="1"/>
  <c r="BW77" i="15" s="1"/>
  <c r="BV77" i="15" a="1"/>
  <c r="BV77" i="15" s="1"/>
  <c r="BT77" i="15" a="1"/>
  <c r="BT77" i="15" s="1"/>
  <c r="BS77" i="15" a="1"/>
  <c r="BS77" i="15" s="1"/>
  <c r="BU77" i="15" a="1"/>
  <c r="BU77" i="15" s="1"/>
  <c r="BB49" i="15"/>
  <c r="BF49" i="15"/>
  <c r="BJ49" i="15"/>
  <c r="BN49" i="15"/>
  <c r="BR49" i="15"/>
  <c r="BV49" i="15"/>
  <c r="BC49" i="15"/>
  <c r="BG49" i="15"/>
  <c r="BK49" i="15"/>
  <c r="BO49" i="15"/>
  <c r="BS49" i="15"/>
  <c r="BW49" i="15"/>
  <c r="AZ50" i="15" a="1"/>
  <c r="AZ50" i="15" s="1"/>
  <c r="BB50" i="15" a="1"/>
  <c r="BB50" i="15" s="1"/>
  <c r="BD50" i="15" a="1"/>
  <c r="BD50" i="15" s="1"/>
  <c r="BF50" i="15" a="1"/>
  <c r="BF50" i="15" s="1"/>
  <c r="BH50" i="15" a="1"/>
  <c r="BH50" i="15" s="1"/>
  <c r="BJ50" i="15" a="1"/>
  <c r="BJ50" i="15" s="1"/>
  <c r="BL50" i="15" a="1"/>
  <c r="BL50" i="15" s="1"/>
  <c r="BN50" i="15" a="1"/>
  <c r="BN50" i="15" s="1"/>
  <c r="BP50" i="15" a="1"/>
  <c r="BP50" i="15" s="1"/>
  <c r="BR50" i="15" a="1"/>
  <c r="BR50" i="15" s="1"/>
  <c r="BE49" i="15"/>
  <c r="BM49" i="15"/>
  <c r="BU49" i="15"/>
  <c r="BA50" i="15" a="1"/>
  <c r="BA50" i="15" s="1"/>
  <c r="BE50" i="15" a="1"/>
  <c r="BE50" i="15" s="1"/>
  <c r="BI50" i="15" a="1"/>
  <c r="BI50" i="15" s="1"/>
  <c r="BM50" i="15" a="1"/>
  <c r="BM50" i="15" s="1"/>
  <c r="BQ50" i="15" a="1"/>
  <c r="BQ50" i="15" s="1"/>
  <c r="BD49" i="15"/>
  <c r="BL49" i="15"/>
  <c r="BT49" i="15"/>
  <c r="BI49" i="15"/>
  <c r="BG50" i="15" a="1"/>
  <c r="BG50" i="15" s="1"/>
  <c r="BO50" i="15" a="1"/>
  <c r="BO50" i="15" s="1"/>
  <c r="BH49" i="15"/>
  <c r="BA49" i="15"/>
  <c r="BC50" i="15" a="1"/>
  <c r="BC50" i="15" s="1"/>
  <c r="AY50" i="15" a="1"/>
  <c r="AY50" i="15" s="1"/>
  <c r="M49" i="15"/>
  <c r="Q49" i="15"/>
  <c r="U49" i="15"/>
  <c r="Y49" i="15"/>
  <c r="AC49" i="15"/>
  <c r="AG49" i="15"/>
  <c r="M50" i="15" a="1"/>
  <c r="M50" i="15" s="1"/>
  <c r="O50" i="15" a="1"/>
  <c r="O50" i="15" s="1"/>
  <c r="Q50" i="15" a="1"/>
  <c r="Q50" i="15" s="1"/>
  <c r="S50" i="15" a="1"/>
  <c r="S50" i="15" s="1"/>
  <c r="U50" i="15" a="1"/>
  <c r="U50" i="15" s="1"/>
  <c r="BP49" i="15"/>
  <c r="AZ49" i="15"/>
  <c r="L49" i="15"/>
  <c r="R49" i="15"/>
  <c r="W49" i="15"/>
  <c r="AB49" i="15"/>
  <c r="AH49" i="15"/>
  <c r="L50" i="15" a="1"/>
  <c r="L50" i="15" s="1"/>
  <c r="T50" i="15" a="1"/>
  <c r="T50" i="15" s="1"/>
  <c r="AH50" i="15" a="1"/>
  <c r="AH50" i="15" s="1"/>
  <c r="BQ49" i="15"/>
  <c r="N49" i="15"/>
  <c r="S49" i="15"/>
  <c r="X49" i="15"/>
  <c r="AD49" i="15"/>
  <c r="AI49" i="15"/>
  <c r="R50" i="15" a="1"/>
  <c r="R50" i="15" s="1"/>
  <c r="W50" i="15" a="1"/>
  <c r="W50" i="15" s="1"/>
  <c r="Y50" i="15" a="1"/>
  <c r="Y50" i="15" s="1"/>
  <c r="AA50" i="15" a="1"/>
  <c r="AA50" i="15" s="1"/>
  <c r="AC50" i="15" a="1"/>
  <c r="AC50" i="15" s="1"/>
  <c r="AE50" i="15" a="1"/>
  <c r="AE50" i="15" s="1"/>
  <c r="AI50" i="15" a="1"/>
  <c r="AI50" i="15" s="1"/>
  <c r="BK50" i="15" a="1"/>
  <c r="BK50" i="15" s="1"/>
  <c r="T49" i="15"/>
  <c r="AE49" i="15"/>
  <c r="AF50" i="15" a="1"/>
  <c r="AF50" i="15" s="1"/>
  <c r="K50" i="15" a="1"/>
  <c r="K50" i="15" s="1"/>
  <c r="O49" i="15"/>
  <c r="Z49" i="15"/>
  <c r="P50" i="15" a="1"/>
  <c r="P50" i="15" s="1"/>
  <c r="I50" i="15" a="1"/>
  <c r="I50" i="15" s="1"/>
  <c r="V49" i="15"/>
  <c r="AF49" i="15"/>
  <c r="N50" i="15" a="1"/>
  <c r="N50" i="15" s="1"/>
  <c r="X50" i="15" a="1"/>
  <c r="X50" i="15" s="1"/>
  <c r="AB50" i="15" a="1"/>
  <c r="AB50" i="15" s="1"/>
  <c r="AG50" i="15" a="1"/>
  <c r="AG50" i="15" s="1"/>
  <c r="P49" i="15"/>
  <c r="AA49" i="15"/>
  <c r="Z50" i="15" a="1"/>
  <c r="Z50" i="15" s="1"/>
  <c r="AD50" i="15" a="1"/>
  <c r="AD50" i="15" s="1"/>
  <c r="V50" i="15" a="1"/>
  <c r="V50" i="15" s="1"/>
  <c r="BU50" i="15" a="1"/>
  <c r="BU50" i="15" s="1"/>
  <c r="BV50" i="15" a="1"/>
  <c r="BV50" i="15" s="1"/>
  <c r="BT50" i="15" a="1"/>
  <c r="BT50" i="15" s="1"/>
  <c r="BW50" i="15" a="1"/>
  <c r="BW50" i="15" s="1"/>
  <c r="BS50" i="15" a="1"/>
  <c r="BS50" i="15" s="1"/>
  <c r="BA61" i="15"/>
  <c r="BE61" i="15"/>
  <c r="BI61" i="15"/>
  <c r="BM61" i="15"/>
  <c r="BQ61" i="15"/>
  <c r="BB61" i="15"/>
  <c r="BF61" i="15"/>
  <c r="BJ61" i="15"/>
  <c r="BN61" i="15"/>
  <c r="BR61" i="15"/>
  <c r="AZ62" i="15" a="1"/>
  <c r="AZ62" i="15" s="1"/>
  <c r="BB62" i="15" a="1"/>
  <c r="BB62" i="15" s="1"/>
  <c r="BD61" i="15"/>
  <c r="BL61" i="15"/>
  <c r="BC62" i="15" a="1"/>
  <c r="BC62" i="15" s="1"/>
  <c r="BF62" i="15" a="1"/>
  <c r="BF62" i="15" s="1"/>
  <c r="BK62" i="15" a="1"/>
  <c r="BK62" i="15" s="1"/>
  <c r="BN62" i="15" a="1"/>
  <c r="BN62" i="15" s="1"/>
  <c r="BC61" i="15"/>
  <c r="BK61" i="15"/>
  <c r="BE62" i="15" a="1"/>
  <c r="BE62" i="15" s="1"/>
  <c r="BH62" i="15" a="1"/>
  <c r="BH62" i="15" s="1"/>
  <c r="BM62" i="15" a="1"/>
  <c r="BM62" i="15" s="1"/>
  <c r="BP62" i="15" a="1"/>
  <c r="BP62" i="15" s="1"/>
  <c r="AZ61" i="15"/>
  <c r="BP61" i="15"/>
  <c r="BJ62" i="15" a="1"/>
  <c r="BJ62" i="15" s="1"/>
  <c r="BO62" i="15" a="1"/>
  <c r="BO62" i="15" s="1"/>
  <c r="BO61" i="15"/>
  <c r="BD62" i="15" a="1"/>
  <c r="BD62" i="15" s="1"/>
  <c r="BI62" i="15" a="1"/>
  <c r="BI62" i="15" s="1"/>
  <c r="BA62" i="15" a="1"/>
  <c r="BA62" i="15" s="1"/>
  <c r="BG61" i="15"/>
  <c r="BQ62" i="15" a="1"/>
  <c r="BQ62" i="15" s="1"/>
  <c r="AY62" i="15" a="1"/>
  <c r="AY62" i="15" s="1"/>
  <c r="N61" i="15"/>
  <c r="R61" i="15"/>
  <c r="V61" i="15"/>
  <c r="Z61" i="15"/>
  <c r="AD61" i="15"/>
  <c r="AH61" i="15"/>
  <c r="N62" i="15" a="1"/>
  <c r="N62" i="15" s="1"/>
  <c r="Q62" i="15" a="1"/>
  <c r="Q62" i="15" s="1"/>
  <c r="V62" i="15" a="1"/>
  <c r="V62" i="15" s="1"/>
  <c r="Y62" i="15" a="1"/>
  <c r="Y62" i="15" s="1"/>
  <c r="AD62" i="15" a="1"/>
  <c r="AD62" i="15" s="1"/>
  <c r="AH62" i="15" a="1"/>
  <c r="AH62" i="15" s="1"/>
  <c r="BG62" i="15" a="1"/>
  <c r="BG62" i="15" s="1"/>
  <c r="O61" i="15"/>
  <c r="S61" i="15"/>
  <c r="W61" i="15"/>
  <c r="AA61" i="15"/>
  <c r="AE61" i="15"/>
  <c r="AI61" i="15"/>
  <c r="L62" i="15" a="1"/>
  <c r="L62" i="15" s="1"/>
  <c r="O62" i="15" a="1"/>
  <c r="O62" i="15" s="1"/>
  <c r="T62" i="15" a="1"/>
  <c r="T62" i="15" s="1"/>
  <c r="W62" i="15" a="1"/>
  <c r="W62" i="15" s="1"/>
  <c r="AB62" i="15" a="1"/>
  <c r="AB62" i="15" s="1"/>
  <c r="AE62" i="15" a="1"/>
  <c r="AE62" i="15" s="1"/>
  <c r="AI62" i="15" a="1"/>
  <c r="AI62" i="15" s="1"/>
  <c r="BR62" i="15" a="1"/>
  <c r="BR62" i="15" s="1"/>
  <c r="L61" i="15"/>
  <c r="T61" i="15"/>
  <c r="AB61" i="15"/>
  <c r="U62" i="15" a="1"/>
  <c r="U62" i="15" s="1"/>
  <c r="Z62" i="15" a="1"/>
  <c r="Z62" i="15" s="1"/>
  <c r="AF62" i="15" a="1"/>
  <c r="AF62" i="15" s="1"/>
  <c r="K62" i="15" a="1"/>
  <c r="K62" i="15" s="1"/>
  <c r="I62" i="15" a="1"/>
  <c r="I62" i="15" s="1"/>
  <c r="M62" i="15" a="1"/>
  <c r="M62" i="15" s="1"/>
  <c r="M61" i="15"/>
  <c r="U61" i="15"/>
  <c r="AC61" i="15"/>
  <c r="P62" i="15" a="1"/>
  <c r="P62" i="15" s="1"/>
  <c r="AA62" i="15" a="1"/>
  <c r="AA62" i="15" s="1"/>
  <c r="AG62" i="15" a="1"/>
  <c r="AG62" i="15" s="1"/>
  <c r="BH61" i="15"/>
  <c r="P61" i="15"/>
  <c r="X61" i="15"/>
  <c r="AF61" i="15"/>
  <c r="R62" i="15" a="1"/>
  <c r="R62" i="15" s="1"/>
  <c r="AC62" i="15" a="1"/>
  <c r="AC62" i="15" s="1"/>
  <c r="Y61" i="15"/>
  <c r="X62" i="15" a="1"/>
  <c r="X62" i="15" s="1"/>
  <c r="BL62" i="15" a="1"/>
  <c r="BL62" i="15" s="1"/>
  <c r="AG61" i="15"/>
  <c r="Q61" i="15"/>
  <c r="S62" i="15" a="1"/>
  <c r="S62" i="15" s="1"/>
  <c r="BS62" i="15" a="1"/>
  <c r="BS62" i="15" s="1"/>
  <c r="BT61" i="15"/>
  <c r="BW62" i="15" a="1"/>
  <c r="BW62" i="15" s="1"/>
  <c r="BU62" i="15" a="1"/>
  <c r="BU62" i="15" s="1"/>
  <c r="BT62" i="15" a="1"/>
  <c r="BT62" i="15" s="1"/>
  <c r="BW61" i="15"/>
  <c r="BV62" i="15" a="1"/>
  <c r="BV62" i="15" s="1"/>
  <c r="BV61" i="15"/>
  <c r="BS61" i="15"/>
  <c r="BU61" i="15"/>
  <c r="BC73" i="15"/>
  <c r="BG73" i="15"/>
  <c r="BK73" i="15"/>
  <c r="BO73" i="15"/>
  <c r="BS73" i="15"/>
  <c r="BW73" i="15"/>
  <c r="AZ74" i="15" a="1"/>
  <c r="AZ74" i="15" s="1"/>
  <c r="BB74" i="15" a="1"/>
  <c r="BB74" i="15" s="1"/>
  <c r="BD74" i="15" a="1"/>
  <c r="BD74" i="15" s="1"/>
  <c r="BA73" i="15"/>
  <c r="BF73" i="15"/>
  <c r="BL73" i="15"/>
  <c r="BQ73" i="15"/>
  <c r="BV73" i="15"/>
  <c r="BC74" i="15" a="1"/>
  <c r="BC74" i="15" s="1"/>
  <c r="AZ73" i="15"/>
  <c r="BE73" i="15"/>
  <c r="BJ73" i="15"/>
  <c r="BP73" i="15"/>
  <c r="BU73" i="15"/>
  <c r="BE74" i="15" a="1"/>
  <c r="BE74" i="15" s="1"/>
  <c r="BG74" i="15" a="1"/>
  <c r="BG74" i="15" s="1"/>
  <c r="BI74" i="15" a="1"/>
  <c r="BI74" i="15" s="1"/>
  <c r="BK74" i="15" a="1"/>
  <c r="BK74" i="15" s="1"/>
  <c r="BM74" i="15" a="1"/>
  <c r="BM74" i="15" s="1"/>
  <c r="BO74" i="15" a="1"/>
  <c r="BO74" i="15" s="1"/>
  <c r="BQ74" i="15" a="1"/>
  <c r="BQ74" i="15" s="1"/>
  <c r="BI73" i="15"/>
  <c r="BT73" i="15"/>
  <c r="AY74" i="15" a="1"/>
  <c r="AY74" i="15" s="1"/>
  <c r="BB73" i="15"/>
  <c r="BM73" i="15"/>
  <c r="BH74" i="15" a="1"/>
  <c r="BH74" i="15" s="1"/>
  <c r="BL74" i="15" a="1"/>
  <c r="BL74" i="15" s="1"/>
  <c r="BP74" i="15" a="1"/>
  <c r="BP74" i="15" s="1"/>
  <c r="BH73" i="15"/>
  <c r="BA74" i="15" a="1"/>
  <c r="BA74" i="15" s="1"/>
  <c r="BJ74" i="15" a="1"/>
  <c r="BJ74" i="15" s="1"/>
  <c r="BR74" i="15" a="1"/>
  <c r="BR74" i="15" s="1"/>
  <c r="BN73" i="15"/>
  <c r="BD73" i="15"/>
  <c r="O73" i="15"/>
  <c r="S73" i="15"/>
  <c r="W73" i="15"/>
  <c r="AA73" i="15"/>
  <c r="AE73" i="15"/>
  <c r="AI73" i="15"/>
  <c r="L74" i="15" a="1"/>
  <c r="L74" i="15" s="1"/>
  <c r="N74" i="15" a="1"/>
  <c r="N74" i="15" s="1"/>
  <c r="P74" i="15" a="1"/>
  <c r="P74" i="15" s="1"/>
  <c r="R74" i="15" a="1"/>
  <c r="R74" i="15" s="1"/>
  <c r="T74" i="15" a="1"/>
  <c r="T74" i="15" s="1"/>
  <c r="V74" i="15" a="1"/>
  <c r="V74" i="15" s="1"/>
  <c r="X74" i="15" a="1"/>
  <c r="X74" i="15" s="1"/>
  <c r="Z74" i="15" a="1"/>
  <c r="Z74" i="15" s="1"/>
  <c r="AB74" i="15" a="1"/>
  <c r="AB74" i="15" s="1"/>
  <c r="AD74" i="15" a="1"/>
  <c r="AD74" i="15" s="1"/>
  <c r="AG74" i="15" a="1"/>
  <c r="AG74" i="15" s="1"/>
  <c r="Q73" i="15"/>
  <c r="Y73" i="15"/>
  <c r="AG73" i="15"/>
  <c r="M74" i="15" a="1"/>
  <c r="M74" i="15" s="1"/>
  <c r="Q74" i="15" a="1"/>
  <c r="Q74" i="15" s="1"/>
  <c r="W74" i="15" a="1"/>
  <c r="W74" i="15" s="1"/>
  <c r="AA74" i="15" a="1"/>
  <c r="AA74" i="15" s="1"/>
  <c r="AE74" i="15" a="1"/>
  <c r="AE74" i="15" s="1"/>
  <c r="BR73" i="15"/>
  <c r="BN74" i="15" a="1"/>
  <c r="BN74" i="15" s="1"/>
  <c r="L73" i="15"/>
  <c r="P73" i="15"/>
  <c r="T73" i="15"/>
  <c r="X73" i="15"/>
  <c r="AB73" i="15"/>
  <c r="AF73" i="15"/>
  <c r="AH74" i="15" a="1"/>
  <c r="AH74" i="15" s="1"/>
  <c r="I74" i="15" a="1"/>
  <c r="I74" i="15" s="1"/>
  <c r="M73" i="15"/>
  <c r="U73" i="15"/>
  <c r="AC73" i="15"/>
  <c r="O74" i="15" a="1"/>
  <c r="O74" i="15" s="1"/>
  <c r="S74" i="15" a="1"/>
  <c r="S74" i="15" s="1"/>
  <c r="U74" i="15" a="1"/>
  <c r="U74" i="15" s="1"/>
  <c r="Y74" i="15" a="1"/>
  <c r="Y74" i="15" s="1"/>
  <c r="AC74" i="15" a="1"/>
  <c r="AC74" i="15" s="1"/>
  <c r="AI74" i="15" a="1"/>
  <c r="AI74" i="15" s="1"/>
  <c r="R73" i="15"/>
  <c r="AH73" i="15"/>
  <c r="K74" i="15" a="1"/>
  <c r="K74" i="15" s="1"/>
  <c r="BF74" i="15" a="1"/>
  <c r="BF74" i="15" s="1"/>
  <c r="N73" i="15"/>
  <c r="AD73" i="15"/>
  <c r="AF74" i="15" a="1"/>
  <c r="AF74" i="15" s="1"/>
  <c r="V73" i="15"/>
  <c r="Z73" i="15"/>
  <c r="BU74" i="15" a="1"/>
  <c r="BU74" i="15" s="1"/>
  <c r="BV74" i="15" a="1"/>
  <c r="BV74" i="15" s="1"/>
  <c r="BW74" i="15" a="1"/>
  <c r="BW74" i="15" s="1"/>
  <c r="BT74" i="15" a="1"/>
  <c r="BT74" i="15" s="1"/>
  <c r="BS74" i="15" a="1"/>
  <c r="BS74" i="15" s="1"/>
  <c r="BA85" i="15"/>
  <c r="BE85" i="15"/>
  <c r="BI85" i="15"/>
  <c r="BM85" i="15"/>
  <c r="BQ85" i="15"/>
  <c r="BU85" i="15"/>
  <c r="BD86" i="15" a="1"/>
  <c r="BD86" i="15" s="1"/>
  <c r="BG86" i="15" a="1"/>
  <c r="BG86" i="15" s="1"/>
  <c r="BL86" i="15" a="1"/>
  <c r="BL86" i="15" s="1"/>
  <c r="BO86" i="15" a="1"/>
  <c r="BO86" i="15" s="1"/>
  <c r="AZ85" i="15"/>
  <c r="BD85" i="15"/>
  <c r="BH85" i="15"/>
  <c r="BL85" i="15"/>
  <c r="BP85" i="15"/>
  <c r="BT85" i="15"/>
  <c r="BA86" i="15" a="1"/>
  <c r="BA86" i="15" s="1"/>
  <c r="BF86" i="15" a="1"/>
  <c r="BF86" i="15" s="1"/>
  <c r="BI86" i="15" a="1"/>
  <c r="BI86" i="15" s="1"/>
  <c r="BN86" i="15" a="1"/>
  <c r="BN86" i="15" s="1"/>
  <c r="BQ86" i="15" a="1"/>
  <c r="BQ86" i="15" s="1"/>
  <c r="BC85" i="15"/>
  <c r="BK85" i="15"/>
  <c r="BS85" i="15"/>
  <c r="AZ86" i="15" a="1"/>
  <c r="AZ86" i="15" s="1"/>
  <c r="BK86" i="15" a="1"/>
  <c r="BK86" i="15" s="1"/>
  <c r="BP86" i="15" a="1"/>
  <c r="BP86" i="15" s="1"/>
  <c r="BF85" i="15"/>
  <c r="BN85" i="15"/>
  <c r="BV85" i="15"/>
  <c r="BB86" i="15" a="1"/>
  <c r="BB86" i="15" s="1"/>
  <c r="BM86" i="15" a="1"/>
  <c r="BM86" i="15" s="1"/>
  <c r="BR86" i="15" a="1"/>
  <c r="BR86" i="15" s="1"/>
  <c r="BB85" i="15"/>
  <c r="BR85" i="15"/>
  <c r="BE86" i="15" a="1"/>
  <c r="BE86" i="15" s="1"/>
  <c r="BG85" i="15"/>
  <c r="BW85" i="15"/>
  <c r="BH86" i="15" a="1"/>
  <c r="BH86" i="15" s="1"/>
  <c r="AY86" i="15" a="1"/>
  <c r="AY86" i="15" s="1"/>
  <c r="BO85" i="15"/>
  <c r="O85" i="15"/>
  <c r="S85" i="15"/>
  <c r="W85" i="15"/>
  <c r="AA85" i="15"/>
  <c r="AE85" i="15"/>
  <c r="AI85" i="15"/>
  <c r="L86" i="15" a="1"/>
  <c r="L86" i="15" s="1"/>
  <c r="N86" i="15" a="1"/>
  <c r="N86" i="15" s="1"/>
  <c r="P86" i="15" a="1"/>
  <c r="P86" i="15" s="1"/>
  <c r="R86" i="15" a="1"/>
  <c r="R86" i="15" s="1"/>
  <c r="T86" i="15" a="1"/>
  <c r="T86" i="15" s="1"/>
  <c r="V86" i="15" a="1"/>
  <c r="V86" i="15" s="1"/>
  <c r="X86" i="15" a="1"/>
  <c r="X86" i="15" s="1"/>
  <c r="Z86" i="15" a="1"/>
  <c r="Z86" i="15" s="1"/>
  <c r="AB86" i="15" a="1"/>
  <c r="AB86" i="15" s="1"/>
  <c r="AD86" i="15" a="1"/>
  <c r="AD86" i="15" s="1"/>
  <c r="AG86" i="15" a="1"/>
  <c r="AG86" i="15" s="1"/>
  <c r="BC86" i="15" a="1"/>
  <c r="BC86" i="15" s="1"/>
  <c r="O86" i="15" a="1"/>
  <c r="O86" i="15" s="1"/>
  <c r="S86" i="15" a="1"/>
  <c r="S86" i="15" s="1"/>
  <c r="U86" i="15" a="1"/>
  <c r="U86" i="15" s="1"/>
  <c r="Y86" i="15" a="1"/>
  <c r="Y86" i="15" s="1"/>
  <c r="AC86" i="15" a="1"/>
  <c r="AC86" i="15" s="1"/>
  <c r="AI86" i="15" a="1"/>
  <c r="AI86" i="15" s="1"/>
  <c r="L85" i="15"/>
  <c r="P85" i="15"/>
  <c r="T85" i="15"/>
  <c r="X85" i="15"/>
  <c r="AB85" i="15"/>
  <c r="AF85" i="15"/>
  <c r="AH86" i="15" a="1"/>
  <c r="AH86" i="15" s="1"/>
  <c r="I86" i="15" a="1"/>
  <c r="I86" i="15" s="1"/>
  <c r="M85" i="15"/>
  <c r="Q85" i="15"/>
  <c r="U85" i="15"/>
  <c r="Y85" i="15"/>
  <c r="AC85" i="15"/>
  <c r="AG85" i="15"/>
  <c r="M86" i="15" a="1"/>
  <c r="M86" i="15" s="1"/>
  <c r="Q86" i="15" a="1"/>
  <c r="Q86" i="15" s="1"/>
  <c r="W86" i="15" a="1"/>
  <c r="W86" i="15" s="1"/>
  <c r="AA86" i="15" a="1"/>
  <c r="AA86" i="15" s="1"/>
  <c r="AE86" i="15" a="1"/>
  <c r="AE86" i="15" s="1"/>
  <c r="V85" i="15"/>
  <c r="Z85" i="15"/>
  <c r="N85" i="15"/>
  <c r="AD85" i="15"/>
  <c r="AF86" i="15" a="1"/>
  <c r="AF86" i="15" s="1"/>
  <c r="K86" i="15" a="1"/>
  <c r="K86" i="15" s="1"/>
  <c r="BJ86" i="15" a="1"/>
  <c r="BJ86" i="15" s="1"/>
  <c r="R85" i="15"/>
  <c r="AH85" i="15"/>
  <c r="BJ85" i="15"/>
  <c r="BS86" i="15" a="1"/>
  <c r="BS86" i="15" s="1"/>
  <c r="BT86" i="15" a="1"/>
  <c r="BT86" i="15" s="1"/>
  <c r="BV86" i="15" a="1"/>
  <c r="BV86" i="15" s="1"/>
  <c r="BU86" i="15" a="1"/>
  <c r="BU86" i="15" s="1"/>
  <c r="BW86" i="15" a="1"/>
  <c r="BW86" i="15" s="1"/>
  <c r="Q55" i="5"/>
  <c r="U55" i="5"/>
  <c r="I56" i="5" a="1"/>
  <c r="I56" i="5" s="1"/>
  <c r="U56" i="5" a="1"/>
  <c r="U56" i="5" s="1"/>
  <c r="AC55" i="5"/>
  <c r="AG55" i="5"/>
  <c r="AK55" i="5"/>
  <c r="AO55" i="5"/>
  <c r="AS55" i="5"/>
  <c r="AW55" i="5"/>
  <c r="BA55" i="5"/>
  <c r="AD56" i="5" a="1"/>
  <c r="AD56" i="5" s="1"/>
  <c r="AG56" i="5" a="1"/>
  <c r="AG56" i="5" s="1"/>
  <c r="AJ56" i="5" a="1"/>
  <c r="AJ56" i="5" s="1"/>
  <c r="AM56" i="5" a="1"/>
  <c r="AM56" i="5" s="1"/>
  <c r="AT56" i="5" a="1"/>
  <c r="AT56" i="5" s="1"/>
  <c r="AW56" i="5" a="1"/>
  <c r="AW56" i="5" s="1"/>
  <c r="AZ56" i="5" a="1"/>
  <c r="AZ56" i="5" s="1"/>
  <c r="AE55" i="5"/>
  <c r="AI55" i="5"/>
  <c r="AM55" i="5"/>
  <c r="AQ55" i="5"/>
  <c r="AU55" i="5"/>
  <c r="AY55" i="5"/>
  <c r="AB56" i="5" a="1"/>
  <c r="AB56" i="5" s="1"/>
  <c r="AE56" i="5" a="1"/>
  <c r="AE56" i="5" s="1"/>
  <c r="AL56" i="5" a="1"/>
  <c r="AL56" i="5" s="1"/>
  <c r="AO56" i="5" a="1"/>
  <c r="AO56" i="5" s="1"/>
  <c r="AR56" i="5" a="1"/>
  <c r="AR56" i="5" s="1"/>
  <c r="AU56" i="5" a="1"/>
  <c r="AU56" i="5" s="1"/>
  <c r="AB55" i="5"/>
  <c r="AJ55" i="5"/>
  <c r="AR55" i="5"/>
  <c r="AZ55" i="5"/>
  <c r="AC56" i="5" a="1"/>
  <c r="AC56" i="5" s="1"/>
  <c r="AI56" i="5" a="1"/>
  <c r="AI56" i="5" s="1"/>
  <c r="AP56" i="5" a="1"/>
  <c r="AP56" i="5" s="1"/>
  <c r="AV56" i="5" a="1"/>
  <c r="AV56" i="5" s="1"/>
  <c r="AH55" i="5"/>
  <c r="AX55" i="5"/>
  <c r="BA56" i="5" a="1"/>
  <c r="BA56" i="5" s="1"/>
  <c r="AD55" i="5"/>
  <c r="AL55" i="5"/>
  <c r="AT55" i="5"/>
  <c r="AK56" i="5" a="1"/>
  <c r="AK56" i="5" s="1"/>
  <c r="AQ56" i="5" a="1"/>
  <c r="AQ56" i="5" s="1"/>
  <c r="AX56" i="5" a="1"/>
  <c r="AX56" i="5" s="1"/>
  <c r="AP55" i="5"/>
  <c r="AN56" i="5" a="1"/>
  <c r="AN56" i="5" s="1"/>
  <c r="AF55" i="5"/>
  <c r="AN55" i="5"/>
  <c r="AV55" i="5"/>
  <c r="AF56" i="5" a="1"/>
  <c r="AF56" i="5" s="1"/>
  <c r="AS56" i="5" a="1"/>
  <c r="AS56" i="5" s="1"/>
  <c r="AY56" i="5" a="1"/>
  <c r="AY56" i="5" s="1"/>
  <c r="AH56" i="5" a="1"/>
  <c r="AH56" i="5" s="1"/>
  <c r="U71" i="5"/>
  <c r="I72" i="5" a="1"/>
  <c r="I72" i="5" s="1"/>
  <c r="U72" i="5" a="1"/>
  <c r="U72" i="5" s="1"/>
  <c r="AB71" i="5"/>
  <c r="AF71" i="5"/>
  <c r="AJ71" i="5"/>
  <c r="AN71" i="5"/>
  <c r="AR71" i="5"/>
  <c r="AV71" i="5"/>
  <c r="AZ71" i="5"/>
  <c r="AD72" i="5" a="1"/>
  <c r="AD72" i="5" s="1"/>
  <c r="AH72" i="5" a="1"/>
  <c r="AH72" i="5" s="1"/>
  <c r="AL72" i="5" a="1"/>
  <c r="AL72" i="5" s="1"/>
  <c r="AP72" i="5" a="1"/>
  <c r="AP72" i="5" s="1"/>
  <c r="AT72" i="5" a="1"/>
  <c r="AT72" i="5" s="1"/>
  <c r="AX72" i="5" a="1"/>
  <c r="AX72" i="5" s="1"/>
  <c r="AG71" i="5"/>
  <c r="AL71" i="5"/>
  <c r="AQ71" i="5"/>
  <c r="AW71" i="5"/>
  <c r="AC72" i="5" a="1"/>
  <c r="AC72" i="5" s="1"/>
  <c r="AI72" i="5" a="1"/>
  <c r="AI72" i="5" s="1"/>
  <c r="AN72" i="5" a="1"/>
  <c r="AN72" i="5" s="1"/>
  <c r="AS72" i="5" a="1"/>
  <c r="AS72" i="5" s="1"/>
  <c r="AY72" i="5" a="1"/>
  <c r="AY72" i="5" s="1"/>
  <c r="AK71" i="5"/>
  <c r="AU71" i="5"/>
  <c r="BA71" i="5"/>
  <c r="AG72" i="5" a="1"/>
  <c r="AG72" i="5" s="1"/>
  <c r="AR72" i="5" a="1"/>
  <c r="AR72" i="5" s="1"/>
  <c r="AC71" i="5"/>
  <c r="AH71" i="5"/>
  <c r="AM71" i="5"/>
  <c r="AS71" i="5"/>
  <c r="AX71" i="5"/>
  <c r="AE72" i="5" a="1"/>
  <c r="AE72" i="5" s="1"/>
  <c r="AJ72" i="5" a="1"/>
  <c r="AJ72" i="5" s="1"/>
  <c r="AO72" i="5" a="1"/>
  <c r="AO72" i="5" s="1"/>
  <c r="AU72" i="5" a="1"/>
  <c r="AU72" i="5" s="1"/>
  <c r="AZ72" i="5" a="1"/>
  <c r="AZ72" i="5" s="1"/>
  <c r="AE71" i="5"/>
  <c r="AP71" i="5"/>
  <c r="AB72" i="5" a="1"/>
  <c r="AB72" i="5" s="1"/>
  <c r="AW72" i="5" a="1"/>
  <c r="AW72" i="5" s="1"/>
  <c r="AD71" i="5"/>
  <c r="AI71" i="5"/>
  <c r="AO71" i="5"/>
  <c r="AT71" i="5"/>
  <c r="AY71" i="5"/>
  <c r="AF72" i="5" a="1"/>
  <c r="AF72" i="5" s="1"/>
  <c r="AK72" i="5" a="1"/>
  <c r="AK72" i="5" s="1"/>
  <c r="AQ72" i="5" a="1"/>
  <c r="AQ72" i="5" s="1"/>
  <c r="AV72" i="5" a="1"/>
  <c r="AV72" i="5" s="1"/>
  <c r="BA72" i="5" a="1"/>
  <c r="BA72" i="5" s="1"/>
  <c r="AM72" i="5" a="1"/>
  <c r="AM72" i="5" s="1"/>
  <c r="Q82" i="5"/>
  <c r="U82" i="5"/>
  <c r="M82" i="5"/>
  <c r="R82" i="5"/>
  <c r="P82" i="5"/>
  <c r="S82" i="5"/>
  <c r="T82" i="5"/>
  <c r="U83" i="5" a="1"/>
  <c r="U83" i="5" s="1"/>
  <c r="O82" i="5"/>
  <c r="I83" i="5" a="1"/>
  <c r="I83" i="5" s="1"/>
  <c r="BM82" i="5"/>
  <c r="AA82" i="5"/>
  <c r="AE82" i="5"/>
  <c r="AI82" i="5"/>
  <c r="AM82" i="5"/>
  <c r="AQ82" i="5"/>
  <c r="AU82" i="5"/>
  <c r="AY82" i="5"/>
  <c r="AB83" i="5" a="1"/>
  <c r="AB83" i="5" s="1"/>
  <c r="AG83" i="5" a="1"/>
  <c r="AG83" i="5" s="1"/>
  <c r="AJ83" i="5" a="1"/>
  <c r="AJ83" i="5" s="1"/>
  <c r="AO83" i="5" a="1"/>
  <c r="AO83" i="5" s="1"/>
  <c r="AR83" i="5" a="1"/>
  <c r="AR83" i="5" s="1"/>
  <c r="AW83" i="5" a="1"/>
  <c r="AW83" i="5" s="1"/>
  <c r="AZ83" i="5" a="1"/>
  <c r="AZ83" i="5" s="1"/>
  <c r="AB82" i="5"/>
  <c r="AG82" i="5"/>
  <c r="AL82" i="5"/>
  <c r="AR82" i="5"/>
  <c r="AW82" i="5"/>
  <c r="AF83" i="5" a="1"/>
  <c r="AF83" i="5" s="1"/>
  <c r="AI83" i="5" a="1"/>
  <c r="AI83" i="5" s="1"/>
  <c r="AM83" i="5" a="1"/>
  <c r="AM83" i="5" s="1"/>
  <c r="AT83" i="5" a="1"/>
  <c r="AT83" i="5" s="1"/>
  <c r="AX83" i="5" a="1"/>
  <c r="AX83" i="5" s="1"/>
  <c r="BA83" i="5" a="1"/>
  <c r="BA83" i="5" s="1"/>
  <c r="AH82" i="5"/>
  <c r="AS82" i="5"/>
  <c r="AN83" i="5" a="1"/>
  <c r="AN83" i="5" s="1"/>
  <c r="AU83" i="5" a="1"/>
  <c r="AU83" i="5" s="1"/>
  <c r="Z82" i="5"/>
  <c r="AF82" i="5"/>
  <c r="AK82" i="5"/>
  <c r="AP82" i="5"/>
  <c r="AV82" i="5"/>
  <c r="BA82" i="5"/>
  <c r="AP83" i="5" a="1"/>
  <c r="AP83" i="5" s="1"/>
  <c r="AC82" i="5"/>
  <c r="AN82" i="5"/>
  <c r="AX82" i="5"/>
  <c r="AC83" i="5" a="1"/>
  <c r="AC83" i="5" s="1"/>
  <c r="AQ83" i="5" a="1"/>
  <c r="AQ83" i="5" s="1"/>
  <c r="X82" i="5"/>
  <c r="BN82" i="5"/>
  <c r="AE83" i="5" a="1"/>
  <c r="AE83" i="5" s="1"/>
  <c r="AS83" i="5" a="1"/>
  <c r="AS83" i="5" s="1"/>
  <c r="Y82" i="5"/>
  <c r="AD82" i="5"/>
  <c r="AJ82" i="5"/>
  <c r="AO82" i="5"/>
  <c r="AT82" i="5"/>
  <c r="AZ82" i="5"/>
  <c r="AD83" i="5" a="1"/>
  <c r="AD83" i="5" s="1"/>
  <c r="AH83" i="5" a="1"/>
  <c r="AH83" i="5" s="1"/>
  <c r="AK83" i="5" a="1"/>
  <c r="AK83" i="5" s="1"/>
  <c r="AV83" i="5" a="1"/>
  <c r="AV83" i="5" s="1"/>
  <c r="AY83" i="5" a="1"/>
  <c r="AY83" i="5" s="1"/>
  <c r="AL83" i="5" a="1"/>
  <c r="AL83" i="5" s="1"/>
  <c r="Q94" i="5"/>
  <c r="U94" i="5"/>
  <c r="O94" i="5"/>
  <c r="T94" i="5"/>
  <c r="U95" i="5" a="1"/>
  <c r="U95" i="5" s="1"/>
  <c r="P94" i="5"/>
  <c r="I95" i="5" a="1"/>
  <c r="I95" i="5" s="1"/>
  <c r="R94" i="5"/>
  <c r="S94" i="5"/>
  <c r="M94" i="5"/>
  <c r="BM94" i="5"/>
  <c r="AA94" i="5"/>
  <c r="AE94" i="5"/>
  <c r="AI94" i="5"/>
  <c r="AM94" i="5"/>
  <c r="AQ94" i="5"/>
  <c r="AU94" i="5"/>
  <c r="AY94" i="5"/>
  <c r="AB95" i="5" a="1"/>
  <c r="AB95" i="5" s="1"/>
  <c r="AG95" i="5" a="1"/>
  <c r="AG95" i="5" s="1"/>
  <c r="AJ95" i="5" a="1"/>
  <c r="AJ95" i="5" s="1"/>
  <c r="AO95" i="5" a="1"/>
  <c r="AO95" i="5" s="1"/>
  <c r="AR95" i="5" a="1"/>
  <c r="AR95" i="5" s="1"/>
  <c r="AW95" i="5" a="1"/>
  <c r="AW95" i="5" s="1"/>
  <c r="AZ95" i="5" a="1"/>
  <c r="AZ95" i="5" s="1"/>
  <c r="X94" i="5"/>
  <c r="AB94" i="5"/>
  <c r="AF94" i="5"/>
  <c r="AJ94" i="5"/>
  <c r="AN94" i="5"/>
  <c r="AR94" i="5"/>
  <c r="AV94" i="5"/>
  <c r="AZ94" i="5"/>
  <c r="AH95" i="5" a="1"/>
  <c r="AH95" i="5" s="1"/>
  <c r="AP95" i="5" a="1"/>
  <c r="AP95" i="5" s="1"/>
  <c r="AU95" i="5" a="1"/>
  <c r="AU95" i="5" s="1"/>
  <c r="AK94" i="5"/>
  <c r="AS94" i="5"/>
  <c r="AW94" i="5"/>
  <c r="AC95" i="5" a="1"/>
  <c r="AC95" i="5" s="1"/>
  <c r="AN95" i="5" a="1"/>
  <c r="AN95" i="5" s="1"/>
  <c r="AV95" i="5" a="1"/>
  <c r="AV95" i="5" s="1"/>
  <c r="AP94" i="5"/>
  <c r="AI95" i="5" a="1"/>
  <c r="AI95" i="5" s="1"/>
  <c r="AL95" i="5" a="1"/>
  <c r="AL95" i="5" s="1"/>
  <c r="AY95" i="5" a="1"/>
  <c r="AY95" i="5" s="1"/>
  <c r="AE95" i="5" a="1"/>
  <c r="AE95" i="5" s="1"/>
  <c r="AM95" i="5" a="1"/>
  <c r="AM95" i="5" s="1"/>
  <c r="AX95" i="5" a="1"/>
  <c r="AX95" i="5" s="1"/>
  <c r="Y94" i="5"/>
  <c r="AC94" i="5"/>
  <c r="AG94" i="5"/>
  <c r="AO94" i="5"/>
  <c r="BA94" i="5"/>
  <c r="AF95" i="5" a="1"/>
  <c r="AF95" i="5" s="1"/>
  <c r="AS95" i="5" a="1"/>
  <c r="AS95" i="5" s="1"/>
  <c r="AT94" i="5"/>
  <c r="AD95" i="5" a="1"/>
  <c r="AD95" i="5" s="1"/>
  <c r="AQ95" i="5" a="1"/>
  <c r="AQ95" i="5" s="1"/>
  <c r="AK95" i="5" a="1"/>
  <c r="AK95" i="5" s="1"/>
  <c r="BA95" i="5" a="1"/>
  <c r="BA95" i="5" s="1"/>
  <c r="BN94" i="5"/>
  <c r="Z94" i="5"/>
  <c r="AD94" i="5"/>
  <c r="AH94" i="5"/>
  <c r="AL94" i="5"/>
  <c r="AX94" i="5"/>
  <c r="AT95" i="5" a="1"/>
  <c r="AT95" i="5" s="1"/>
  <c r="U52" i="5"/>
  <c r="U53" i="5" a="1"/>
  <c r="U53" i="5" s="1"/>
  <c r="I53" i="5" a="1"/>
  <c r="I53" i="5" s="1"/>
  <c r="AC52" i="5"/>
  <c r="AG52" i="5"/>
  <c r="AK52" i="5"/>
  <c r="AO52" i="5"/>
  <c r="AS52" i="5"/>
  <c r="AW52" i="5"/>
  <c r="BA52" i="5"/>
  <c r="AG53" i="5" a="1"/>
  <c r="AG53" i="5" s="1"/>
  <c r="AJ53" i="5" a="1"/>
  <c r="AJ53" i="5" s="1"/>
  <c r="AM53" i="5" a="1"/>
  <c r="AM53" i="5" s="1"/>
  <c r="AP53" i="5" a="1"/>
  <c r="AP53" i="5" s="1"/>
  <c r="AW53" i="5" a="1"/>
  <c r="AW53" i="5" s="1"/>
  <c r="AZ53" i="5" a="1"/>
  <c r="AZ53" i="5" s="1"/>
  <c r="AE52" i="5"/>
  <c r="AI52" i="5"/>
  <c r="AM52" i="5"/>
  <c r="AQ52" i="5"/>
  <c r="AU52" i="5"/>
  <c r="AY52" i="5"/>
  <c r="AB53" i="5" a="1"/>
  <c r="AB53" i="5" s="1"/>
  <c r="AE53" i="5" a="1"/>
  <c r="AE53" i="5" s="1"/>
  <c r="AH53" i="5" a="1"/>
  <c r="AH53" i="5" s="1"/>
  <c r="AO53" i="5" a="1"/>
  <c r="AO53" i="5" s="1"/>
  <c r="AR53" i="5" a="1"/>
  <c r="AR53" i="5" s="1"/>
  <c r="AU53" i="5" a="1"/>
  <c r="AU53" i="5" s="1"/>
  <c r="AX53" i="5" a="1"/>
  <c r="AX53" i="5" s="1"/>
  <c r="AF52" i="5"/>
  <c r="AN52" i="5"/>
  <c r="AV52" i="5"/>
  <c r="AF53" i="5" a="1"/>
  <c r="AF53" i="5" s="1"/>
  <c r="AL53" i="5" a="1"/>
  <c r="AL53" i="5" s="1"/>
  <c r="AS53" i="5" a="1"/>
  <c r="AS53" i="5" s="1"/>
  <c r="AY53" i="5" a="1"/>
  <c r="AY53" i="5" s="1"/>
  <c r="AT52" i="5"/>
  <c r="AK53" i="5" a="1"/>
  <c r="AK53" i="5" s="1"/>
  <c r="AH52" i="5"/>
  <c r="AP52" i="5"/>
  <c r="AX52" i="5"/>
  <c r="AN53" i="5" a="1"/>
  <c r="AN53" i="5" s="1"/>
  <c r="AT53" i="5" a="1"/>
  <c r="AT53" i="5" s="1"/>
  <c r="BA53" i="5" a="1"/>
  <c r="BA53" i="5" s="1"/>
  <c r="AL52" i="5"/>
  <c r="AD53" i="5" a="1"/>
  <c r="AD53" i="5" s="1"/>
  <c r="AB52" i="5"/>
  <c r="AJ52" i="5"/>
  <c r="AR52" i="5"/>
  <c r="AZ52" i="5"/>
  <c r="AC53" i="5" a="1"/>
  <c r="AC53" i="5" s="1"/>
  <c r="AI53" i="5" a="1"/>
  <c r="AI53" i="5" s="1"/>
  <c r="AV53" i="5" a="1"/>
  <c r="AV53" i="5" s="1"/>
  <c r="AD52" i="5"/>
  <c r="AQ53" i="5" a="1"/>
  <c r="AQ53" i="5" s="1"/>
  <c r="Q91" i="5"/>
  <c r="U91" i="5"/>
  <c r="R91" i="5"/>
  <c r="M91" i="5"/>
  <c r="S91" i="5"/>
  <c r="O91" i="5"/>
  <c r="T91" i="5"/>
  <c r="U92" i="5" a="1"/>
  <c r="U92" i="5" s="1"/>
  <c r="P91" i="5"/>
  <c r="I92" i="5" a="1"/>
  <c r="I92" i="5" s="1"/>
  <c r="BN91" i="5"/>
  <c r="Z91" i="5"/>
  <c r="AD91" i="5"/>
  <c r="AH91" i="5"/>
  <c r="AL91" i="5"/>
  <c r="AP91" i="5"/>
  <c r="AT91" i="5"/>
  <c r="AX91" i="5"/>
  <c r="AF92" i="5" a="1"/>
  <c r="AF92" i="5" s="1"/>
  <c r="AI92" i="5" a="1"/>
  <c r="AI92" i="5" s="1"/>
  <c r="AN92" i="5" a="1"/>
  <c r="AN92" i="5" s="1"/>
  <c r="AQ92" i="5" a="1"/>
  <c r="AQ92" i="5" s="1"/>
  <c r="AV92" i="5" a="1"/>
  <c r="AV92" i="5" s="1"/>
  <c r="AY92" i="5" a="1"/>
  <c r="AY92" i="5" s="1"/>
  <c r="AE91" i="5"/>
  <c r="AM91" i="5"/>
  <c r="AQ91" i="5"/>
  <c r="AY91" i="5"/>
  <c r="AG92" i="5" a="1"/>
  <c r="AG92" i="5" s="1"/>
  <c r="AO92" i="5" a="1"/>
  <c r="AO92" i="5" s="1"/>
  <c r="AT92" i="5" a="1"/>
  <c r="AT92" i="5" s="1"/>
  <c r="AW92" i="5" a="1"/>
  <c r="AW92" i="5" s="1"/>
  <c r="X91" i="5"/>
  <c r="AR91" i="5"/>
  <c r="AE92" i="5" a="1"/>
  <c r="AE92" i="5" s="1"/>
  <c r="AJ92" i="5" a="1"/>
  <c r="AJ92" i="5" s="1"/>
  <c r="AU92" i="5" a="1"/>
  <c r="AU92" i="5" s="1"/>
  <c r="AC91" i="5"/>
  <c r="AK91" i="5"/>
  <c r="AO91" i="5"/>
  <c r="AW91" i="5"/>
  <c r="BA91" i="5"/>
  <c r="AC92" i="5" a="1"/>
  <c r="AC92" i="5" s="1"/>
  <c r="AK92" i="5" a="1"/>
  <c r="AK92" i="5" s="1"/>
  <c r="AS92" i="5" a="1"/>
  <c r="AS92" i="5" s="1"/>
  <c r="BA92" i="5" a="1"/>
  <c r="BA92" i="5" s="1"/>
  <c r="AA91" i="5"/>
  <c r="AI91" i="5"/>
  <c r="AU91" i="5"/>
  <c r="AD92" i="5" a="1"/>
  <c r="AD92" i="5" s="1"/>
  <c r="AL92" i="5" a="1"/>
  <c r="AL92" i="5" s="1"/>
  <c r="AM92" i="5" a="1"/>
  <c r="AM92" i="5" s="1"/>
  <c r="AH92" i="5" a="1"/>
  <c r="AH92" i="5" s="1"/>
  <c r="AX92" i="5" a="1"/>
  <c r="AX92" i="5" s="1"/>
  <c r="BM91" i="5"/>
  <c r="AB91" i="5"/>
  <c r="AF91" i="5"/>
  <c r="AJ91" i="5"/>
  <c r="AN91" i="5"/>
  <c r="AV91" i="5"/>
  <c r="AZ91" i="5"/>
  <c r="AB92" i="5" a="1"/>
  <c r="AB92" i="5" s="1"/>
  <c r="AR92" i="5" a="1"/>
  <c r="AR92" i="5" s="1"/>
  <c r="AZ92" i="5" a="1"/>
  <c r="AZ92" i="5" s="1"/>
  <c r="Y91" i="5"/>
  <c r="AG91" i="5"/>
  <c r="AS91" i="5"/>
  <c r="AP92" i="5" a="1"/>
  <c r="AP92" i="5" s="1"/>
  <c r="Q46" i="5"/>
  <c r="U46" i="5"/>
  <c r="I47" i="5" a="1"/>
  <c r="I47" i="5" s="1"/>
  <c r="U47" i="5" a="1"/>
  <c r="U47" i="5" s="1"/>
  <c r="O46" i="5"/>
  <c r="AC46" i="5"/>
  <c r="AG46" i="5"/>
  <c r="AK46" i="5"/>
  <c r="AO46" i="5"/>
  <c r="AS46" i="5"/>
  <c r="AW46" i="5"/>
  <c r="BA46" i="5"/>
  <c r="AG47" i="5" a="1"/>
  <c r="AG47" i="5" s="1"/>
  <c r="AJ47" i="5" a="1"/>
  <c r="AJ47" i="5" s="1"/>
  <c r="AM47" i="5" a="1"/>
  <c r="AM47" i="5" s="1"/>
  <c r="AP47" i="5" a="1"/>
  <c r="AP47" i="5" s="1"/>
  <c r="AW47" i="5" a="1"/>
  <c r="AW47" i="5" s="1"/>
  <c r="AZ47" i="5" a="1"/>
  <c r="AZ47" i="5" s="1"/>
  <c r="AE46" i="5"/>
  <c r="AI46" i="5"/>
  <c r="AM46" i="5"/>
  <c r="AQ46" i="5"/>
  <c r="AU46" i="5"/>
  <c r="AY46" i="5"/>
  <c r="AB47" i="5" a="1"/>
  <c r="AB47" i="5" s="1"/>
  <c r="AE47" i="5" a="1"/>
  <c r="AE47" i="5" s="1"/>
  <c r="AH47" i="5" a="1"/>
  <c r="AH47" i="5" s="1"/>
  <c r="AO47" i="5" a="1"/>
  <c r="AO47" i="5" s="1"/>
  <c r="AR47" i="5" a="1"/>
  <c r="AR47" i="5" s="1"/>
  <c r="AU47" i="5" a="1"/>
  <c r="AU47" i="5" s="1"/>
  <c r="AX47" i="5" a="1"/>
  <c r="AX47" i="5" s="1"/>
  <c r="AF46" i="5"/>
  <c r="AN46" i="5"/>
  <c r="AV46" i="5"/>
  <c r="AF47" i="5" a="1"/>
  <c r="AF47" i="5" s="1"/>
  <c r="AL47" i="5" a="1"/>
  <c r="AL47" i="5" s="1"/>
  <c r="AS47" i="5" a="1"/>
  <c r="AS47" i="5" s="1"/>
  <c r="AY47" i="5" a="1"/>
  <c r="AY47" i="5" s="1"/>
  <c r="AL46" i="5"/>
  <c r="AT46" i="5"/>
  <c r="AD47" i="5" a="1"/>
  <c r="AD47" i="5" s="1"/>
  <c r="AH46" i="5"/>
  <c r="AP46" i="5"/>
  <c r="AX46" i="5"/>
  <c r="AN47" i="5" a="1"/>
  <c r="AN47" i="5" s="1"/>
  <c r="AT47" i="5" a="1"/>
  <c r="AT47" i="5" s="1"/>
  <c r="BA47" i="5" a="1"/>
  <c r="BA47" i="5" s="1"/>
  <c r="AQ47" i="5" a="1"/>
  <c r="AQ47" i="5" s="1"/>
  <c r="AB46" i="5"/>
  <c r="AJ46" i="5"/>
  <c r="AR46" i="5"/>
  <c r="AZ46" i="5"/>
  <c r="AC47" i="5" a="1"/>
  <c r="AC47" i="5" s="1"/>
  <c r="AI47" i="5" a="1"/>
  <c r="AI47" i="5" s="1"/>
  <c r="AV47" i="5" a="1"/>
  <c r="AV47" i="5" s="1"/>
  <c r="AD46" i="5"/>
  <c r="AK47" i="5" a="1"/>
  <c r="AK47" i="5" s="1"/>
  <c r="Q60" i="5"/>
  <c r="U60" i="5"/>
  <c r="U61" i="5" a="1"/>
  <c r="U61" i="5" s="1"/>
  <c r="I61" i="5" a="1"/>
  <c r="I61" i="5" s="1"/>
  <c r="AC60" i="5"/>
  <c r="AG60" i="5"/>
  <c r="AK60" i="5"/>
  <c r="AO60" i="5"/>
  <c r="AS60" i="5"/>
  <c r="AW60" i="5"/>
  <c r="BA60" i="5"/>
  <c r="AG61" i="5" a="1"/>
  <c r="AG61" i="5" s="1"/>
  <c r="AJ61" i="5" a="1"/>
  <c r="AJ61" i="5" s="1"/>
  <c r="AM61" i="5" a="1"/>
  <c r="AM61" i="5" s="1"/>
  <c r="AP61" i="5" a="1"/>
  <c r="AP61" i="5" s="1"/>
  <c r="AW61" i="5" a="1"/>
  <c r="AW61" i="5" s="1"/>
  <c r="AZ61" i="5" a="1"/>
  <c r="AZ61" i="5" s="1"/>
  <c r="AE60" i="5"/>
  <c r="AI60" i="5"/>
  <c r="AM60" i="5"/>
  <c r="AQ60" i="5"/>
  <c r="AU60" i="5"/>
  <c r="AY60" i="5"/>
  <c r="AB61" i="5" a="1"/>
  <c r="AB61" i="5" s="1"/>
  <c r="AE61" i="5" a="1"/>
  <c r="AE61" i="5" s="1"/>
  <c r="AH61" i="5" a="1"/>
  <c r="AH61" i="5" s="1"/>
  <c r="AO61" i="5" a="1"/>
  <c r="AO61" i="5" s="1"/>
  <c r="AR61" i="5" a="1"/>
  <c r="AR61" i="5" s="1"/>
  <c r="AU61" i="5" a="1"/>
  <c r="AU61" i="5" s="1"/>
  <c r="AX61" i="5" a="1"/>
  <c r="AX61" i="5" s="1"/>
  <c r="AF60" i="5"/>
  <c r="AN60" i="5"/>
  <c r="AV60" i="5"/>
  <c r="AF61" i="5" a="1"/>
  <c r="AF61" i="5" s="1"/>
  <c r="AL61" i="5" a="1"/>
  <c r="AL61" i="5" s="1"/>
  <c r="AS61" i="5" a="1"/>
  <c r="AS61" i="5" s="1"/>
  <c r="AY61" i="5" a="1"/>
  <c r="AY61" i="5" s="1"/>
  <c r="AD61" i="5" a="1"/>
  <c r="AD61" i="5" s="1"/>
  <c r="AH60" i="5"/>
  <c r="AP60" i="5"/>
  <c r="AX60" i="5"/>
  <c r="AN61" i="5" a="1"/>
  <c r="AN61" i="5" s="1"/>
  <c r="AT61" i="5" a="1"/>
  <c r="AT61" i="5" s="1"/>
  <c r="BA61" i="5" a="1"/>
  <c r="BA61" i="5" s="1"/>
  <c r="AL60" i="5"/>
  <c r="AK61" i="5" a="1"/>
  <c r="AK61" i="5" s="1"/>
  <c r="AB60" i="5"/>
  <c r="AJ60" i="5"/>
  <c r="AR60" i="5"/>
  <c r="AZ60" i="5"/>
  <c r="AC61" i="5" a="1"/>
  <c r="AC61" i="5" s="1"/>
  <c r="AI61" i="5" a="1"/>
  <c r="AI61" i="5" s="1"/>
  <c r="AV61" i="5" a="1"/>
  <c r="AV61" i="5" s="1"/>
  <c r="AD60" i="5"/>
  <c r="AT60" i="5"/>
  <c r="AQ61" i="5" a="1"/>
  <c r="AQ61" i="5" s="1"/>
  <c r="Q76" i="5"/>
  <c r="U76" i="5"/>
  <c r="I77" i="5" a="1"/>
  <c r="I77" i="5" s="1"/>
  <c r="U77" i="5" a="1"/>
  <c r="U77" i="5" s="1"/>
  <c r="O76" i="5"/>
  <c r="AB76" i="5"/>
  <c r="AF76" i="5"/>
  <c r="AJ76" i="5"/>
  <c r="AN76" i="5"/>
  <c r="AR76" i="5"/>
  <c r="AV76" i="5"/>
  <c r="AZ76" i="5"/>
  <c r="AD77" i="5" a="1"/>
  <c r="AD77" i="5" s="1"/>
  <c r="AH77" i="5" a="1"/>
  <c r="AH77" i="5" s="1"/>
  <c r="AL77" i="5" a="1"/>
  <c r="AL77" i="5" s="1"/>
  <c r="AP77" i="5" a="1"/>
  <c r="AP77" i="5" s="1"/>
  <c r="AT77" i="5" a="1"/>
  <c r="AT77" i="5" s="1"/>
  <c r="AX77" i="5" a="1"/>
  <c r="AX77" i="5" s="1"/>
  <c r="AE76" i="5"/>
  <c r="AK76" i="5"/>
  <c r="AP76" i="5"/>
  <c r="AU76" i="5"/>
  <c r="BA76" i="5"/>
  <c r="AB77" i="5" a="1"/>
  <c r="AB77" i="5" s="1"/>
  <c r="AG77" i="5" a="1"/>
  <c r="AG77" i="5" s="1"/>
  <c r="AM77" i="5" a="1"/>
  <c r="AM77" i="5" s="1"/>
  <c r="AR77" i="5" a="1"/>
  <c r="AR77" i="5" s="1"/>
  <c r="AW77" i="5" a="1"/>
  <c r="AW77" i="5" s="1"/>
  <c r="AI76" i="5"/>
  <c r="AO76" i="5"/>
  <c r="AY76" i="5"/>
  <c r="AQ77" i="5" a="1"/>
  <c r="AQ77" i="5" s="1"/>
  <c r="BA77" i="5" a="1"/>
  <c r="BA77" i="5" s="1"/>
  <c r="AG76" i="5"/>
  <c r="AL76" i="5"/>
  <c r="AQ76" i="5"/>
  <c r="AW76" i="5"/>
  <c r="AC77" i="5" a="1"/>
  <c r="AC77" i="5" s="1"/>
  <c r="AI77" i="5" a="1"/>
  <c r="AI77" i="5" s="1"/>
  <c r="AN77" i="5" a="1"/>
  <c r="AN77" i="5" s="1"/>
  <c r="AS77" i="5" a="1"/>
  <c r="AS77" i="5" s="1"/>
  <c r="AY77" i="5" a="1"/>
  <c r="AY77" i="5" s="1"/>
  <c r="AK77" i="5" a="1"/>
  <c r="AK77" i="5" s="1"/>
  <c r="AC76" i="5"/>
  <c r="AH76" i="5"/>
  <c r="AM76" i="5"/>
  <c r="AS76" i="5"/>
  <c r="AX76" i="5"/>
  <c r="AE77" i="5" a="1"/>
  <c r="AE77" i="5" s="1"/>
  <c r="AJ77" i="5" a="1"/>
  <c r="AJ77" i="5" s="1"/>
  <c r="AO77" i="5" a="1"/>
  <c r="AO77" i="5" s="1"/>
  <c r="AU77" i="5" a="1"/>
  <c r="AU77" i="5" s="1"/>
  <c r="AZ77" i="5" a="1"/>
  <c r="AZ77" i="5" s="1"/>
  <c r="AD76" i="5"/>
  <c r="AT76" i="5"/>
  <c r="AF77" i="5" a="1"/>
  <c r="AF77" i="5" s="1"/>
  <c r="AV77" i="5" a="1"/>
  <c r="AV77" i="5" s="1"/>
  <c r="Q85" i="5"/>
  <c r="U85" i="5"/>
  <c r="I86" i="5" a="1"/>
  <c r="I86" i="5" s="1"/>
  <c r="M85" i="5"/>
  <c r="R85" i="5"/>
  <c r="P85" i="5"/>
  <c r="S85" i="5"/>
  <c r="T85" i="5"/>
  <c r="U86" i="5" a="1"/>
  <c r="U86" i="5" s="1"/>
  <c r="AB85" i="5"/>
  <c r="AF85" i="5"/>
  <c r="AJ85" i="5"/>
  <c r="AN85" i="5"/>
  <c r="AR85" i="5"/>
  <c r="AV85" i="5"/>
  <c r="AZ85" i="5"/>
  <c r="AB86" i="5" a="1"/>
  <c r="AB86" i="5" s="1"/>
  <c r="AE86" i="5" a="1"/>
  <c r="AE86" i="5" s="1"/>
  <c r="AJ86" i="5" a="1"/>
  <c r="AJ86" i="5" s="1"/>
  <c r="AM86" i="5" a="1"/>
  <c r="AM86" i="5" s="1"/>
  <c r="AR86" i="5" a="1"/>
  <c r="AR86" i="5" s="1"/>
  <c r="AU86" i="5" a="1"/>
  <c r="AU86" i="5" s="1"/>
  <c r="AZ86" i="5" a="1"/>
  <c r="AZ86" i="5" s="1"/>
  <c r="BM85" i="5"/>
  <c r="AA85" i="5"/>
  <c r="AG85" i="5"/>
  <c r="AL85" i="5"/>
  <c r="AQ85" i="5"/>
  <c r="AW85" i="5"/>
  <c r="AI86" i="5" a="1"/>
  <c r="AI86" i="5" s="1"/>
  <c r="AL86" i="5" a="1"/>
  <c r="AL86" i="5" s="1"/>
  <c r="AP86" i="5" a="1"/>
  <c r="AP86" i="5" s="1"/>
  <c r="AW86" i="5" a="1"/>
  <c r="AW86" i="5" s="1"/>
  <c r="BA86" i="5" a="1"/>
  <c r="BA86" i="5" s="1"/>
  <c r="X85" i="5"/>
  <c r="AM85" i="5"/>
  <c r="AX85" i="5"/>
  <c r="AC86" i="5" a="1"/>
  <c r="AC86" i="5" s="1"/>
  <c r="AF86" i="5" a="1"/>
  <c r="AF86" i="5" s="1"/>
  <c r="AT86" i="5" a="1"/>
  <c r="AT86" i="5" s="1"/>
  <c r="AX86" i="5" a="1"/>
  <c r="AX86" i="5" s="1"/>
  <c r="AE85" i="5"/>
  <c r="AK85" i="5"/>
  <c r="AU85" i="5"/>
  <c r="BA85" i="5"/>
  <c r="AD86" i="5" a="1"/>
  <c r="AD86" i="5" s="1"/>
  <c r="AO86" i="5" a="1"/>
  <c r="AO86" i="5" s="1"/>
  <c r="AV86" i="5" a="1"/>
  <c r="AV86" i="5" s="1"/>
  <c r="AC85" i="5"/>
  <c r="AH85" i="5"/>
  <c r="AS85" i="5"/>
  <c r="AQ86" i="5" a="1"/>
  <c r="AQ86" i="5" s="1"/>
  <c r="AH86" i="5" a="1"/>
  <c r="AH86" i="5" s="1"/>
  <c r="BN85" i="5"/>
  <c r="Y85" i="5"/>
  <c r="AD85" i="5"/>
  <c r="AI85" i="5"/>
  <c r="AO85" i="5"/>
  <c r="AT85" i="5"/>
  <c r="AY85" i="5"/>
  <c r="AG86" i="5" a="1"/>
  <c r="AG86" i="5" s="1"/>
  <c r="AK86" i="5" a="1"/>
  <c r="AK86" i="5" s="1"/>
  <c r="AN86" i="5" a="1"/>
  <c r="AN86" i="5" s="1"/>
  <c r="AY86" i="5" a="1"/>
  <c r="AY86" i="5" s="1"/>
  <c r="O85" i="5"/>
  <c r="Z85" i="5"/>
  <c r="AP85" i="5"/>
  <c r="AS86" i="5" a="1"/>
  <c r="AS86" i="5" s="1"/>
  <c r="Q97" i="5"/>
  <c r="U97" i="5"/>
  <c r="R97" i="5"/>
  <c r="M97" i="5"/>
  <c r="S97" i="5"/>
  <c r="O97" i="5"/>
  <c r="U98" i="5" a="1"/>
  <c r="U98" i="5" s="1"/>
  <c r="P97" i="5"/>
  <c r="I98" i="5" a="1"/>
  <c r="I98" i="5" s="1"/>
  <c r="T97" i="5"/>
  <c r="BM97" i="5"/>
  <c r="AB97" i="5"/>
  <c r="AF97" i="5"/>
  <c r="AJ97" i="5"/>
  <c r="AN97" i="5"/>
  <c r="AR97" i="5"/>
  <c r="AV97" i="5"/>
  <c r="AZ97" i="5"/>
  <c r="AB98" i="5" a="1"/>
  <c r="AB98" i="5" s="1"/>
  <c r="AE98" i="5" a="1"/>
  <c r="AE98" i="5" s="1"/>
  <c r="AJ98" i="5" a="1"/>
  <c r="AJ98" i="5" s="1"/>
  <c r="AM98" i="5" a="1"/>
  <c r="AM98" i="5" s="1"/>
  <c r="AR98" i="5" a="1"/>
  <c r="AR98" i="5" s="1"/>
  <c r="AU98" i="5" a="1"/>
  <c r="AU98" i="5" s="1"/>
  <c r="AZ98" i="5" a="1"/>
  <c r="AZ98" i="5" s="1"/>
  <c r="Y97" i="5"/>
  <c r="AC97" i="5"/>
  <c r="AG97" i="5"/>
  <c r="AK97" i="5"/>
  <c r="AO97" i="5"/>
  <c r="AS97" i="5"/>
  <c r="AW97" i="5"/>
  <c r="BA97" i="5"/>
  <c r="AH98" i="5" a="1"/>
  <c r="AH98" i="5" s="1"/>
  <c r="AP98" i="5" a="1"/>
  <c r="AP98" i="5" s="1"/>
  <c r="AS98" i="5" a="1"/>
  <c r="AS98" i="5" s="1"/>
  <c r="BA98" i="5" a="1"/>
  <c r="BA98" i="5" s="1"/>
  <c r="Z97" i="5"/>
  <c r="AD97" i="5"/>
  <c r="AH97" i="5"/>
  <c r="AP97" i="5"/>
  <c r="AT97" i="5"/>
  <c r="AX97" i="5"/>
  <c r="AN98" i="5" a="1"/>
  <c r="AN98" i="5" s="1"/>
  <c r="AV98" i="5" a="1"/>
  <c r="AV98" i="5" s="1"/>
  <c r="AG98" i="5" a="1"/>
  <c r="AG98" i="5" s="1"/>
  <c r="AL98" i="5" a="1"/>
  <c r="AL98" i="5" s="1"/>
  <c r="AW98" i="5" a="1"/>
  <c r="AW98" i="5" s="1"/>
  <c r="AC98" i="5" a="1"/>
  <c r="AC98" i="5" s="1"/>
  <c r="AK98" i="5" a="1"/>
  <c r="AK98" i="5" s="1"/>
  <c r="AX98" i="5" a="1"/>
  <c r="AX98" i="5" s="1"/>
  <c r="AL97" i="5"/>
  <c r="AF98" i="5" a="1"/>
  <c r="AF98" i="5" s="1"/>
  <c r="AQ98" i="5" a="1"/>
  <c r="AQ98" i="5" s="1"/>
  <c r="AA97" i="5"/>
  <c r="AI97" i="5"/>
  <c r="AQ97" i="5"/>
  <c r="AY97" i="5"/>
  <c r="AD98" i="5" a="1"/>
  <c r="AD98" i="5" s="1"/>
  <c r="AT98" i="5" a="1"/>
  <c r="AT98" i="5" s="1"/>
  <c r="BN97" i="5"/>
  <c r="AI98" i="5" a="1"/>
  <c r="AI98" i="5" s="1"/>
  <c r="AY98" i="5" a="1"/>
  <c r="AY98" i="5" s="1"/>
  <c r="X97" i="5"/>
  <c r="AE97" i="5"/>
  <c r="AM97" i="5"/>
  <c r="AU97" i="5"/>
  <c r="AO98" i="5" a="1"/>
  <c r="AO98" i="5" s="1"/>
  <c r="U68" i="5"/>
  <c r="I69" i="5" a="1"/>
  <c r="I69" i="5" s="1"/>
  <c r="U69" i="5" a="1"/>
  <c r="U69" i="5" s="1"/>
  <c r="AB68" i="5"/>
  <c r="AF68" i="5"/>
  <c r="AJ68" i="5"/>
  <c r="AN68" i="5"/>
  <c r="AR68" i="5"/>
  <c r="AV68" i="5"/>
  <c r="AZ68" i="5"/>
  <c r="AD69" i="5" a="1"/>
  <c r="AD69" i="5" s="1"/>
  <c r="AH69" i="5" a="1"/>
  <c r="AH69" i="5" s="1"/>
  <c r="AL69" i="5" a="1"/>
  <c r="AL69" i="5" s="1"/>
  <c r="AP69" i="5" a="1"/>
  <c r="AP69" i="5" s="1"/>
  <c r="AT69" i="5" a="1"/>
  <c r="AT69" i="5" s="1"/>
  <c r="AX69" i="5" a="1"/>
  <c r="AX69" i="5" s="1"/>
  <c r="AD68" i="5"/>
  <c r="AH68" i="5"/>
  <c r="AL68" i="5"/>
  <c r="AP68" i="5"/>
  <c r="AT68" i="5"/>
  <c r="AX68" i="5"/>
  <c r="AB69" i="5" a="1"/>
  <c r="AB69" i="5" s="1"/>
  <c r="AF69" i="5" a="1"/>
  <c r="AF69" i="5" s="1"/>
  <c r="AI68" i="5"/>
  <c r="AQ68" i="5"/>
  <c r="AY68" i="5"/>
  <c r="AC69" i="5" a="1"/>
  <c r="AC69" i="5" s="1"/>
  <c r="AJ69" i="5" a="1"/>
  <c r="AJ69" i="5" s="1"/>
  <c r="AO69" i="5" a="1"/>
  <c r="AO69" i="5" s="1"/>
  <c r="AU69" i="5" a="1"/>
  <c r="AU69" i="5" s="1"/>
  <c r="AZ69" i="5" a="1"/>
  <c r="AZ69" i="5" s="1"/>
  <c r="AO68" i="5"/>
  <c r="AI69" i="5" a="1"/>
  <c r="AI69" i="5" s="1"/>
  <c r="AS69" i="5" a="1"/>
  <c r="AS69" i="5" s="1"/>
  <c r="AC68" i="5"/>
  <c r="AK68" i="5"/>
  <c r="AS68" i="5"/>
  <c r="BA68" i="5"/>
  <c r="AE69" i="5" a="1"/>
  <c r="AE69" i="5" s="1"/>
  <c r="AK69" i="5" a="1"/>
  <c r="AK69" i="5" s="1"/>
  <c r="AQ69" i="5" a="1"/>
  <c r="AQ69" i="5" s="1"/>
  <c r="AV69" i="5" a="1"/>
  <c r="AV69" i="5" s="1"/>
  <c r="BA69" i="5" a="1"/>
  <c r="BA69" i="5" s="1"/>
  <c r="AW68" i="5"/>
  <c r="AN69" i="5" a="1"/>
  <c r="AN69" i="5" s="1"/>
  <c r="AE68" i="5"/>
  <c r="AM68" i="5"/>
  <c r="AU68" i="5"/>
  <c r="AG69" i="5" a="1"/>
  <c r="AG69" i="5" s="1"/>
  <c r="AM69" i="5" a="1"/>
  <c r="AM69" i="5" s="1"/>
  <c r="AR69" i="5" a="1"/>
  <c r="AR69" i="5" s="1"/>
  <c r="AW69" i="5" a="1"/>
  <c r="AW69" i="5" s="1"/>
  <c r="AG68" i="5"/>
  <c r="AY69" i="5" a="1"/>
  <c r="AY69" i="5" s="1"/>
  <c r="Q49" i="5"/>
  <c r="U49" i="5"/>
  <c r="I50" i="5" a="1"/>
  <c r="I50" i="5" s="1"/>
  <c r="U50" i="5" a="1"/>
  <c r="U50" i="5" s="1"/>
  <c r="O49" i="5"/>
  <c r="AC49" i="5"/>
  <c r="AG49" i="5"/>
  <c r="AK49" i="5"/>
  <c r="AO49" i="5"/>
  <c r="AS49" i="5"/>
  <c r="AW49" i="5"/>
  <c r="BA49" i="5"/>
  <c r="AD50" i="5" a="1"/>
  <c r="AD50" i="5" s="1"/>
  <c r="AG50" i="5" a="1"/>
  <c r="AG50" i="5" s="1"/>
  <c r="AJ50" i="5" a="1"/>
  <c r="AJ50" i="5" s="1"/>
  <c r="AM50" i="5" a="1"/>
  <c r="AM50" i="5" s="1"/>
  <c r="AT50" i="5" a="1"/>
  <c r="AT50" i="5" s="1"/>
  <c r="AW50" i="5" a="1"/>
  <c r="AW50" i="5" s="1"/>
  <c r="AZ50" i="5" a="1"/>
  <c r="AZ50" i="5" s="1"/>
  <c r="AE49" i="5"/>
  <c r="AI49" i="5"/>
  <c r="AM49" i="5"/>
  <c r="AQ49" i="5"/>
  <c r="AU49" i="5"/>
  <c r="AY49" i="5"/>
  <c r="AB50" i="5" a="1"/>
  <c r="AB50" i="5" s="1"/>
  <c r="AE50" i="5" a="1"/>
  <c r="AE50" i="5" s="1"/>
  <c r="AL50" i="5" a="1"/>
  <c r="AL50" i="5" s="1"/>
  <c r="AO50" i="5" a="1"/>
  <c r="AO50" i="5" s="1"/>
  <c r="AR50" i="5" a="1"/>
  <c r="AR50" i="5" s="1"/>
  <c r="AU50" i="5" a="1"/>
  <c r="AU50" i="5" s="1"/>
  <c r="AB49" i="5"/>
  <c r="AJ49" i="5"/>
  <c r="AR49" i="5"/>
  <c r="AZ49" i="5"/>
  <c r="AC50" i="5" a="1"/>
  <c r="AC50" i="5" s="1"/>
  <c r="AI50" i="5" a="1"/>
  <c r="AI50" i="5" s="1"/>
  <c r="AP50" i="5" a="1"/>
  <c r="AP50" i="5" s="1"/>
  <c r="AV50" i="5" a="1"/>
  <c r="AV50" i="5" s="1"/>
  <c r="AH49" i="5"/>
  <c r="AP49" i="5"/>
  <c r="AX49" i="5"/>
  <c r="BA50" i="5" a="1"/>
  <c r="BA50" i="5" s="1"/>
  <c r="AD49" i="5"/>
  <c r="AL49" i="5"/>
  <c r="AT49" i="5"/>
  <c r="AK50" i="5" a="1"/>
  <c r="AK50" i="5" s="1"/>
  <c r="AQ50" i="5" a="1"/>
  <c r="AQ50" i="5" s="1"/>
  <c r="AX50" i="5" a="1"/>
  <c r="AX50" i="5" s="1"/>
  <c r="AN50" i="5" a="1"/>
  <c r="AN50" i="5" s="1"/>
  <c r="AF49" i="5"/>
  <c r="AN49" i="5"/>
  <c r="AV49" i="5"/>
  <c r="AF50" i="5" a="1"/>
  <c r="AF50" i="5" s="1"/>
  <c r="AS50" i="5" a="1"/>
  <c r="AS50" i="5" s="1"/>
  <c r="AY50" i="5" a="1"/>
  <c r="AY50" i="5" s="1"/>
  <c r="AH50" i="5" a="1"/>
  <c r="AH50" i="5" s="1"/>
  <c r="U63" i="5"/>
  <c r="I64" i="5" a="1"/>
  <c r="I64" i="5" s="1"/>
  <c r="U64" i="5" a="1"/>
  <c r="U64" i="5" s="1"/>
  <c r="AC63" i="5"/>
  <c r="AG63" i="5"/>
  <c r="AK63" i="5"/>
  <c r="AO63" i="5"/>
  <c r="AS63" i="5"/>
  <c r="AW63" i="5"/>
  <c r="BA63" i="5"/>
  <c r="AD64" i="5" a="1"/>
  <c r="AD64" i="5" s="1"/>
  <c r="AG64" i="5" a="1"/>
  <c r="AG64" i="5" s="1"/>
  <c r="AJ64" i="5" a="1"/>
  <c r="AJ64" i="5" s="1"/>
  <c r="AM64" i="5" a="1"/>
  <c r="AM64" i="5" s="1"/>
  <c r="AT64" i="5" a="1"/>
  <c r="AT64" i="5" s="1"/>
  <c r="AX64" i="5" a="1"/>
  <c r="AX64" i="5" s="1"/>
  <c r="AE63" i="5"/>
  <c r="AI63" i="5"/>
  <c r="AM63" i="5"/>
  <c r="AQ63" i="5"/>
  <c r="AU63" i="5"/>
  <c r="AY63" i="5"/>
  <c r="AB64" i="5" a="1"/>
  <c r="AB64" i="5" s="1"/>
  <c r="AE64" i="5" a="1"/>
  <c r="AE64" i="5" s="1"/>
  <c r="AL64" i="5" a="1"/>
  <c r="AL64" i="5" s="1"/>
  <c r="AO64" i="5" a="1"/>
  <c r="AO64" i="5" s="1"/>
  <c r="AR64" i="5" a="1"/>
  <c r="AR64" i="5" s="1"/>
  <c r="AV64" i="5" a="1"/>
  <c r="AV64" i="5" s="1"/>
  <c r="AZ64" i="5" a="1"/>
  <c r="AZ64" i="5" s="1"/>
  <c r="AB63" i="5"/>
  <c r="AJ63" i="5"/>
  <c r="AR63" i="5"/>
  <c r="AZ63" i="5"/>
  <c r="AC64" i="5" a="1"/>
  <c r="AC64" i="5" s="1"/>
  <c r="AI64" i="5" a="1"/>
  <c r="AI64" i="5" s="1"/>
  <c r="AP64" i="5" a="1"/>
  <c r="AP64" i="5" s="1"/>
  <c r="AW64" i="5" a="1"/>
  <c r="AW64" i="5" s="1"/>
  <c r="AH63" i="5"/>
  <c r="AP63" i="5"/>
  <c r="AX63" i="5"/>
  <c r="AU64" i="5" a="1"/>
  <c r="AU64" i="5" s="1"/>
  <c r="AD63" i="5"/>
  <c r="AL63" i="5"/>
  <c r="AT63" i="5"/>
  <c r="AK64" i="5" a="1"/>
  <c r="AK64" i="5" s="1"/>
  <c r="AQ64" i="5" a="1"/>
  <c r="AQ64" i="5" s="1"/>
  <c r="AY64" i="5" a="1"/>
  <c r="AY64" i="5" s="1"/>
  <c r="AH64" i="5" a="1"/>
  <c r="AH64" i="5" s="1"/>
  <c r="AF63" i="5"/>
  <c r="AN63" i="5"/>
  <c r="AV63" i="5"/>
  <c r="AF64" i="5" a="1"/>
  <c r="AF64" i="5" s="1"/>
  <c r="AS64" i="5" a="1"/>
  <c r="AS64" i="5" s="1"/>
  <c r="BA64" i="5" a="1"/>
  <c r="BA64" i="5" s="1"/>
  <c r="AN64" i="5" a="1"/>
  <c r="AN64" i="5" s="1"/>
  <c r="Q79" i="5"/>
  <c r="U79" i="5"/>
  <c r="I80" i="5" a="1"/>
  <c r="I80" i="5" s="1"/>
  <c r="U80" i="5" a="1"/>
  <c r="U80" i="5" s="1"/>
  <c r="AB79" i="5"/>
  <c r="AF79" i="5"/>
  <c r="AJ79" i="5"/>
  <c r="AN79" i="5"/>
  <c r="AR79" i="5"/>
  <c r="AV79" i="5"/>
  <c r="AZ79" i="5"/>
  <c r="AD80" i="5" a="1"/>
  <c r="AD80" i="5" s="1"/>
  <c r="AH80" i="5" a="1"/>
  <c r="AH80" i="5" s="1"/>
  <c r="AL80" i="5" a="1"/>
  <c r="AL80" i="5" s="1"/>
  <c r="AP80" i="5" a="1"/>
  <c r="AP80" i="5" s="1"/>
  <c r="AT80" i="5" a="1"/>
  <c r="AT80" i="5" s="1"/>
  <c r="AX80" i="5" a="1"/>
  <c r="AX80" i="5" s="1"/>
  <c r="AD79" i="5"/>
  <c r="AI79" i="5"/>
  <c r="AO79" i="5"/>
  <c r="AT79" i="5"/>
  <c r="AY79" i="5"/>
  <c r="AF80" i="5" a="1"/>
  <c r="AF80" i="5" s="1"/>
  <c r="AK80" i="5" a="1"/>
  <c r="AK80" i="5" s="1"/>
  <c r="AQ80" i="5" a="1"/>
  <c r="AQ80" i="5" s="1"/>
  <c r="AV80" i="5" a="1"/>
  <c r="AV80" i="5" s="1"/>
  <c r="BA80" i="5" a="1"/>
  <c r="BA80" i="5" s="1"/>
  <c r="AR80" i="5" a="1"/>
  <c r="AR80" i="5" s="1"/>
  <c r="AX79" i="5"/>
  <c r="AJ80" i="5" a="1"/>
  <c r="AJ80" i="5" s="1"/>
  <c r="AO80" i="5" a="1"/>
  <c r="AO80" i="5" s="1"/>
  <c r="AE79" i="5"/>
  <c r="AK79" i="5"/>
  <c r="AP79" i="5"/>
  <c r="AU79" i="5"/>
  <c r="BA79" i="5"/>
  <c r="AB80" i="5" a="1"/>
  <c r="AB80" i="5" s="1"/>
  <c r="AG80" i="5" a="1"/>
  <c r="AG80" i="5" s="1"/>
  <c r="AM80" i="5" a="1"/>
  <c r="AM80" i="5" s="1"/>
  <c r="AW80" i="5" a="1"/>
  <c r="AW80" i="5" s="1"/>
  <c r="AC79" i="5"/>
  <c r="AH79" i="5"/>
  <c r="AM79" i="5"/>
  <c r="AS79" i="5"/>
  <c r="AU80" i="5" a="1"/>
  <c r="AU80" i="5" s="1"/>
  <c r="AG79" i="5"/>
  <c r="AL79" i="5"/>
  <c r="AQ79" i="5"/>
  <c r="AW79" i="5"/>
  <c r="AC80" i="5" a="1"/>
  <c r="AC80" i="5" s="1"/>
  <c r="AI80" i="5" a="1"/>
  <c r="AI80" i="5" s="1"/>
  <c r="AN80" i="5" a="1"/>
  <c r="AN80" i="5" s="1"/>
  <c r="AS80" i="5" a="1"/>
  <c r="AS80" i="5" s="1"/>
  <c r="AY80" i="5" a="1"/>
  <c r="AY80" i="5" s="1"/>
  <c r="AE80" i="5" a="1"/>
  <c r="AE80" i="5" s="1"/>
  <c r="AZ80" i="5" a="1"/>
  <c r="AZ80" i="5" s="1"/>
  <c r="Q88" i="5"/>
  <c r="U88" i="5"/>
  <c r="O88" i="5"/>
  <c r="T88" i="5"/>
  <c r="U89" i="5" a="1"/>
  <c r="U89" i="5" s="1"/>
  <c r="P88" i="5"/>
  <c r="R88" i="5"/>
  <c r="I89" i="5" a="1"/>
  <c r="I89" i="5" s="1"/>
  <c r="M88" i="5"/>
  <c r="S88" i="5"/>
  <c r="Y88" i="5"/>
  <c r="AC88" i="5"/>
  <c r="AG88" i="5"/>
  <c r="AK88" i="5"/>
  <c r="AO88" i="5"/>
  <c r="AS88" i="5"/>
  <c r="AW88" i="5"/>
  <c r="BA88" i="5"/>
  <c r="AC89" i="5" a="1"/>
  <c r="AC89" i="5" s="1"/>
  <c r="AF89" i="5" a="1"/>
  <c r="AF89" i="5" s="1"/>
  <c r="AK89" i="5" a="1"/>
  <c r="AK89" i="5" s="1"/>
  <c r="AN89" i="5" a="1"/>
  <c r="AN89" i="5" s="1"/>
  <c r="AS89" i="5" a="1"/>
  <c r="AS89" i="5" s="1"/>
  <c r="AV89" i="5" a="1"/>
  <c r="AV89" i="5" s="1"/>
  <c r="BA89" i="5" a="1"/>
  <c r="BA89" i="5" s="1"/>
  <c r="AA88" i="5"/>
  <c r="AF88" i="5"/>
  <c r="AL88" i="5"/>
  <c r="AQ88" i="5"/>
  <c r="AV88" i="5"/>
  <c r="AB89" i="5" a="1"/>
  <c r="AB89" i="5" s="1"/>
  <c r="AE89" i="5" a="1"/>
  <c r="AE89" i="5" s="1"/>
  <c r="AI89" i="5" a="1"/>
  <c r="AI89" i="5" s="1"/>
  <c r="AP89" i="5" a="1"/>
  <c r="AP89" i="5" s="1"/>
  <c r="AT89" i="5" a="1"/>
  <c r="AT89" i="5" s="1"/>
  <c r="AW89" i="5" a="1"/>
  <c r="AW89" i="5" s="1"/>
  <c r="AM88" i="5"/>
  <c r="AR88" i="5"/>
  <c r="AM89" i="5" a="1"/>
  <c r="AM89" i="5" s="1"/>
  <c r="AQ89" i="5" a="1"/>
  <c r="AQ89" i="5" s="1"/>
  <c r="AP88" i="5"/>
  <c r="AO89" i="5" a="1"/>
  <c r="AO89" i="5" s="1"/>
  <c r="BN88" i="5"/>
  <c r="BM88" i="5"/>
  <c r="AB88" i="5"/>
  <c r="AH88" i="5"/>
  <c r="AX88" i="5"/>
  <c r="AJ89" i="5" a="1"/>
  <c r="AJ89" i="5" s="1"/>
  <c r="AX89" i="5" a="1"/>
  <c r="AX89" i="5" s="1"/>
  <c r="Z88" i="5"/>
  <c r="AE88" i="5"/>
  <c r="AJ88" i="5"/>
  <c r="AZ88" i="5"/>
  <c r="AH89" i="5" a="1"/>
  <c r="AH89" i="5" s="1"/>
  <c r="AZ89" i="5" a="1"/>
  <c r="AZ89" i="5" s="1"/>
  <c r="AD88" i="5"/>
  <c r="AI88" i="5"/>
  <c r="AN88" i="5"/>
  <c r="AT88" i="5"/>
  <c r="AY88" i="5"/>
  <c r="AD89" i="5" a="1"/>
  <c r="AD89" i="5" s="1"/>
  <c r="AG89" i="5" a="1"/>
  <c r="AG89" i="5" s="1"/>
  <c r="AR89" i="5" a="1"/>
  <c r="AR89" i="5" s="1"/>
  <c r="AU89" i="5" a="1"/>
  <c r="AU89" i="5" s="1"/>
  <c r="AY89" i="5" a="1"/>
  <c r="AY89" i="5" s="1"/>
  <c r="X88" i="5"/>
  <c r="AU88" i="5"/>
  <c r="AL89" i="5" a="1"/>
  <c r="AL89" i="5" s="1"/>
  <c r="K88" i="15"/>
  <c r="I82" i="15"/>
  <c r="H82" i="15"/>
  <c r="AY82" i="15"/>
  <c r="I79" i="15"/>
  <c r="BL94" i="5"/>
  <c r="W94" i="5"/>
  <c r="H49" i="15"/>
  <c r="H73" i="15"/>
  <c r="K76" i="15"/>
  <c r="AY76" i="15"/>
  <c r="H55" i="15"/>
  <c r="H67" i="15"/>
  <c r="H61" i="15"/>
  <c r="H52" i="15"/>
  <c r="H64" i="15"/>
  <c r="I88" i="15"/>
  <c r="H46" i="15"/>
  <c r="H58" i="15"/>
  <c r="H70" i="15"/>
  <c r="H60" i="5"/>
  <c r="H76" i="5"/>
  <c r="H49" i="5"/>
  <c r="H63" i="5"/>
  <c r="H55" i="5"/>
  <c r="H71" i="5"/>
  <c r="H46" i="5"/>
  <c r="H79" i="5"/>
  <c r="H52" i="5"/>
  <c r="H68" i="5"/>
  <c r="AY85" i="15"/>
  <c r="AY88" i="15"/>
  <c r="N64" i="18"/>
  <c r="AK64" i="18"/>
  <c r="AB65" i="18"/>
  <c r="I76" i="15"/>
  <c r="H85" i="15"/>
  <c r="R64" i="18"/>
  <c r="AL64" i="18"/>
  <c r="AE65" i="18"/>
  <c r="Q68" i="18"/>
  <c r="AH68" i="18"/>
  <c r="X69" i="18"/>
  <c r="K82" i="15"/>
  <c r="AY91" i="15"/>
  <c r="J64" i="18"/>
  <c r="J66" i="18" s="1"/>
  <c r="U64" i="18"/>
  <c r="AD64" i="18"/>
  <c r="T65" i="18"/>
  <c r="AI65" i="18"/>
  <c r="I91" i="5"/>
  <c r="H91" i="15"/>
  <c r="M64" i="18"/>
  <c r="V64" i="18"/>
  <c r="AH64" i="18"/>
  <c r="K65" i="18"/>
  <c r="W65" i="18"/>
  <c r="AM65" i="18"/>
  <c r="J68" i="18"/>
  <c r="J70" i="18" s="1"/>
  <c r="Z68" i="18"/>
  <c r="AA69" i="18"/>
  <c r="H76" i="15"/>
  <c r="H88" i="15"/>
  <c r="I94" i="5"/>
  <c r="BL82" i="5"/>
  <c r="AY79" i="15"/>
  <c r="H64" i="18"/>
  <c r="Q64" i="18"/>
  <c r="Y64" i="18"/>
  <c r="AG64" i="18"/>
  <c r="O65" i="18"/>
  <c r="AA65" i="18"/>
  <c r="AJ65" i="18"/>
  <c r="J92" i="18"/>
  <c r="J94" i="18" s="1"/>
  <c r="L93" i="18"/>
  <c r="K85" i="15"/>
  <c r="K79" i="15"/>
  <c r="K91" i="15"/>
  <c r="R92" i="18"/>
  <c r="AE93" i="18"/>
  <c r="T93" i="18"/>
  <c r="K93" i="18"/>
  <c r="AG92" i="18"/>
  <c r="Y92" i="18"/>
  <c r="Q92" i="18"/>
  <c r="H92" i="18"/>
  <c r="AM93" i="18"/>
  <c r="AB93" i="18"/>
  <c r="S93" i="18"/>
  <c r="AD92" i="18"/>
  <c r="V92" i="18"/>
  <c r="N92" i="18"/>
  <c r="AJ93" i="18"/>
  <c r="AA93" i="18"/>
  <c r="O93" i="18"/>
  <c r="AL92" i="18"/>
  <c r="AC92" i="18"/>
  <c r="U92" i="18"/>
  <c r="M92" i="18"/>
  <c r="I85" i="15"/>
  <c r="I82" i="5"/>
  <c r="I91" i="15"/>
  <c r="Z92" i="18"/>
  <c r="AI93" i="18"/>
  <c r="M68" i="18"/>
  <c r="U68" i="18"/>
  <c r="AC68" i="18"/>
  <c r="AK68" i="18"/>
  <c r="K69" i="18"/>
  <c r="S69" i="18"/>
  <c r="AB69" i="18"/>
  <c r="N68" i="18"/>
  <c r="V68" i="18"/>
  <c r="AD68" i="18"/>
  <c r="AL68" i="18"/>
  <c r="L69" i="18"/>
  <c r="T69" i="18"/>
  <c r="AF69" i="18"/>
  <c r="L108" i="18"/>
  <c r="P108" i="18"/>
  <c r="T108" i="18"/>
  <c r="X108" i="18"/>
  <c r="AB108" i="18"/>
  <c r="AF108" i="18"/>
  <c r="AJ108" i="18"/>
  <c r="J109" i="18"/>
  <c r="N109" i="18"/>
  <c r="R109" i="18"/>
  <c r="V109" i="18"/>
  <c r="Z109" i="18"/>
  <c r="AD109" i="18"/>
  <c r="AH109" i="18"/>
  <c r="AL109" i="18"/>
  <c r="H108" i="18"/>
  <c r="M108" i="18"/>
  <c r="Q108" i="18"/>
  <c r="U108" i="18"/>
  <c r="Y108" i="18"/>
  <c r="AC108" i="18"/>
  <c r="AG108" i="18"/>
  <c r="AK108" i="18"/>
  <c r="K109" i="18"/>
  <c r="O109" i="18"/>
  <c r="S109" i="18"/>
  <c r="W109" i="18"/>
  <c r="AA109" i="18"/>
  <c r="AE109" i="18"/>
  <c r="AI109" i="18"/>
  <c r="AM109" i="18"/>
  <c r="J108" i="18"/>
  <c r="J110" i="18" s="1"/>
  <c r="N108" i="18"/>
  <c r="R108" i="18"/>
  <c r="V108" i="18"/>
  <c r="Z108" i="18"/>
  <c r="AD108" i="18"/>
  <c r="AH108" i="18"/>
  <c r="AL108" i="18"/>
  <c r="L109" i="18"/>
  <c r="P109" i="18"/>
  <c r="T109" i="18"/>
  <c r="X109" i="18"/>
  <c r="AB109" i="18"/>
  <c r="AF109" i="18"/>
  <c r="AJ109" i="18"/>
  <c r="K108" i="18"/>
  <c r="O108" i="18"/>
  <c r="S108" i="18"/>
  <c r="W108" i="18"/>
  <c r="AA108" i="18"/>
  <c r="AE108" i="18"/>
  <c r="AI108" i="18"/>
  <c r="AM108" i="18"/>
  <c r="M109" i="18"/>
  <c r="Q109" i="18"/>
  <c r="U109" i="18"/>
  <c r="Y109" i="18"/>
  <c r="AC109" i="18"/>
  <c r="AG109" i="18"/>
  <c r="AK109" i="18"/>
  <c r="L104" i="18"/>
  <c r="P104" i="18"/>
  <c r="T104" i="18"/>
  <c r="X104" i="18"/>
  <c r="AB104" i="18"/>
  <c r="AF104" i="18"/>
  <c r="AJ104" i="18"/>
  <c r="J105" i="18"/>
  <c r="N105" i="18"/>
  <c r="R105" i="18"/>
  <c r="V105" i="18"/>
  <c r="Z105" i="18"/>
  <c r="AD105" i="18"/>
  <c r="AH105" i="18"/>
  <c r="AL105" i="18"/>
  <c r="H104" i="18"/>
  <c r="M104" i="18"/>
  <c r="Q104" i="18"/>
  <c r="U104" i="18"/>
  <c r="Y104" i="18"/>
  <c r="AC104" i="18"/>
  <c r="AG104" i="18"/>
  <c r="AK104" i="18"/>
  <c r="K105" i="18"/>
  <c r="O105" i="18"/>
  <c r="S105" i="18"/>
  <c r="W105" i="18"/>
  <c r="AA105" i="18"/>
  <c r="AE105" i="18"/>
  <c r="AI105" i="18"/>
  <c r="AM105" i="18"/>
  <c r="J104" i="18"/>
  <c r="J106" i="18" s="1"/>
  <c r="N104" i="18"/>
  <c r="R104" i="18"/>
  <c r="V104" i="18"/>
  <c r="Z104" i="18"/>
  <c r="AD104" i="18"/>
  <c r="AH104" i="18"/>
  <c r="AL104" i="18"/>
  <c r="L105" i="18"/>
  <c r="P105" i="18"/>
  <c r="T105" i="18"/>
  <c r="X105" i="18"/>
  <c r="AB105" i="18"/>
  <c r="AF105" i="18"/>
  <c r="AJ105" i="18"/>
  <c r="K104" i="18"/>
  <c r="O104" i="18"/>
  <c r="S104" i="18"/>
  <c r="W104" i="18"/>
  <c r="AA104" i="18"/>
  <c r="AE104" i="18"/>
  <c r="AI104" i="18"/>
  <c r="AM104" i="18"/>
  <c r="M105" i="18"/>
  <c r="Q105" i="18"/>
  <c r="U105" i="18"/>
  <c r="Y105" i="18"/>
  <c r="AC105" i="18"/>
  <c r="AG105" i="18"/>
  <c r="AK105" i="18"/>
  <c r="L100" i="18"/>
  <c r="P100" i="18"/>
  <c r="T100" i="18"/>
  <c r="X100" i="18"/>
  <c r="AB100" i="18"/>
  <c r="AF100" i="18"/>
  <c r="AJ100" i="18"/>
  <c r="J101" i="18"/>
  <c r="N101" i="18"/>
  <c r="R101" i="18"/>
  <c r="V101" i="18"/>
  <c r="Z101" i="18"/>
  <c r="AD101" i="18"/>
  <c r="AH101" i="18"/>
  <c r="AL101" i="18"/>
  <c r="H100" i="18"/>
  <c r="M100" i="18"/>
  <c r="Q100" i="18"/>
  <c r="U100" i="18"/>
  <c r="Y100" i="18"/>
  <c r="AC100" i="18"/>
  <c r="AG100" i="18"/>
  <c r="AK100" i="18"/>
  <c r="K101" i="18"/>
  <c r="O101" i="18"/>
  <c r="S101" i="18"/>
  <c r="W101" i="18"/>
  <c r="AA101" i="18"/>
  <c r="AE101" i="18"/>
  <c r="AI101" i="18"/>
  <c r="AM101" i="18"/>
  <c r="J100" i="18"/>
  <c r="J102" i="18" s="1"/>
  <c r="N100" i="18"/>
  <c r="R100" i="18"/>
  <c r="V100" i="18"/>
  <c r="Z100" i="18"/>
  <c r="AD100" i="18"/>
  <c r="AH100" i="18"/>
  <c r="AL100" i="18"/>
  <c r="L101" i="18"/>
  <c r="P101" i="18"/>
  <c r="T101" i="18"/>
  <c r="X101" i="18"/>
  <c r="AB101" i="18"/>
  <c r="AF101" i="18"/>
  <c r="AJ101" i="18"/>
  <c r="K100" i="18"/>
  <c r="O100" i="18"/>
  <c r="S100" i="18"/>
  <c r="W100" i="18"/>
  <c r="AA100" i="18"/>
  <c r="AE100" i="18"/>
  <c r="AI100" i="18"/>
  <c r="AM100" i="18"/>
  <c r="M101" i="18"/>
  <c r="Q101" i="18"/>
  <c r="U101" i="18"/>
  <c r="Y101" i="18"/>
  <c r="AC101" i="18"/>
  <c r="AG101" i="18"/>
  <c r="AK101" i="18"/>
  <c r="L96" i="18"/>
  <c r="T96" i="18"/>
  <c r="AB96" i="18"/>
  <c r="AJ96" i="18"/>
  <c r="J97" i="18"/>
  <c r="R97" i="18"/>
  <c r="V97" i="18"/>
  <c r="AD97" i="18"/>
  <c r="AH97" i="18"/>
  <c r="H96" i="18"/>
  <c r="Q96" i="18"/>
  <c r="Y96" i="18"/>
  <c r="AG96" i="18"/>
  <c r="O97" i="18"/>
  <c r="AA97" i="18"/>
  <c r="AI97" i="18"/>
  <c r="AM97" i="18"/>
  <c r="J96" i="18"/>
  <c r="J98" i="18" s="1"/>
  <c r="N96" i="18"/>
  <c r="R96" i="18"/>
  <c r="V96" i="18"/>
  <c r="Z96" i="18"/>
  <c r="AD96" i="18"/>
  <c r="AH96" i="18"/>
  <c r="AL96" i="18"/>
  <c r="L97" i="18"/>
  <c r="P97" i="18"/>
  <c r="T97" i="18"/>
  <c r="X97" i="18"/>
  <c r="AB97" i="18"/>
  <c r="AF97" i="18"/>
  <c r="AJ97" i="18"/>
  <c r="P96" i="18"/>
  <c r="X96" i="18"/>
  <c r="AF96" i="18"/>
  <c r="N97" i="18"/>
  <c r="Z97" i="18"/>
  <c r="AL97" i="18"/>
  <c r="M96" i="18"/>
  <c r="U96" i="18"/>
  <c r="AC96" i="18"/>
  <c r="AK96" i="18"/>
  <c r="K97" i="18"/>
  <c r="S97" i="18"/>
  <c r="W97" i="18"/>
  <c r="AE97" i="18"/>
  <c r="K96" i="18"/>
  <c r="O96" i="18"/>
  <c r="S96" i="18"/>
  <c r="W96" i="18"/>
  <c r="AA96" i="18"/>
  <c r="AE96" i="18"/>
  <c r="AI96" i="18"/>
  <c r="AM96" i="18"/>
  <c r="M97" i="18"/>
  <c r="Q97" i="18"/>
  <c r="U97" i="18"/>
  <c r="Y97" i="18"/>
  <c r="AC97" i="18"/>
  <c r="AG97" i="18"/>
  <c r="AK97" i="18"/>
  <c r="AH92" i="18"/>
  <c r="P93" i="18"/>
  <c r="X93" i="18"/>
  <c r="AF93" i="18"/>
  <c r="L92" i="18"/>
  <c r="P92" i="18"/>
  <c r="T92" i="18"/>
  <c r="X92" i="18"/>
  <c r="AB92" i="18"/>
  <c r="AF92" i="18"/>
  <c r="AJ92" i="18"/>
  <c r="J93" i="18"/>
  <c r="N93" i="18"/>
  <c r="R93" i="18"/>
  <c r="V93" i="18"/>
  <c r="Z93" i="18"/>
  <c r="AD93" i="18"/>
  <c r="AH93" i="18"/>
  <c r="AL93" i="18"/>
  <c r="K92" i="18"/>
  <c r="O92" i="18"/>
  <c r="S92" i="18"/>
  <c r="W92" i="18"/>
  <c r="AA92" i="18"/>
  <c r="AE92" i="18"/>
  <c r="AI92" i="18"/>
  <c r="AM92" i="18"/>
  <c r="M93" i="18"/>
  <c r="Q93" i="18"/>
  <c r="U93" i="18"/>
  <c r="Y93" i="18"/>
  <c r="AC93" i="18"/>
  <c r="AG93" i="18"/>
  <c r="AK93" i="18"/>
  <c r="L88" i="18"/>
  <c r="P88" i="18"/>
  <c r="T88" i="18"/>
  <c r="X88" i="18"/>
  <c r="AB88" i="18"/>
  <c r="AF88" i="18"/>
  <c r="AJ88" i="18"/>
  <c r="J89" i="18"/>
  <c r="N89" i="18"/>
  <c r="R89" i="18"/>
  <c r="V89" i="18"/>
  <c r="Z89" i="18"/>
  <c r="AD89" i="18"/>
  <c r="AH89" i="18"/>
  <c r="AL89" i="18"/>
  <c r="H88" i="18"/>
  <c r="M88" i="18"/>
  <c r="Q88" i="18"/>
  <c r="U88" i="18"/>
  <c r="Y88" i="18"/>
  <c r="AC88" i="18"/>
  <c r="AG88" i="18"/>
  <c r="AK88" i="18"/>
  <c r="K89" i="18"/>
  <c r="O89" i="18"/>
  <c r="S89" i="18"/>
  <c r="W89" i="18"/>
  <c r="AA89" i="18"/>
  <c r="AE89" i="18"/>
  <c r="AI89" i="18"/>
  <c r="AM89" i="18"/>
  <c r="J88" i="18"/>
  <c r="J90" i="18" s="1"/>
  <c r="N88" i="18"/>
  <c r="R88" i="18"/>
  <c r="V88" i="18"/>
  <c r="Z88" i="18"/>
  <c r="AD88" i="18"/>
  <c r="AH88" i="18"/>
  <c r="AL88" i="18"/>
  <c r="L89" i="18"/>
  <c r="P89" i="18"/>
  <c r="T89" i="18"/>
  <c r="X89" i="18"/>
  <c r="AB89" i="18"/>
  <c r="AF89" i="18"/>
  <c r="AJ89" i="18"/>
  <c r="K88" i="18"/>
  <c r="O88" i="18"/>
  <c r="S88" i="18"/>
  <c r="W88" i="18"/>
  <c r="AA88" i="18"/>
  <c r="AE88" i="18"/>
  <c r="AI88" i="18"/>
  <c r="AM88" i="18"/>
  <c r="M89" i="18"/>
  <c r="Q89" i="18"/>
  <c r="U89" i="18"/>
  <c r="Y89" i="18"/>
  <c r="AC89" i="18"/>
  <c r="AG89" i="18"/>
  <c r="AK89" i="18"/>
  <c r="L84" i="18"/>
  <c r="P84" i="18"/>
  <c r="T84" i="18"/>
  <c r="X84" i="18"/>
  <c r="AB84" i="18"/>
  <c r="AF84" i="18"/>
  <c r="AJ84" i="18"/>
  <c r="J85" i="18"/>
  <c r="N85" i="18"/>
  <c r="R85" i="18"/>
  <c r="V85" i="18"/>
  <c r="Z85" i="18"/>
  <c r="AD85" i="18"/>
  <c r="AH85" i="18"/>
  <c r="AL85" i="18"/>
  <c r="H84" i="18"/>
  <c r="M84" i="18"/>
  <c r="Q84" i="18"/>
  <c r="U84" i="18"/>
  <c r="Y84" i="18"/>
  <c r="AC84" i="18"/>
  <c r="AG84" i="18"/>
  <c r="AK84" i="18"/>
  <c r="K85" i="18"/>
  <c r="O85" i="18"/>
  <c r="S85" i="18"/>
  <c r="W85" i="18"/>
  <c r="AA85" i="18"/>
  <c r="AE85" i="18"/>
  <c r="AI85" i="18"/>
  <c r="AM85" i="18"/>
  <c r="J84" i="18"/>
  <c r="J86" i="18" s="1"/>
  <c r="N84" i="18"/>
  <c r="R84" i="18"/>
  <c r="V84" i="18"/>
  <c r="Z84" i="18"/>
  <c r="AD84" i="18"/>
  <c r="AH84" i="18"/>
  <c r="AL84" i="18"/>
  <c r="L85" i="18"/>
  <c r="P85" i="18"/>
  <c r="T85" i="18"/>
  <c r="X85" i="18"/>
  <c r="AB85" i="18"/>
  <c r="AF85" i="18"/>
  <c r="AJ85" i="18"/>
  <c r="K84" i="18"/>
  <c r="O84" i="18"/>
  <c r="S84" i="18"/>
  <c r="W84" i="18"/>
  <c r="AA84" i="18"/>
  <c r="AE84" i="18"/>
  <c r="AI84" i="18"/>
  <c r="AM84" i="18"/>
  <c r="M85" i="18"/>
  <c r="Q85" i="18"/>
  <c r="U85" i="18"/>
  <c r="Y85" i="18"/>
  <c r="AC85" i="18"/>
  <c r="AG85" i="18"/>
  <c r="AK85" i="18"/>
  <c r="L80" i="18"/>
  <c r="P80" i="18"/>
  <c r="T80" i="18"/>
  <c r="X80" i="18"/>
  <c r="AB80" i="18"/>
  <c r="AF80" i="18"/>
  <c r="AJ80" i="18"/>
  <c r="J81" i="18"/>
  <c r="N81" i="18"/>
  <c r="R81" i="18"/>
  <c r="V81" i="18"/>
  <c r="Z81" i="18"/>
  <c r="AD81" i="18"/>
  <c r="AH81" i="18"/>
  <c r="AL81" i="18"/>
  <c r="H80" i="18"/>
  <c r="M80" i="18"/>
  <c r="Q80" i="18"/>
  <c r="U80" i="18"/>
  <c r="Y80" i="18"/>
  <c r="AC80" i="18"/>
  <c r="AG80" i="18"/>
  <c r="AK80" i="18"/>
  <c r="K81" i="18"/>
  <c r="O81" i="18"/>
  <c r="S81" i="18"/>
  <c r="W81" i="18"/>
  <c r="AA81" i="18"/>
  <c r="AE81" i="18"/>
  <c r="AI81" i="18"/>
  <c r="AM81" i="18"/>
  <c r="J80" i="18"/>
  <c r="J82" i="18" s="1"/>
  <c r="N80" i="18"/>
  <c r="R80" i="18"/>
  <c r="V80" i="18"/>
  <c r="Z80" i="18"/>
  <c r="AD80" i="18"/>
  <c r="AH80" i="18"/>
  <c r="AL80" i="18"/>
  <c r="L81" i="18"/>
  <c r="P81" i="18"/>
  <c r="T81" i="18"/>
  <c r="X81" i="18"/>
  <c r="AB81" i="18"/>
  <c r="AF81" i="18"/>
  <c r="AJ81" i="18"/>
  <c r="K80" i="18"/>
  <c r="O80" i="18"/>
  <c r="S80" i="18"/>
  <c r="W80" i="18"/>
  <c r="AA80" i="18"/>
  <c r="AE80" i="18"/>
  <c r="AI80" i="18"/>
  <c r="AM80" i="18"/>
  <c r="M81" i="18"/>
  <c r="Q81" i="18"/>
  <c r="U81" i="18"/>
  <c r="Y81" i="18"/>
  <c r="AC81" i="18"/>
  <c r="AG81" i="18"/>
  <c r="AK81" i="18"/>
  <c r="L76" i="18"/>
  <c r="P76" i="18"/>
  <c r="T76" i="18"/>
  <c r="X76" i="18"/>
  <c r="AB76" i="18"/>
  <c r="AF76" i="18"/>
  <c r="AJ76" i="18"/>
  <c r="J77" i="18"/>
  <c r="N77" i="18"/>
  <c r="R77" i="18"/>
  <c r="V77" i="18"/>
  <c r="Z77" i="18"/>
  <c r="AD77" i="18"/>
  <c r="AH77" i="18"/>
  <c r="AL77" i="18"/>
  <c r="H76" i="18"/>
  <c r="M76" i="18"/>
  <c r="Q76" i="18"/>
  <c r="U76" i="18"/>
  <c r="Y76" i="18"/>
  <c r="AC76" i="18"/>
  <c r="AG76" i="18"/>
  <c r="AK76" i="18"/>
  <c r="K77" i="18"/>
  <c r="O77" i="18"/>
  <c r="S77" i="18"/>
  <c r="W77" i="18"/>
  <c r="AA77" i="18"/>
  <c r="AE77" i="18"/>
  <c r="AI77" i="18"/>
  <c r="AM77" i="18"/>
  <c r="J76" i="18"/>
  <c r="J78" i="18" s="1"/>
  <c r="N76" i="18"/>
  <c r="R76" i="18"/>
  <c r="V76" i="18"/>
  <c r="Z76" i="18"/>
  <c r="AD76" i="18"/>
  <c r="AH76" i="18"/>
  <c r="AL76" i="18"/>
  <c r="L77" i="18"/>
  <c r="P77" i="18"/>
  <c r="T77" i="18"/>
  <c r="X77" i="18"/>
  <c r="AB77" i="18"/>
  <c r="AF77" i="18"/>
  <c r="AJ77" i="18"/>
  <c r="K76" i="18"/>
  <c r="O76" i="18"/>
  <c r="S76" i="18"/>
  <c r="W76" i="18"/>
  <c r="AA76" i="18"/>
  <c r="AE76" i="18"/>
  <c r="AI76" i="18"/>
  <c r="AM76" i="18"/>
  <c r="M77" i="18"/>
  <c r="Q77" i="18"/>
  <c r="U77" i="18"/>
  <c r="Y77" i="18"/>
  <c r="AC77" i="18"/>
  <c r="AG77" i="18"/>
  <c r="AK77" i="18"/>
  <c r="L72" i="18"/>
  <c r="P72" i="18"/>
  <c r="T72" i="18"/>
  <c r="X72" i="18"/>
  <c r="AB72" i="18"/>
  <c r="AF72" i="18"/>
  <c r="AJ72" i="18"/>
  <c r="J73" i="18"/>
  <c r="N73" i="18"/>
  <c r="R73" i="18"/>
  <c r="V73" i="18"/>
  <c r="Z73" i="18"/>
  <c r="AD73" i="18"/>
  <c r="AH73" i="18"/>
  <c r="AL73" i="18"/>
  <c r="H72" i="18"/>
  <c r="M72" i="18"/>
  <c r="Q72" i="18"/>
  <c r="U72" i="18"/>
  <c r="Y72" i="18"/>
  <c r="AC72" i="18"/>
  <c r="AG72" i="18"/>
  <c r="AK72" i="18"/>
  <c r="K73" i="18"/>
  <c r="O73" i="18"/>
  <c r="S73" i="18"/>
  <c r="W73" i="18"/>
  <c r="AA73" i="18"/>
  <c r="AE73" i="18"/>
  <c r="AI73" i="18"/>
  <c r="AM73" i="18"/>
  <c r="J72" i="18"/>
  <c r="J74" i="18" s="1"/>
  <c r="N72" i="18"/>
  <c r="R72" i="18"/>
  <c r="V72" i="18"/>
  <c r="Z72" i="18"/>
  <c r="AD72" i="18"/>
  <c r="AH72" i="18"/>
  <c r="AL72" i="18"/>
  <c r="L73" i="18"/>
  <c r="P73" i="18"/>
  <c r="T73" i="18"/>
  <c r="X73" i="18"/>
  <c r="AB73" i="18"/>
  <c r="AF73" i="18"/>
  <c r="AJ73" i="18"/>
  <c r="K72" i="18"/>
  <c r="O72" i="18"/>
  <c r="S72" i="18"/>
  <c r="W72" i="18"/>
  <c r="AA72" i="18"/>
  <c r="AE72" i="18"/>
  <c r="AI72" i="18"/>
  <c r="AM72" i="18"/>
  <c r="M73" i="18"/>
  <c r="Q73" i="18"/>
  <c r="U73" i="18"/>
  <c r="Y73" i="18"/>
  <c r="AC73" i="18"/>
  <c r="AG73" i="18"/>
  <c r="AK73" i="18"/>
  <c r="W69" i="18"/>
  <c r="AE69" i="18"/>
  <c r="L68" i="18"/>
  <c r="P68" i="18"/>
  <c r="T68" i="18"/>
  <c r="X68" i="18"/>
  <c r="AB68" i="18"/>
  <c r="AF68" i="18"/>
  <c r="AJ68" i="18"/>
  <c r="J69" i="18"/>
  <c r="N69" i="18"/>
  <c r="R69" i="18"/>
  <c r="V69" i="18"/>
  <c r="Z69" i="18"/>
  <c r="AD69" i="18"/>
  <c r="AH69" i="18"/>
  <c r="AL69" i="18"/>
  <c r="K68" i="18"/>
  <c r="O68" i="18"/>
  <c r="S68" i="18"/>
  <c r="W68" i="18"/>
  <c r="AA68" i="18"/>
  <c r="AE68" i="18"/>
  <c r="AI68" i="18"/>
  <c r="AM68" i="18"/>
  <c r="M69" i="18"/>
  <c r="Q69" i="18"/>
  <c r="U69" i="18"/>
  <c r="Y69" i="18"/>
  <c r="AC69" i="18"/>
  <c r="AG69" i="18"/>
  <c r="AK69" i="18"/>
  <c r="P65" i="18"/>
  <c r="X65" i="18"/>
  <c r="AF65" i="18"/>
  <c r="L64" i="18"/>
  <c r="P64" i="18"/>
  <c r="T64" i="18"/>
  <c r="X64" i="18"/>
  <c r="AB64" i="18"/>
  <c r="AF64" i="18"/>
  <c r="AJ64" i="18"/>
  <c r="J65" i="18"/>
  <c r="N65" i="18"/>
  <c r="R65" i="18"/>
  <c r="V65" i="18"/>
  <c r="Z65" i="18"/>
  <c r="AD65" i="18"/>
  <c r="AH65" i="18"/>
  <c r="AL65" i="18"/>
  <c r="K64" i="18"/>
  <c r="O64" i="18"/>
  <c r="S64" i="18"/>
  <c r="W64" i="18"/>
  <c r="AA64" i="18"/>
  <c r="AE64" i="18"/>
  <c r="AI64" i="18"/>
  <c r="AM64" i="18"/>
  <c r="M65" i="18"/>
  <c r="Q65" i="18"/>
  <c r="U65" i="18"/>
  <c r="Y65" i="18"/>
  <c r="AC65" i="18"/>
  <c r="AG65" i="18"/>
  <c r="AK65" i="18"/>
  <c r="L60" i="18"/>
  <c r="P60" i="18"/>
  <c r="T60" i="18"/>
  <c r="X60" i="18"/>
  <c r="AB60" i="18"/>
  <c r="AF60" i="18"/>
  <c r="AJ60" i="18"/>
  <c r="J61" i="18"/>
  <c r="N61" i="18"/>
  <c r="R61" i="18"/>
  <c r="V61" i="18"/>
  <c r="Z61" i="18"/>
  <c r="AD61" i="18"/>
  <c r="AH61" i="18"/>
  <c r="AL61" i="18"/>
  <c r="H60" i="18"/>
  <c r="M60" i="18"/>
  <c r="Q60" i="18"/>
  <c r="U60" i="18"/>
  <c r="Y60" i="18"/>
  <c r="AC60" i="18"/>
  <c r="AG60" i="18"/>
  <c r="AK60" i="18"/>
  <c r="K61" i="18"/>
  <c r="O61" i="18"/>
  <c r="S61" i="18"/>
  <c r="W61" i="18"/>
  <c r="AA61" i="18"/>
  <c r="AE61" i="18"/>
  <c r="AI61" i="18"/>
  <c r="AM61" i="18"/>
  <c r="J60" i="18"/>
  <c r="J62" i="18" s="1"/>
  <c r="N60" i="18"/>
  <c r="R60" i="18"/>
  <c r="V60" i="18"/>
  <c r="Z60" i="18"/>
  <c r="AD60" i="18"/>
  <c r="AH60" i="18"/>
  <c r="AL60" i="18"/>
  <c r="L61" i="18"/>
  <c r="P61" i="18"/>
  <c r="T61" i="18"/>
  <c r="X61" i="18"/>
  <c r="AB61" i="18"/>
  <c r="AF61" i="18"/>
  <c r="AJ61" i="18"/>
  <c r="K60" i="18"/>
  <c r="O60" i="18"/>
  <c r="S60" i="18"/>
  <c r="W60" i="18"/>
  <c r="AA60" i="18"/>
  <c r="AE60" i="18"/>
  <c r="AI60" i="18"/>
  <c r="AM60" i="18"/>
  <c r="M61" i="18"/>
  <c r="Q61" i="18"/>
  <c r="U61" i="18"/>
  <c r="Y61" i="18"/>
  <c r="AC61" i="18"/>
  <c r="AG61" i="18"/>
  <c r="AK61" i="18"/>
  <c r="L56" i="18"/>
  <c r="P56" i="18"/>
  <c r="T56" i="18"/>
  <c r="X56" i="18"/>
  <c r="AB56" i="18"/>
  <c r="AF56" i="18"/>
  <c r="AJ56" i="18"/>
  <c r="J57" i="18"/>
  <c r="N57" i="18"/>
  <c r="R57" i="18"/>
  <c r="V57" i="18"/>
  <c r="Z57" i="18"/>
  <c r="AD57" i="18"/>
  <c r="AH57" i="18"/>
  <c r="AL57" i="18"/>
  <c r="H56" i="18"/>
  <c r="M56" i="18"/>
  <c r="Q56" i="18"/>
  <c r="U56" i="18"/>
  <c r="Y56" i="18"/>
  <c r="AC56" i="18"/>
  <c r="AG56" i="18"/>
  <c r="AK56" i="18"/>
  <c r="K57" i="18"/>
  <c r="O57" i="18"/>
  <c r="S57" i="18"/>
  <c r="W57" i="18"/>
  <c r="AA57" i="18"/>
  <c r="AE57" i="18"/>
  <c r="AI57" i="18"/>
  <c r="AM57" i="18"/>
  <c r="J56" i="18"/>
  <c r="J58" i="18" s="1"/>
  <c r="N56" i="18"/>
  <c r="R56" i="18"/>
  <c r="V56" i="18"/>
  <c r="Z56" i="18"/>
  <c r="AD56" i="18"/>
  <c r="AH56" i="18"/>
  <c r="AL56" i="18"/>
  <c r="L57" i="18"/>
  <c r="P57" i="18"/>
  <c r="T57" i="18"/>
  <c r="X57" i="18"/>
  <c r="AB57" i="18"/>
  <c r="AF57" i="18"/>
  <c r="AJ57" i="18"/>
  <c r="K56" i="18"/>
  <c r="O56" i="18"/>
  <c r="S56" i="18"/>
  <c r="W56" i="18"/>
  <c r="AA56" i="18"/>
  <c r="AE56" i="18"/>
  <c r="AI56" i="18"/>
  <c r="AM56" i="18"/>
  <c r="M57" i="18"/>
  <c r="Q57" i="18"/>
  <c r="U57" i="18"/>
  <c r="Y57" i="18"/>
  <c r="AC57" i="18"/>
  <c r="AG57" i="18"/>
  <c r="AK57" i="18"/>
  <c r="L52" i="18"/>
  <c r="P52" i="18"/>
  <c r="T52" i="18"/>
  <c r="X52" i="18"/>
  <c r="AB52" i="18"/>
  <c r="AF52" i="18"/>
  <c r="AJ52" i="18"/>
  <c r="J53" i="18"/>
  <c r="N53" i="18"/>
  <c r="R53" i="18"/>
  <c r="V53" i="18"/>
  <c r="Z53" i="18"/>
  <c r="AD53" i="18"/>
  <c r="AH53" i="18"/>
  <c r="AL53" i="18"/>
  <c r="H52" i="18"/>
  <c r="M52" i="18"/>
  <c r="Q52" i="18"/>
  <c r="U52" i="18"/>
  <c r="Y52" i="18"/>
  <c r="AC52" i="18"/>
  <c r="AG52" i="18"/>
  <c r="AK52" i="18"/>
  <c r="K53" i="18"/>
  <c r="O53" i="18"/>
  <c r="S53" i="18"/>
  <c r="W53" i="18"/>
  <c r="AA53" i="18"/>
  <c r="AE53" i="18"/>
  <c r="AI53" i="18"/>
  <c r="AM53" i="18"/>
  <c r="J52" i="18"/>
  <c r="J54" i="18" s="1"/>
  <c r="N52" i="18"/>
  <c r="R52" i="18"/>
  <c r="V52" i="18"/>
  <c r="Z52" i="18"/>
  <c r="AD52" i="18"/>
  <c r="AH52" i="18"/>
  <c r="AL52" i="18"/>
  <c r="L53" i="18"/>
  <c r="P53" i="18"/>
  <c r="T53" i="18"/>
  <c r="X53" i="18"/>
  <c r="AB53" i="18"/>
  <c r="AF53" i="18"/>
  <c r="AJ53" i="18"/>
  <c r="K52" i="18"/>
  <c r="O52" i="18"/>
  <c r="S52" i="18"/>
  <c r="W52" i="18"/>
  <c r="AA52" i="18"/>
  <c r="AE52" i="18"/>
  <c r="AI52" i="18"/>
  <c r="AM52" i="18"/>
  <c r="M53" i="18"/>
  <c r="Q53" i="18"/>
  <c r="U53" i="18"/>
  <c r="Y53" i="18"/>
  <c r="AC53" i="18"/>
  <c r="AG53" i="18"/>
  <c r="AK53" i="18"/>
  <c r="K48" i="18"/>
  <c r="AJ49" i="18"/>
  <c r="AF49" i="18"/>
  <c r="AB49" i="18"/>
  <c r="X49" i="18"/>
  <c r="T49" i="18"/>
  <c r="P49" i="18"/>
  <c r="AM48" i="18"/>
  <c r="AI48" i="18"/>
  <c r="AE48" i="18"/>
  <c r="AA48" i="18"/>
  <c r="W48" i="18"/>
  <c r="S48" i="18"/>
  <c r="O48" i="18"/>
  <c r="J48" i="18"/>
  <c r="J50" i="18" s="1"/>
  <c r="L49" i="18"/>
  <c r="AM49" i="18"/>
  <c r="AI49" i="18"/>
  <c r="AE49" i="18"/>
  <c r="AA49" i="18"/>
  <c r="W49" i="18"/>
  <c r="S49" i="18"/>
  <c r="O49" i="18"/>
  <c r="AL48" i="18"/>
  <c r="AH48" i="18"/>
  <c r="AD48" i="18"/>
  <c r="Z48" i="18"/>
  <c r="V48" i="18"/>
  <c r="R48" i="18"/>
  <c r="N48" i="18"/>
  <c r="J49" i="18"/>
  <c r="L48" i="18"/>
  <c r="AL49" i="18"/>
  <c r="AH49" i="18"/>
  <c r="AD49" i="18"/>
  <c r="Z49" i="18"/>
  <c r="V49" i="18"/>
  <c r="R49" i="18"/>
  <c r="N49" i="18"/>
  <c r="AK48" i="18"/>
  <c r="AG48" i="18"/>
  <c r="AC48" i="18"/>
  <c r="Y48" i="18"/>
  <c r="U48" i="18"/>
  <c r="Q48" i="18"/>
  <c r="M48" i="18"/>
  <c r="H48" i="18"/>
  <c r="K49" i="18"/>
  <c r="AK49" i="18"/>
  <c r="AG49" i="18"/>
  <c r="AC49" i="18"/>
  <c r="Y49" i="18"/>
  <c r="U49" i="18"/>
  <c r="Q49" i="18"/>
  <c r="M49" i="18"/>
  <c r="AJ48" i="18"/>
  <c r="AF48" i="18"/>
  <c r="AB48" i="18"/>
  <c r="X48" i="18"/>
  <c r="T48" i="18"/>
  <c r="K46" i="18"/>
  <c r="L46" i="18" s="1"/>
  <c r="M46" i="18" s="1"/>
  <c r="N46" i="18" s="1"/>
  <c r="O46" i="18" s="1"/>
  <c r="P46" i="18" s="1"/>
  <c r="Q46" i="18" s="1"/>
  <c r="R46" i="18" s="1"/>
  <c r="S46" i="18" s="1"/>
  <c r="T46" i="18" s="1"/>
  <c r="U46" i="18" s="1"/>
  <c r="V46" i="18" s="1"/>
  <c r="W46" i="18" s="1"/>
  <c r="X46" i="18" s="1"/>
  <c r="Y46" i="18" s="1"/>
  <c r="Z46" i="18" s="1"/>
  <c r="AA46" i="18" s="1"/>
  <c r="AB46" i="18" s="1"/>
  <c r="AC46" i="18" s="1"/>
  <c r="AD46" i="18" s="1"/>
  <c r="AE46" i="18" s="1"/>
  <c r="AF46" i="18" s="1"/>
  <c r="AG46" i="18" s="1"/>
  <c r="AH46" i="18" s="1"/>
  <c r="AI46" i="18" s="1"/>
  <c r="AJ46" i="18" s="1"/>
  <c r="AK46" i="18" s="1"/>
  <c r="AL46" i="18" s="1"/>
  <c r="AM46" i="18" s="1"/>
  <c r="AN46" i="18" s="1"/>
  <c r="AO46" i="18" s="1"/>
  <c r="AP46" i="18" s="1"/>
  <c r="AQ46" i="18" s="1"/>
  <c r="AR46" i="18" s="1"/>
  <c r="AS46" i="18" s="1"/>
  <c r="AT46" i="18" s="1"/>
  <c r="AU46" i="18" s="1"/>
  <c r="H79" i="15"/>
  <c r="I97" i="5"/>
  <c r="H94" i="5"/>
  <c r="BL97" i="5"/>
  <c r="H97" i="5"/>
  <c r="W97" i="5"/>
  <c r="W88" i="5"/>
  <c r="W91" i="5"/>
  <c r="BL88" i="5"/>
  <c r="H88" i="5"/>
  <c r="I88" i="5"/>
  <c r="H91" i="5"/>
  <c r="BL91" i="5"/>
  <c r="BL85" i="5"/>
  <c r="W85" i="5"/>
  <c r="I85" i="5"/>
  <c r="H85" i="5"/>
  <c r="W82" i="5"/>
  <c r="H82" i="5"/>
  <c r="AA41" i="5"/>
  <c r="AA40" i="5"/>
  <c r="AA39" i="5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1" i="5"/>
  <c r="AA10" i="5"/>
  <c r="AA9" i="5"/>
  <c r="AA8" i="5"/>
  <c r="AA7" i="5"/>
  <c r="AA6" i="5"/>
  <c r="AA5" i="5"/>
  <c r="AA60" i="5" l="1"/>
  <c r="AA68" i="5"/>
  <c r="AA95" i="5" a="1"/>
  <c r="AA95" i="5" s="1"/>
  <c r="AA43" i="5"/>
  <c r="AA44" i="5"/>
  <c r="AA63" i="5"/>
  <c r="AA69" i="5" a="1"/>
  <c r="AA69" i="5" s="1"/>
  <c r="AA98" i="5" a="1"/>
  <c r="AA98" i="5" s="1"/>
  <c r="AA53" i="5" a="1"/>
  <c r="AA53" i="5" s="1"/>
  <c r="AA92" i="5" a="1"/>
  <c r="AA92" i="5" s="1"/>
  <c r="AA83" i="5" a="1"/>
  <c r="AA83" i="5" s="1"/>
  <c r="AA71" i="5"/>
  <c r="AA79" i="5"/>
  <c r="AA64" i="5" a="1"/>
  <c r="AA64" i="5" s="1"/>
  <c r="AA86" i="5" a="1"/>
  <c r="AA86" i="5" s="1"/>
  <c r="AA55" i="5"/>
  <c r="AA80" i="5" a="1"/>
  <c r="AA80" i="5" s="1"/>
  <c r="AA77" i="5" a="1"/>
  <c r="AA77" i="5" s="1"/>
  <c r="AA72" i="5" a="1"/>
  <c r="AA72" i="5" s="1"/>
  <c r="AA89" i="5" a="1"/>
  <c r="AA89" i="5" s="1"/>
  <c r="AA50" i="5" a="1"/>
  <c r="AA50" i="5" s="1"/>
  <c r="AA49" i="5"/>
  <c r="AA76" i="5"/>
  <c r="AA61" i="5" a="1"/>
  <c r="AA61" i="5" s="1"/>
  <c r="AA47" i="5" a="1"/>
  <c r="AA47" i="5" s="1"/>
  <c r="AA46" i="5"/>
  <c r="AA52" i="5"/>
  <c r="AA56" i="5" a="1"/>
  <c r="AA56" i="5" s="1"/>
  <c r="K66" i="18"/>
  <c r="L66" i="18" s="1"/>
  <c r="M66" i="18" s="1"/>
  <c r="N66" i="18" s="1"/>
  <c r="O66" i="18" s="1"/>
  <c r="P66" i="18" s="1"/>
  <c r="Q66" i="18" s="1"/>
  <c r="R66" i="18" s="1"/>
  <c r="S66" i="18" s="1"/>
  <c r="T66" i="18" s="1"/>
  <c r="U66" i="18" s="1"/>
  <c r="V66" i="18" s="1"/>
  <c r="W66" i="18" s="1"/>
  <c r="X66" i="18" s="1"/>
  <c r="Y66" i="18" s="1"/>
  <c r="Z66" i="18" s="1"/>
  <c r="AA66" i="18" s="1"/>
  <c r="AB66" i="18" s="1"/>
  <c r="AC66" i="18" s="1"/>
  <c r="AD66" i="18" s="1"/>
  <c r="AE66" i="18" s="1"/>
  <c r="AF66" i="18" s="1"/>
  <c r="AG66" i="18" s="1"/>
  <c r="AH66" i="18" s="1"/>
  <c r="AI66" i="18" s="1"/>
  <c r="AJ66" i="18" s="1"/>
  <c r="AK66" i="18" s="1"/>
  <c r="AL66" i="18" s="1"/>
  <c r="AM66" i="18" s="1"/>
  <c r="AN66" i="18" s="1"/>
  <c r="AO66" i="18" s="1"/>
  <c r="AP66" i="18" s="1"/>
  <c r="AQ66" i="18" s="1"/>
  <c r="AR66" i="18" s="1"/>
  <c r="AS66" i="18" s="1"/>
  <c r="AT66" i="18" s="1"/>
  <c r="AU66" i="18" s="1"/>
  <c r="K70" i="18"/>
  <c r="L70" i="18" s="1"/>
  <c r="M70" i="18" s="1"/>
  <c r="N70" i="18" s="1"/>
  <c r="O70" i="18" s="1"/>
  <c r="P70" i="18" s="1"/>
  <c r="Q70" i="18" s="1"/>
  <c r="R70" i="18" s="1"/>
  <c r="S70" i="18" s="1"/>
  <c r="T70" i="18" s="1"/>
  <c r="U70" i="18" s="1"/>
  <c r="V70" i="18" s="1"/>
  <c r="W70" i="18" s="1"/>
  <c r="X70" i="18" s="1"/>
  <c r="Y70" i="18" s="1"/>
  <c r="Z70" i="18" s="1"/>
  <c r="AA70" i="18" s="1"/>
  <c r="AB70" i="18" s="1"/>
  <c r="AC70" i="18" s="1"/>
  <c r="AD70" i="18" s="1"/>
  <c r="AE70" i="18" s="1"/>
  <c r="AF70" i="18" s="1"/>
  <c r="AG70" i="18" s="1"/>
  <c r="AH70" i="18" s="1"/>
  <c r="AI70" i="18" s="1"/>
  <c r="AJ70" i="18" s="1"/>
  <c r="AK70" i="18" s="1"/>
  <c r="AL70" i="18" s="1"/>
  <c r="AM70" i="18" s="1"/>
  <c r="AN70" i="18" s="1"/>
  <c r="AO70" i="18" s="1"/>
  <c r="AP70" i="18" s="1"/>
  <c r="AQ70" i="18" s="1"/>
  <c r="AR70" i="18" s="1"/>
  <c r="AS70" i="18" s="1"/>
  <c r="AT70" i="18" s="1"/>
  <c r="AU70" i="18" s="1"/>
  <c r="K94" i="18"/>
  <c r="L94" i="18" s="1"/>
  <c r="M94" i="18" s="1"/>
  <c r="N94" i="18" s="1"/>
  <c r="O94" i="18" s="1"/>
  <c r="P94" i="18" s="1"/>
  <c r="Q94" i="18" s="1"/>
  <c r="R94" i="18" s="1"/>
  <c r="S94" i="18" s="1"/>
  <c r="T94" i="18" s="1"/>
  <c r="U94" i="18" s="1"/>
  <c r="V94" i="18" s="1"/>
  <c r="W94" i="18" s="1"/>
  <c r="X94" i="18" s="1"/>
  <c r="Y94" i="18" s="1"/>
  <c r="Z94" i="18" s="1"/>
  <c r="AA94" i="18" s="1"/>
  <c r="AB94" i="18" s="1"/>
  <c r="AC94" i="18" s="1"/>
  <c r="AD94" i="18" s="1"/>
  <c r="AE94" i="18" s="1"/>
  <c r="AF94" i="18" s="1"/>
  <c r="AG94" i="18" s="1"/>
  <c r="AH94" i="18" s="1"/>
  <c r="AI94" i="18" s="1"/>
  <c r="AJ94" i="18" s="1"/>
  <c r="AK94" i="18" s="1"/>
  <c r="AL94" i="18" s="1"/>
  <c r="AM94" i="18" s="1"/>
  <c r="AN94" i="18" s="1"/>
  <c r="AO94" i="18" s="1"/>
  <c r="AP94" i="18" s="1"/>
  <c r="AQ94" i="18" s="1"/>
  <c r="AR94" i="18" s="1"/>
  <c r="AS94" i="18" s="1"/>
  <c r="AT94" i="18" s="1"/>
  <c r="AU94" i="18" s="1"/>
  <c r="K58" i="18"/>
  <c r="L58" i="18" s="1"/>
  <c r="M58" i="18" s="1"/>
  <c r="N58" i="18" s="1"/>
  <c r="O58" i="18" s="1"/>
  <c r="P58" i="18" s="1"/>
  <c r="Q58" i="18" s="1"/>
  <c r="R58" i="18" s="1"/>
  <c r="S58" i="18" s="1"/>
  <c r="T58" i="18" s="1"/>
  <c r="U58" i="18" s="1"/>
  <c r="V58" i="18" s="1"/>
  <c r="W58" i="18" s="1"/>
  <c r="X58" i="18" s="1"/>
  <c r="Y58" i="18" s="1"/>
  <c r="Z58" i="18" s="1"/>
  <c r="AA58" i="18" s="1"/>
  <c r="AB58" i="18" s="1"/>
  <c r="AC58" i="18" s="1"/>
  <c r="AD58" i="18" s="1"/>
  <c r="AE58" i="18" s="1"/>
  <c r="AF58" i="18" s="1"/>
  <c r="AG58" i="18" s="1"/>
  <c r="AH58" i="18" s="1"/>
  <c r="AI58" i="18" s="1"/>
  <c r="AJ58" i="18" s="1"/>
  <c r="AK58" i="18" s="1"/>
  <c r="AL58" i="18" s="1"/>
  <c r="AM58" i="18" s="1"/>
  <c r="AN58" i="18" s="1"/>
  <c r="AO58" i="18" s="1"/>
  <c r="AP58" i="18" s="1"/>
  <c r="AQ58" i="18" s="1"/>
  <c r="AR58" i="18" s="1"/>
  <c r="AS58" i="18" s="1"/>
  <c r="AT58" i="18" s="1"/>
  <c r="AU58" i="18" s="1"/>
  <c r="K62" i="18"/>
  <c r="L62" i="18" s="1"/>
  <c r="M62" i="18" s="1"/>
  <c r="N62" i="18" s="1"/>
  <c r="O62" i="18" s="1"/>
  <c r="P62" i="18" s="1"/>
  <c r="Q62" i="18" s="1"/>
  <c r="R62" i="18" s="1"/>
  <c r="S62" i="18" s="1"/>
  <c r="T62" i="18" s="1"/>
  <c r="U62" i="18" s="1"/>
  <c r="V62" i="18" s="1"/>
  <c r="W62" i="18" s="1"/>
  <c r="X62" i="18" s="1"/>
  <c r="Y62" i="18" s="1"/>
  <c r="Z62" i="18" s="1"/>
  <c r="AA62" i="18" s="1"/>
  <c r="AB62" i="18" s="1"/>
  <c r="AC62" i="18" s="1"/>
  <c r="AD62" i="18" s="1"/>
  <c r="AE62" i="18" s="1"/>
  <c r="AF62" i="18" s="1"/>
  <c r="AG62" i="18" s="1"/>
  <c r="AH62" i="18" s="1"/>
  <c r="AI62" i="18" s="1"/>
  <c r="AJ62" i="18" s="1"/>
  <c r="AK62" i="18" s="1"/>
  <c r="AL62" i="18" s="1"/>
  <c r="AM62" i="18" s="1"/>
  <c r="AN62" i="18" s="1"/>
  <c r="AO62" i="18" s="1"/>
  <c r="AP62" i="18" s="1"/>
  <c r="AQ62" i="18" s="1"/>
  <c r="AR62" i="18" s="1"/>
  <c r="AS62" i="18" s="1"/>
  <c r="AT62" i="18" s="1"/>
  <c r="AU62" i="18" s="1"/>
  <c r="K74" i="18"/>
  <c r="L74" i="18" s="1"/>
  <c r="M74" i="18" s="1"/>
  <c r="N74" i="18" s="1"/>
  <c r="O74" i="18" s="1"/>
  <c r="P74" i="18" s="1"/>
  <c r="Q74" i="18" s="1"/>
  <c r="R74" i="18" s="1"/>
  <c r="S74" i="18" s="1"/>
  <c r="T74" i="18" s="1"/>
  <c r="U74" i="18" s="1"/>
  <c r="V74" i="18" s="1"/>
  <c r="W74" i="18" s="1"/>
  <c r="X74" i="18" s="1"/>
  <c r="Y74" i="18" s="1"/>
  <c r="Z74" i="18" s="1"/>
  <c r="AA74" i="18" s="1"/>
  <c r="AB74" i="18" s="1"/>
  <c r="AC74" i="18" s="1"/>
  <c r="AD74" i="18" s="1"/>
  <c r="AE74" i="18" s="1"/>
  <c r="AF74" i="18" s="1"/>
  <c r="AG74" i="18" s="1"/>
  <c r="AH74" i="18" s="1"/>
  <c r="AI74" i="18" s="1"/>
  <c r="AJ74" i="18" s="1"/>
  <c r="AK74" i="18" s="1"/>
  <c r="AL74" i="18" s="1"/>
  <c r="AM74" i="18" s="1"/>
  <c r="AN74" i="18" s="1"/>
  <c r="AO74" i="18" s="1"/>
  <c r="AP74" i="18" s="1"/>
  <c r="AQ74" i="18" s="1"/>
  <c r="AR74" i="18" s="1"/>
  <c r="AS74" i="18" s="1"/>
  <c r="AT74" i="18" s="1"/>
  <c r="AU74" i="18" s="1"/>
  <c r="K82" i="18"/>
  <c r="L82" i="18" s="1"/>
  <c r="M82" i="18" s="1"/>
  <c r="N82" i="18" s="1"/>
  <c r="O82" i="18" s="1"/>
  <c r="P82" i="18" s="1"/>
  <c r="Q82" i="18" s="1"/>
  <c r="R82" i="18" s="1"/>
  <c r="S82" i="18" s="1"/>
  <c r="T82" i="18" s="1"/>
  <c r="U82" i="18" s="1"/>
  <c r="V82" i="18" s="1"/>
  <c r="W82" i="18" s="1"/>
  <c r="X82" i="18" s="1"/>
  <c r="Y82" i="18" s="1"/>
  <c r="Z82" i="18" s="1"/>
  <c r="AA82" i="18" s="1"/>
  <c r="AB82" i="18" s="1"/>
  <c r="AC82" i="18" s="1"/>
  <c r="AD82" i="18" s="1"/>
  <c r="AE82" i="18" s="1"/>
  <c r="AF82" i="18" s="1"/>
  <c r="AG82" i="18" s="1"/>
  <c r="AH82" i="18" s="1"/>
  <c r="AI82" i="18" s="1"/>
  <c r="AJ82" i="18" s="1"/>
  <c r="AK82" i="18" s="1"/>
  <c r="AL82" i="18" s="1"/>
  <c r="AM82" i="18" s="1"/>
  <c r="AN82" i="18" s="1"/>
  <c r="AO82" i="18" s="1"/>
  <c r="AP82" i="18" s="1"/>
  <c r="AQ82" i="18" s="1"/>
  <c r="AR82" i="18" s="1"/>
  <c r="AS82" i="18" s="1"/>
  <c r="AT82" i="18" s="1"/>
  <c r="AU82" i="18" s="1"/>
  <c r="K110" i="18"/>
  <c r="L110" i="18" s="1"/>
  <c r="M110" i="18" s="1"/>
  <c r="N110" i="18" s="1"/>
  <c r="O110" i="18" s="1"/>
  <c r="P110" i="18" s="1"/>
  <c r="Q110" i="18" s="1"/>
  <c r="R110" i="18" s="1"/>
  <c r="S110" i="18" s="1"/>
  <c r="T110" i="18" s="1"/>
  <c r="U110" i="18" s="1"/>
  <c r="V110" i="18" s="1"/>
  <c r="W110" i="18" s="1"/>
  <c r="X110" i="18" s="1"/>
  <c r="Y110" i="18" s="1"/>
  <c r="Z110" i="18" s="1"/>
  <c r="AA110" i="18" s="1"/>
  <c r="AB110" i="18" s="1"/>
  <c r="AC110" i="18" s="1"/>
  <c r="AD110" i="18" s="1"/>
  <c r="AE110" i="18" s="1"/>
  <c r="AF110" i="18" s="1"/>
  <c r="AG110" i="18" s="1"/>
  <c r="AH110" i="18" s="1"/>
  <c r="AI110" i="18" s="1"/>
  <c r="AJ110" i="18" s="1"/>
  <c r="AK110" i="18" s="1"/>
  <c r="AL110" i="18" s="1"/>
  <c r="AM110" i="18" s="1"/>
  <c r="AN110" i="18" s="1"/>
  <c r="AO110" i="18" s="1"/>
  <c r="AP110" i="18" s="1"/>
  <c r="AQ110" i="18" s="1"/>
  <c r="AR110" i="18" s="1"/>
  <c r="AS110" i="18" s="1"/>
  <c r="AT110" i="18" s="1"/>
  <c r="AU110" i="18" s="1"/>
  <c r="K106" i="18"/>
  <c r="L106" i="18" s="1"/>
  <c r="M106" i="18" s="1"/>
  <c r="N106" i="18" s="1"/>
  <c r="O106" i="18" s="1"/>
  <c r="P106" i="18" s="1"/>
  <c r="Q106" i="18" s="1"/>
  <c r="R106" i="18" s="1"/>
  <c r="S106" i="18" s="1"/>
  <c r="T106" i="18" s="1"/>
  <c r="U106" i="18" s="1"/>
  <c r="V106" i="18" s="1"/>
  <c r="W106" i="18" s="1"/>
  <c r="X106" i="18" s="1"/>
  <c r="Y106" i="18" s="1"/>
  <c r="Z106" i="18" s="1"/>
  <c r="AA106" i="18" s="1"/>
  <c r="AB106" i="18" s="1"/>
  <c r="AC106" i="18" s="1"/>
  <c r="AD106" i="18" s="1"/>
  <c r="AE106" i="18" s="1"/>
  <c r="AF106" i="18" s="1"/>
  <c r="AG106" i="18" s="1"/>
  <c r="AH106" i="18" s="1"/>
  <c r="AI106" i="18" s="1"/>
  <c r="AJ106" i="18" s="1"/>
  <c r="AK106" i="18" s="1"/>
  <c r="AL106" i="18" s="1"/>
  <c r="AM106" i="18" s="1"/>
  <c r="AN106" i="18" s="1"/>
  <c r="AO106" i="18" s="1"/>
  <c r="AP106" i="18" s="1"/>
  <c r="AQ106" i="18" s="1"/>
  <c r="AR106" i="18" s="1"/>
  <c r="AS106" i="18" s="1"/>
  <c r="AT106" i="18" s="1"/>
  <c r="AU106" i="18" s="1"/>
  <c r="K102" i="18"/>
  <c r="L102" i="18" s="1"/>
  <c r="M102" i="18" s="1"/>
  <c r="N102" i="18" s="1"/>
  <c r="O102" i="18" s="1"/>
  <c r="P102" i="18" s="1"/>
  <c r="Q102" i="18" s="1"/>
  <c r="R102" i="18" s="1"/>
  <c r="S102" i="18" s="1"/>
  <c r="T102" i="18" s="1"/>
  <c r="U102" i="18" s="1"/>
  <c r="V102" i="18" s="1"/>
  <c r="W102" i="18" s="1"/>
  <c r="X102" i="18" s="1"/>
  <c r="Y102" i="18" s="1"/>
  <c r="Z102" i="18" s="1"/>
  <c r="AA102" i="18" s="1"/>
  <c r="AB102" i="18" s="1"/>
  <c r="AC102" i="18" s="1"/>
  <c r="AD102" i="18" s="1"/>
  <c r="AE102" i="18" s="1"/>
  <c r="AF102" i="18" s="1"/>
  <c r="AG102" i="18" s="1"/>
  <c r="AH102" i="18" s="1"/>
  <c r="AI102" i="18" s="1"/>
  <c r="AJ102" i="18" s="1"/>
  <c r="AK102" i="18" s="1"/>
  <c r="AL102" i="18" s="1"/>
  <c r="AM102" i="18" s="1"/>
  <c r="AN102" i="18" s="1"/>
  <c r="AO102" i="18" s="1"/>
  <c r="AP102" i="18" s="1"/>
  <c r="AQ102" i="18" s="1"/>
  <c r="AR102" i="18" s="1"/>
  <c r="AS102" i="18" s="1"/>
  <c r="AT102" i="18" s="1"/>
  <c r="AU102" i="18" s="1"/>
  <c r="K98" i="18"/>
  <c r="L98" i="18" s="1"/>
  <c r="M98" i="18" s="1"/>
  <c r="N98" i="18" s="1"/>
  <c r="O98" i="18" s="1"/>
  <c r="P98" i="18" s="1"/>
  <c r="Q98" i="18" s="1"/>
  <c r="R98" i="18" s="1"/>
  <c r="S98" i="18" s="1"/>
  <c r="T98" i="18" s="1"/>
  <c r="U98" i="18" s="1"/>
  <c r="V98" i="18" s="1"/>
  <c r="W98" i="18" s="1"/>
  <c r="X98" i="18" s="1"/>
  <c r="Y98" i="18" s="1"/>
  <c r="Z98" i="18" s="1"/>
  <c r="AA98" i="18" s="1"/>
  <c r="AB98" i="18" s="1"/>
  <c r="AC98" i="18" s="1"/>
  <c r="AD98" i="18" s="1"/>
  <c r="AE98" i="18" s="1"/>
  <c r="AF98" i="18" s="1"/>
  <c r="AG98" i="18" s="1"/>
  <c r="AH98" i="18" s="1"/>
  <c r="AI98" i="18" s="1"/>
  <c r="AJ98" i="18" s="1"/>
  <c r="AK98" i="18" s="1"/>
  <c r="AL98" i="18" s="1"/>
  <c r="AM98" i="18" s="1"/>
  <c r="AN98" i="18" s="1"/>
  <c r="AO98" i="18" s="1"/>
  <c r="AP98" i="18" s="1"/>
  <c r="AQ98" i="18" s="1"/>
  <c r="AR98" i="18" s="1"/>
  <c r="AS98" i="18" s="1"/>
  <c r="AT98" i="18" s="1"/>
  <c r="AU98" i="18" s="1"/>
  <c r="K90" i="18"/>
  <c r="L90" i="18" s="1"/>
  <c r="M90" i="18" s="1"/>
  <c r="N90" i="18" s="1"/>
  <c r="O90" i="18" s="1"/>
  <c r="P90" i="18" s="1"/>
  <c r="Q90" i="18" s="1"/>
  <c r="R90" i="18" s="1"/>
  <c r="S90" i="18" s="1"/>
  <c r="T90" i="18" s="1"/>
  <c r="U90" i="18" s="1"/>
  <c r="V90" i="18" s="1"/>
  <c r="W90" i="18" s="1"/>
  <c r="X90" i="18" s="1"/>
  <c r="Y90" i="18" s="1"/>
  <c r="Z90" i="18" s="1"/>
  <c r="AA90" i="18" s="1"/>
  <c r="AB90" i="18" s="1"/>
  <c r="AC90" i="18" s="1"/>
  <c r="AD90" i="18" s="1"/>
  <c r="AE90" i="18" s="1"/>
  <c r="AF90" i="18" s="1"/>
  <c r="AG90" i="18" s="1"/>
  <c r="AH90" i="18" s="1"/>
  <c r="AI90" i="18" s="1"/>
  <c r="AJ90" i="18" s="1"/>
  <c r="AK90" i="18" s="1"/>
  <c r="AL90" i="18" s="1"/>
  <c r="AM90" i="18" s="1"/>
  <c r="AN90" i="18" s="1"/>
  <c r="AO90" i="18" s="1"/>
  <c r="AP90" i="18" s="1"/>
  <c r="AQ90" i="18" s="1"/>
  <c r="AR90" i="18" s="1"/>
  <c r="AS90" i="18" s="1"/>
  <c r="AT90" i="18" s="1"/>
  <c r="AU90" i="18" s="1"/>
  <c r="K86" i="18"/>
  <c r="L86" i="18" s="1"/>
  <c r="M86" i="18" s="1"/>
  <c r="N86" i="18" s="1"/>
  <c r="O86" i="18" s="1"/>
  <c r="P86" i="18" s="1"/>
  <c r="Q86" i="18" s="1"/>
  <c r="R86" i="18" s="1"/>
  <c r="S86" i="18" s="1"/>
  <c r="T86" i="18" s="1"/>
  <c r="U86" i="18" s="1"/>
  <c r="V86" i="18" s="1"/>
  <c r="W86" i="18" s="1"/>
  <c r="X86" i="18" s="1"/>
  <c r="Y86" i="18" s="1"/>
  <c r="Z86" i="18" s="1"/>
  <c r="AA86" i="18" s="1"/>
  <c r="AB86" i="18" s="1"/>
  <c r="AC86" i="18" s="1"/>
  <c r="AD86" i="18" s="1"/>
  <c r="AE86" i="18" s="1"/>
  <c r="AF86" i="18" s="1"/>
  <c r="AG86" i="18" s="1"/>
  <c r="AH86" i="18" s="1"/>
  <c r="AI86" i="18" s="1"/>
  <c r="AJ86" i="18" s="1"/>
  <c r="AK86" i="18" s="1"/>
  <c r="AL86" i="18" s="1"/>
  <c r="AM86" i="18" s="1"/>
  <c r="AN86" i="18" s="1"/>
  <c r="AO86" i="18" s="1"/>
  <c r="AP86" i="18" s="1"/>
  <c r="AQ86" i="18" s="1"/>
  <c r="AR86" i="18" s="1"/>
  <c r="AS86" i="18" s="1"/>
  <c r="AT86" i="18" s="1"/>
  <c r="AU86" i="18" s="1"/>
  <c r="K78" i="18"/>
  <c r="L78" i="18" s="1"/>
  <c r="M78" i="18" s="1"/>
  <c r="N78" i="18" s="1"/>
  <c r="O78" i="18" s="1"/>
  <c r="P78" i="18" s="1"/>
  <c r="Q78" i="18" s="1"/>
  <c r="R78" i="18" s="1"/>
  <c r="S78" i="18" s="1"/>
  <c r="T78" i="18" s="1"/>
  <c r="U78" i="18" s="1"/>
  <c r="V78" i="18" s="1"/>
  <c r="W78" i="18" s="1"/>
  <c r="X78" i="18" s="1"/>
  <c r="Y78" i="18" s="1"/>
  <c r="Z78" i="18" s="1"/>
  <c r="AA78" i="18" s="1"/>
  <c r="AB78" i="18" s="1"/>
  <c r="AC78" i="18" s="1"/>
  <c r="AD78" i="18" s="1"/>
  <c r="AE78" i="18" s="1"/>
  <c r="AF78" i="18" s="1"/>
  <c r="AG78" i="18" s="1"/>
  <c r="AH78" i="18" s="1"/>
  <c r="AI78" i="18" s="1"/>
  <c r="AJ78" i="18" s="1"/>
  <c r="AK78" i="18" s="1"/>
  <c r="AL78" i="18" s="1"/>
  <c r="AM78" i="18" s="1"/>
  <c r="AN78" i="18" s="1"/>
  <c r="AO78" i="18" s="1"/>
  <c r="AP78" i="18" s="1"/>
  <c r="AQ78" i="18" s="1"/>
  <c r="AR78" i="18" s="1"/>
  <c r="AS78" i="18" s="1"/>
  <c r="AT78" i="18" s="1"/>
  <c r="AU78" i="18" s="1"/>
  <c r="K54" i="18"/>
  <c r="L54" i="18" s="1"/>
  <c r="M54" i="18" s="1"/>
  <c r="N54" i="18" s="1"/>
  <c r="O54" i="18" s="1"/>
  <c r="P54" i="18" s="1"/>
  <c r="Q54" i="18" s="1"/>
  <c r="R54" i="18" s="1"/>
  <c r="S54" i="18" s="1"/>
  <c r="T54" i="18" s="1"/>
  <c r="U54" i="18" s="1"/>
  <c r="V54" i="18" s="1"/>
  <c r="W54" i="18" s="1"/>
  <c r="X54" i="18" s="1"/>
  <c r="Y54" i="18" s="1"/>
  <c r="Z54" i="18" s="1"/>
  <c r="AA54" i="18" s="1"/>
  <c r="AB54" i="18" s="1"/>
  <c r="AC54" i="18" s="1"/>
  <c r="AD54" i="18" s="1"/>
  <c r="AE54" i="18" s="1"/>
  <c r="AF54" i="18" s="1"/>
  <c r="AG54" i="18" s="1"/>
  <c r="AH54" i="18" s="1"/>
  <c r="AI54" i="18" s="1"/>
  <c r="AJ54" i="18" s="1"/>
  <c r="AK54" i="18" s="1"/>
  <c r="AL54" i="18" s="1"/>
  <c r="AM54" i="18" s="1"/>
  <c r="AN54" i="18" s="1"/>
  <c r="AO54" i="18" s="1"/>
  <c r="AP54" i="18" s="1"/>
  <c r="AQ54" i="18" s="1"/>
  <c r="AR54" i="18" s="1"/>
  <c r="AS54" i="18" s="1"/>
  <c r="AT54" i="18" s="1"/>
  <c r="AU54" i="18" s="1"/>
  <c r="K50" i="18"/>
  <c r="L50" i="18" s="1"/>
  <c r="M50" i="18" s="1"/>
  <c r="N50" i="18" s="1"/>
  <c r="O50" i="18" s="1"/>
  <c r="P50" i="18" s="1"/>
  <c r="Q50" i="18" s="1"/>
  <c r="R50" i="18" s="1"/>
  <c r="S50" i="18" s="1"/>
  <c r="T50" i="18" s="1"/>
  <c r="U50" i="18" s="1"/>
  <c r="V50" i="18" s="1"/>
  <c r="W50" i="18" s="1"/>
  <c r="X50" i="18" s="1"/>
  <c r="Y50" i="18" s="1"/>
  <c r="Z50" i="18" s="1"/>
  <c r="AA50" i="18" s="1"/>
  <c r="AB50" i="18" s="1"/>
  <c r="AC50" i="18" s="1"/>
  <c r="AD50" i="18" s="1"/>
  <c r="AE50" i="18" s="1"/>
  <c r="AF50" i="18" s="1"/>
  <c r="AG50" i="18" s="1"/>
  <c r="AH50" i="18" s="1"/>
  <c r="AI50" i="18" s="1"/>
  <c r="AJ50" i="18" s="1"/>
  <c r="AK50" i="18" s="1"/>
  <c r="AL50" i="18" s="1"/>
  <c r="AM50" i="18" s="1"/>
  <c r="AN50" i="18" s="1"/>
  <c r="AO50" i="18" s="1"/>
  <c r="AP50" i="18" s="1"/>
  <c r="AQ50" i="18" s="1"/>
  <c r="AR50" i="18" s="1"/>
  <c r="AS50" i="18" s="1"/>
  <c r="AT50" i="18" s="1"/>
  <c r="AU50" i="18" s="1"/>
  <c r="G7" i="14" a="1"/>
  <c r="G7" i="14" s="1"/>
  <c r="G8" i="14" a="1"/>
  <c r="G8" i="14" s="1"/>
  <c r="G9" i="14" a="1"/>
  <c r="G9" i="14" s="1"/>
  <c r="G10" i="14" a="1"/>
  <c r="G10" i="14" s="1"/>
  <c r="G11" i="14" a="1"/>
  <c r="G11" i="14" s="1"/>
  <c r="G12" i="14" a="1"/>
  <c r="G12" i="14" s="1"/>
  <c r="G13" i="14" a="1"/>
  <c r="G13" i="14" s="1"/>
  <c r="G14" i="14" a="1"/>
  <c r="G14" i="14" s="1"/>
  <c r="G15" i="14" a="1"/>
  <c r="G15" i="14" s="1"/>
  <c r="G6" i="14" a="1"/>
  <c r="G6" i="14" s="1"/>
  <c r="F7" i="14"/>
  <c r="F8" i="14"/>
  <c r="F9" i="14"/>
  <c r="F10" i="14"/>
  <c r="F11" i="14"/>
  <c r="F12" i="14"/>
  <c r="F13" i="14"/>
  <c r="F14" i="14"/>
  <c r="F15" i="14"/>
  <c r="F6" i="14"/>
  <c r="Z41" i="5"/>
  <c r="Z40" i="5"/>
  <c r="Z39" i="5"/>
  <c r="Z38" i="5"/>
  <c r="Z37" i="5"/>
  <c r="Z36" i="5"/>
  <c r="Z35" i="5"/>
  <c r="Z34" i="5"/>
  <c r="Z33" i="5"/>
  <c r="Z32" i="5"/>
  <c r="Z31" i="5"/>
  <c r="Z30" i="5"/>
  <c r="Z29" i="5"/>
  <c r="Z28" i="5"/>
  <c r="Z27" i="5"/>
  <c r="Z26" i="5"/>
  <c r="Z25" i="5"/>
  <c r="Z24" i="5"/>
  <c r="Z23" i="5"/>
  <c r="Z22" i="5"/>
  <c r="Z21" i="5"/>
  <c r="Z20" i="5"/>
  <c r="Z19" i="5"/>
  <c r="Z18" i="5"/>
  <c r="Z17" i="5"/>
  <c r="Z16" i="5"/>
  <c r="Z15" i="5"/>
  <c r="Z14" i="5"/>
  <c r="Z13" i="5"/>
  <c r="Z12" i="5"/>
  <c r="Z11" i="5"/>
  <c r="Z10" i="5"/>
  <c r="Z9" i="5"/>
  <c r="Z8" i="5"/>
  <c r="Z7" i="5"/>
  <c r="Z6" i="5"/>
  <c r="Z5" i="5"/>
  <c r="M41" i="5"/>
  <c r="BP41" i="5" s="1"/>
  <c r="M40" i="5"/>
  <c r="M39" i="5"/>
  <c r="BP39" i="5" s="1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6" i="5"/>
  <c r="M7" i="5"/>
  <c r="M8" i="5"/>
  <c r="M9" i="5"/>
  <c r="BP9" i="5" s="1"/>
  <c r="M10" i="5"/>
  <c r="M11" i="5"/>
  <c r="M12" i="5"/>
  <c r="M13" i="5"/>
  <c r="M14" i="5"/>
  <c r="M15" i="5"/>
  <c r="M16" i="5"/>
  <c r="M5" i="5"/>
  <c r="Q15" i="5"/>
  <c r="Q23" i="5"/>
  <c r="Q19" i="5"/>
  <c r="Q18" i="5"/>
  <c r="Q52" i="5" s="1"/>
  <c r="Q17" i="5"/>
  <c r="Q32" i="5"/>
  <c r="Q28" i="5"/>
  <c r="Q27" i="5"/>
  <c r="Q63" i="5" s="1"/>
  <c r="Y41" i="5"/>
  <c r="Y40" i="5"/>
  <c r="Y39" i="5"/>
  <c r="Y38" i="5"/>
  <c r="Y37" i="5"/>
  <c r="Y36" i="5"/>
  <c r="Y35" i="5"/>
  <c r="Y34" i="5"/>
  <c r="Y33" i="5"/>
  <c r="Y32" i="5"/>
  <c r="Y31" i="5"/>
  <c r="Y30" i="5"/>
  <c r="Y29" i="5"/>
  <c r="Y28" i="5"/>
  <c r="Y27" i="5"/>
  <c r="Y26" i="5"/>
  <c r="Y25" i="5"/>
  <c r="Y24" i="5"/>
  <c r="Y23" i="5"/>
  <c r="Y22" i="5"/>
  <c r="Y21" i="5"/>
  <c r="Y20" i="5"/>
  <c r="Y19" i="5"/>
  <c r="Y18" i="5"/>
  <c r="Y17" i="5"/>
  <c r="Y16" i="5"/>
  <c r="Y15" i="5"/>
  <c r="Y14" i="5"/>
  <c r="Y13" i="5"/>
  <c r="Y12" i="5"/>
  <c r="Y11" i="5"/>
  <c r="Y10" i="5"/>
  <c r="Y9" i="5"/>
  <c r="Y8" i="5"/>
  <c r="Y7" i="5"/>
  <c r="Y6" i="5"/>
  <c r="Y5" i="5"/>
  <c r="BO11" i="5" l="1"/>
  <c r="BO19" i="5"/>
  <c r="BO24" i="5"/>
  <c r="BO31" i="5"/>
  <c r="BO35" i="5"/>
  <c r="BO39" i="5"/>
  <c r="DB50" i="5"/>
  <c r="DA50" i="5"/>
  <c r="DA53" i="5"/>
  <c r="DE53" i="5"/>
  <c r="DD53" i="5"/>
  <c r="DD50" i="5"/>
  <c r="DC50" i="5"/>
  <c r="DG50" i="5"/>
  <c r="DF50" i="5"/>
  <c r="DE50" i="5"/>
  <c r="Y71" i="5"/>
  <c r="BP8" i="5"/>
  <c r="Y55" i="5"/>
  <c r="Y49" i="5"/>
  <c r="Q68" i="5"/>
  <c r="BO18" i="5"/>
  <c r="BO23" i="5"/>
  <c r="BO27" i="5"/>
  <c r="BO30" i="5"/>
  <c r="BO34" i="5"/>
  <c r="BO38" i="5"/>
  <c r="BO41" i="5"/>
  <c r="BP13" i="5"/>
  <c r="BP16" i="5"/>
  <c r="BP18" i="5"/>
  <c r="BP38" i="5"/>
  <c r="BP35" i="5"/>
  <c r="BP11" i="5"/>
  <c r="BP21" i="5"/>
  <c r="BP30" i="5"/>
  <c r="BP27" i="5"/>
  <c r="BP37" i="5"/>
  <c r="BP24" i="5"/>
  <c r="BP5" i="5"/>
  <c r="CM20" i="5"/>
  <c r="CQ20" i="5"/>
  <c r="CU20" i="5"/>
  <c r="CY20" i="5"/>
  <c r="CN20" i="5"/>
  <c r="CR20" i="5"/>
  <c r="CV20" i="5"/>
  <c r="CO20" i="5"/>
  <c r="CW20" i="5"/>
  <c r="CS20" i="5"/>
  <c r="BZ20" i="5"/>
  <c r="CT20" i="5"/>
  <c r="CP20" i="5"/>
  <c r="CL20" i="5"/>
  <c r="CX20" i="5"/>
  <c r="CK20" i="5"/>
  <c r="CJ20" i="5"/>
  <c r="CI20" i="5"/>
  <c r="CH20" i="5"/>
  <c r="CG20" i="5"/>
  <c r="CF20" i="5"/>
  <c r="CE20" i="5"/>
  <c r="CD20" i="5"/>
  <c r="CC20" i="5"/>
  <c r="CB20" i="5"/>
  <c r="CA20" i="5"/>
  <c r="BY20" i="5"/>
  <c r="BX20" i="5"/>
  <c r="BW20" i="5"/>
  <c r="BV20" i="5"/>
  <c r="BU20" i="5"/>
  <c r="BT20" i="5"/>
  <c r="BS20" i="5"/>
  <c r="BR20" i="5"/>
  <c r="BQ20" i="5"/>
  <c r="CE22" i="5"/>
  <c r="CI22" i="5"/>
  <c r="CM22" i="5"/>
  <c r="CQ22" i="5"/>
  <c r="CU22" i="5"/>
  <c r="CY22" i="5"/>
  <c r="CB22" i="5"/>
  <c r="CF22" i="5"/>
  <c r="CJ22" i="5"/>
  <c r="CN22" i="5"/>
  <c r="CR22" i="5"/>
  <c r="CV22" i="5"/>
  <c r="CD22" i="5"/>
  <c r="CL22" i="5"/>
  <c r="CT22" i="5"/>
  <c r="CC22" i="5"/>
  <c r="CK22" i="5"/>
  <c r="CS22" i="5"/>
  <c r="CP22" i="5"/>
  <c r="CH22" i="5"/>
  <c r="CG22" i="5"/>
  <c r="CW22" i="5"/>
  <c r="CX22" i="5"/>
  <c r="CO22" i="5"/>
  <c r="CA22" i="5"/>
  <c r="BZ22" i="5"/>
  <c r="BY22" i="5"/>
  <c r="BX22" i="5"/>
  <c r="BW22" i="5"/>
  <c r="BT22" i="5"/>
  <c r="BV22" i="5"/>
  <c r="BU22" i="5"/>
  <c r="BS22" i="5"/>
  <c r="BR22" i="5"/>
  <c r="BQ22" i="5"/>
  <c r="CA28" i="5"/>
  <c r="CY28" i="5"/>
  <c r="CV28" i="5"/>
  <c r="BV28" i="5"/>
  <c r="BU28" i="5"/>
  <c r="CX28" i="5"/>
  <c r="BZ28" i="5"/>
  <c r="CW28" i="5"/>
  <c r="CS28" i="5"/>
  <c r="CU28" i="5"/>
  <c r="CT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BY28" i="5"/>
  <c r="BX28" i="5"/>
  <c r="BW28" i="5"/>
  <c r="BT28" i="5"/>
  <c r="BS28" i="5"/>
  <c r="BR28" i="5"/>
  <c r="BQ28" i="5"/>
  <c r="CD36" i="5"/>
  <c r="CH36" i="5"/>
  <c r="CL36" i="5"/>
  <c r="CP36" i="5"/>
  <c r="CT36" i="5"/>
  <c r="CX36" i="5"/>
  <c r="BU36" i="5"/>
  <c r="CC36" i="5"/>
  <c r="CG36" i="5"/>
  <c r="CK36" i="5"/>
  <c r="CO36" i="5"/>
  <c r="CS36" i="5"/>
  <c r="CW36" i="5"/>
  <c r="CB36" i="5"/>
  <c r="CJ36" i="5"/>
  <c r="CR36" i="5"/>
  <c r="CV36" i="5"/>
  <c r="CY36" i="5"/>
  <c r="CE36" i="5"/>
  <c r="CM36" i="5"/>
  <c r="CU36" i="5"/>
  <c r="CF36" i="5"/>
  <c r="CN36" i="5"/>
  <c r="CI36" i="5"/>
  <c r="CQ36" i="5"/>
  <c r="CA36" i="5"/>
  <c r="BZ36" i="5"/>
  <c r="BY36" i="5"/>
  <c r="BX36" i="5"/>
  <c r="BW36" i="5"/>
  <c r="BT36" i="5"/>
  <c r="BV36" i="5"/>
  <c r="BS36" i="5"/>
  <c r="BR36" i="5"/>
  <c r="BQ36" i="5"/>
  <c r="BO6" i="5"/>
  <c r="Z55" i="5"/>
  <c r="BO14" i="5"/>
  <c r="BP28" i="5"/>
  <c r="Y79" i="5"/>
  <c r="Y76" i="5"/>
  <c r="CO5" i="5"/>
  <c r="CS5" i="5"/>
  <c r="CW5" i="5"/>
  <c r="CL5" i="5"/>
  <c r="CP5" i="5"/>
  <c r="CT5" i="5"/>
  <c r="CX5" i="5"/>
  <c r="CN5" i="5"/>
  <c r="CV5" i="5"/>
  <c r="CM5" i="5"/>
  <c r="CU5" i="5"/>
  <c r="CQ5" i="5"/>
  <c r="CR5" i="5"/>
  <c r="CY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T5" i="5"/>
  <c r="BU5" i="5"/>
  <c r="BV5" i="5"/>
  <c r="BS5" i="5"/>
  <c r="BR5" i="5"/>
  <c r="BQ5" i="5"/>
  <c r="BZ13" i="5"/>
  <c r="CD13" i="5"/>
  <c r="CH13" i="5"/>
  <c r="CL13" i="5"/>
  <c r="CP13" i="5"/>
  <c r="CT13" i="5"/>
  <c r="CX13" i="5"/>
  <c r="CA13" i="5"/>
  <c r="CE13" i="5"/>
  <c r="CI13" i="5"/>
  <c r="CM13" i="5"/>
  <c r="CQ13" i="5"/>
  <c r="CU13" i="5"/>
  <c r="CY13" i="5"/>
  <c r="CC13" i="5"/>
  <c r="CK13" i="5"/>
  <c r="CS13" i="5"/>
  <c r="CB13" i="5"/>
  <c r="CJ13" i="5"/>
  <c r="CR13" i="5"/>
  <c r="CO13" i="5"/>
  <c r="CF13" i="5"/>
  <c r="CV13" i="5"/>
  <c r="CW13" i="5"/>
  <c r="CG13" i="5"/>
  <c r="CN13" i="5"/>
  <c r="BY13" i="5"/>
  <c r="BX13" i="5"/>
  <c r="BW13" i="5"/>
  <c r="BT13" i="5"/>
  <c r="BU13" i="5"/>
  <c r="BV13" i="5"/>
  <c r="BS13" i="5"/>
  <c r="BR13" i="5"/>
  <c r="BQ13" i="5"/>
  <c r="BZ10" i="5"/>
  <c r="CD10" i="5"/>
  <c r="CH10" i="5"/>
  <c r="CL10" i="5"/>
  <c r="CP10" i="5"/>
  <c r="CT10" i="5"/>
  <c r="CX10" i="5"/>
  <c r="BY10" i="5"/>
  <c r="CC10" i="5"/>
  <c r="CG10" i="5"/>
  <c r="CK10" i="5"/>
  <c r="CO10" i="5"/>
  <c r="CS10" i="5"/>
  <c r="CW10" i="5"/>
  <c r="CF10" i="5"/>
  <c r="CN10" i="5"/>
  <c r="CV10" i="5"/>
  <c r="CA10" i="5"/>
  <c r="CI10" i="5"/>
  <c r="CQ10" i="5"/>
  <c r="CY10" i="5"/>
  <c r="CM10" i="5"/>
  <c r="CJ10" i="5"/>
  <c r="CE10" i="5"/>
  <c r="CR10" i="5"/>
  <c r="CB10" i="5"/>
  <c r="CU10" i="5"/>
  <c r="BX10" i="5"/>
  <c r="BW10" i="5"/>
  <c r="BT10" i="5"/>
  <c r="BU10" i="5"/>
  <c r="BV10" i="5"/>
  <c r="BS10" i="5"/>
  <c r="BR10" i="5"/>
  <c r="BQ10" i="5"/>
  <c r="CD17" i="5"/>
  <c r="CH17" i="5"/>
  <c r="CL17" i="5"/>
  <c r="CP17" i="5"/>
  <c r="CT17" i="5"/>
  <c r="CX17" i="5"/>
  <c r="CE17" i="5"/>
  <c r="CI17" i="5"/>
  <c r="CM17" i="5"/>
  <c r="CQ17" i="5"/>
  <c r="CU17" i="5"/>
  <c r="CY17" i="5"/>
  <c r="CG17" i="5"/>
  <c r="CO17" i="5"/>
  <c r="CW17" i="5"/>
  <c r="CF17" i="5"/>
  <c r="CN17" i="5"/>
  <c r="CV17" i="5"/>
  <c r="CK17" i="5"/>
  <c r="CB17" i="5"/>
  <c r="CR17" i="5"/>
  <c r="CJ17" i="5"/>
  <c r="CC17" i="5"/>
  <c r="CS17" i="5"/>
  <c r="CA17" i="5"/>
  <c r="BZ17" i="5"/>
  <c r="BY17" i="5"/>
  <c r="BX17" i="5"/>
  <c r="BW17" i="5"/>
  <c r="BU17" i="5"/>
  <c r="BT17" i="5"/>
  <c r="BV17" i="5"/>
  <c r="BS17" i="5"/>
  <c r="BR17" i="5"/>
  <c r="BQ17" i="5"/>
  <c r="BZ29" i="5"/>
  <c r="CD29" i="5"/>
  <c r="CH29" i="5"/>
  <c r="CL29" i="5"/>
  <c r="CP29" i="5"/>
  <c r="CT29" i="5"/>
  <c r="CX29" i="5"/>
  <c r="BW29" i="5"/>
  <c r="CA29" i="5"/>
  <c r="CE29" i="5"/>
  <c r="CI29" i="5"/>
  <c r="CM29" i="5"/>
  <c r="CQ29" i="5"/>
  <c r="CU29" i="5"/>
  <c r="CY29" i="5"/>
  <c r="BY29" i="5"/>
  <c r="CG29" i="5"/>
  <c r="CO29" i="5"/>
  <c r="CW29" i="5"/>
  <c r="BX29" i="5"/>
  <c r="CF29" i="5"/>
  <c r="CN29" i="5"/>
  <c r="CV29" i="5"/>
  <c r="CC29" i="5"/>
  <c r="CS29" i="5"/>
  <c r="CR29" i="5"/>
  <c r="CJ29" i="5"/>
  <c r="CK29" i="5"/>
  <c r="CB29" i="5"/>
  <c r="BT29" i="5"/>
  <c r="BV29" i="5"/>
  <c r="BU29" i="5"/>
  <c r="BS29" i="5"/>
  <c r="BR29" i="5"/>
  <c r="BQ29" i="5"/>
  <c r="CG33" i="5"/>
  <c r="CK33" i="5"/>
  <c r="CO33" i="5"/>
  <c r="CS33" i="5"/>
  <c r="CW33" i="5"/>
  <c r="CF33" i="5"/>
  <c r="CJ33" i="5"/>
  <c r="CN33" i="5"/>
  <c r="CR33" i="5"/>
  <c r="CV33" i="5"/>
  <c r="CI33" i="5"/>
  <c r="CQ33" i="5"/>
  <c r="CY33" i="5"/>
  <c r="CE33" i="5"/>
  <c r="CU33" i="5"/>
  <c r="CP33" i="5"/>
  <c r="CD33" i="5"/>
  <c r="CL33" i="5"/>
  <c r="CT33" i="5"/>
  <c r="CM33" i="5"/>
  <c r="CH33" i="5"/>
  <c r="CX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Z76" i="5"/>
  <c r="BO15" i="5"/>
  <c r="Z71" i="5"/>
  <c r="BP29" i="5"/>
  <c r="BP33" i="5"/>
  <c r="BP10" i="5"/>
  <c r="Y43" i="5"/>
  <c r="Y44" i="5"/>
  <c r="Y72" i="5" a="1"/>
  <c r="Y72" i="5" s="1"/>
  <c r="Y86" i="5" a="1"/>
  <c r="Y86" i="5" s="1"/>
  <c r="Y64" i="5" a="1"/>
  <c r="Y64" i="5" s="1"/>
  <c r="Y89" i="5" a="1"/>
  <c r="Y89" i="5" s="1"/>
  <c r="Y56" i="5" a="1"/>
  <c r="Y56" i="5" s="1"/>
  <c r="Y95" i="5" a="1"/>
  <c r="Y95" i="5" s="1"/>
  <c r="Y77" i="5" a="1"/>
  <c r="Y77" i="5" s="1"/>
  <c r="Y69" i="5" a="1"/>
  <c r="Y69" i="5" s="1"/>
  <c r="Y83" i="5" a="1"/>
  <c r="Y83" i="5" s="1"/>
  <c r="Y53" i="5" a="1"/>
  <c r="Y53" i="5" s="1"/>
  <c r="Y47" i="5" a="1"/>
  <c r="Y47" i="5" s="1"/>
  <c r="Y50" i="5" a="1"/>
  <c r="Y50" i="5" s="1"/>
  <c r="Y63" i="5"/>
  <c r="Y61" i="5" a="1"/>
  <c r="Y61" i="5" s="1"/>
  <c r="Y92" i="5" a="1"/>
  <c r="Y92" i="5" s="1"/>
  <c r="Y98" i="5" a="1"/>
  <c r="Y98" i="5" s="1"/>
  <c r="Y80" i="5" a="1"/>
  <c r="Y80" i="5" s="1"/>
  <c r="Y60" i="5"/>
  <c r="Y52" i="5"/>
  <c r="Y68" i="5"/>
  <c r="CJ15" i="5"/>
  <c r="CN15" i="5"/>
  <c r="CR15" i="5"/>
  <c r="CV15" i="5"/>
  <c r="BU15" i="5"/>
  <c r="CK15" i="5"/>
  <c r="CO15" i="5"/>
  <c r="CS15" i="5"/>
  <c r="CW15" i="5"/>
  <c r="CI15" i="5"/>
  <c r="CQ15" i="5"/>
  <c r="CY15" i="5"/>
  <c r="CP15" i="5"/>
  <c r="CX15" i="5"/>
  <c r="CU15" i="5"/>
  <c r="CL15" i="5"/>
  <c r="CT15" i="5"/>
  <c r="CM15" i="5"/>
  <c r="CH15" i="5"/>
  <c r="CG15" i="5"/>
  <c r="CF15" i="5"/>
  <c r="CE15" i="5"/>
  <c r="CD15" i="5"/>
  <c r="CC15" i="5"/>
  <c r="CB15" i="5"/>
  <c r="CA15" i="5"/>
  <c r="BZ15" i="5"/>
  <c r="BY15" i="5"/>
  <c r="BX15" i="5"/>
  <c r="BW15" i="5"/>
  <c r="BV15" i="5"/>
  <c r="BT15" i="5"/>
  <c r="BS15" i="5"/>
  <c r="BR15" i="5"/>
  <c r="BQ15" i="5"/>
  <c r="CJ11" i="5"/>
  <c r="CN11" i="5"/>
  <c r="CR11" i="5"/>
  <c r="CV11" i="5"/>
  <c r="CI11" i="5"/>
  <c r="CM11" i="5"/>
  <c r="CQ11" i="5"/>
  <c r="CU11" i="5"/>
  <c r="CY11" i="5"/>
  <c r="CL11" i="5"/>
  <c r="CT11" i="5"/>
  <c r="CO11" i="5"/>
  <c r="CW11" i="5"/>
  <c r="CS11" i="5"/>
  <c r="CP11" i="5"/>
  <c r="CH11" i="5"/>
  <c r="CX11" i="5"/>
  <c r="CK11" i="5"/>
  <c r="CG11" i="5"/>
  <c r="CF11" i="5"/>
  <c r="CE11" i="5"/>
  <c r="CD11" i="5"/>
  <c r="CC11" i="5"/>
  <c r="CB11" i="5"/>
  <c r="CA11" i="5"/>
  <c r="BZ11" i="5"/>
  <c r="BY11" i="5"/>
  <c r="BX11" i="5"/>
  <c r="BW11" i="5"/>
  <c r="BU11" i="5"/>
  <c r="BV11" i="5"/>
  <c r="BT11" i="5"/>
  <c r="BS11" i="5"/>
  <c r="BR11" i="5"/>
  <c r="BQ11" i="5"/>
  <c r="CJ19" i="5"/>
  <c r="CN19" i="5"/>
  <c r="CR19" i="5"/>
  <c r="CV19" i="5"/>
  <c r="BU19" i="5"/>
  <c r="CK19" i="5"/>
  <c r="CO19" i="5"/>
  <c r="CS19" i="5"/>
  <c r="CW19" i="5"/>
  <c r="BV19" i="5"/>
  <c r="CL19" i="5"/>
  <c r="CT19" i="5"/>
  <c r="CM19" i="5"/>
  <c r="CX19" i="5"/>
  <c r="CP19" i="5"/>
  <c r="CY19" i="5"/>
  <c r="CI19" i="5"/>
  <c r="CH19" i="5"/>
  <c r="CU19" i="5"/>
  <c r="CQ19" i="5"/>
  <c r="CG19" i="5"/>
  <c r="CF19" i="5"/>
  <c r="CE19" i="5"/>
  <c r="CD19" i="5"/>
  <c r="CC19" i="5"/>
  <c r="CB19" i="5"/>
  <c r="CA19" i="5"/>
  <c r="BZ19" i="5"/>
  <c r="BY19" i="5"/>
  <c r="BX19" i="5"/>
  <c r="BW19" i="5"/>
  <c r="BT19" i="5"/>
  <c r="BS19" i="5"/>
  <c r="BR19" i="5"/>
  <c r="BQ19" i="5"/>
  <c r="CF24" i="5"/>
  <c r="CJ24" i="5"/>
  <c r="CN24" i="5"/>
  <c r="CR24" i="5"/>
  <c r="CV24" i="5"/>
  <c r="BU24" i="5"/>
  <c r="CG24" i="5"/>
  <c r="CK24" i="5"/>
  <c r="CO24" i="5"/>
  <c r="CS24" i="5"/>
  <c r="CW24" i="5"/>
  <c r="CE24" i="5"/>
  <c r="CM24" i="5"/>
  <c r="CU24" i="5"/>
  <c r="CL24" i="5"/>
  <c r="CT24" i="5"/>
  <c r="CQ24" i="5"/>
  <c r="CY24" i="5"/>
  <c r="CP24" i="5"/>
  <c r="CH24" i="5"/>
  <c r="CX24" i="5"/>
  <c r="CI24" i="5"/>
  <c r="CD24" i="5"/>
  <c r="CC24" i="5"/>
  <c r="CB24" i="5"/>
  <c r="CA24" i="5"/>
  <c r="BZ24" i="5"/>
  <c r="BY24" i="5"/>
  <c r="BX24" i="5"/>
  <c r="BW24" i="5"/>
  <c r="BV24" i="5"/>
  <c r="BT24" i="5"/>
  <c r="BS24" i="5"/>
  <c r="BR24" i="5"/>
  <c r="BQ24" i="5"/>
  <c r="BX31" i="5"/>
  <c r="CB31" i="5"/>
  <c r="CF31" i="5"/>
  <c r="CJ31" i="5"/>
  <c r="CN31" i="5"/>
  <c r="CR31" i="5"/>
  <c r="CV31" i="5"/>
  <c r="BY31" i="5"/>
  <c r="CC31" i="5"/>
  <c r="CG31" i="5"/>
  <c r="CK31" i="5"/>
  <c r="CO31" i="5"/>
  <c r="CS31" i="5"/>
  <c r="CW31" i="5"/>
  <c r="BW31" i="5"/>
  <c r="CE31" i="5"/>
  <c r="CM31" i="5"/>
  <c r="CU31" i="5"/>
  <c r="CD31" i="5"/>
  <c r="CL31" i="5"/>
  <c r="CT31" i="5"/>
  <c r="CI31" i="5"/>
  <c r="CY31" i="5"/>
  <c r="CQ31" i="5"/>
  <c r="CH31" i="5"/>
  <c r="BZ31" i="5"/>
  <c r="CP31" i="5"/>
  <c r="CA31" i="5"/>
  <c r="CX31" i="5"/>
  <c r="BT31" i="5"/>
  <c r="BV31" i="5"/>
  <c r="BU31" i="5"/>
  <c r="BS31" i="5"/>
  <c r="BR31" i="5"/>
  <c r="BQ31" i="5"/>
  <c r="CM35" i="5"/>
  <c r="CQ35" i="5"/>
  <c r="CU35" i="5"/>
  <c r="CY35" i="5"/>
  <c r="CP35" i="5"/>
  <c r="CT35" i="5"/>
  <c r="CX35" i="5"/>
  <c r="CO35" i="5"/>
  <c r="CW35" i="5"/>
  <c r="CS35" i="5"/>
  <c r="CV35" i="5"/>
  <c r="CR35" i="5"/>
  <c r="CN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W39" i="5"/>
  <c r="CA39" i="5"/>
  <c r="CE39" i="5"/>
  <c r="CI39" i="5"/>
  <c r="CM39" i="5"/>
  <c r="CQ39" i="5"/>
  <c r="CU39" i="5"/>
  <c r="CY39" i="5"/>
  <c r="BZ39" i="5"/>
  <c r="CD39" i="5"/>
  <c r="CH39" i="5"/>
  <c r="CL39" i="5"/>
  <c r="CP39" i="5"/>
  <c r="CT39" i="5"/>
  <c r="CX39" i="5"/>
  <c r="CC39" i="5"/>
  <c r="CK39" i="5"/>
  <c r="CS39" i="5"/>
  <c r="CG39" i="5"/>
  <c r="CW39" i="5"/>
  <c r="CB39" i="5"/>
  <c r="CJ39" i="5"/>
  <c r="BX39" i="5"/>
  <c r="CF39" i="5"/>
  <c r="CN39" i="5"/>
  <c r="CV39" i="5"/>
  <c r="BY39" i="5"/>
  <c r="CO39" i="5"/>
  <c r="CR39" i="5"/>
  <c r="BV39" i="5"/>
  <c r="BT39" i="5"/>
  <c r="BU39" i="5"/>
  <c r="BS39" i="5"/>
  <c r="BR39" i="5"/>
  <c r="BQ39" i="5"/>
  <c r="BO5" i="5"/>
  <c r="Z44" i="5"/>
  <c r="Z43" i="5"/>
  <c r="Z72" i="5" a="1"/>
  <c r="Z72" i="5" s="1"/>
  <c r="Z50" i="5" a="1"/>
  <c r="Z50" i="5" s="1"/>
  <c r="Z80" i="5" a="1"/>
  <c r="Z80" i="5" s="1"/>
  <c r="Z83" i="5" a="1"/>
  <c r="Z83" i="5" s="1"/>
  <c r="Z95" i="5" a="1"/>
  <c r="Z95" i="5" s="1"/>
  <c r="Z47" i="5" a="1"/>
  <c r="Z47" i="5" s="1"/>
  <c r="Z86" i="5" a="1"/>
  <c r="Z86" i="5" s="1"/>
  <c r="Z63" i="5"/>
  <c r="Z89" i="5" a="1"/>
  <c r="Z89" i="5" s="1"/>
  <c r="Z56" i="5" a="1"/>
  <c r="Z56" i="5" s="1"/>
  <c r="Z61" i="5" a="1"/>
  <c r="Z61" i="5" s="1"/>
  <c r="Z64" i="5" a="1"/>
  <c r="Z64" i="5" s="1"/>
  <c r="Z53" i="5" a="1"/>
  <c r="Z53" i="5" s="1"/>
  <c r="Z92" i="5" a="1"/>
  <c r="Z92" i="5" s="1"/>
  <c r="Z77" i="5" a="1"/>
  <c r="Z77" i="5" s="1"/>
  <c r="Z69" i="5" a="1"/>
  <c r="Z69" i="5" s="1"/>
  <c r="Z98" i="5" a="1"/>
  <c r="Z98" i="5" s="1"/>
  <c r="BO8" i="5"/>
  <c r="Z60" i="5"/>
  <c r="BO10" i="5"/>
  <c r="Z52" i="5"/>
  <c r="BO13" i="5"/>
  <c r="BO17" i="5"/>
  <c r="Z68" i="5"/>
  <c r="BO21" i="5"/>
  <c r="BO26" i="5"/>
  <c r="BO29" i="5"/>
  <c r="BO33" i="5"/>
  <c r="BO37" i="5"/>
  <c r="BP17" i="5"/>
  <c r="BP36" i="5"/>
  <c r="BP15" i="5"/>
  <c r="BP22" i="5"/>
  <c r="BY12" i="5"/>
  <c r="CC12" i="5"/>
  <c r="CG12" i="5"/>
  <c r="CK12" i="5"/>
  <c r="CO12" i="5"/>
  <c r="CS12" i="5"/>
  <c r="CW12" i="5"/>
  <c r="BZ12" i="5"/>
  <c r="CD12" i="5"/>
  <c r="CH12" i="5"/>
  <c r="CL12" i="5"/>
  <c r="CP12" i="5"/>
  <c r="CT12" i="5"/>
  <c r="CX12" i="5"/>
  <c r="CB12" i="5"/>
  <c r="CJ12" i="5"/>
  <c r="CR12" i="5"/>
  <c r="CA12" i="5"/>
  <c r="CI12" i="5"/>
  <c r="CQ12" i="5"/>
  <c r="CY12" i="5"/>
  <c r="BX12" i="5"/>
  <c r="CN12" i="5"/>
  <c r="CE12" i="5"/>
  <c r="CU12" i="5"/>
  <c r="CM12" i="5"/>
  <c r="CF12" i="5"/>
  <c r="BW12" i="5"/>
  <c r="CV12" i="5"/>
  <c r="BU12" i="5"/>
  <c r="BV12" i="5"/>
  <c r="BT12" i="5"/>
  <c r="BS12" i="5"/>
  <c r="BR12" i="5"/>
  <c r="BQ12" i="5"/>
  <c r="Q44" i="5"/>
  <c r="Q43" i="5"/>
  <c r="Q71" i="5"/>
  <c r="Q83" i="5" a="1"/>
  <c r="Q83" i="5" s="1"/>
  <c r="Q92" i="5" a="1"/>
  <c r="Q92" i="5" s="1"/>
  <c r="Q61" i="5" a="1"/>
  <c r="Q61" i="5" s="1"/>
  <c r="Q69" i="5" a="1"/>
  <c r="Q69" i="5" s="1"/>
  <c r="Q89" i="5" a="1"/>
  <c r="Q89" i="5" s="1"/>
  <c r="Q56" i="5" a="1"/>
  <c r="Q56" i="5" s="1"/>
  <c r="Q53" i="5" a="1"/>
  <c r="Q53" i="5" s="1"/>
  <c r="Q72" i="5" a="1"/>
  <c r="Q72" i="5" s="1"/>
  <c r="Q77" i="5" a="1"/>
  <c r="Q77" i="5" s="1"/>
  <c r="Q80" i="5" a="1"/>
  <c r="Q80" i="5" s="1"/>
  <c r="Q64" i="5" a="1"/>
  <c r="Q64" i="5" s="1"/>
  <c r="Q95" i="5" a="1"/>
  <c r="Q95" i="5" s="1"/>
  <c r="Q47" i="5" a="1"/>
  <c r="Q47" i="5" s="1"/>
  <c r="Q86" i="5" a="1"/>
  <c r="Q86" i="5" s="1"/>
  <c r="Q98" i="5" a="1"/>
  <c r="Q98" i="5" s="1"/>
  <c r="Q50" i="5" a="1"/>
  <c r="Q50" i="5" s="1"/>
  <c r="BY14" i="5"/>
  <c r="CC14" i="5"/>
  <c r="CG14" i="5"/>
  <c r="CK14" i="5"/>
  <c r="CO14" i="5"/>
  <c r="CS14" i="5"/>
  <c r="CW14" i="5"/>
  <c r="BZ14" i="5"/>
  <c r="CD14" i="5"/>
  <c r="CH14" i="5"/>
  <c r="CL14" i="5"/>
  <c r="CP14" i="5"/>
  <c r="CT14" i="5"/>
  <c r="CX14" i="5"/>
  <c r="BX14" i="5"/>
  <c r="CF14" i="5"/>
  <c r="CN14" i="5"/>
  <c r="CV14" i="5"/>
  <c r="CE14" i="5"/>
  <c r="CM14" i="5"/>
  <c r="CU14" i="5"/>
  <c r="CJ14" i="5"/>
  <c r="CA14" i="5"/>
  <c r="CQ14" i="5"/>
  <c r="CY14" i="5"/>
  <c r="CR14" i="5"/>
  <c r="CI14" i="5"/>
  <c r="CB14" i="5"/>
  <c r="BW14" i="5"/>
  <c r="BT14" i="5"/>
  <c r="BU14" i="5"/>
  <c r="BV14" i="5"/>
  <c r="BS14" i="5"/>
  <c r="BR14" i="5"/>
  <c r="BQ14" i="5"/>
  <c r="CF6" i="5"/>
  <c r="CJ6" i="5"/>
  <c r="CN6" i="5"/>
  <c r="CR6" i="5"/>
  <c r="CV6" i="5"/>
  <c r="CG6" i="5"/>
  <c r="CK6" i="5"/>
  <c r="CO6" i="5"/>
  <c r="CS6" i="5"/>
  <c r="CW6" i="5"/>
  <c r="CI6" i="5"/>
  <c r="CQ6" i="5"/>
  <c r="CY6" i="5"/>
  <c r="CH6" i="5"/>
  <c r="CP6" i="5"/>
  <c r="CX6" i="5"/>
  <c r="CU6" i="5"/>
  <c r="CL6" i="5"/>
  <c r="CT6" i="5"/>
  <c r="CM6" i="5"/>
  <c r="CE6" i="5"/>
  <c r="CD6" i="5"/>
  <c r="CC6" i="5"/>
  <c r="CB6" i="5"/>
  <c r="CA6" i="5"/>
  <c r="BZ6" i="5"/>
  <c r="BY6" i="5"/>
  <c r="BX6" i="5"/>
  <c r="BW6" i="5"/>
  <c r="BU6" i="5"/>
  <c r="BT6" i="5"/>
  <c r="BV6" i="5"/>
  <c r="BS6" i="5"/>
  <c r="BR6" i="5"/>
  <c r="BQ6" i="5"/>
  <c r="BW25" i="5"/>
  <c r="CA25" i="5"/>
  <c r="CE25" i="5"/>
  <c r="CI25" i="5"/>
  <c r="CM25" i="5"/>
  <c r="CQ25" i="5"/>
  <c r="CU25" i="5"/>
  <c r="CY25" i="5"/>
  <c r="BX25" i="5"/>
  <c r="CB25" i="5"/>
  <c r="CF25" i="5"/>
  <c r="CJ25" i="5"/>
  <c r="CN25" i="5"/>
  <c r="CR25" i="5"/>
  <c r="CV25" i="5"/>
  <c r="BZ25" i="5"/>
  <c r="CH25" i="5"/>
  <c r="CP25" i="5"/>
  <c r="CX25" i="5"/>
  <c r="BY25" i="5"/>
  <c r="CG25" i="5"/>
  <c r="CO25" i="5"/>
  <c r="CW25" i="5"/>
  <c r="CL25" i="5"/>
  <c r="CT25" i="5"/>
  <c r="CK25" i="5"/>
  <c r="CC25" i="5"/>
  <c r="CS25" i="5"/>
  <c r="CD25" i="5"/>
  <c r="BT25" i="5"/>
  <c r="BU25" i="5"/>
  <c r="BV25" i="5"/>
  <c r="BS25" i="5"/>
  <c r="BR25" i="5"/>
  <c r="BQ25" i="5"/>
  <c r="CP32" i="5"/>
  <c r="CT32" i="5"/>
  <c r="CX32" i="5"/>
  <c r="CO32" i="5"/>
  <c r="CS32" i="5"/>
  <c r="CW32" i="5"/>
  <c r="CV32" i="5"/>
  <c r="CU32" i="5"/>
  <c r="BU32" i="5"/>
  <c r="CQ32" i="5"/>
  <c r="CY32" i="5"/>
  <c r="BV32" i="5"/>
  <c r="CR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T32" i="5"/>
  <c r="BS32" i="5"/>
  <c r="BR32" i="5"/>
  <c r="BQ32" i="5"/>
  <c r="CD40" i="5"/>
  <c r="CH40" i="5"/>
  <c r="CL40" i="5"/>
  <c r="CP40" i="5"/>
  <c r="CT40" i="5"/>
  <c r="CX40" i="5"/>
  <c r="CC40" i="5"/>
  <c r="CG40" i="5"/>
  <c r="CK40" i="5"/>
  <c r="CO40" i="5"/>
  <c r="CS40" i="5"/>
  <c r="CW40" i="5"/>
  <c r="CF40" i="5"/>
  <c r="CN40" i="5"/>
  <c r="CV40" i="5"/>
  <c r="CR40" i="5"/>
  <c r="CE40" i="5"/>
  <c r="CU40" i="5"/>
  <c r="CI40" i="5"/>
  <c r="CQ40" i="5"/>
  <c r="CY40" i="5"/>
  <c r="CJ40" i="5"/>
  <c r="CM40" i="5"/>
  <c r="CB40" i="5"/>
  <c r="CA40" i="5"/>
  <c r="BZ40" i="5"/>
  <c r="BY40" i="5"/>
  <c r="BX40" i="5"/>
  <c r="BW40" i="5"/>
  <c r="BU40" i="5"/>
  <c r="BV40" i="5"/>
  <c r="BT40" i="5"/>
  <c r="BS40" i="5"/>
  <c r="BR40" i="5"/>
  <c r="BQ40" i="5"/>
  <c r="BO12" i="5"/>
  <c r="Z49" i="5"/>
  <c r="BP14" i="5"/>
  <c r="BP6" i="5"/>
  <c r="CC8" i="5"/>
  <c r="CG8" i="5"/>
  <c r="CK8" i="5"/>
  <c r="CO8" i="5"/>
  <c r="CS8" i="5"/>
  <c r="CW8" i="5"/>
  <c r="CD8" i="5"/>
  <c r="CH8" i="5"/>
  <c r="CL8" i="5"/>
  <c r="CP8" i="5"/>
  <c r="CT8" i="5"/>
  <c r="CX8" i="5"/>
  <c r="CB8" i="5"/>
  <c r="CJ8" i="5"/>
  <c r="CR8" i="5"/>
  <c r="CA8" i="5"/>
  <c r="CI8" i="5"/>
  <c r="CQ8" i="5"/>
  <c r="CY8" i="5"/>
  <c r="CF8" i="5"/>
  <c r="CV8" i="5"/>
  <c r="CM8" i="5"/>
  <c r="CU8" i="5"/>
  <c r="CN8" i="5"/>
  <c r="CE8" i="5"/>
  <c r="BZ8" i="5"/>
  <c r="BY8" i="5"/>
  <c r="BX8" i="5"/>
  <c r="BW8" i="5"/>
  <c r="BT8" i="5"/>
  <c r="BU8" i="5"/>
  <c r="BV8" i="5"/>
  <c r="BS8" i="5"/>
  <c r="BR8" i="5"/>
  <c r="BQ8" i="5"/>
  <c r="BZ21" i="5"/>
  <c r="CT21" i="5"/>
  <c r="CX21" i="5"/>
  <c r="CU21" i="5"/>
  <c r="CY21" i="5"/>
  <c r="CB21" i="5"/>
  <c r="CW21" i="5"/>
  <c r="CV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A21" i="5"/>
  <c r="BY21" i="5"/>
  <c r="BX21" i="5"/>
  <c r="BW21" i="5"/>
  <c r="BT21" i="5"/>
  <c r="BV21" i="5"/>
  <c r="BU21" i="5"/>
  <c r="BS21" i="5"/>
  <c r="BR21" i="5"/>
  <c r="BQ21" i="5"/>
  <c r="CH26" i="5"/>
  <c r="CL26" i="5"/>
  <c r="CP26" i="5"/>
  <c r="CT26" i="5"/>
  <c r="CX26" i="5"/>
  <c r="CI26" i="5"/>
  <c r="CM26" i="5"/>
  <c r="CQ26" i="5"/>
  <c r="CU26" i="5"/>
  <c r="CY26" i="5"/>
  <c r="CK26" i="5"/>
  <c r="CS26" i="5"/>
  <c r="CJ26" i="5"/>
  <c r="CR26" i="5"/>
  <c r="CG26" i="5"/>
  <c r="CW26" i="5"/>
  <c r="CO26" i="5"/>
  <c r="CF26" i="5"/>
  <c r="CN26" i="5"/>
  <c r="CV26" i="5"/>
  <c r="CE26" i="5"/>
  <c r="CD26" i="5"/>
  <c r="CC26" i="5"/>
  <c r="CB26" i="5"/>
  <c r="CA26" i="5"/>
  <c r="BZ26" i="5"/>
  <c r="BY26" i="5"/>
  <c r="BX26" i="5"/>
  <c r="BW26" i="5"/>
  <c r="BV26" i="5"/>
  <c r="BT26" i="5"/>
  <c r="BU26" i="5"/>
  <c r="BS26" i="5"/>
  <c r="BR26" i="5"/>
  <c r="BQ26" i="5"/>
  <c r="CG37" i="5"/>
  <c r="CK37" i="5"/>
  <c r="CO37" i="5"/>
  <c r="CS37" i="5"/>
  <c r="CW37" i="5"/>
  <c r="CF37" i="5"/>
  <c r="CJ37" i="5"/>
  <c r="CN37" i="5"/>
  <c r="CR37" i="5"/>
  <c r="CV37" i="5"/>
  <c r="CM37" i="5"/>
  <c r="CU37" i="5"/>
  <c r="CQ37" i="5"/>
  <c r="CT37" i="5"/>
  <c r="CH37" i="5"/>
  <c r="CP37" i="5"/>
  <c r="CX37" i="5"/>
  <c r="CI37" i="5"/>
  <c r="CY37" i="5"/>
  <c r="CL37" i="5"/>
  <c r="CE37" i="5"/>
  <c r="CD37" i="5"/>
  <c r="CC37" i="5"/>
  <c r="CB37" i="5"/>
  <c r="CA37" i="5"/>
  <c r="BZ37" i="5"/>
  <c r="BY37" i="5"/>
  <c r="BX37" i="5"/>
  <c r="BW37" i="5"/>
  <c r="BT37" i="5"/>
  <c r="BU37" i="5"/>
  <c r="BV37" i="5"/>
  <c r="BS37" i="5"/>
  <c r="BR37" i="5"/>
  <c r="BQ37" i="5"/>
  <c r="Z79" i="5"/>
  <c r="BP12" i="5"/>
  <c r="BP25" i="5"/>
  <c r="Y46" i="5"/>
  <c r="BW16" i="5"/>
  <c r="CA16" i="5"/>
  <c r="CE16" i="5"/>
  <c r="CI16" i="5"/>
  <c r="CM16" i="5"/>
  <c r="CQ16" i="5"/>
  <c r="CU16" i="5"/>
  <c r="CY16" i="5"/>
  <c r="BX16" i="5"/>
  <c r="CB16" i="5"/>
  <c r="CF16" i="5"/>
  <c r="CJ16" i="5"/>
  <c r="CN16" i="5"/>
  <c r="CR16" i="5"/>
  <c r="CV16" i="5"/>
  <c r="CD16" i="5"/>
  <c r="CL16" i="5"/>
  <c r="CT16" i="5"/>
  <c r="CC16" i="5"/>
  <c r="CK16" i="5"/>
  <c r="CS16" i="5"/>
  <c r="BZ16" i="5"/>
  <c r="CP16" i="5"/>
  <c r="CG16" i="5"/>
  <c r="CW16" i="5"/>
  <c r="CO16" i="5"/>
  <c r="CH16" i="5"/>
  <c r="BY16" i="5"/>
  <c r="CX16" i="5"/>
  <c r="BT16" i="5"/>
  <c r="BU16" i="5"/>
  <c r="BV16" i="5"/>
  <c r="BS16" i="5"/>
  <c r="BR16" i="5"/>
  <c r="BQ16" i="5"/>
  <c r="BZ9" i="5"/>
  <c r="CD9" i="5"/>
  <c r="CH9" i="5"/>
  <c r="CL9" i="5"/>
  <c r="CP9" i="5"/>
  <c r="CT9" i="5"/>
  <c r="CX9" i="5"/>
  <c r="BW9" i="5"/>
  <c r="CA9" i="5"/>
  <c r="CE9" i="5"/>
  <c r="CI9" i="5"/>
  <c r="CM9" i="5"/>
  <c r="CQ9" i="5"/>
  <c r="CU9" i="5"/>
  <c r="CY9" i="5"/>
  <c r="CC9" i="5"/>
  <c r="CK9" i="5"/>
  <c r="CS9" i="5"/>
  <c r="CB9" i="5"/>
  <c r="CJ9" i="5"/>
  <c r="CR9" i="5"/>
  <c r="CG9" i="5"/>
  <c r="CW9" i="5"/>
  <c r="BX9" i="5"/>
  <c r="CN9" i="5"/>
  <c r="CF9" i="5"/>
  <c r="BY9" i="5"/>
  <c r="CO9" i="5"/>
  <c r="CV9" i="5"/>
  <c r="BU9" i="5"/>
  <c r="BV9" i="5"/>
  <c r="BT9" i="5"/>
  <c r="BS9" i="5"/>
  <c r="BR9" i="5"/>
  <c r="BQ9" i="5"/>
  <c r="CD7" i="5"/>
  <c r="CH7" i="5"/>
  <c r="CL7" i="5"/>
  <c r="CP7" i="5"/>
  <c r="CT7" i="5"/>
  <c r="CX7" i="5"/>
  <c r="CE7" i="5"/>
  <c r="CI7" i="5"/>
  <c r="CM7" i="5"/>
  <c r="CQ7" i="5"/>
  <c r="CU7" i="5"/>
  <c r="CY7" i="5"/>
  <c r="CG7" i="5"/>
  <c r="CO7" i="5"/>
  <c r="CW7" i="5"/>
  <c r="CF7" i="5"/>
  <c r="CN7" i="5"/>
  <c r="CV7" i="5"/>
  <c r="CK7" i="5"/>
  <c r="CR7" i="5"/>
  <c r="CS7" i="5"/>
  <c r="CJ7" i="5"/>
  <c r="CC7" i="5"/>
  <c r="CB7" i="5"/>
  <c r="CA7" i="5"/>
  <c r="BZ7" i="5"/>
  <c r="BY7" i="5"/>
  <c r="BX7" i="5"/>
  <c r="BW7" i="5"/>
  <c r="BT7" i="5"/>
  <c r="BU7" i="5"/>
  <c r="BV7" i="5"/>
  <c r="BS7" i="5"/>
  <c r="BR7" i="5"/>
  <c r="BQ7" i="5"/>
  <c r="CC18" i="5"/>
  <c r="CG18" i="5"/>
  <c r="CK18" i="5"/>
  <c r="CO18" i="5"/>
  <c r="CS18" i="5"/>
  <c r="CW18" i="5"/>
  <c r="BZ18" i="5"/>
  <c r="CD18" i="5"/>
  <c r="CH18" i="5"/>
  <c r="CL18" i="5"/>
  <c r="CP18" i="5"/>
  <c r="CT18" i="5"/>
  <c r="CX18" i="5"/>
  <c r="CB18" i="5"/>
  <c r="CA18" i="5"/>
  <c r="CI18" i="5"/>
  <c r="CQ18" i="5"/>
  <c r="CY18" i="5"/>
  <c r="CF18" i="5"/>
  <c r="CR18" i="5"/>
  <c r="CJ18" i="5"/>
  <c r="CU18" i="5"/>
  <c r="CE18" i="5"/>
  <c r="CV18" i="5"/>
  <c r="CN18" i="5"/>
  <c r="CM18" i="5"/>
  <c r="BY18" i="5"/>
  <c r="BX18" i="5"/>
  <c r="BW18" i="5"/>
  <c r="BV18" i="5"/>
  <c r="BU18" i="5"/>
  <c r="BT18" i="5"/>
  <c r="BS18" i="5"/>
  <c r="BR18" i="5"/>
  <c r="BQ18" i="5"/>
  <c r="CC23" i="5"/>
  <c r="CG23" i="5"/>
  <c r="CK23" i="5"/>
  <c r="CO23" i="5"/>
  <c r="CS23" i="5"/>
  <c r="CW23" i="5"/>
  <c r="BZ23" i="5"/>
  <c r="CD23" i="5"/>
  <c r="CH23" i="5"/>
  <c r="CL23" i="5"/>
  <c r="CP23" i="5"/>
  <c r="CT23" i="5"/>
  <c r="CX23" i="5"/>
  <c r="CB23" i="5"/>
  <c r="CJ23" i="5"/>
  <c r="CR23" i="5"/>
  <c r="CA23" i="5"/>
  <c r="CI23" i="5"/>
  <c r="CQ23" i="5"/>
  <c r="CY23" i="5"/>
  <c r="CF23" i="5"/>
  <c r="CV23" i="5"/>
  <c r="CU23" i="5"/>
  <c r="CM23" i="5"/>
  <c r="CN23" i="5"/>
  <c r="CE23" i="5"/>
  <c r="BY23" i="5"/>
  <c r="BX23" i="5"/>
  <c r="BW23" i="5"/>
  <c r="BT23" i="5"/>
  <c r="BV23" i="5"/>
  <c r="BU23" i="5"/>
  <c r="BS23" i="5"/>
  <c r="BR23" i="5"/>
  <c r="BQ23" i="5"/>
  <c r="CO27" i="5"/>
  <c r="CS27" i="5"/>
  <c r="CW27" i="5"/>
  <c r="CL27" i="5"/>
  <c r="CP27" i="5"/>
  <c r="CT27" i="5"/>
  <c r="CX27" i="5"/>
  <c r="BX27" i="5"/>
  <c r="CN27" i="5"/>
  <c r="CV27" i="5"/>
  <c r="CM27" i="5"/>
  <c r="CU27" i="5"/>
  <c r="CR27" i="5"/>
  <c r="CY27" i="5"/>
  <c r="CQ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W27" i="5"/>
  <c r="BV27" i="5"/>
  <c r="BT27" i="5"/>
  <c r="BU27" i="5"/>
  <c r="BS27" i="5"/>
  <c r="BR27" i="5"/>
  <c r="BQ27" i="5"/>
  <c r="CG30" i="5"/>
  <c r="CK30" i="5"/>
  <c r="CO30" i="5"/>
  <c r="CS30" i="5"/>
  <c r="CW30" i="5"/>
  <c r="CH30" i="5"/>
  <c r="CL30" i="5"/>
  <c r="CP30" i="5"/>
  <c r="CT30" i="5"/>
  <c r="CX30" i="5"/>
  <c r="CJ30" i="5"/>
  <c r="CR30" i="5"/>
  <c r="CI30" i="5"/>
  <c r="CQ30" i="5"/>
  <c r="CY30" i="5"/>
  <c r="CN30" i="5"/>
  <c r="CV30" i="5"/>
  <c r="CM30" i="5"/>
  <c r="CU30" i="5"/>
  <c r="CF30" i="5"/>
  <c r="CE30" i="5"/>
  <c r="CD30" i="5"/>
  <c r="CC30" i="5"/>
  <c r="CB30" i="5"/>
  <c r="CA30" i="5"/>
  <c r="BZ30" i="5"/>
  <c r="BY30" i="5"/>
  <c r="BX30" i="5"/>
  <c r="BW30" i="5"/>
  <c r="BT30" i="5"/>
  <c r="BV30" i="5"/>
  <c r="BU30" i="5"/>
  <c r="BS30" i="5"/>
  <c r="BR30" i="5"/>
  <c r="BQ30" i="5"/>
  <c r="CB34" i="5"/>
  <c r="CF34" i="5"/>
  <c r="CJ34" i="5"/>
  <c r="CN34" i="5"/>
  <c r="CR34" i="5"/>
  <c r="CV34" i="5"/>
  <c r="CA34" i="5"/>
  <c r="CE34" i="5"/>
  <c r="CI34" i="5"/>
  <c r="CM34" i="5"/>
  <c r="CQ34" i="5"/>
  <c r="CU34" i="5"/>
  <c r="CY34" i="5"/>
  <c r="CD34" i="5"/>
  <c r="CL34" i="5"/>
  <c r="CT34" i="5"/>
  <c r="CH34" i="5"/>
  <c r="CX34" i="5"/>
  <c r="CK34" i="5"/>
  <c r="CG34" i="5"/>
  <c r="CO34" i="5"/>
  <c r="CW34" i="5"/>
  <c r="CP34" i="5"/>
  <c r="CC34" i="5"/>
  <c r="CS34" i="5"/>
  <c r="BZ34" i="5"/>
  <c r="BY34" i="5"/>
  <c r="BX34" i="5"/>
  <c r="BW34" i="5"/>
  <c r="BU34" i="5"/>
  <c r="BT34" i="5"/>
  <c r="BV34" i="5"/>
  <c r="BS34" i="5"/>
  <c r="BR34" i="5"/>
  <c r="BQ34" i="5"/>
  <c r="CF38" i="5"/>
  <c r="CJ38" i="5"/>
  <c r="CN38" i="5"/>
  <c r="CR38" i="5"/>
  <c r="CV38" i="5"/>
  <c r="CI38" i="5"/>
  <c r="CM38" i="5"/>
  <c r="CQ38" i="5"/>
  <c r="CU38" i="5"/>
  <c r="CY38" i="5"/>
  <c r="CH38" i="5"/>
  <c r="CP38" i="5"/>
  <c r="CX38" i="5"/>
  <c r="CL38" i="5"/>
  <c r="CW38" i="5"/>
  <c r="CK38" i="5"/>
  <c r="CS38" i="5"/>
  <c r="CT38" i="5"/>
  <c r="CG38" i="5"/>
  <c r="CO38" i="5"/>
  <c r="CE38" i="5"/>
  <c r="CD38" i="5"/>
  <c r="CC38" i="5"/>
  <c r="CB38" i="5"/>
  <c r="CA38" i="5"/>
  <c r="BZ38" i="5"/>
  <c r="BY38" i="5"/>
  <c r="BX38" i="5"/>
  <c r="BW38" i="5"/>
  <c r="BU38" i="5"/>
  <c r="BT38" i="5"/>
  <c r="BV38" i="5"/>
  <c r="BS38" i="5"/>
  <c r="BR38" i="5"/>
  <c r="BQ38" i="5"/>
  <c r="CE41" i="5"/>
  <c r="CI41" i="5"/>
  <c r="CM41" i="5"/>
  <c r="CQ41" i="5"/>
  <c r="CU41" i="5"/>
  <c r="CY41" i="5"/>
  <c r="CC41" i="5"/>
  <c r="CK41" i="5"/>
  <c r="CS41" i="5"/>
  <c r="CD41" i="5"/>
  <c r="CL41" i="5"/>
  <c r="CT41" i="5"/>
  <c r="CF41" i="5"/>
  <c r="CJ41" i="5"/>
  <c r="CN41" i="5"/>
  <c r="CR41" i="5"/>
  <c r="CV41" i="5"/>
  <c r="CG41" i="5"/>
  <c r="CO41" i="5"/>
  <c r="CW41" i="5"/>
  <c r="CH41" i="5"/>
  <c r="CP41" i="5"/>
  <c r="CX41" i="5"/>
  <c r="CB41" i="5"/>
  <c r="CA41" i="5"/>
  <c r="BZ41" i="5"/>
  <c r="BY41" i="5"/>
  <c r="BX41" i="5"/>
  <c r="BW41" i="5"/>
  <c r="BU41" i="5"/>
  <c r="BT41" i="5"/>
  <c r="BV41" i="5"/>
  <c r="BS41" i="5"/>
  <c r="BR41" i="5"/>
  <c r="BQ41" i="5"/>
  <c r="BO7" i="5"/>
  <c r="BO9" i="5"/>
  <c r="Z46" i="5"/>
  <c r="BO16" i="5"/>
  <c r="BO20" i="5"/>
  <c r="BO22" i="5"/>
  <c r="BO25" i="5"/>
  <c r="BO28" i="5"/>
  <c r="BO32" i="5"/>
  <c r="BO36" i="5"/>
  <c r="BO40" i="5"/>
  <c r="BP34" i="5"/>
  <c r="BP23" i="5"/>
  <c r="BP40" i="5"/>
  <c r="BP20" i="5"/>
  <c r="BP31" i="5"/>
  <c r="BP19" i="5"/>
  <c r="BP26" i="5"/>
  <c r="BP32" i="5"/>
  <c r="BP7" i="5"/>
  <c r="DB68" i="5"/>
  <c r="DA60" i="5"/>
  <c r="DE68" i="5"/>
  <c r="DC49" i="5"/>
  <c r="M49" i="5"/>
  <c r="M55" i="5"/>
  <c r="M60" i="5"/>
  <c r="DC68" i="5"/>
  <c r="DF52" i="5"/>
  <c r="DA49" i="5"/>
  <c r="DB49" i="5"/>
  <c r="DA68" i="5"/>
  <c r="DE49" i="5"/>
  <c r="DE60" i="5"/>
  <c r="DG60" i="5"/>
  <c r="DG68" i="5"/>
  <c r="DC52" i="5"/>
  <c r="DD52" i="5"/>
  <c r="DG52" i="5"/>
  <c r="DD68" i="5"/>
  <c r="M43" i="5"/>
  <c r="M44" i="5"/>
  <c r="M56" i="5" a="1"/>
  <c r="M56" i="5" s="1"/>
  <c r="M86" i="5" a="1"/>
  <c r="M86" i="5" s="1"/>
  <c r="M98" i="5" a="1"/>
  <c r="M98" i="5" s="1"/>
  <c r="M63" i="5"/>
  <c r="M83" i="5" a="1"/>
  <c r="M83" i="5" s="1"/>
  <c r="M80" i="5" a="1"/>
  <c r="M80" i="5" s="1"/>
  <c r="M89" i="5" a="1"/>
  <c r="M89" i="5" s="1"/>
  <c r="M72" i="5" a="1"/>
  <c r="M72" i="5" s="1"/>
  <c r="M95" i="5" a="1"/>
  <c r="M95" i="5" s="1"/>
  <c r="M53" i="5" a="1"/>
  <c r="M53" i="5" s="1"/>
  <c r="M92" i="5" a="1"/>
  <c r="M92" i="5" s="1"/>
  <c r="M61" i="5" a="1"/>
  <c r="M61" i="5" s="1"/>
  <c r="M69" i="5" a="1"/>
  <c r="M69" i="5" s="1"/>
  <c r="M77" i="5" a="1"/>
  <c r="M77" i="5" s="1"/>
  <c r="M64" i="5" a="1"/>
  <c r="M64" i="5" s="1"/>
  <c r="M47" i="5" a="1"/>
  <c r="M47" i="5" s="1"/>
  <c r="M50" i="5" a="1"/>
  <c r="M50" i="5" s="1"/>
  <c r="M52" i="5"/>
  <c r="M68" i="5"/>
  <c r="DF49" i="5"/>
  <c r="DF60" i="5"/>
  <c r="DA52" i="5"/>
  <c r="DE52" i="5"/>
  <c r="M46" i="5"/>
  <c r="DB52" i="5"/>
  <c r="M71" i="5"/>
  <c r="M76" i="5"/>
  <c r="M79" i="5"/>
  <c r="DB60" i="5"/>
  <c r="DF68" i="5"/>
  <c r="DG49" i="5"/>
  <c r="DC60" i="5"/>
  <c r="DD49" i="5"/>
  <c r="DD60" i="5"/>
  <c r="H7" i="14"/>
  <c r="H9" i="14"/>
  <c r="H10" i="14"/>
  <c r="H14" i="14"/>
  <c r="H12" i="14"/>
  <c r="H6" i="14"/>
  <c r="I9" i="14" a="1"/>
  <c r="I9" i="14" s="1"/>
  <c r="I12" i="14" a="1"/>
  <c r="I12" i="14" s="1"/>
  <c r="I17" i="14" a="1"/>
  <c r="I17" i="14" s="1"/>
  <c r="I20" i="14" a="1"/>
  <c r="I20" i="14" s="1"/>
  <c r="H11" i="14"/>
  <c r="I7" i="14" a="1"/>
  <c r="I7" i="14" s="1"/>
  <c r="I15" i="14" a="1"/>
  <c r="I15" i="14" s="1"/>
  <c r="I8" i="14" a="1"/>
  <c r="I8" i="14" s="1"/>
  <c r="I16" i="14" a="1"/>
  <c r="I16" i="14" s="1"/>
  <c r="I11" i="14" a="1"/>
  <c r="I11" i="14" s="1"/>
  <c r="I14" i="14" a="1"/>
  <c r="I14" i="14" s="1"/>
  <c r="I19" i="14" a="1"/>
  <c r="I19" i="14" s="1"/>
  <c r="I6" i="14" a="1"/>
  <c r="I6" i="14" s="1"/>
  <c r="I10" i="14" a="1"/>
  <c r="I10" i="14" s="1"/>
  <c r="I18" i="14" a="1"/>
  <c r="I18" i="14" s="1"/>
  <c r="I13" i="14" a="1"/>
  <c r="I13" i="14" s="1"/>
  <c r="I21" i="14" a="1"/>
  <c r="I21" i="14" s="1"/>
  <c r="H8" i="14"/>
  <c r="H13" i="14"/>
  <c r="H15" i="14"/>
  <c r="P13" i="5"/>
  <c r="BL13" i="5"/>
  <c r="BN13" i="5"/>
  <c r="P10" i="5"/>
  <c r="BN10" i="5"/>
  <c r="P21" i="5"/>
  <c r="BN21" i="5"/>
  <c r="P26" i="5"/>
  <c r="BN26" i="5"/>
  <c r="P33" i="5"/>
  <c r="BN33" i="5"/>
  <c r="P16" i="5"/>
  <c r="BN16" i="5"/>
  <c r="P7" i="5"/>
  <c r="BN7" i="5"/>
  <c r="P27" i="5"/>
  <c r="BN27" i="5"/>
  <c r="P30" i="5"/>
  <c r="BN30" i="5"/>
  <c r="P38" i="5"/>
  <c r="BN38" i="5"/>
  <c r="P15" i="5"/>
  <c r="BN15" i="5"/>
  <c r="BL15" i="5"/>
  <c r="P11" i="5"/>
  <c r="BN11" i="5"/>
  <c r="BL11" i="5"/>
  <c r="P19" i="5"/>
  <c r="BN19" i="5"/>
  <c r="P24" i="5"/>
  <c r="BN24" i="5"/>
  <c r="P31" i="5"/>
  <c r="BN31" i="5"/>
  <c r="BL31" i="5"/>
  <c r="P35" i="5"/>
  <c r="BN35" i="5"/>
  <c r="P39" i="5"/>
  <c r="BN39" i="5"/>
  <c r="P5" i="5"/>
  <c r="BN5" i="5"/>
  <c r="P8" i="5"/>
  <c r="BN8" i="5"/>
  <c r="P17" i="5"/>
  <c r="BN17" i="5"/>
  <c r="P29" i="5"/>
  <c r="BN29" i="5"/>
  <c r="P37" i="5"/>
  <c r="BN37" i="5"/>
  <c r="P9" i="5"/>
  <c r="BN9" i="5"/>
  <c r="P18" i="5"/>
  <c r="BN18" i="5"/>
  <c r="P23" i="5"/>
  <c r="BL23" i="5"/>
  <c r="BN23" i="5"/>
  <c r="P34" i="5"/>
  <c r="BN34" i="5"/>
  <c r="P41" i="5"/>
  <c r="BN41" i="5"/>
  <c r="P14" i="5"/>
  <c r="BN14" i="5"/>
  <c r="BL14" i="5"/>
  <c r="P12" i="5"/>
  <c r="BN12" i="5"/>
  <c r="P6" i="5"/>
  <c r="BN6" i="5"/>
  <c r="O20" i="5"/>
  <c r="BN20" i="5"/>
  <c r="P22" i="5"/>
  <c r="BN22" i="5"/>
  <c r="P25" i="5"/>
  <c r="BN25" i="5"/>
  <c r="P28" i="5"/>
  <c r="BN28" i="5"/>
  <c r="BL28" i="5"/>
  <c r="BM28" i="5"/>
  <c r="O32" i="5"/>
  <c r="BN32" i="5"/>
  <c r="P36" i="5"/>
  <c r="BN36" i="5"/>
  <c r="O40" i="5"/>
  <c r="BN40" i="5"/>
  <c r="P20" i="5"/>
  <c r="O27" i="5"/>
  <c r="O36" i="5"/>
  <c r="P40" i="5"/>
  <c r="O23" i="5"/>
  <c r="O22" i="5"/>
  <c r="P32" i="5"/>
  <c r="O18" i="5"/>
  <c r="O38" i="5"/>
  <c r="O41" i="5"/>
  <c r="O7" i="5"/>
  <c r="O33" i="5"/>
  <c r="O19" i="5"/>
  <c r="O28" i="5"/>
  <c r="O14" i="5"/>
  <c r="O37" i="5"/>
  <c r="O30" i="5"/>
  <c r="O35" i="5"/>
  <c r="O13" i="5"/>
  <c r="O11" i="5"/>
  <c r="O24" i="5"/>
  <c r="O21" i="5"/>
  <c r="O17" i="5"/>
  <c r="O6" i="5"/>
  <c r="O10" i="5"/>
  <c r="O5" i="5"/>
  <c r="O8" i="5"/>
  <c r="O26" i="5"/>
  <c r="O15" i="5"/>
  <c r="W41" i="5"/>
  <c r="BL41" i="5" s="1"/>
  <c r="W40" i="5"/>
  <c r="BL40" i="5" s="1"/>
  <c r="W39" i="5"/>
  <c r="BL39" i="5" s="1"/>
  <c r="W38" i="5"/>
  <c r="BL38" i="5" s="1"/>
  <c r="W37" i="5"/>
  <c r="BL37" i="5" s="1"/>
  <c r="W36" i="5"/>
  <c r="BL36" i="5" s="1"/>
  <c r="W35" i="5"/>
  <c r="BL35" i="5" s="1"/>
  <c r="W34" i="5"/>
  <c r="BL34" i="5" s="1"/>
  <c r="W33" i="5"/>
  <c r="BL33" i="5" s="1"/>
  <c r="W32" i="5"/>
  <c r="BL32" i="5" s="1"/>
  <c r="W30" i="5"/>
  <c r="BL30" i="5" s="1"/>
  <c r="W29" i="5"/>
  <c r="BL29" i="5" s="1"/>
  <c r="W27" i="5"/>
  <c r="BL27" i="5" s="1"/>
  <c r="W26" i="5"/>
  <c r="BL26" i="5" s="1"/>
  <c r="W25" i="5"/>
  <c r="BL25" i="5" s="1"/>
  <c r="W24" i="5"/>
  <c r="BL24" i="5" s="1"/>
  <c r="W22" i="5"/>
  <c r="BL22" i="5" s="1"/>
  <c r="W21" i="5"/>
  <c r="BL21" i="5" s="1"/>
  <c r="W20" i="5"/>
  <c r="BL20" i="5" s="1"/>
  <c r="W19" i="5"/>
  <c r="BL19" i="5" s="1"/>
  <c r="W18" i="5"/>
  <c r="BL18" i="5" s="1"/>
  <c r="W17" i="5"/>
  <c r="BL17" i="5" s="1"/>
  <c r="W16" i="5"/>
  <c r="BL16" i="5" s="1"/>
  <c r="W12" i="5"/>
  <c r="BL12" i="5" s="1"/>
  <c r="W10" i="5"/>
  <c r="BL10" i="5" s="1"/>
  <c r="W9" i="5"/>
  <c r="BL9" i="5" s="1"/>
  <c r="W8" i="5"/>
  <c r="BL8" i="5" s="1"/>
  <c r="W7" i="5"/>
  <c r="BL7" i="5" s="1"/>
  <c r="W6" i="5"/>
  <c r="BL6" i="5" s="1"/>
  <c r="W5" i="5"/>
  <c r="X41" i="5"/>
  <c r="X40" i="5"/>
  <c r="X39" i="5"/>
  <c r="X38" i="5"/>
  <c r="X37" i="5"/>
  <c r="X36" i="5"/>
  <c r="X35" i="5"/>
  <c r="X34" i="5"/>
  <c r="X33" i="5"/>
  <c r="X32" i="5"/>
  <c r="X31" i="5"/>
  <c r="X30" i="5"/>
  <c r="X29" i="5"/>
  <c r="X27" i="5"/>
  <c r="X26" i="5"/>
  <c r="X25" i="5"/>
  <c r="X24" i="5"/>
  <c r="X23" i="5"/>
  <c r="X22" i="5"/>
  <c r="X21" i="5"/>
  <c r="X20" i="5"/>
  <c r="X19" i="5"/>
  <c r="X18" i="5"/>
  <c r="X17" i="5"/>
  <c r="X16" i="5"/>
  <c r="X15" i="5"/>
  <c r="X14" i="5"/>
  <c r="X13" i="5"/>
  <c r="X12" i="5"/>
  <c r="X11" i="5"/>
  <c r="X10" i="5"/>
  <c r="X9" i="5"/>
  <c r="X8" i="5"/>
  <c r="X7" i="5"/>
  <c r="X6" i="5"/>
  <c r="X5" i="5"/>
  <c r="CJ76" i="5" l="1"/>
  <c r="CE46" i="5"/>
  <c r="DA55" i="5"/>
  <c r="DD55" i="5"/>
  <c r="CZ50" i="5"/>
  <c r="CZ60" i="5"/>
  <c r="BP76" i="5"/>
  <c r="BP63" i="5"/>
  <c r="DD61" i="5"/>
  <c r="DD63" i="5" s="1"/>
  <c r="DD69" i="5"/>
  <c r="DD71" i="5" s="1"/>
  <c r="DE61" i="5"/>
  <c r="DE63" i="5" s="1"/>
  <c r="DA61" i="5"/>
  <c r="DA63" i="5" s="1"/>
  <c r="DA69" i="5"/>
  <c r="DA71" i="5" s="1"/>
  <c r="DB53" i="5"/>
  <c r="DB55" i="5" s="1"/>
  <c r="DC69" i="5"/>
  <c r="DC71" i="5" s="1"/>
  <c r="DF69" i="5"/>
  <c r="DF71" i="5" s="1"/>
  <c r="DC61" i="5"/>
  <c r="DC63" i="5" s="1"/>
  <c r="DF61" i="5"/>
  <c r="DF63" i="5" s="1"/>
  <c r="DE69" i="5"/>
  <c r="DE71" i="5" s="1"/>
  <c r="DG53" i="5"/>
  <c r="DG55" i="5" s="1"/>
  <c r="DE55" i="5"/>
  <c r="CZ52" i="5"/>
  <c r="DC53" i="5"/>
  <c r="DC55" i="5" s="1"/>
  <c r="DG61" i="5"/>
  <c r="DG63" i="5" s="1"/>
  <c r="DG69" i="5"/>
  <c r="DG71" i="5" s="1"/>
  <c r="DF53" i="5"/>
  <c r="DF55" i="5" s="1"/>
  <c r="DB69" i="5"/>
  <c r="DB71" i="5" s="1"/>
  <c r="DB61" i="5"/>
  <c r="DB63" i="5" s="1"/>
  <c r="BX79" i="5"/>
  <c r="BO60" i="5"/>
  <c r="BV46" i="5"/>
  <c r="CY46" i="5"/>
  <c r="BY49" i="5"/>
  <c r="BZ46" i="5"/>
  <c r="BY71" i="5"/>
  <c r="BO49" i="5"/>
  <c r="BX63" i="5"/>
  <c r="CI46" i="5"/>
  <c r="CX46" i="5"/>
  <c r="BT68" i="5"/>
  <c r="BR46" i="5"/>
  <c r="CU46" i="5"/>
  <c r="CH76" i="5"/>
  <c r="CT49" i="5"/>
  <c r="CL79" i="5"/>
  <c r="CF52" i="5"/>
  <c r="BP47" i="5" a="1"/>
  <c r="BP47" i="5" s="1"/>
  <c r="BP68" i="5"/>
  <c r="CZ68" i="5"/>
  <c r="CH46" i="5"/>
  <c r="CN79" i="5"/>
  <c r="CR49" i="5"/>
  <c r="CO49" i="5"/>
  <c r="BO68" i="5"/>
  <c r="CY60" i="5"/>
  <c r="BZ71" i="5"/>
  <c r="BV52" i="5"/>
  <c r="BX52" i="5"/>
  <c r="CE52" i="5"/>
  <c r="CO52" i="5"/>
  <c r="BY52" i="5"/>
  <c r="CL52" i="5"/>
  <c r="BQ71" i="5"/>
  <c r="CW71" i="5"/>
  <c r="BR60" i="5"/>
  <c r="BT60" i="5"/>
  <c r="BZ60" i="5"/>
  <c r="CJ60" i="5"/>
  <c r="CP60" i="5"/>
  <c r="CX68" i="5"/>
  <c r="CH68" i="5"/>
  <c r="BV49" i="5"/>
  <c r="BP60" i="5"/>
  <c r="CH71" i="5"/>
  <c r="CA52" i="5"/>
  <c r="CD52" i="5"/>
  <c r="CT55" i="5"/>
  <c r="CL68" i="5"/>
  <c r="CH49" i="5"/>
  <c r="CB63" i="5"/>
  <c r="CF63" i="5"/>
  <c r="CR63" i="5"/>
  <c r="BW46" i="5"/>
  <c r="CS55" i="5"/>
  <c r="CE49" i="5"/>
  <c r="CN46" i="5"/>
  <c r="BX46" i="5"/>
  <c r="BS68" i="5"/>
  <c r="BU79" i="5"/>
  <c r="CP79" i="5"/>
  <c r="CT79" i="5"/>
  <c r="CM79" i="5"/>
  <c r="CM76" i="5"/>
  <c r="CC76" i="5"/>
  <c r="BT71" i="5"/>
  <c r="CY71" i="5"/>
  <c r="CV71" i="5"/>
  <c r="CW46" i="5"/>
  <c r="CG68" i="5"/>
  <c r="CX71" i="5"/>
  <c r="X79" i="5"/>
  <c r="BM11" i="5"/>
  <c r="BM15" i="5"/>
  <c r="X71" i="5"/>
  <c r="BM22" i="5"/>
  <c r="BM25" i="5"/>
  <c r="BM33" i="5"/>
  <c r="BM5" i="5"/>
  <c r="X43" i="5"/>
  <c r="X44" i="5"/>
  <c r="X56" i="5" a="1"/>
  <c r="X56" i="5" s="1"/>
  <c r="X53" i="5" a="1"/>
  <c r="X53" i="5" s="1"/>
  <c r="X98" i="5" a="1"/>
  <c r="X98" i="5" s="1"/>
  <c r="X63" i="5"/>
  <c r="X72" i="5" a="1"/>
  <c r="X72" i="5" s="1"/>
  <c r="X92" i="5" a="1"/>
  <c r="X92" i="5" s="1"/>
  <c r="X86" i="5" a="1"/>
  <c r="X86" i="5" s="1"/>
  <c r="X64" i="5" a="1"/>
  <c r="X64" i="5" s="1"/>
  <c r="X89" i="5" a="1"/>
  <c r="X89" i="5" s="1"/>
  <c r="X47" i="5" a="1"/>
  <c r="X47" i="5" s="1"/>
  <c r="X61" i="5" a="1"/>
  <c r="X61" i="5" s="1"/>
  <c r="X69" i="5" a="1"/>
  <c r="X69" i="5" s="1"/>
  <c r="X50" i="5" a="1"/>
  <c r="X50" i="5" s="1"/>
  <c r="X80" i="5" a="1"/>
  <c r="X80" i="5" s="1"/>
  <c r="X95" i="5" a="1"/>
  <c r="X95" i="5" s="1"/>
  <c r="X83" i="5" a="1"/>
  <c r="X83" i="5" s="1"/>
  <c r="X77" i="5" a="1"/>
  <c r="X77" i="5" s="1"/>
  <c r="BM8" i="5"/>
  <c r="X60" i="5"/>
  <c r="BM10" i="5"/>
  <c r="X52" i="5"/>
  <c r="BM13" i="5"/>
  <c r="BM17" i="5"/>
  <c r="X68" i="5"/>
  <c r="BM21" i="5"/>
  <c r="BM27" i="5"/>
  <c r="BM31" i="5"/>
  <c r="BM35" i="5"/>
  <c r="W83" i="5" a="1"/>
  <c r="W83" i="5" s="1"/>
  <c r="W92" i="5" a="1"/>
  <c r="W92" i="5" s="1"/>
  <c r="W61" i="5" a="1"/>
  <c r="W61" i="5" s="1"/>
  <c r="W77" i="5" a="1"/>
  <c r="W77" i="5" s="1"/>
  <c r="W64" i="5" a="1"/>
  <c r="W64" i="5" s="1"/>
  <c r="W56" i="5" a="1"/>
  <c r="W56" i="5" s="1"/>
  <c r="W72" i="5" a="1"/>
  <c r="W72" i="5" s="1"/>
  <c r="W98" i="5" a="1"/>
  <c r="W98" i="5" s="1"/>
  <c r="W50" i="5" a="1"/>
  <c r="W50" i="5" s="1"/>
  <c r="W80" i="5" a="1"/>
  <c r="W80" i="5" s="1"/>
  <c r="W53" i="5" a="1"/>
  <c r="W53" i="5" s="1"/>
  <c r="W95" i="5" a="1"/>
  <c r="W95" i="5" s="1"/>
  <c r="W69" i="5" a="1"/>
  <c r="W69" i="5" s="1"/>
  <c r="W89" i="5" a="1"/>
  <c r="W89" i="5" s="1"/>
  <c r="W47" i="5" a="1"/>
  <c r="W47" i="5" s="1"/>
  <c r="W86" i="5" a="1"/>
  <c r="W86" i="5" s="1"/>
  <c r="BO46" i="5"/>
  <c r="CJ63" i="5"/>
  <c r="CN63" i="5"/>
  <c r="BX68" i="5"/>
  <c r="CR68" i="5"/>
  <c r="BT76" i="5"/>
  <c r="CR76" i="5"/>
  <c r="CM46" i="5"/>
  <c r="CL46" i="5"/>
  <c r="BR76" i="5"/>
  <c r="BV76" i="5"/>
  <c r="BZ76" i="5"/>
  <c r="CL76" i="5"/>
  <c r="CD76" i="5"/>
  <c r="CX76" i="5"/>
  <c r="CK55" i="5"/>
  <c r="BU71" i="5"/>
  <c r="BQ95" i="5" a="1"/>
  <c r="BQ95" i="5" s="1"/>
  <c r="BQ60" i="5"/>
  <c r="BU60" i="5"/>
  <c r="BY95" i="5" a="1"/>
  <c r="BY95" i="5" s="1"/>
  <c r="BY60" i="5"/>
  <c r="CR60" i="5"/>
  <c r="CT60" i="5"/>
  <c r="CD60" i="5"/>
  <c r="CK60" i="5"/>
  <c r="BP64" i="5" a="1"/>
  <c r="BP64" i="5" s="1"/>
  <c r="BP98" i="5" a="1"/>
  <c r="BP98" i="5" s="1"/>
  <c r="BP80" i="5" a="1"/>
  <c r="BP80" i="5" s="1"/>
  <c r="BP95" i="5" a="1"/>
  <c r="BP95" i="5" s="1"/>
  <c r="CP68" i="5"/>
  <c r="BR49" i="5"/>
  <c r="CP49" i="5"/>
  <c r="BS55" i="5"/>
  <c r="BW98" i="5" a="1"/>
  <c r="BW98" i="5" s="1"/>
  <c r="BW55" i="5"/>
  <c r="CA55" i="5"/>
  <c r="CE55" i="5"/>
  <c r="CU98" i="5" a="1"/>
  <c r="CU98" i="5" s="1"/>
  <c r="CU55" i="5"/>
  <c r="CY55" i="5"/>
  <c r="CV92" i="5" a="1"/>
  <c r="CV92" i="5" s="1"/>
  <c r="CV55" i="5"/>
  <c r="CF92" i="5" a="1"/>
  <c r="CF92" i="5" s="1"/>
  <c r="CF55" i="5"/>
  <c r="CR79" i="5"/>
  <c r="CB79" i="5"/>
  <c r="BU49" i="5"/>
  <c r="BX49" i="5"/>
  <c r="CS49" i="5"/>
  <c r="CC49" i="5"/>
  <c r="BP71" i="5"/>
  <c r="BO43" i="5"/>
  <c r="BO44" i="5"/>
  <c r="BO98" i="5" a="1"/>
  <c r="BO98" i="5" s="1"/>
  <c r="BO53" i="5" a="1"/>
  <c r="BO53" i="5" s="1"/>
  <c r="BO69" i="5" a="1"/>
  <c r="BO69" i="5" s="1"/>
  <c r="BO72" i="5" a="1"/>
  <c r="BO72" i="5" s="1"/>
  <c r="BO83" i="5" a="1"/>
  <c r="BO83" i="5" s="1"/>
  <c r="BO63" i="5"/>
  <c r="BO95" i="5" a="1"/>
  <c r="BO95" i="5" s="1"/>
  <c r="BO77" i="5" a="1"/>
  <c r="BO77" i="5" s="1"/>
  <c r="BO50" i="5" a="1"/>
  <c r="BO50" i="5" s="1"/>
  <c r="BO47" i="5" a="1"/>
  <c r="BO47" i="5" s="1"/>
  <c r="BO86" i="5" a="1"/>
  <c r="BO86" i="5" s="1"/>
  <c r="BO92" i="5" a="1"/>
  <c r="BO92" i="5" s="1"/>
  <c r="BO64" i="5" a="1"/>
  <c r="BO64" i="5" s="1"/>
  <c r="BO89" i="5" a="1"/>
  <c r="BO89" i="5" s="1"/>
  <c r="BO61" i="5" a="1"/>
  <c r="BO61" i="5" s="1"/>
  <c r="BO80" i="5" a="1"/>
  <c r="BO80" i="5" s="1"/>
  <c r="BO56" i="5" a="1"/>
  <c r="BO56" i="5" s="1"/>
  <c r="CY49" i="5"/>
  <c r="CI49" i="5"/>
  <c r="BT46" i="5"/>
  <c r="CR46" i="5"/>
  <c r="CB46" i="5"/>
  <c r="BS79" i="5"/>
  <c r="BW79" i="5"/>
  <c r="CO79" i="5"/>
  <c r="CG79" i="5"/>
  <c r="CC79" i="5"/>
  <c r="CV79" i="5"/>
  <c r="CQ79" i="5"/>
  <c r="CA79" i="5"/>
  <c r="CM53" i="5" a="1"/>
  <c r="CM53" i="5" s="1"/>
  <c r="CQ60" i="5"/>
  <c r="BU76" i="5"/>
  <c r="CI76" i="5"/>
  <c r="CU76" i="5"/>
  <c r="CW76" i="5"/>
  <c r="CG76" i="5"/>
  <c r="BS71" i="5"/>
  <c r="BX71" i="5"/>
  <c r="CB71" i="5"/>
  <c r="CF71" i="5"/>
  <c r="CT71" i="5"/>
  <c r="CP71" i="5"/>
  <c r="CJ71" i="5"/>
  <c r="BU46" i="5"/>
  <c r="CK46" i="5"/>
  <c r="CC46" i="5"/>
  <c r="BY46" i="5"/>
  <c r="BU68" i="5"/>
  <c r="CJ68" i="5"/>
  <c r="CO68" i="5"/>
  <c r="BW52" i="5"/>
  <c r="CR52" i="5"/>
  <c r="CY52" i="5"/>
  <c r="CV52" i="5"/>
  <c r="CS52" i="5"/>
  <c r="CC52" i="5"/>
  <c r="BZ52" i="5"/>
  <c r="BQ98" i="5" a="1"/>
  <c r="BQ98" i="5" s="1"/>
  <c r="BQ44" i="5"/>
  <c r="BQ43" i="5"/>
  <c r="BQ77" i="5" a="1"/>
  <c r="BQ77" i="5" s="1"/>
  <c r="BQ53" i="5" a="1"/>
  <c r="BQ53" i="5" s="1"/>
  <c r="BQ92" i="5" a="1"/>
  <c r="BQ92" i="5" s="1"/>
  <c r="BQ72" i="5" a="1"/>
  <c r="BQ72" i="5" s="1"/>
  <c r="BQ83" i="5" a="1"/>
  <c r="BQ83" i="5" s="1"/>
  <c r="BQ47" i="5" a="1"/>
  <c r="BQ47" i="5" s="1"/>
  <c r="BQ69" i="5" a="1"/>
  <c r="BQ69" i="5" s="1"/>
  <c r="BQ64" i="5" a="1"/>
  <c r="BQ64" i="5" s="1"/>
  <c r="BQ86" i="5" a="1"/>
  <c r="BQ86" i="5" s="1"/>
  <c r="BQ80" i="5" a="1"/>
  <c r="BQ80" i="5" s="1"/>
  <c r="BQ89" i="5" a="1"/>
  <c r="BQ89" i="5" s="1"/>
  <c r="BQ56" i="5" a="1"/>
  <c r="BQ56" i="5" s="1"/>
  <c r="BQ61" i="5" a="1"/>
  <c r="BQ61" i="5" s="1"/>
  <c r="BQ50" i="5" a="1"/>
  <c r="BQ50" i="5" s="1"/>
  <c r="BQ63" i="5"/>
  <c r="BU63" i="5"/>
  <c r="BU43" i="5"/>
  <c r="BU44" i="5"/>
  <c r="BU77" i="5" a="1"/>
  <c r="BU77" i="5" s="1"/>
  <c r="BU69" i="5" a="1"/>
  <c r="BU69" i="5" s="1"/>
  <c r="BU56" i="5" a="1"/>
  <c r="BU56" i="5" s="1"/>
  <c r="BU95" i="5" a="1"/>
  <c r="BU95" i="5" s="1"/>
  <c r="BU92" i="5" a="1"/>
  <c r="BU92" i="5" s="1"/>
  <c r="BU72" i="5" a="1"/>
  <c r="BU72" i="5" s="1"/>
  <c r="BU80" i="5" a="1"/>
  <c r="BU80" i="5" s="1"/>
  <c r="BU89" i="5" a="1"/>
  <c r="BU89" i="5" s="1"/>
  <c r="BU47" i="5" a="1"/>
  <c r="BU47" i="5" s="1"/>
  <c r="BU98" i="5" a="1"/>
  <c r="BU98" i="5" s="1"/>
  <c r="BU61" i="5" a="1"/>
  <c r="BU61" i="5" s="1"/>
  <c r="BU50" i="5" a="1"/>
  <c r="BU50" i="5" s="1"/>
  <c r="BU64" i="5" a="1"/>
  <c r="BU64" i="5" s="1"/>
  <c r="BU83" i="5" a="1"/>
  <c r="BU83" i="5" s="1"/>
  <c r="BU86" i="5" a="1"/>
  <c r="BU86" i="5" s="1"/>
  <c r="BU53" i="5" a="1"/>
  <c r="BU53" i="5" s="1"/>
  <c r="BY63" i="5"/>
  <c r="BY44" i="5"/>
  <c r="BY43" i="5"/>
  <c r="BY83" i="5" a="1"/>
  <c r="BY83" i="5" s="1"/>
  <c r="BY47" i="5" a="1"/>
  <c r="BY47" i="5" s="1"/>
  <c r="BY77" i="5" a="1"/>
  <c r="BY77" i="5" s="1"/>
  <c r="BY50" i="5" a="1"/>
  <c r="BY50" i="5" s="1"/>
  <c r="BY56" i="5" a="1"/>
  <c r="BY56" i="5" s="1"/>
  <c r="BY72" i="5" a="1"/>
  <c r="BY72" i="5" s="1"/>
  <c r="BY61" i="5" a="1"/>
  <c r="BY61" i="5" s="1"/>
  <c r="BY64" i="5" a="1"/>
  <c r="BY64" i="5" s="1"/>
  <c r="BY80" i="5" a="1"/>
  <c r="BY80" i="5" s="1"/>
  <c r="BY69" i="5" a="1"/>
  <c r="BY69" i="5" s="1"/>
  <c r="BY92" i="5" a="1"/>
  <c r="BY92" i="5" s="1"/>
  <c r="BY89" i="5" a="1"/>
  <c r="BY89" i="5" s="1"/>
  <c r="BY86" i="5" a="1"/>
  <c r="BY86" i="5" s="1"/>
  <c r="BY53" i="5" a="1"/>
  <c r="BY53" i="5" s="1"/>
  <c r="BY98" i="5" a="1"/>
  <c r="BY98" i="5" s="1"/>
  <c r="CC43" i="5"/>
  <c r="CC44" i="5"/>
  <c r="CC56" i="5" a="1"/>
  <c r="CC56" i="5" s="1"/>
  <c r="CC61" i="5" a="1"/>
  <c r="CC61" i="5" s="1"/>
  <c r="CC86" i="5" a="1"/>
  <c r="CC86" i="5" s="1"/>
  <c r="CC72" i="5" a="1"/>
  <c r="CC72" i="5" s="1"/>
  <c r="CC63" i="5"/>
  <c r="CC64" i="5" a="1"/>
  <c r="CC64" i="5" s="1"/>
  <c r="CC95" i="5" a="1"/>
  <c r="CC95" i="5" s="1"/>
  <c r="CC98" i="5" a="1"/>
  <c r="CC98" i="5" s="1"/>
  <c r="CC89" i="5" a="1"/>
  <c r="CC89" i="5" s="1"/>
  <c r="CC83" i="5" a="1"/>
  <c r="CC83" i="5" s="1"/>
  <c r="CC47" i="5" a="1"/>
  <c r="CC47" i="5" s="1"/>
  <c r="CC53" i="5" a="1"/>
  <c r="CC53" i="5" s="1"/>
  <c r="CC80" i="5" a="1"/>
  <c r="CC80" i="5" s="1"/>
  <c r="CC69" i="5" a="1"/>
  <c r="CC69" i="5" s="1"/>
  <c r="CC92" i="5" a="1"/>
  <c r="CC92" i="5" s="1"/>
  <c r="CC50" i="5" a="1"/>
  <c r="CC50" i="5" s="1"/>
  <c r="CG98" i="5" a="1"/>
  <c r="CG98" i="5" s="1"/>
  <c r="CG44" i="5"/>
  <c r="CG43" i="5"/>
  <c r="CG47" i="5" a="1"/>
  <c r="CG47" i="5" s="1"/>
  <c r="CG53" i="5" a="1"/>
  <c r="CG53" i="5" s="1"/>
  <c r="CG69" i="5" a="1"/>
  <c r="CG69" i="5" s="1"/>
  <c r="CG56" i="5" a="1"/>
  <c r="CG56" i="5" s="1"/>
  <c r="CG61" i="5" a="1"/>
  <c r="CG61" i="5" s="1"/>
  <c r="CG72" i="5" a="1"/>
  <c r="CG72" i="5" s="1"/>
  <c r="CG50" i="5" a="1"/>
  <c r="CG50" i="5" s="1"/>
  <c r="CG77" i="5" a="1"/>
  <c r="CG77" i="5" s="1"/>
  <c r="CG63" i="5"/>
  <c r="CG80" i="5" a="1"/>
  <c r="CG80" i="5" s="1"/>
  <c r="CG83" i="5" a="1"/>
  <c r="CG83" i="5" s="1"/>
  <c r="CG86" i="5" a="1"/>
  <c r="CG86" i="5" s="1"/>
  <c r="CG92" i="5" a="1"/>
  <c r="CG92" i="5" s="1"/>
  <c r="CG64" i="5" a="1"/>
  <c r="CG64" i="5" s="1"/>
  <c r="CG89" i="5" a="1"/>
  <c r="CG89" i="5" s="1"/>
  <c r="CK63" i="5"/>
  <c r="CK44" i="5"/>
  <c r="CK43" i="5"/>
  <c r="CK56" i="5" a="1"/>
  <c r="CK56" i="5" s="1"/>
  <c r="CK98" i="5" a="1"/>
  <c r="CK98" i="5" s="1"/>
  <c r="CK50" i="5" a="1"/>
  <c r="CK50" i="5" s="1"/>
  <c r="CK64" i="5" a="1"/>
  <c r="CK64" i="5" s="1"/>
  <c r="CK83" i="5" a="1"/>
  <c r="CK83" i="5" s="1"/>
  <c r="CK86" i="5" a="1"/>
  <c r="CK86" i="5" s="1"/>
  <c r="CK47" i="5" a="1"/>
  <c r="CK47" i="5" s="1"/>
  <c r="CK61" i="5" a="1"/>
  <c r="CK61" i="5" s="1"/>
  <c r="CK69" i="5" a="1"/>
  <c r="CK69" i="5" s="1"/>
  <c r="CK72" i="5" a="1"/>
  <c r="CK72" i="5" s="1"/>
  <c r="CK89" i="5" a="1"/>
  <c r="CK89" i="5" s="1"/>
  <c r="CK77" i="5" a="1"/>
  <c r="CK77" i="5" s="1"/>
  <c r="CK92" i="5" a="1"/>
  <c r="CK92" i="5" s="1"/>
  <c r="CK80" i="5" a="1"/>
  <c r="CK80" i="5" s="1"/>
  <c r="CK95" i="5" a="1"/>
  <c r="CK95" i="5" s="1"/>
  <c r="CK53" i="5" a="1"/>
  <c r="CK53" i="5" s="1"/>
  <c r="CU44" i="5"/>
  <c r="CU43" i="5"/>
  <c r="CU77" i="5" a="1"/>
  <c r="CU77" i="5" s="1"/>
  <c r="CU80" i="5" a="1"/>
  <c r="CU80" i="5" s="1"/>
  <c r="CU56" i="5" a="1"/>
  <c r="CU56" i="5" s="1"/>
  <c r="CU69" i="5" a="1"/>
  <c r="CU69" i="5" s="1"/>
  <c r="CU83" i="5" a="1"/>
  <c r="CU83" i="5" s="1"/>
  <c r="CU47" i="5" a="1"/>
  <c r="CU47" i="5" s="1"/>
  <c r="CU86" i="5" a="1"/>
  <c r="CU86" i="5" s="1"/>
  <c r="CU92" i="5" a="1"/>
  <c r="CU92" i="5" s="1"/>
  <c r="CU50" i="5" a="1"/>
  <c r="CU50" i="5" s="1"/>
  <c r="CU64" i="5" a="1"/>
  <c r="CU64" i="5" s="1"/>
  <c r="CU63" i="5"/>
  <c r="CU61" i="5" a="1"/>
  <c r="CU61" i="5" s="1"/>
  <c r="CU53" i="5" a="1"/>
  <c r="CU53" i="5" s="1"/>
  <c r="CU72" i="5" a="1"/>
  <c r="CU72" i="5" s="1"/>
  <c r="CU89" i="5" a="1"/>
  <c r="CU89" i="5" s="1"/>
  <c r="CX92" i="5" a="1"/>
  <c r="CX92" i="5" s="1"/>
  <c r="CX44" i="5"/>
  <c r="CX43" i="5"/>
  <c r="CX83" i="5" a="1"/>
  <c r="CX83" i="5" s="1"/>
  <c r="CX77" i="5" a="1"/>
  <c r="CX77" i="5" s="1"/>
  <c r="CX53" i="5" a="1"/>
  <c r="CX53" i="5" s="1"/>
  <c r="CX64" i="5" a="1"/>
  <c r="CX64" i="5" s="1"/>
  <c r="CX56" i="5" a="1"/>
  <c r="CX56" i="5" s="1"/>
  <c r="CX47" i="5" a="1"/>
  <c r="CX47" i="5" s="1"/>
  <c r="CX98" i="5" a="1"/>
  <c r="CX98" i="5" s="1"/>
  <c r="CX69" i="5" a="1"/>
  <c r="CX69" i="5" s="1"/>
  <c r="CX63" i="5"/>
  <c r="CX80" i="5" a="1"/>
  <c r="CX80" i="5" s="1"/>
  <c r="CX89" i="5" a="1"/>
  <c r="CX89" i="5" s="1"/>
  <c r="CX50" i="5" a="1"/>
  <c r="CX50" i="5" s="1"/>
  <c r="CX95" i="5" a="1"/>
  <c r="CX95" i="5" s="1"/>
  <c r="CX61" i="5" a="1"/>
  <c r="CX61" i="5" s="1"/>
  <c r="CX86" i="5" a="1"/>
  <c r="CX86" i="5" s="1"/>
  <c r="CX72" i="5" a="1"/>
  <c r="CX72" i="5" s="1"/>
  <c r="CW98" i="5" a="1"/>
  <c r="CW98" i="5" s="1"/>
  <c r="CW44" i="5"/>
  <c r="CW43" i="5"/>
  <c r="CW95" i="5" a="1"/>
  <c r="CW95" i="5" s="1"/>
  <c r="CW47" i="5" a="1"/>
  <c r="CW47" i="5" s="1"/>
  <c r="CW61" i="5" a="1"/>
  <c r="CW61" i="5" s="1"/>
  <c r="CW77" i="5" a="1"/>
  <c r="CW77" i="5" s="1"/>
  <c r="CW53" i="5" a="1"/>
  <c r="CW53" i="5" s="1"/>
  <c r="CW92" i="5" a="1"/>
  <c r="CW92" i="5" s="1"/>
  <c r="CW63" i="5"/>
  <c r="CW80" i="5" a="1"/>
  <c r="CW80" i="5" s="1"/>
  <c r="CW83" i="5" a="1"/>
  <c r="CW83" i="5" s="1"/>
  <c r="CW72" i="5" a="1"/>
  <c r="CW72" i="5" s="1"/>
  <c r="CW64" i="5" a="1"/>
  <c r="CW64" i="5" s="1"/>
  <c r="CW89" i="5" a="1"/>
  <c r="CW89" i="5" s="1"/>
  <c r="CW56" i="5" a="1"/>
  <c r="CW56" i="5" s="1"/>
  <c r="CW69" i="5" a="1"/>
  <c r="CW69" i="5" s="1"/>
  <c r="CW50" i="5" a="1"/>
  <c r="CW50" i="5" s="1"/>
  <c r="CW86" i="5" a="1"/>
  <c r="CW86" i="5" s="1"/>
  <c r="BO55" i="5"/>
  <c r="BM6" i="5"/>
  <c r="X55" i="5"/>
  <c r="BM14" i="5"/>
  <c r="BM24" i="5"/>
  <c r="BM32" i="5"/>
  <c r="BM36" i="5"/>
  <c r="BM40" i="5"/>
  <c r="CG55" i="5"/>
  <c r="CW60" i="5"/>
  <c r="BP72" i="5" a="1"/>
  <c r="BP72" i="5" s="1"/>
  <c r="BP86" i="5" a="1"/>
  <c r="BP86" i="5" s="1"/>
  <c r="BP44" i="5"/>
  <c r="CD49" i="5"/>
  <c r="BX92" i="5" a="1"/>
  <c r="BX92" i="5" s="1"/>
  <c r="BX55" i="5"/>
  <c r="CB92" i="5" a="1"/>
  <c r="CB92" i="5" s="1"/>
  <c r="CB55" i="5"/>
  <c r="CM98" i="5" a="1"/>
  <c r="CM98" i="5" s="1"/>
  <c r="CM55" i="5"/>
  <c r="CI68" i="5"/>
  <c r="CH79" i="5"/>
  <c r="CM60" i="5"/>
  <c r="CS76" i="5"/>
  <c r="BO76" i="5"/>
  <c r="BP46" i="5"/>
  <c r="BT63" i="5"/>
  <c r="CV68" i="5"/>
  <c r="CB68" i="5"/>
  <c r="CN76" i="5"/>
  <c r="BX76" i="5"/>
  <c r="CT46" i="5"/>
  <c r="CD46" i="5"/>
  <c r="BO79" i="5"/>
  <c r="CV60" i="5"/>
  <c r="CB60" i="5"/>
  <c r="CL60" i="5"/>
  <c r="CS77" i="5" a="1"/>
  <c r="CS77" i="5" s="1"/>
  <c r="CS60" i="5"/>
  <c r="CC77" i="5" a="1"/>
  <c r="CC77" i="5" s="1"/>
  <c r="CC60" i="5"/>
  <c r="BP83" i="5" a="1"/>
  <c r="BP83" i="5" s="1"/>
  <c r="BP77" i="5" a="1"/>
  <c r="BP77" i="5" s="1"/>
  <c r="BP50" i="5" a="1"/>
  <c r="BP50" i="5" s="1"/>
  <c r="BP61" i="5" a="1"/>
  <c r="BP61" i="5" s="1"/>
  <c r="BP43" i="5"/>
  <c r="BR68" i="5"/>
  <c r="BZ68" i="5"/>
  <c r="CL49" i="5"/>
  <c r="BZ49" i="5"/>
  <c r="BT92" i="5" a="1"/>
  <c r="BT92" i="5" s="1"/>
  <c r="BT55" i="5"/>
  <c r="CP55" i="5"/>
  <c r="CI55" i="5"/>
  <c r="CN92" i="5" a="1"/>
  <c r="CN92" i="5" s="1"/>
  <c r="CN55" i="5"/>
  <c r="CN52" i="5"/>
  <c r="CJ79" i="5"/>
  <c r="BT79" i="5"/>
  <c r="BT49" i="5"/>
  <c r="CJ49" i="5"/>
  <c r="CK49" i="5"/>
  <c r="BO52" i="5"/>
  <c r="CQ49" i="5"/>
  <c r="CA49" i="5"/>
  <c r="CJ46" i="5"/>
  <c r="CA63" i="5"/>
  <c r="CQ68" i="5"/>
  <c r="CY68" i="5"/>
  <c r="BQ79" i="5"/>
  <c r="BY79" i="5"/>
  <c r="CX79" i="5"/>
  <c r="CS79" i="5"/>
  <c r="CY79" i="5"/>
  <c r="CI79" i="5"/>
  <c r="CU95" i="5" a="1"/>
  <c r="CU95" i="5" s="1"/>
  <c r="CE89" i="5" a="1"/>
  <c r="CE89" i="5" s="1"/>
  <c r="BS60" i="5"/>
  <c r="BW60" i="5"/>
  <c r="CA60" i="5"/>
  <c r="CE60" i="5"/>
  <c r="CI60" i="5"/>
  <c r="CE76" i="5"/>
  <c r="CO76" i="5"/>
  <c r="BY76" i="5"/>
  <c r="CD71" i="5"/>
  <c r="CU71" i="5"/>
  <c r="CQ71" i="5"/>
  <c r="CR71" i="5"/>
  <c r="CO46" i="5"/>
  <c r="CS68" i="5"/>
  <c r="BQ52" i="5"/>
  <c r="BU52" i="5"/>
  <c r="CU52" i="5"/>
  <c r="CJ52" i="5"/>
  <c r="CI52" i="5"/>
  <c r="CK52" i="5"/>
  <c r="BS44" i="5"/>
  <c r="BS43" i="5"/>
  <c r="BS86" i="5" a="1"/>
  <c r="BS86" i="5" s="1"/>
  <c r="BS72" i="5" a="1"/>
  <c r="BS72" i="5" s="1"/>
  <c r="BS89" i="5" a="1"/>
  <c r="BS89" i="5" s="1"/>
  <c r="BS47" i="5" a="1"/>
  <c r="BS47" i="5" s="1"/>
  <c r="BS92" i="5" a="1"/>
  <c r="BS92" i="5" s="1"/>
  <c r="BS64" i="5" a="1"/>
  <c r="BS64" i="5" s="1"/>
  <c r="BS83" i="5" a="1"/>
  <c r="BS83" i="5" s="1"/>
  <c r="BS98" i="5" a="1"/>
  <c r="BS98" i="5" s="1"/>
  <c r="BS56" i="5" a="1"/>
  <c r="BS56" i="5" s="1"/>
  <c r="BS61" i="5" a="1"/>
  <c r="BS61" i="5" s="1"/>
  <c r="BS53" i="5" a="1"/>
  <c r="BS53" i="5" s="1"/>
  <c r="BS69" i="5" a="1"/>
  <c r="BS69" i="5" s="1"/>
  <c r="BS63" i="5"/>
  <c r="BS50" i="5" a="1"/>
  <c r="BS50" i="5" s="1"/>
  <c r="BS80" i="5" a="1"/>
  <c r="BS80" i="5" s="1"/>
  <c r="BS77" i="5" a="1"/>
  <c r="BS77" i="5" s="1"/>
  <c r="BW43" i="5"/>
  <c r="BW44" i="5"/>
  <c r="BW56" i="5" a="1"/>
  <c r="BW56" i="5" s="1"/>
  <c r="BW63" i="5"/>
  <c r="BW83" i="5" a="1"/>
  <c r="BW83" i="5" s="1"/>
  <c r="BW86" i="5" a="1"/>
  <c r="BW86" i="5" s="1"/>
  <c r="BW69" i="5" a="1"/>
  <c r="BW69" i="5" s="1"/>
  <c r="BW50" i="5" a="1"/>
  <c r="BW50" i="5" s="1"/>
  <c r="BW80" i="5" a="1"/>
  <c r="BW80" i="5" s="1"/>
  <c r="BW95" i="5" a="1"/>
  <c r="BW95" i="5" s="1"/>
  <c r="BW64" i="5" a="1"/>
  <c r="BW64" i="5" s="1"/>
  <c r="BW47" i="5" a="1"/>
  <c r="BW47" i="5" s="1"/>
  <c r="BW61" i="5" a="1"/>
  <c r="BW61" i="5" s="1"/>
  <c r="BW77" i="5" a="1"/>
  <c r="BW77" i="5" s="1"/>
  <c r="BW53" i="5" a="1"/>
  <c r="BW53" i="5" s="1"/>
  <c r="BW92" i="5" a="1"/>
  <c r="BW92" i="5" s="1"/>
  <c r="BW72" i="5" a="1"/>
  <c r="BW72" i="5" s="1"/>
  <c r="CA43" i="5"/>
  <c r="CA44" i="5"/>
  <c r="CA83" i="5" a="1"/>
  <c r="CA83" i="5" s="1"/>
  <c r="CA47" i="5" a="1"/>
  <c r="CA47" i="5" s="1"/>
  <c r="CA61" i="5" a="1"/>
  <c r="CA61" i="5" s="1"/>
  <c r="CA98" i="5" a="1"/>
  <c r="CA98" i="5" s="1"/>
  <c r="CA92" i="5" a="1"/>
  <c r="CA92" i="5" s="1"/>
  <c r="CA64" i="5" a="1"/>
  <c r="CA64" i="5" s="1"/>
  <c r="CA80" i="5" a="1"/>
  <c r="CA80" i="5" s="1"/>
  <c r="CA95" i="5" a="1"/>
  <c r="CA95" i="5" s="1"/>
  <c r="CA53" i="5" a="1"/>
  <c r="CA53" i="5" s="1"/>
  <c r="CA56" i="5" a="1"/>
  <c r="CA56" i="5" s="1"/>
  <c r="CA86" i="5" a="1"/>
  <c r="CA86" i="5" s="1"/>
  <c r="CA69" i="5" a="1"/>
  <c r="CA69" i="5" s="1"/>
  <c r="CA72" i="5" a="1"/>
  <c r="CA72" i="5" s="1"/>
  <c r="CA89" i="5" a="1"/>
  <c r="CA89" i="5" s="1"/>
  <c r="CA50" i="5" a="1"/>
  <c r="CA50" i="5" s="1"/>
  <c r="CA77" i="5" a="1"/>
  <c r="CA77" i="5" s="1"/>
  <c r="CE44" i="5"/>
  <c r="CE43" i="5"/>
  <c r="CE83" i="5" a="1"/>
  <c r="CE83" i="5" s="1"/>
  <c r="CE95" i="5" a="1"/>
  <c r="CE95" i="5" s="1"/>
  <c r="CE47" i="5" a="1"/>
  <c r="CE47" i="5" s="1"/>
  <c r="CE53" i="5" a="1"/>
  <c r="CE53" i="5" s="1"/>
  <c r="CE64" i="5" a="1"/>
  <c r="CE64" i="5" s="1"/>
  <c r="CE77" i="5" a="1"/>
  <c r="CE77" i="5" s="1"/>
  <c r="CE86" i="5" a="1"/>
  <c r="CE86" i="5" s="1"/>
  <c r="CE69" i="5" a="1"/>
  <c r="CE69" i="5" s="1"/>
  <c r="CE92" i="5" a="1"/>
  <c r="CE92" i="5" s="1"/>
  <c r="CE56" i="5" a="1"/>
  <c r="CE56" i="5" s="1"/>
  <c r="CE98" i="5" a="1"/>
  <c r="CE98" i="5" s="1"/>
  <c r="CE72" i="5" a="1"/>
  <c r="CE72" i="5" s="1"/>
  <c r="CE50" i="5" a="1"/>
  <c r="CE50" i="5" s="1"/>
  <c r="CE80" i="5" a="1"/>
  <c r="CE80" i="5" s="1"/>
  <c r="CE61" i="5" a="1"/>
  <c r="CE61" i="5" s="1"/>
  <c r="CE63" i="5"/>
  <c r="CI44" i="5"/>
  <c r="CI43" i="5"/>
  <c r="CI47" i="5" a="1"/>
  <c r="CI47" i="5" s="1"/>
  <c r="CI89" i="5" a="1"/>
  <c r="CI89" i="5" s="1"/>
  <c r="CI56" i="5" a="1"/>
  <c r="CI56" i="5" s="1"/>
  <c r="CI77" i="5" a="1"/>
  <c r="CI77" i="5" s="1"/>
  <c r="CI98" i="5" a="1"/>
  <c r="CI98" i="5" s="1"/>
  <c r="CI72" i="5" a="1"/>
  <c r="CI72" i="5" s="1"/>
  <c r="CI50" i="5" a="1"/>
  <c r="CI50" i="5" s="1"/>
  <c r="CI95" i="5" a="1"/>
  <c r="CI95" i="5" s="1"/>
  <c r="CI61" i="5" a="1"/>
  <c r="CI61" i="5" s="1"/>
  <c r="CI86" i="5" a="1"/>
  <c r="CI86" i="5" s="1"/>
  <c r="CI83" i="5" a="1"/>
  <c r="CI83" i="5" s="1"/>
  <c r="CI53" i="5" a="1"/>
  <c r="CI53" i="5" s="1"/>
  <c r="CI69" i="5" a="1"/>
  <c r="CI69" i="5" s="1"/>
  <c r="CI92" i="5" a="1"/>
  <c r="CI92" i="5" s="1"/>
  <c r="CI63" i="5"/>
  <c r="CI64" i="5" a="1"/>
  <c r="CI64" i="5" s="1"/>
  <c r="CI80" i="5" a="1"/>
  <c r="CI80" i="5" s="1"/>
  <c r="CR44" i="5"/>
  <c r="CR43" i="5"/>
  <c r="CR47" i="5" a="1"/>
  <c r="CR47" i="5" s="1"/>
  <c r="CR61" i="5" a="1"/>
  <c r="CR61" i="5" s="1"/>
  <c r="CR86" i="5" a="1"/>
  <c r="CR86" i="5" s="1"/>
  <c r="CR72" i="5" a="1"/>
  <c r="CR72" i="5" s="1"/>
  <c r="CR53" i="5" a="1"/>
  <c r="CR53" i="5" s="1"/>
  <c r="CR64" i="5" a="1"/>
  <c r="CR64" i="5" s="1"/>
  <c r="CR80" i="5" a="1"/>
  <c r="CR80" i="5" s="1"/>
  <c r="CR83" i="5" a="1"/>
  <c r="CR83" i="5" s="1"/>
  <c r="CR95" i="5" a="1"/>
  <c r="CR95" i="5" s="1"/>
  <c r="CR77" i="5" a="1"/>
  <c r="CR77" i="5" s="1"/>
  <c r="CR50" i="5" a="1"/>
  <c r="CR50" i="5" s="1"/>
  <c r="CR98" i="5" a="1"/>
  <c r="CR98" i="5" s="1"/>
  <c r="CR69" i="5" a="1"/>
  <c r="CR69" i="5" s="1"/>
  <c r="CR89" i="5" a="1"/>
  <c r="CR89" i="5" s="1"/>
  <c r="CR56" i="5" a="1"/>
  <c r="CR56" i="5" s="1"/>
  <c r="CV44" i="5"/>
  <c r="CV43" i="5"/>
  <c r="CV61" i="5" a="1"/>
  <c r="CV61" i="5" s="1"/>
  <c r="CV72" i="5" a="1"/>
  <c r="CV72" i="5" s="1"/>
  <c r="CV80" i="5" a="1"/>
  <c r="CV80" i="5" s="1"/>
  <c r="CV89" i="5" a="1"/>
  <c r="CV89" i="5" s="1"/>
  <c r="CV83" i="5" a="1"/>
  <c r="CV83" i="5" s="1"/>
  <c r="CV47" i="5" a="1"/>
  <c r="CV47" i="5" s="1"/>
  <c r="CV98" i="5" a="1"/>
  <c r="CV98" i="5" s="1"/>
  <c r="CV53" i="5" a="1"/>
  <c r="CV53" i="5" s="1"/>
  <c r="CV69" i="5" a="1"/>
  <c r="CV69" i="5" s="1"/>
  <c r="CV50" i="5" a="1"/>
  <c r="CV50" i="5" s="1"/>
  <c r="CV56" i="5" a="1"/>
  <c r="CV56" i="5" s="1"/>
  <c r="CV95" i="5" a="1"/>
  <c r="CV95" i="5" s="1"/>
  <c r="CV64" i="5" a="1"/>
  <c r="CV64" i="5" s="1"/>
  <c r="CV77" i="5" a="1"/>
  <c r="CV77" i="5" s="1"/>
  <c r="CV86" i="5" a="1"/>
  <c r="CV86" i="5" s="1"/>
  <c r="CP92" i="5" a="1"/>
  <c r="CP92" i="5" s="1"/>
  <c r="CP44" i="5"/>
  <c r="CP43" i="5"/>
  <c r="CP95" i="5" a="1"/>
  <c r="CP95" i="5" s="1"/>
  <c r="CP61" i="5" a="1"/>
  <c r="CP61" i="5" s="1"/>
  <c r="CP98" i="5" a="1"/>
  <c r="CP98" i="5" s="1"/>
  <c r="CP72" i="5" a="1"/>
  <c r="CP72" i="5" s="1"/>
  <c r="CP56" i="5" a="1"/>
  <c r="CP56" i="5" s="1"/>
  <c r="CP47" i="5" a="1"/>
  <c r="CP47" i="5" s="1"/>
  <c r="CP86" i="5" a="1"/>
  <c r="CP86" i="5" s="1"/>
  <c r="CP53" i="5" a="1"/>
  <c r="CP53" i="5" s="1"/>
  <c r="CP89" i="5" a="1"/>
  <c r="CP89" i="5" s="1"/>
  <c r="CP63" i="5"/>
  <c r="CP50" i="5" a="1"/>
  <c r="CP50" i="5" s="1"/>
  <c r="CP64" i="5" a="1"/>
  <c r="CP64" i="5" s="1"/>
  <c r="CP80" i="5" a="1"/>
  <c r="CP80" i="5" s="1"/>
  <c r="CP77" i="5" a="1"/>
  <c r="CP77" i="5" s="1"/>
  <c r="CP69" i="5" a="1"/>
  <c r="CP69" i="5" s="1"/>
  <c r="CP83" i="5" a="1"/>
  <c r="CP83" i="5" s="1"/>
  <c r="CO63" i="5"/>
  <c r="CO43" i="5"/>
  <c r="CO44" i="5"/>
  <c r="CO89" i="5" a="1"/>
  <c r="CO89" i="5" s="1"/>
  <c r="CO98" i="5" a="1"/>
  <c r="CO98" i="5" s="1"/>
  <c r="CO69" i="5" a="1"/>
  <c r="CO69" i="5" s="1"/>
  <c r="CO92" i="5" a="1"/>
  <c r="CO92" i="5" s="1"/>
  <c r="CO50" i="5" a="1"/>
  <c r="CO50" i="5" s="1"/>
  <c r="CO83" i="5" a="1"/>
  <c r="CO83" i="5" s="1"/>
  <c r="CO47" i="5" a="1"/>
  <c r="CO47" i="5" s="1"/>
  <c r="CO77" i="5" a="1"/>
  <c r="CO77" i="5" s="1"/>
  <c r="CO56" i="5" a="1"/>
  <c r="CO56" i="5" s="1"/>
  <c r="CO61" i="5" a="1"/>
  <c r="CO61" i="5" s="1"/>
  <c r="CO86" i="5" a="1"/>
  <c r="CO86" i="5" s="1"/>
  <c r="CO53" i="5" a="1"/>
  <c r="CO53" i="5" s="1"/>
  <c r="CO72" i="5" a="1"/>
  <c r="CO72" i="5" s="1"/>
  <c r="CO64" i="5" a="1"/>
  <c r="CO64" i="5" s="1"/>
  <c r="CO80" i="5" a="1"/>
  <c r="CO80" i="5" s="1"/>
  <c r="CH52" i="5"/>
  <c r="CQ52" i="5"/>
  <c r="CD55" i="5"/>
  <c r="CH55" i="5"/>
  <c r="CX55" i="5"/>
  <c r="BZ55" i="5"/>
  <c r="BM12" i="5"/>
  <c r="X49" i="5"/>
  <c r="BM18" i="5"/>
  <c r="CP76" i="5"/>
  <c r="CW55" i="5"/>
  <c r="CG95" i="5" a="1"/>
  <c r="CG95" i="5" s="1"/>
  <c r="CG60" i="5"/>
  <c r="BP69" i="5" a="1"/>
  <c r="BP69" i="5" s="1"/>
  <c r="BV68" i="5"/>
  <c r="CQ55" i="5"/>
  <c r="CR92" i="5" a="1"/>
  <c r="CR92" i="5" s="1"/>
  <c r="CR55" i="5"/>
  <c r="CV49" i="5"/>
  <c r="CU49" i="5"/>
  <c r="CM68" i="5"/>
  <c r="BS76" i="5"/>
  <c r="CQ76" i="5"/>
  <c r="BQ46" i="5"/>
  <c r="BR61" i="5" a="1"/>
  <c r="BR61" i="5" s="1"/>
  <c r="BR44" i="5"/>
  <c r="BR43" i="5"/>
  <c r="BR56" i="5" a="1"/>
  <c r="BR56" i="5" s="1"/>
  <c r="BR95" i="5" a="1"/>
  <c r="BR95" i="5" s="1"/>
  <c r="BR98" i="5" a="1"/>
  <c r="BR98" i="5" s="1"/>
  <c r="BR50" i="5" a="1"/>
  <c r="BR50" i="5" s="1"/>
  <c r="BR64" i="5" a="1"/>
  <c r="BR64" i="5" s="1"/>
  <c r="BR89" i="5" a="1"/>
  <c r="BR89" i="5" s="1"/>
  <c r="BR83" i="5" a="1"/>
  <c r="BR83" i="5" s="1"/>
  <c r="BR77" i="5" a="1"/>
  <c r="BR77" i="5" s="1"/>
  <c r="BR69" i="5" a="1"/>
  <c r="BR69" i="5" s="1"/>
  <c r="BR47" i="5" a="1"/>
  <c r="BR47" i="5" s="1"/>
  <c r="BR86" i="5" a="1"/>
  <c r="BR86" i="5" s="1"/>
  <c r="BR92" i="5" a="1"/>
  <c r="BR92" i="5" s="1"/>
  <c r="BR72" i="5" a="1"/>
  <c r="BR72" i="5" s="1"/>
  <c r="BR63" i="5"/>
  <c r="BR80" i="5" a="1"/>
  <c r="BR80" i="5" s="1"/>
  <c r="BR53" i="5" a="1"/>
  <c r="BR53" i="5" s="1"/>
  <c r="BT43" i="5"/>
  <c r="BT44" i="5"/>
  <c r="BT83" i="5" a="1"/>
  <c r="BT83" i="5" s="1"/>
  <c r="BT61" i="5" a="1"/>
  <c r="BT61" i="5" s="1"/>
  <c r="BT86" i="5" a="1"/>
  <c r="BT86" i="5" s="1"/>
  <c r="BT69" i="5" a="1"/>
  <c r="BT69" i="5" s="1"/>
  <c r="BT89" i="5" a="1"/>
  <c r="BT89" i="5" s="1"/>
  <c r="BT47" i="5" a="1"/>
  <c r="BT47" i="5" s="1"/>
  <c r="BT53" i="5" a="1"/>
  <c r="BT53" i="5" s="1"/>
  <c r="BT56" i="5" a="1"/>
  <c r="BT56" i="5" s="1"/>
  <c r="BT95" i="5" a="1"/>
  <c r="BT95" i="5" s="1"/>
  <c r="BT50" i="5" a="1"/>
  <c r="BT50" i="5" s="1"/>
  <c r="BT64" i="5" a="1"/>
  <c r="BT64" i="5" s="1"/>
  <c r="BT77" i="5" a="1"/>
  <c r="BT77" i="5" s="1"/>
  <c r="BT98" i="5" a="1"/>
  <c r="BT98" i="5" s="1"/>
  <c r="BT72" i="5" a="1"/>
  <c r="BT72" i="5" s="1"/>
  <c r="BT80" i="5" a="1"/>
  <c r="BT80" i="5" s="1"/>
  <c r="BZ92" i="5" a="1"/>
  <c r="BZ92" i="5" s="1"/>
  <c r="BZ44" i="5"/>
  <c r="BZ43" i="5"/>
  <c r="BZ56" i="5" a="1"/>
  <c r="BZ56" i="5" s="1"/>
  <c r="BZ61" i="5" a="1"/>
  <c r="BZ61" i="5" s="1"/>
  <c r="BZ86" i="5" a="1"/>
  <c r="BZ86" i="5" s="1"/>
  <c r="BZ53" i="5" a="1"/>
  <c r="BZ53" i="5" s="1"/>
  <c r="BZ50" i="5" a="1"/>
  <c r="BZ50" i="5" s="1"/>
  <c r="BZ69" i="5" a="1"/>
  <c r="BZ69" i="5" s="1"/>
  <c r="BZ63" i="5"/>
  <c r="BZ80" i="5" a="1"/>
  <c r="BZ80" i="5" s="1"/>
  <c r="BZ64" i="5" a="1"/>
  <c r="BZ64" i="5" s="1"/>
  <c r="BZ89" i="5" a="1"/>
  <c r="BZ89" i="5" s="1"/>
  <c r="BZ83" i="5" a="1"/>
  <c r="BZ83" i="5" s="1"/>
  <c r="BZ95" i="5" a="1"/>
  <c r="BZ95" i="5" s="1"/>
  <c r="BZ47" i="5" a="1"/>
  <c r="BZ47" i="5" s="1"/>
  <c r="BZ77" i="5" a="1"/>
  <c r="BZ77" i="5" s="1"/>
  <c r="BZ98" i="5" a="1"/>
  <c r="BZ98" i="5" s="1"/>
  <c r="BZ72" i="5" a="1"/>
  <c r="BZ72" i="5" s="1"/>
  <c r="CD86" i="5" a="1"/>
  <c r="CD86" i="5" s="1"/>
  <c r="CD44" i="5"/>
  <c r="CD43" i="5"/>
  <c r="CD56" i="5" a="1"/>
  <c r="CD56" i="5" s="1"/>
  <c r="CD61" i="5" a="1"/>
  <c r="CD61" i="5" s="1"/>
  <c r="CD72" i="5" a="1"/>
  <c r="CD72" i="5" s="1"/>
  <c r="CD89" i="5" a="1"/>
  <c r="CD89" i="5" s="1"/>
  <c r="CD77" i="5" a="1"/>
  <c r="CD77" i="5" s="1"/>
  <c r="CD83" i="5" a="1"/>
  <c r="CD83" i="5" s="1"/>
  <c r="CD95" i="5" a="1"/>
  <c r="CD95" i="5" s="1"/>
  <c r="CD64" i="5" a="1"/>
  <c r="CD64" i="5" s="1"/>
  <c r="CD47" i="5" a="1"/>
  <c r="CD47" i="5" s="1"/>
  <c r="CD53" i="5" a="1"/>
  <c r="CD53" i="5" s="1"/>
  <c r="CD92" i="5" a="1"/>
  <c r="CD92" i="5" s="1"/>
  <c r="CD50" i="5" a="1"/>
  <c r="CD50" i="5" s="1"/>
  <c r="CD63" i="5"/>
  <c r="CD80" i="5" a="1"/>
  <c r="CD80" i="5" s="1"/>
  <c r="CD98" i="5" a="1"/>
  <c r="CD98" i="5" s="1"/>
  <c r="CD69" i="5" a="1"/>
  <c r="CD69" i="5" s="1"/>
  <c r="CH69" i="5" a="1"/>
  <c r="CH69" i="5" s="1"/>
  <c r="CH43" i="5"/>
  <c r="CH44" i="5"/>
  <c r="CH53" i="5" a="1"/>
  <c r="CH53" i="5" s="1"/>
  <c r="CH80" i="5" a="1"/>
  <c r="CH80" i="5" s="1"/>
  <c r="CH47" i="5" a="1"/>
  <c r="CH47" i="5" s="1"/>
  <c r="CH86" i="5" a="1"/>
  <c r="CH86" i="5" s="1"/>
  <c r="CH56" i="5" a="1"/>
  <c r="CH56" i="5" s="1"/>
  <c r="CH77" i="5" a="1"/>
  <c r="CH77" i="5" s="1"/>
  <c r="CH98" i="5" a="1"/>
  <c r="CH98" i="5" s="1"/>
  <c r="CH92" i="5" a="1"/>
  <c r="CH92" i="5" s="1"/>
  <c r="CH72" i="5" a="1"/>
  <c r="CH72" i="5" s="1"/>
  <c r="CH83" i="5" a="1"/>
  <c r="CH83" i="5" s="1"/>
  <c r="CH95" i="5" a="1"/>
  <c r="CH95" i="5" s="1"/>
  <c r="CH61" i="5" a="1"/>
  <c r="CH61" i="5" s="1"/>
  <c r="CH64" i="5" a="1"/>
  <c r="CH64" i="5" s="1"/>
  <c r="CH89" i="5" a="1"/>
  <c r="CH89" i="5" s="1"/>
  <c r="CH50" i="5" a="1"/>
  <c r="CH50" i="5" s="1"/>
  <c r="CH63" i="5"/>
  <c r="CY43" i="5"/>
  <c r="CY44" i="5"/>
  <c r="CY95" i="5" a="1"/>
  <c r="CY95" i="5" s="1"/>
  <c r="CY86" i="5" a="1"/>
  <c r="CY86" i="5" s="1"/>
  <c r="CY72" i="5" a="1"/>
  <c r="CY72" i="5" s="1"/>
  <c r="CY77" i="5" a="1"/>
  <c r="CY77" i="5" s="1"/>
  <c r="CY61" i="5" a="1"/>
  <c r="CY61" i="5" s="1"/>
  <c r="CY89" i="5" a="1"/>
  <c r="CY89" i="5" s="1"/>
  <c r="CY56" i="5" a="1"/>
  <c r="CY56" i="5" s="1"/>
  <c r="CY47" i="5" a="1"/>
  <c r="CY47" i="5" s="1"/>
  <c r="CY98" i="5" a="1"/>
  <c r="CY98" i="5" s="1"/>
  <c r="CY92" i="5" a="1"/>
  <c r="CY92" i="5" s="1"/>
  <c r="CY80" i="5" a="1"/>
  <c r="CY80" i="5" s="1"/>
  <c r="CY53" i="5" a="1"/>
  <c r="CY53" i="5" s="1"/>
  <c r="CY69" i="5" a="1"/>
  <c r="CY69" i="5" s="1"/>
  <c r="CY50" i="5" a="1"/>
  <c r="CY50" i="5" s="1"/>
  <c r="CY83" i="5" a="1"/>
  <c r="CY83" i="5" s="1"/>
  <c r="CY64" i="5" a="1"/>
  <c r="CY64" i="5" s="1"/>
  <c r="CY63" i="5"/>
  <c r="CM43" i="5"/>
  <c r="CM44" i="5"/>
  <c r="CM69" i="5" a="1"/>
  <c r="CM69" i="5" s="1"/>
  <c r="CM92" i="5" a="1"/>
  <c r="CM92" i="5" s="1"/>
  <c r="CM50" i="5" a="1"/>
  <c r="CM50" i="5" s="1"/>
  <c r="CM64" i="5" a="1"/>
  <c r="CM64" i="5" s="1"/>
  <c r="CM83" i="5" a="1"/>
  <c r="CM83" i="5" s="1"/>
  <c r="CM95" i="5" a="1"/>
  <c r="CM95" i="5" s="1"/>
  <c r="CM63" i="5"/>
  <c r="CM80" i="5" a="1"/>
  <c r="CM80" i="5" s="1"/>
  <c r="CM89" i="5" a="1"/>
  <c r="CM89" i="5" s="1"/>
  <c r="CM56" i="5" a="1"/>
  <c r="CM56" i="5" s="1"/>
  <c r="CM72" i="5" a="1"/>
  <c r="CM72" i="5" s="1"/>
  <c r="CM47" i="5" a="1"/>
  <c r="CM47" i="5" s="1"/>
  <c r="CM61" i="5" a="1"/>
  <c r="CM61" i="5" s="1"/>
  <c r="CM77" i="5" a="1"/>
  <c r="CM77" i="5" s="1"/>
  <c r="CM86" i="5" a="1"/>
  <c r="CM86" i="5" s="1"/>
  <c r="CT83" i="5" a="1"/>
  <c r="CT83" i="5" s="1"/>
  <c r="CT44" i="5"/>
  <c r="CT43" i="5"/>
  <c r="CT47" i="5" a="1"/>
  <c r="CT47" i="5" s="1"/>
  <c r="CT77" i="5" a="1"/>
  <c r="CT77" i="5" s="1"/>
  <c r="CT98" i="5" a="1"/>
  <c r="CT98" i="5" s="1"/>
  <c r="CT69" i="5" a="1"/>
  <c r="CT69" i="5" s="1"/>
  <c r="CT50" i="5" a="1"/>
  <c r="CT50" i="5" s="1"/>
  <c r="CT89" i="5" a="1"/>
  <c r="CT89" i="5" s="1"/>
  <c r="CT56" i="5" a="1"/>
  <c r="CT56" i="5" s="1"/>
  <c r="CT95" i="5" a="1"/>
  <c r="CT95" i="5" s="1"/>
  <c r="CT72" i="5" a="1"/>
  <c r="CT72" i="5" s="1"/>
  <c r="CT63" i="5"/>
  <c r="CT92" i="5" a="1"/>
  <c r="CT92" i="5" s="1"/>
  <c r="CT61" i="5" a="1"/>
  <c r="CT61" i="5" s="1"/>
  <c r="CT86" i="5" a="1"/>
  <c r="CT86" i="5" s="1"/>
  <c r="CT53" i="5" a="1"/>
  <c r="CT53" i="5" s="1"/>
  <c r="CT80" i="5" a="1"/>
  <c r="CT80" i="5" s="1"/>
  <c r="CT64" i="5" a="1"/>
  <c r="CT64" i="5" s="1"/>
  <c r="CS80" i="5" a="1"/>
  <c r="CS80" i="5" s="1"/>
  <c r="CS43" i="5"/>
  <c r="CS44" i="5"/>
  <c r="CS92" i="5" a="1"/>
  <c r="CS92" i="5" s="1"/>
  <c r="CS50" i="5" a="1"/>
  <c r="CS50" i="5" s="1"/>
  <c r="CS64" i="5" a="1"/>
  <c r="CS64" i="5" s="1"/>
  <c r="CS83" i="5" a="1"/>
  <c r="CS83" i="5" s="1"/>
  <c r="CS95" i="5" a="1"/>
  <c r="CS95" i="5" s="1"/>
  <c r="CS47" i="5" a="1"/>
  <c r="CS47" i="5" s="1"/>
  <c r="CS61" i="5" a="1"/>
  <c r="CS61" i="5" s="1"/>
  <c r="CS69" i="5" a="1"/>
  <c r="CS69" i="5" s="1"/>
  <c r="CS63" i="5"/>
  <c r="CS86" i="5" a="1"/>
  <c r="CS86" i="5" s="1"/>
  <c r="CS98" i="5" a="1"/>
  <c r="CS98" i="5" s="1"/>
  <c r="CS53" i="5" a="1"/>
  <c r="CS53" i="5" s="1"/>
  <c r="CS72" i="5" a="1"/>
  <c r="CS72" i="5" s="1"/>
  <c r="CS56" i="5" a="1"/>
  <c r="CS56" i="5" s="1"/>
  <c r="CS89" i="5" a="1"/>
  <c r="CS89" i="5" s="1"/>
  <c r="BR71" i="5"/>
  <c r="CL71" i="5"/>
  <c r="BS52" i="5"/>
  <c r="X76" i="5"/>
  <c r="BM19" i="5"/>
  <c r="BM29" i="5"/>
  <c r="BM37" i="5"/>
  <c r="BM7" i="5"/>
  <c r="BM9" i="5"/>
  <c r="X46" i="5"/>
  <c r="BM16" i="5"/>
  <c r="BM20" i="5"/>
  <c r="BM26" i="5"/>
  <c r="BM30" i="5"/>
  <c r="BM34" i="5"/>
  <c r="BM38" i="5"/>
  <c r="BM41" i="5"/>
  <c r="BM23" i="5"/>
  <c r="BM39" i="5"/>
  <c r="CV63" i="5"/>
  <c r="CN68" i="5"/>
  <c r="CF68" i="5"/>
  <c r="CB76" i="5"/>
  <c r="BS46" i="5"/>
  <c r="CQ46" i="5"/>
  <c r="CA46" i="5"/>
  <c r="CP46" i="5"/>
  <c r="CT76" i="5"/>
  <c r="BP49" i="5"/>
  <c r="BQ55" i="5"/>
  <c r="BU55" i="5"/>
  <c r="BY55" i="5"/>
  <c r="CC55" i="5"/>
  <c r="CO55" i="5"/>
  <c r="CC71" i="5"/>
  <c r="CG71" i="5"/>
  <c r="CK71" i="5"/>
  <c r="CO71" i="5"/>
  <c r="CS71" i="5"/>
  <c r="BV60" i="5"/>
  <c r="BX60" i="5"/>
  <c r="CN60" i="5"/>
  <c r="CF60" i="5"/>
  <c r="CX60" i="5"/>
  <c r="CH60" i="5"/>
  <c r="CO95" i="5" a="1"/>
  <c r="CO95" i="5" s="1"/>
  <c r="CO60" i="5"/>
  <c r="BP89" i="5" a="1"/>
  <c r="BP89" i="5" s="1"/>
  <c r="BP53" i="5" a="1"/>
  <c r="BP53" i="5" s="1"/>
  <c r="BP56" i="5" a="1"/>
  <c r="BP56" i="5" s="1"/>
  <c r="BP92" i="5" a="1"/>
  <c r="BP92" i="5" s="1"/>
  <c r="BP55" i="5"/>
  <c r="CT68" i="5"/>
  <c r="CD68" i="5"/>
  <c r="CX49" i="5"/>
  <c r="CJ92" i="5" a="1"/>
  <c r="CJ92" i="5" s="1"/>
  <c r="CJ55" i="5"/>
  <c r="CF79" i="5"/>
  <c r="BQ49" i="5"/>
  <c r="CF49" i="5"/>
  <c r="CN49" i="5"/>
  <c r="CB49" i="5"/>
  <c r="CW49" i="5"/>
  <c r="CG49" i="5"/>
  <c r="BP79" i="5"/>
  <c r="BS49" i="5"/>
  <c r="CM49" i="5"/>
  <c r="BW49" i="5"/>
  <c r="CV46" i="5"/>
  <c r="CF46" i="5"/>
  <c r="BW68" i="5"/>
  <c r="CA68" i="5"/>
  <c r="CE68" i="5"/>
  <c r="CU68" i="5"/>
  <c r="BR79" i="5"/>
  <c r="BV79" i="5"/>
  <c r="BZ79" i="5"/>
  <c r="CW79" i="5"/>
  <c r="CK79" i="5"/>
  <c r="CD79" i="5"/>
  <c r="CU79" i="5"/>
  <c r="CE79" i="5"/>
  <c r="BS95" i="5" a="1"/>
  <c r="BS95" i="5" s="1"/>
  <c r="BW89" i="5" a="1"/>
  <c r="BW89" i="5" s="1"/>
  <c r="CU60" i="5"/>
  <c r="BQ76" i="5"/>
  <c r="CA76" i="5"/>
  <c r="CY76" i="5"/>
  <c r="BW76" i="5"/>
  <c r="CK76" i="5"/>
  <c r="CV76" i="5"/>
  <c r="CF76" i="5"/>
  <c r="BW71" i="5"/>
  <c r="CA71" i="5"/>
  <c r="CE71" i="5"/>
  <c r="CM71" i="5"/>
  <c r="CI71" i="5"/>
  <c r="CN71" i="5"/>
  <c r="BP52" i="5"/>
  <c r="BO71" i="5"/>
  <c r="CS46" i="5"/>
  <c r="CG46" i="5"/>
  <c r="BQ68" i="5"/>
  <c r="BY68" i="5"/>
  <c r="CC68" i="5"/>
  <c r="CK68" i="5"/>
  <c r="CW68" i="5"/>
  <c r="BR52" i="5"/>
  <c r="BT52" i="5"/>
  <c r="CB52" i="5"/>
  <c r="CM52" i="5"/>
  <c r="CW52" i="5"/>
  <c r="CG52" i="5"/>
  <c r="BV83" i="5" a="1"/>
  <c r="BV83" i="5" s="1"/>
  <c r="BV43" i="5"/>
  <c r="BV44" i="5"/>
  <c r="BV53" i="5" a="1"/>
  <c r="BV53" i="5" s="1"/>
  <c r="BV50" i="5" a="1"/>
  <c r="BV50" i="5" s="1"/>
  <c r="BV63" i="5"/>
  <c r="BV80" i="5" a="1"/>
  <c r="BV80" i="5" s="1"/>
  <c r="BV56" i="5" a="1"/>
  <c r="BV56" i="5" s="1"/>
  <c r="BV61" i="5" a="1"/>
  <c r="BV61" i="5" s="1"/>
  <c r="BV64" i="5" a="1"/>
  <c r="BV64" i="5" s="1"/>
  <c r="BV95" i="5" a="1"/>
  <c r="BV95" i="5" s="1"/>
  <c r="BV47" i="5" a="1"/>
  <c r="BV47" i="5" s="1"/>
  <c r="BV77" i="5" a="1"/>
  <c r="BV77" i="5" s="1"/>
  <c r="BV98" i="5" a="1"/>
  <c r="BV98" i="5" s="1"/>
  <c r="BV69" i="5" a="1"/>
  <c r="BV69" i="5" s="1"/>
  <c r="BV92" i="5" a="1"/>
  <c r="BV92" i="5" s="1"/>
  <c r="BV89" i="5" a="1"/>
  <c r="BV89" i="5" s="1"/>
  <c r="BV86" i="5" a="1"/>
  <c r="BV86" i="5" s="1"/>
  <c r="BV72" i="5" a="1"/>
  <c r="BV72" i="5" s="1"/>
  <c r="BX43" i="5"/>
  <c r="BX44" i="5"/>
  <c r="BX83" i="5" a="1"/>
  <c r="BX83" i="5" s="1"/>
  <c r="BX56" i="5" a="1"/>
  <c r="BX56" i="5" s="1"/>
  <c r="BX95" i="5" a="1"/>
  <c r="BX95" i="5" s="1"/>
  <c r="BX61" i="5" a="1"/>
  <c r="BX61" i="5" s="1"/>
  <c r="BX50" i="5" a="1"/>
  <c r="BX50" i="5" s="1"/>
  <c r="BX86" i="5" a="1"/>
  <c r="BX86" i="5" s="1"/>
  <c r="BX69" i="5" a="1"/>
  <c r="BX69" i="5" s="1"/>
  <c r="BX80" i="5" a="1"/>
  <c r="BX80" i="5" s="1"/>
  <c r="BX47" i="5" a="1"/>
  <c r="BX47" i="5" s="1"/>
  <c r="BX77" i="5" a="1"/>
  <c r="BX77" i="5" s="1"/>
  <c r="BX98" i="5" a="1"/>
  <c r="BX98" i="5" s="1"/>
  <c r="BX53" i="5" a="1"/>
  <c r="BX53" i="5" s="1"/>
  <c r="BX72" i="5" a="1"/>
  <c r="BX72" i="5" s="1"/>
  <c r="BX64" i="5" a="1"/>
  <c r="BX64" i="5" s="1"/>
  <c r="BX89" i="5" a="1"/>
  <c r="BX89" i="5" s="1"/>
  <c r="CB44" i="5"/>
  <c r="CB43" i="5"/>
  <c r="CB56" i="5" a="1"/>
  <c r="CB56" i="5" s="1"/>
  <c r="CB86" i="5" a="1"/>
  <c r="CB86" i="5" s="1"/>
  <c r="CB64" i="5" a="1"/>
  <c r="CB64" i="5" s="1"/>
  <c r="CB47" i="5" a="1"/>
  <c r="CB47" i="5" s="1"/>
  <c r="CB50" i="5" a="1"/>
  <c r="CB50" i="5" s="1"/>
  <c r="CB53" i="5" a="1"/>
  <c r="CB53" i="5" s="1"/>
  <c r="CB83" i="5" a="1"/>
  <c r="CB83" i="5" s="1"/>
  <c r="CB61" i="5" a="1"/>
  <c r="CB61" i="5" s="1"/>
  <c r="CB77" i="5" a="1"/>
  <c r="CB77" i="5" s="1"/>
  <c r="CB89" i="5" a="1"/>
  <c r="CB89" i="5" s="1"/>
  <c r="CB69" i="5" a="1"/>
  <c r="CB69" i="5" s="1"/>
  <c r="CB95" i="5" a="1"/>
  <c r="CB95" i="5" s="1"/>
  <c r="CB98" i="5" a="1"/>
  <c r="CB98" i="5" s="1"/>
  <c r="CB72" i="5" a="1"/>
  <c r="CB72" i="5" s="1"/>
  <c r="CB80" i="5" a="1"/>
  <c r="CB80" i="5" s="1"/>
  <c r="CF43" i="5"/>
  <c r="CF44" i="5"/>
  <c r="CF86" i="5" a="1"/>
  <c r="CF86" i="5" s="1"/>
  <c r="CF98" i="5" a="1"/>
  <c r="CF98" i="5" s="1"/>
  <c r="CF64" i="5" a="1"/>
  <c r="CF64" i="5" s="1"/>
  <c r="CF89" i="5" a="1"/>
  <c r="CF89" i="5" s="1"/>
  <c r="CF56" i="5" a="1"/>
  <c r="CF56" i="5" s="1"/>
  <c r="CF95" i="5" a="1"/>
  <c r="CF95" i="5" s="1"/>
  <c r="CF83" i="5" a="1"/>
  <c r="CF83" i="5" s="1"/>
  <c r="CF47" i="5" a="1"/>
  <c r="CF47" i="5" s="1"/>
  <c r="CF61" i="5" a="1"/>
  <c r="CF61" i="5" s="1"/>
  <c r="CF53" i="5" a="1"/>
  <c r="CF53" i="5" s="1"/>
  <c r="CF69" i="5" a="1"/>
  <c r="CF69" i="5" s="1"/>
  <c r="CF72" i="5" a="1"/>
  <c r="CF72" i="5" s="1"/>
  <c r="CF50" i="5" a="1"/>
  <c r="CF50" i="5" s="1"/>
  <c r="CF80" i="5" a="1"/>
  <c r="CF80" i="5" s="1"/>
  <c r="CF77" i="5" a="1"/>
  <c r="CF77" i="5" s="1"/>
  <c r="CJ44" i="5"/>
  <c r="CJ43" i="5"/>
  <c r="CJ83" i="5" a="1"/>
  <c r="CJ83" i="5" s="1"/>
  <c r="CJ77" i="5" a="1"/>
  <c r="CJ77" i="5" s="1"/>
  <c r="CJ98" i="5" a="1"/>
  <c r="CJ98" i="5" s="1"/>
  <c r="CJ72" i="5" a="1"/>
  <c r="CJ72" i="5" s="1"/>
  <c r="CJ64" i="5" a="1"/>
  <c r="CJ64" i="5" s="1"/>
  <c r="CJ89" i="5" a="1"/>
  <c r="CJ89" i="5" s="1"/>
  <c r="CJ53" i="5" a="1"/>
  <c r="CJ53" i="5" s="1"/>
  <c r="CJ50" i="5" a="1"/>
  <c r="CJ50" i="5" s="1"/>
  <c r="CJ56" i="5" a="1"/>
  <c r="CJ56" i="5" s="1"/>
  <c r="CJ61" i="5" a="1"/>
  <c r="CJ61" i="5" s="1"/>
  <c r="CJ47" i="5" a="1"/>
  <c r="CJ47" i="5" s="1"/>
  <c r="CJ86" i="5" a="1"/>
  <c r="CJ86" i="5" s="1"/>
  <c r="CJ95" i="5" a="1"/>
  <c r="CJ95" i="5" s="1"/>
  <c r="CJ69" i="5" a="1"/>
  <c r="CJ69" i="5" s="1"/>
  <c r="CJ80" i="5" a="1"/>
  <c r="CJ80" i="5" s="1"/>
  <c r="CQ44" i="5"/>
  <c r="CQ43" i="5"/>
  <c r="CQ83" i="5" a="1"/>
  <c r="CQ83" i="5" s="1"/>
  <c r="CQ47" i="5" a="1"/>
  <c r="CQ47" i="5" s="1"/>
  <c r="CQ53" i="5" a="1"/>
  <c r="CQ53" i="5" s="1"/>
  <c r="CQ63" i="5"/>
  <c r="CQ72" i="5" a="1"/>
  <c r="CQ72" i="5" s="1"/>
  <c r="CQ80" i="5" a="1"/>
  <c r="CQ80" i="5" s="1"/>
  <c r="CQ77" i="5" a="1"/>
  <c r="CQ77" i="5" s="1"/>
  <c r="CQ95" i="5" a="1"/>
  <c r="CQ95" i="5" s="1"/>
  <c r="CQ61" i="5" a="1"/>
  <c r="CQ61" i="5" s="1"/>
  <c r="CQ86" i="5" a="1"/>
  <c r="CQ86" i="5" s="1"/>
  <c r="CQ89" i="5" a="1"/>
  <c r="CQ89" i="5" s="1"/>
  <c r="CQ98" i="5" a="1"/>
  <c r="CQ98" i="5" s="1"/>
  <c r="CQ56" i="5" a="1"/>
  <c r="CQ56" i="5" s="1"/>
  <c r="CQ69" i="5" a="1"/>
  <c r="CQ69" i="5" s="1"/>
  <c r="CQ92" i="5" a="1"/>
  <c r="CQ92" i="5" s="1"/>
  <c r="CQ50" i="5" a="1"/>
  <c r="CQ50" i="5" s="1"/>
  <c r="CQ64" i="5" a="1"/>
  <c r="CQ64" i="5" s="1"/>
  <c r="CN44" i="5"/>
  <c r="CN43" i="5"/>
  <c r="CN56" i="5" a="1"/>
  <c r="CN56" i="5" s="1"/>
  <c r="CN95" i="5" a="1"/>
  <c r="CN95" i="5" s="1"/>
  <c r="CN61" i="5" a="1"/>
  <c r="CN61" i="5" s="1"/>
  <c r="CN53" i="5" a="1"/>
  <c r="CN53" i="5" s="1"/>
  <c r="CN80" i="5" a="1"/>
  <c r="CN80" i="5" s="1"/>
  <c r="CN83" i="5" a="1"/>
  <c r="CN83" i="5" s="1"/>
  <c r="CN69" i="5" a="1"/>
  <c r="CN69" i="5" s="1"/>
  <c r="CN89" i="5" a="1"/>
  <c r="CN89" i="5" s="1"/>
  <c r="CN47" i="5" a="1"/>
  <c r="CN47" i="5" s="1"/>
  <c r="CN86" i="5" a="1"/>
  <c r="CN86" i="5" s="1"/>
  <c r="CN72" i="5" a="1"/>
  <c r="CN72" i="5" s="1"/>
  <c r="CN77" i="5" a="1"/>
  <c r="CN77" i="5" s="1"/>
  <c r="CN50" i="5" a="1"/>
  <c r="CN50" i="5" s="1"/>
  <c r="CN64" i="5" a="1"/>
  <c r="CN64" i="5" s="1"/>
  <c r="CN98" i="5" a="1"/>
  <c r="CN98" i="5" s="1"/>
  <c r="CL83" i="5" a="1"/>
  <c r="CL83" i="5" s="1"/>
  <c r="CL43" i="5"/>
  <c r="CL44" i="5"/>
  <c r="CL47" i="5" a="1"/>
  <c r="CL47" i="5" s="1"/>
  <c r="CL86" i="5" a="1"/>
  <c r="CL86" i="5" s="1"/>
  <c r="CL92" i="5" a="1"/>
  <c r="CL92" i="5" s="1"/>
  <c r="CL50" i="5" a="1"/>
  <c r="CL50" i="5" s="1"/>
  <c r="CL80" i="5" a="1"/>
  <c r="CL80" i="5" s="1"/>
  <c r="CL95" i="5" a="1"/>
  <c r="CL95" i="5" s="1"/>
  <c r="CL77" i="5" a="1"/>
  <c r="CL77" i="5" s="1"/>
  <c r="CL63" i="5"/>
  <c r="CL56" i="5" a="1"/>
  <c r="CL56" i="5" s="1"/>
  <c r="CL53" i="5" a="1"/>
  <c r="CL53" i="5" s="1"/>
  <c r="CL61" i="5" a="1"/>
  <c r="CL61" i="5" s="1"/>
  <c r="CL98" i="5" a="1"/>
  <c r="CL98" i="5" s="1"/>
  <c r="CL69" i="5" a="1"/>
  <c r="CL69" i="5" s="1"/>
  <c r="CL72" i="5" a="1"/>
  <c r="CL72" i="5" s="1"/>
  <c r="CL89" i="5" a="1"/>
  <c r="CL89" i="5" s="1"/>
  <c r="CL64" i="5" a="1"/>
  <c r="CL64" i="5" s="1"/>
  <c r="BV71" i="5"/>
  <c r="CX52" i="5"/>
  <c r="CP52" i="5"/>
  <c r="CT52" i="5"/>
  <c r="BR55" i="5"/>
  <c r="BV55" i="5"/>
  <c r="CL55" i="5"/>
  <c r="O60" i="5"/>
  <c r="BN71" i="5"/>
  <c r="O79" i="5"/>
  <c r="O68" i="5"/>
  <c r="BN49" i="5"/>
  <c r="P49" i="5"/>
  <c r="P60" i="5"/>
  <c r="O71" i="5"/>
  <c r="BN46" i="5"/>
  <c r="P46" i="5"/>
  <c r="P68" i="5"/>
  <c r="BN60" i="5"/>
  <c r="O44" i="5"/>
  <c r="O43" i="5"/>
  <c r="O72" i="5" a="1"/>
  <c r="O72" i="5" s="1"/>
  <c r="O83" i="5" a="1"/>
  <c r="O83" i="5" s="1"/>
  <c r="O53" i="5" a="1"/>
  <c r="O53" i="5" s="1"/>
  <c r="O64" i="5" a="1"/>
  <c r="O64" i="5" s="1"/>
  <c r="O56" i="5" a="1"/>
  <c r="O56" i="5" s="1"/>
  <c r="O95" i="5" a="1"/>
  <c r="O95" i="5" s="1"/>
  <c r="O61" i="5" a="1"/>
  <c r="O61" i="5" s="1"/>
  <c r="O77" i="5" a="1"/>
  <c r="O77" i="5" s="1"/>
  <c r="O86" i="5" a="1"/>
  <c r="O86" i="5" s="1"/>
  <c r="O98" i="5" a="1"/>
  <c r="O98" i="5" s="1"/>
  <c r="O89" i="5" a="1"/>
  <c r="O89" i="5" s="1"/>
  <c r="O69" i="5" a="1"/>
  <c r="O69" i="5" s="1"/>
  <c r="O63" i="5"/>
  <c r="O80" i="5" a="1"/>
  <c r="O80" i="5" s="1"/>
  <c r="O92" i="5" a="1"/>
  <c r="O92" i="5" s="1"/>
  <c r="O47" i="5" a="1"/>
  <c r="O47" i="5" s="1"/>
  <c r="O50" i="5" a="1"/>
  <c r="O50" i="5" s="1"/>
  <c r="BN79" i="5"/>
  <c r="P76" i="5"/>
  <c r="P71" i="5"/>
  <c r="BN52" i="5"/>
  <c r="P52" i="5"/>
  <c r="BN76" i="5"/>
  <c r="BM76" i="5"/>
  <c r="O52" i="5"/>
  <c r="BN44" i="5"/>
  <c r="BN43" i="5"/>
  <c r="BN72" i="5" a="1"/>
  <c r="BN72" i="5" s="1"/>
  <c r="BN98" i="5" a="1"/>
  <c r="BN98" i="5" s="1"/>
  <c r="BN50" i="5" a="1"/>
  <c r="BN50" i="5" s="1"/>
  <c r="BN53" i="5" a="1"/>
  <c r="BN53" i="5" s="1"/>
  <c r="BN95" i="5" a="1"/>
  <c r="BN95" i="5" s="1"/>
  <c r="BN77" i="5" a="1"/>
  <c r="BN77" i="5" s="1"/>
  <c r="BN86" i="5" a="1"/>
  <c r="BN86" i="5" s="1"/>
  <c r="BN69" i="5" a="1"/>
  <c r="BN69" i="5" s="1"/>
  <c r="BN63" i="5"/>
  <c r="BN64" i="5" a="1"/>
  <c r="BN64" i="5" s="1"/>
  <c r="BN80" i="5" a="1"/>
  <c r="BN80" i="5" s="1"/>
  <c r="BN89" i="5" a="1"/>
  <c r="BN89" i="5" s="1"/>
  <c r="BN56" i="5" a="1"/>
  <c r="BN56" i="5" s="1"/>
  <c r="BN83" i="5" a="1"/>
  <c r="BN83" i="5" s="1"/>
  <c r="BN92" i="5" a="1"/>
  <c r="BN92" i="5" s="1"/>
  <c r="BN61" i="5" a="1"/>
  <c r="BN61" i="5" s="1"/>
  <c r="BN47" i="5" a="1"/>
  <c r="BN47" i="5" s="1"/>
  <c r="P43" i="5"/>
  <c r="P44" i="5"/>
  <c r="P83" i="5" a="1"/>
  <c r="P83" i="5" s="1"/>
  <c r="P47" i="5" a="1"/>
  <c r="P47" i="5" s="1"/>
  <c r="P98" i="5" a="1"/>
  <c r="P98" i="5" s="1"/>
  <c r="P69" i="5" a="1"/>
  <c r="P69" i="5" s="1"/>
  <c r="P50" i="5" a="1"/>
  <c r="P50" i="5" s="1"/>
  <c r="P80" i="5" a="1"/>
  <c r="P80" i="5" s="1"/>
  <c r="P89" i="5" a="1"/>
  <c r="P89" i="5" s="1"/>
  <c r="P63" i="5"/>
  <c r="P77" i="5" a="1"/>
  <c r="P77" i="5" s="1"/>
  <c r="P56" i="5" a="1"/>
  <c r="P56" i="5" s="1"/>
  <c r="P86" i="5" a="1"/>
  <c r="P86" i="5" s="1"/>
  <c r="P64" i="5" a="1"/>
  <c r="P64" i="5" s="1"/>
  <c r="P72" i="5" a="1"/>
  <c r="P72" i="5" s="1"/>
  <c r="P95" i="5" a="1"/>
  <c r="P95" i="5" s="1"/>
  <c r="P53" i="5" a="1"/>
  <c r="P53" i="5" s="1"/>
  <c r="P92" i="5" a="1"/>
  <c r="P92" i="5" s="1"/>
  <c r="P61" i="5" a="1"/>
  <c r="P61" i="5" s="1"/>
  <c r="P79" i="5"/>
  <c r="O55" i="5"/>
  <c r="BN55" i="5"/>
  <c r="P55" i="5"/>
  <c r="BN68" i="5"/>
  <c r="W46" i="5"/>
  <c r="BL5" i="5"/>
  <c r="S4" i="18"/>
  <c r="R4" i="18"/>
  <c r="Q4" i="18"/>
  <c r="P4" i="18"/>
  <c r="O4" i="18"/>
  <c r="AA4" i="18"/>
  <c r="Z4" i="18"/>
  <c r="Y4" i="18"/>
  <c r="X4" i="18"/>
  <c r="W4" i="18"/>
  <c r="AF4" i="18"/>
  <c r="AE4" i="18"/>
  <c r="AD4" i="18"/>
  <c r="AC4" i="18"/>
  <c r="AB4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AU4" i="18"/>
  <c r="AM4" i="18"/>
  <c r="AL4" i="18"/>
  <c r="AK4" i="18"/>
  <c r="AJ4" i="18"/>
  <c r="AI4" i="18"/>
  <c r="AH4" i="18"/>
  <c r="AG4" i="18"/>
  <c r="V4" i="18"/>
  <c r="U4" i="18"/>
  <c r="T4" i="18"/>
  <c r="N4" i="18"/>
  <c r="M4" i="18"/>
  <c r="L4" i="18"/>
  <c r="K4" i="18"/>
  <c r="J4" i="18"/>
  <c r="AD111" i="16"/>
  <c r="AC111" i="16"/>
  <c r="AB111" i="16"/>
  <c r="AA111" i="16"/>
  <c r="Z111" i="16"/>
  <c r="Y111" i="16"/>
  <c r="X111" i="16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I111" i="16"/>
  <c r="AD104" i="16"/>
  <c r="AC104" i="16"/>
  <c r="AB104" i="16"/>
  <c r="AA104" i="16"/>
  <c r="Z104" i="16"/>
  <c r="Y104" i="16"/>
  <c r="X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I104" i="16"/>
  <c r="AX97" i="16"/>
  <c r="AU97" i="16"/>
  <c r="AT97" i="16"/>
  <c r="AQ97" i="16"/>
  <c r="AP97" i="16"/>
  <c r="AM97" i="16"/>
  <c r="AL97" i="16"/>
  <c r="AI97" i="16"/>
  <c r="AH97" i="16"/>
  <c r="AD97" i="16"/>
  <c r="AC97" i="16"/>
  <c r="AB97" i="16"/>
  <c r="AA97" i="16"/>
  <c r="Z97" i="16"/>
  <c r="Y97" i="16"/>
  <c r="X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I97" i="16"/>
  <c r="AD90" i="16"/>
  <c r="AC90" i="16"/>
  <c r="AB90" i="16"/>
  <c r="AA90" i="16"/>
  <c r="Z90" i="16"/>
  <c r="Y90" i="16"/>
  <c r="X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I90" i="16"/>
  <c r="AV83" i="16"/>
  <c r="AR83" i="16"/>
  <c r="AN83" i="16"/>
  <c r="AJ83" i="16"/>
  <c r="AF83" i="16"/>
  <c r="AD83" i="16"/>
  <c r="AC83" i="16"/>
  <c r="AB83" i="16"/>
  <c r="AA83" i="16"/>
  <c r="Z83" i="16"/>
  <c r="Y83" i="16"/>
  <c r="X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I83" i="16"/>
  <c r="AU76" i="16"/>
  <c r="AQ76" i="16"/>
  <c r="AM76" i="16"/>
  <c r="AI76" i="16"/>
  <c r="AD76" i="16"/>
  <c r="AC76" i="16"/>
  <c r="AB76" i="16"/>
  <c r="AA76" i="16"/>
  <c r="Z76" i="16"/>
  <c r="Y76" i="16"/>
  <c r="X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I76" i="16"/>
  <c r="AX69" i="16"/>
  <c r="AU69" i="16"/>
  <c r="AT69" i="16"/>
  <c r="AQ69" i="16"/>
  <c r="AP69" i="16"/>
  <c r="AM69" i="16"/>
  <c r="AL69" i="16"/>
  <c r="AI69" i="16"/>
  <c r="AH69" i="16"/>
  <c r="AD69" i="16"/>
  <c r="AC69" i="16"/>
  <c r="AB69" i="16"/>
  <c r="AA69" i="16"/>
  <c r="Z69" i="16"/>
  <c r="Y69" i="16"/>
  <c r="X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I69" i="16"/>
  <c r="AD62" i="16"/>
  <c r="AC62" i="16"/>
  <c r="AB62" i="16"/>
  <c r="AA62" i="16"/>
  <c r="Z62" i="16"/>
  <c r="Y62" i="16"/>
  <c r="X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I62" i="16"/>
  <c r="AV55" i="16"/>
  <c r="AU55" i="16"/>
  <c r="AR55" i="16"/>
  <c r="AQ55" i="16"/>
  <c r="AN55" i="16"/>
  <c r="AM55" i="16"/>
  <c r="AJ55" i="16"/>
  <c r="AI55" i="16"/>
  <c r="AF55" i="16"/>
  <c r="AD55" i="16"/>
  <c r="AC55" i="16"/>
  <c r="AB55" i="16"/>
  <c r="AA55" i="16"/>
  <c r="Z55" i="16"/>
  <c r="Y55" i="16"/>
  <c r="X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AX48" i="16"/>
  <c r="AU48" i="16"/>
  <c r="AT48" i="16"/>
  <c r="AQ48" i="16"/>
  <c r="AP48" i="16"/>
  <c r="AM48" i="16"/>
  <c r="AL48" i="16"/>
  <c r="AI48" i="16"/>
  <c r="AH48" i="16"/>
  <c r="AD48" i="16"/>
  <c r="AC48" i="16"/>
  <c r="AB48" i="16"/>
  <c r="AA48" i="16"/>
  <c r="Z48" i="16"/>
  <c r="Y48" i="16"/>
  <c r="X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I48" i="16"/>
  <c r="AD46" i="16"/>
  <c r="AC46" i="16"/>
  <c r="AB46" i="16"/>
  <c r="AA46" i="16"/>
  <c r="Z46" i="16"/>
  <c r="Y46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I46" i="16"/>
  <c r="AD45" i="16"/>
  <c r="AC45" i="16"/>
  <c r="AB45" i="16"/>
  <c r="AA45" i="16"/>
  <c r="Z45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I45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AX55" i="16"/>
  <c r="AW55" i="16"/>
  <c r="AT55" i="16"/>
  <c r="AS55" i="16"/>
  <c r="AP55" i="16"/>
  <c r="AO55" i="16"/>
  <c r="AL55" i="16"/>
  <c r="AK55" i="16"/>
  <c r="AH55" i="16"/>
  <c r="AG55" i="16"/>
  <c r="C17" i="16"/>
  <c r="C16" i="16"/>
  <c r="AW48" i="16"/>
  <c r="AV48" i="16"/>
  <c r="AS48" i="16"/>
  <c r="AR48" i="16"/>
  <c r="AO48" i="16"/>
  <c r="AN48" i="16"/>
  <c r="AK48" i="16"/>
  <c r="AJ48" i="16"/>
  <c r="AG48" i="16"/>
  <c r="AF48" i="16"/>
  <c r="C15" i="16"/>
  <c r="C14" i="16"/>
  <c r="C13" i="16"/>
  <c r="AW90" i="16"/>
  <c r="AO90" i="16"/>
  <c r="AG90" i="16"/>
  <c r="C12" i="16"/>
  <c r="C11" i="16"/>
  <c r="AX83" i="16"/>
  <c r="AW83" i="16"/>
  <c r="AU83" i="16"/>
  <c r="AT83" i="16"/>
  <c r="AS83" i="16"/>
  <c r="AQ83" i="16"/>
  <c r="AP83" i="16"/>
  <c r="AO83" i="16"/>
  <c r="AM83" i="16"/>
  <c r="AL83" i="16"/>
  <c r="AK83" i="16"/>
  <c r="AI83" i="16"/>
  <c r="AH83" i="16"/>
  <c r="AG83" i="16"/>
  <c r="C10" i="16"/>
  <c r="AX111" i="16"/>
  <c r="AW111" i="16"/>
  <c r="AV111" i="16"/>
  <c r="AU111" i="16"/>
  <c r="AT111" i="16"/>
  <c r="AS111" i="16"/>
  <c r="AR111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C9" i="16"/>
  <c r="AW69" i="16"/>
  <c r="AV69" i="16"/>
  <c r="AS69" i="16"/>
  <c r="AR69" i="16"/>
  <c r="AO69" i="16"/>
  <c r="AN69" i="16"/>
  <c r="AK69" i="16"/>
  <c r="AJ69" i="16"/>
  <c r="AG69" i="16"/>
  <c r="AF69" i="16"/>
  <c r="C8" i="16"/>
  <c r="C7" i="16"/>
  <c r="AX76" i="16"/>
  <c r="AW76" i="16"/>
  <c r="AV76" i="16"/>
  <c r="AT76" i="16"/>
  <c r="AS76" i="16"/>
  <c r="AR76" i="16"/>
  <c r="AP76" i="16"/>
  <c r="AO76" i="16"/>
  <c r="AN76" i="16"/>
  <c r="AL76" i="16"/>
  <c r="AK76" i="16"/>
  <c r="AJ76" i="16"/>
  <c r="AH76" i="16"/>
  <c r="AG76" i="16"/>
  <c r="AF76" i="16"/>
  <c r="C6" i="16"/>
  <c r="AX62" i="16"/>
  <c r="AW62" i="16"/>
  <c r="AV62" i="16"/>
  <c r="AU62" i="16"/>
  <c r="AS62" i="16"/>
  <c r="AQ62" i="16"/>
  <c r="AP62" i="16"/>
  <c r="AO62" i="16"/>
  <c r="AN62" i="16"/>
  <c r="AM62" i="16"/>
  <c r="AK62" i="16"/>
  <c r="AH62" i="16"/>
  <c r="AG62" i="16"/>
  <c r="AF62" i="16"/>
  <c r="C5" i="16"/>
  <c r="AD4" i="16"/>
  <c r="AX4" i="16" s="1"/>
  <c r="AX43" i="16" s="1"/>
  <c r="AC4" i="16"/>
  <c r="AW4" i="16" s="1"/>
  <c r="AW43" i="16" s="1"/>
  <c r="AB4" i="16"/>
  <c r="AV4" i="16" s="1"/>
  <c r="AV43" i="16" s="1"/>
  <c r="AA4" i="16"/>
  <c r="AU4" i="16" s="1"/>
  <c r="AU43" i="16" s="1"/>
  <c r="Z4" i="16"/>
  <c r="AT4" i="16" s="1"/>
  <c r="AT43" i="16" s="1"/>
  <c r="Y4" i="16"/>
  <c r="AS4" i="16" s="1"/>
  <c r="AS43" i="16" s="1"/>
  <c r="X4" i="16"/>
  <c r="AR4" i="16" s="1"/>
  <c r="AR43" i="16" s="1"/>
  <c r="W4" i="16"/>
  <c r="AQ4" i="16" s="1"/>
  <c r="AQ43" i="16" s="1"/>
  <c r="V4" i="16"/>
  <c r="AP4" i="16" s="1"/>
  <c r="AP43" i="16" s="1"/>
  <c r="U4" i="16"/>
  <c r="AO4" i="16" s="1"/>
  <c r="AO43" i="16" s="1"/>
  <c r="T4" i="16"/>
  <c r="AN4" i="16" s="1"/>
  <c r="AN43" i="16" s="1"/>
  <c r="S4" i="16"/>
  <c r="AM4" i="16" s="1"/>
  <c r="AM43" i="16" s="1"/>
  <c r="R4" i="16"/>
  <c r="AL4" i="16" s="1"/>
  <c r="AL43" i="16" s="1"/>
  <c r="Q4" i="16"/>
  <c r="AK4" i="16" s="1"/>
  <c r="AK43" i="16" s="1"/>
  <c r="P4" i="16"/>
  <c r="AJ4" i="16" s="1"/>
  <c r="AJ43" i="16" s="1"/>
  <c r="O4" i="16"/>
  <c r="AI4" i="16" s="1"/>
  <c r="AI43" i="16" s="1"/>
  <c r="N4" i="16"/>
  <c r="AH4" i="16" s="1"/>
  <c r="AH43" i="16" s="1"/>
  <c r="M4" i="16"/>
  <c r="AG4" i="16" s="1"/>
  <c r="AG43" i="16" s="1"/>
  <c r="L4" i="16"/>
  <c r="AF4" i="16" s="1"/>
  <c r="AF43" i="16" s="1"/>
  <c r="AX3" i="16"/>
  <c r="AW3" i="16"/>
  <c r="AV3" i="16"/>
  <c r="AU3" i="16"/>
  <c r="AT3" i="16"/>
  <c r="AS3" i="16"/>
  <c r="AR3" i="16"/>
  <c r="AQ3" i="16"/>
  <c r="AP3" i="16"/>
  <c r="AO3" i="16"/>
  <c r="AN3" i="16"/>
  <c r="AM3" i="16"/>
  <c r="AL3" i="16"/>
  <c r="AK3" i="16"/>
  <c r="AJ3" i="16"/>
  <c r="AI3" i="16"/>
  <c r="AH3" i="16"/>
  <c r="AG3" i="16"/>
  <c r="AF3" i="16"/>
  <c r="AM74" i="16" l="1"/>
  <c r="BM55" i="5"/>
  <c r="BM71" i="5"/>
  <c r="CZ49" i="5"/>
  <c r="BM56" i="5" a="1"/>
  <c r="BM56" i="5" s="1"/>
  <c r="CZ53" i="5"/>
  <c r="CZ61" i="5"/>
  <c r="CZ69" i="5"/>
  <c r="BM95" i="5" a="1"/>
  <c r="BM95" i="5" s="1"/>
  <c r="BM63" i="5"/>
  <c r="BM98" i="5" a="1"/>
  <c r="BM98" i="5" s="1"/>
  <c r="BM52" i="5"/>
  <c r="BM68" i="5"/>
  <c r="BM46" i="5"/>
  <c r="BM79" i="5"/>
  <c r="BM53" i="5" a="1"/>
  <c r="BM53" i="5" s="1"/>
  <c r="BM60" i="5"/>
  <c r="BM43" i="5"/>
  <c r="BM50" i="5" a="1"/>
  <c r="BM50" i="5" s="1"/>
  <c r="BM86" i="5" a="1"/>
  <c r="BM86" i="5" s="1"/>
  <c r="BM92" i="5" a="1"/>
  <c r="BM92" i="5" s="1"/>
  <c r="BM83" i="5" a="1"/>
  <c r="BM83" i="5" s="1"/>
  <c r="BM77" i="5" a="1"/>
  <c r="BM77" i="5" s="1"/>
  <c r="BM72" i="5" a="1"/>
  <c r="BM72" i="5" s="1"/>
  <c r="BM80" i="5" a="1"/>
  <c r="BM80" i="5" s="1"/>
  <c r="BM64" i="5" a="1"/>
  <c r="BM64" i="5" s="1"/>
  <c r="BM49" i="5"/>
  <c r="BM44" i="5"/>
  <c r="BM47" i="5" a="1"/>
  <c r="BM47" i="5" s="1"/>
  <c r="BM89" i="5" a="1"/>
  <c r="BM89" i="5" s="1"/>
  <c r="BM61" i="5" a="1"/>
  <c r="BM61" i="5" s="1"/>
  <c r="BM69" i="5" a="1"/>
  <c r="BM69" i="5" s="1"/>
  <c r="AG116" i="16"/>
  <c r="AO116" i="16"/>
  <c r="AS116" i="16"/>
  <c r="AW116" i="16"/>
  <c r="AS88" i="16"/>
  <c r="AW95" i="16"/>
  <c r="AS60" i="16"/>
  <c r="BL95" i="5" a="1"/>
  <c r="BL95" i="5" s="1"/>
  <c r="BL92" i="5" a="1"/>
  <c r="BL92" i="5" s="1"/>
  <c r="BL77" i="5" a="1"/>
  <c r="BL77" i="5" s="1"/>
  <c r="BL64" i="5" a="1"/>
  <c r="BL64" i="5" s="1"/>
  <c r="BL89" i="5" a="1"/>
  <c r="BL89" i="5" s="1"/>
  <c r="BL53" i="5" a="1"/>
  <c r="BL53" i="5" s="1"/>
  <c r="BL47" i="5" a="1"/>
  <c r="BL47" i="5" s="1"/>
  <c r="BL69" i="5" a="1"/>
  <c r="BL69" i="5" s="1"/>
  <c r="BL80" i="5" a="1"/>
  <c r="BL80" i="5" s="1"/>
  <c r="BL56" i="5" a="1"/>
  <c r="BL56" i="5" s="1"/>
  <c r="BL83" i="5" a="1"/>
  <c r="BL83" i="5" s="1"/>
  <c r="BL61" i="5" a="1"/>
  <c r="BL61" i="5" s="1"/>
  <c r="BL50" i="5" a="1"/>
  <c r="BL50" i="5" s="1"/>
  <c r="BL72" i="5" a="1"/>
  <c r="BL72" i="5" s="1"/>
  <c r="BL86" i="5" a="1"/>
  <c r="BL86" i="5" s="1"/>
  <c r="BL98" i="5" a="1"/>
  <c r="BL98" i="5" s="1"/>
  <c r="AF116" i="16"/>
  <c r="AN116" i="16"/>
  <c r="AR116" i="16"/>
  <c r="AV116" i="16"/>
  <c r="AF88" i="16"/>
  <c r="AF81" i="16"/>
  <c r="AH116" i="16"/>
  <c r="AL116" i="16"/>
  <c r="AP116" i="16"/>
  <c r="AT116" i="16"/>
  <c r="AX116" i="16"/>
  <c r="AH53" i="16"/>
  <c r="AF74" i="16"/>
  <c r="AI116" i="16"/>
  <c r="AM116" i="16"/>
  <c r="AQ116" i="16"/>
  <c r="AU116" i="16"/>
  <c r="AK81" i="16"/>
  <c r="AK116" i="16"/>
  <c r="AK60" i="16"/>
  <c r="AJ116" i="16"/>
  <c r="AO95" i="16"/>
  <c r="AL102" i="16"/>
  <c r="AT102" i="16"/>
  <c r="AI102" i="16"/>
  <c r="AQ102" i="16"/>
  <c r="AM102" i="16"/>
  <c r="AU102" i="16"/>
  <c r="AH102" i="16"/>
  <c r="AP102" i="16"/>
  <c r="AX102" i="16"/>
  <c r="AM88" i="16"/>
  <c r="AK88" i="16"/>
  <c r="AU88" i="16"/>
  <c r="AG95" i="16"/>
  <c r="AP88" i="16"/>
  <c r="AN88" i="16"/>
  <c r="AJ81" i="16"/>
  <c r="AO81" i="16"/>
  <c r="AT81" i="16"/>
  <c r="AG74" i="16"/>
  <c r="AO74" i="16"/>
  <c r="AW74" i="16"/>
  <c r="AG88" i="16"/>
  <c r="AL88" i="16"/>
  <c r="AQ88" i="16"/>
  <c r="AW88" i="16"/>
  <c r="AH74" i="16"/>
  <c r="AP74" i="16"/>
  <c r="AX74" i="16"/>
  <c r="AR88" i="16"/>
  <c r="AP81" i="16"/>
  <c r="AH88" i="16"/>
  <c r="AX88" i="16"/>
  <c r="AV88" i="16"/>
  <c r="AI88" i="16"/>
  <c r="AO88" i="16"/>
  <c r="AT88" i="16"/>
  <c r="AJ88" i="16"/>
  <c r="AV81" i="16"/>
  <c r="AI81" i="16"/>
  <c r="AH81" i="16"/>
  <c r="AN81" i="16"/>
  <c r="AS81" i="16"/>
  <c r="AX81" i="16"/>
  <c r="AQ81" i="16"/>
  <c r="AU81" i="16"/>
  <c r="AG81" i="16"/>
  <c r="AL81" i="16"/>
  <c r="AR81" i="16"/>
  <c r="AW81" i="16"/>
  <c r="AM81" i="16"/>
  <c r="AJ74" i="16"/>
  <c r="AQ74" i="16"/>
  <c r="AN74" i="16"/>
  <c r="AV74" i="16"/>
  <c r="AU74" i="16"/>
  <c r="AR74" i="16"/>
  <c r="AI74" i="16"/>
  <c r="AK74" i="16"/>
  <c r="AS74" i="16"/>
  <c r="AL74" i="16"/>
  <c r="AT74" i="16"/>
  <c r="AF53" i="16"/>
  <c r="AF60" i="16"/>
  <c r="AF67" i="16"/>
  <c r="AU53" i="16"/>
  <c r="AG60" i="16"/>
  <c r="AO60" i="16"/>
  <c r="AW60" i="16"/>
  <c r="AI53" i="16"/>
  <c r="AQ53" i="16"/>
  <c r="AM53" i="16"/>
  <c r="AH67" i="16"/>
  <c r="AP67" i="16"/>
  <c r="AX67" i="16"/>
  <c r="AM67" i="16"/>
  <c r="AQ67" i="16"/>
  <c r="AU67" i="16"/>
  <c r="AN67" i="16"/>
  <c r="AV67" i="16"/>
  <c r="AG67" i="16"/>
  <c r="AK67" i="16"/>
  <c r="AO67" i="16"/>
  <c r="AS67" i="16"/>
  <c r="AW67" i="16"/>
  <c r="AN53" i="16"/>
  <c r="AV53" i="16"/>
  <c r="AN60" i="16"/>
  <c r="AV60" i="16"/>
  <c r="AG53" i="16"/>
  <c r="AO53" i="16"/>
  <c r="AW53" i="16"/>
  <c r="AH60" i="16"/>
  <c r="AP60" i="16"/>
  <c r="AX60" i="16"/>
  <c r="AL53" i="16"/>
  <c r="AT53" i="16"/>
  <c r="AI60" i="16"/>
  <c r="AQ60" i="16"/>
  <c r="AJ53" i="16"/>
  <c r="AR53" i="16"/>
  <c r="AJ60" i="16"/>
  <c r="AR60" i="16"/>
  <c r="AK53" i="16"/>
  <c r="AS53" i="16"/>
  <c r="AL60" i="16"/>
  <c r="AT60" i="16"/>
  <c r="AP53" i="16"/>
  <c r="AX53" i="16"/>
  <c r="AM60" i="16"/>
  <c r="AU60" i="16"/>
  <c r="AH51" i="16"/>
  <c r="AH52" i="16" s="1"/>
  <c r="AK104" i="16"/>
  <c r="AS104" i="16"/>
  <c r="AK90" i="16"/>
  <c r="AS90" i="16"/>
  <c r="AH104" i="16"/>
  <c r="AL104" i="16"/>
  <c r="AP104" i="16"/>
  <c r="AT104" i="16"/>
  <c r="AX104" i="16"/>
  <c r="AL62" i="16"/>
  <c r="AT62" i="16"/>
  <c r="AH90" i="16"/>
  <c r="AL90" i="16"/>
  <c r="AP90" i="16"/>
  <c r="AT90" i="16"/>
  <c r="AX90" i="16"/>
  <c r="AI104" i="16"/>
  <c r="AJ107" i="16" s="1"/>
  <c r="AM104" i="16"/>
  <c r="AQ104" i="16"/>
  <c r="AU104" i="16"/>
  <c r="AI62" i="16"/>
  <c r="AI64" i="16" s="1"/>
  <c r="AI90" i="16"/>
  <c r="AM90" i="16"/>
  <c r="AQ90" i="16"/>
  <c r="AU90" i="16"/>
  <c r="AF97" i="16"/>
  <c r="AJ97" i="16"/>
  <c r="AN97" i="16"/>
  <c r="AR97" i="16"/>
  <c r="AV97" i="16"/>
  <c r="AG104" i="16"/>
  <c r="AO104" i="16"/>
  <c r="AW104" i="16"/>
  <c r="AF104" i="16"/>
  <c r="AJ104" i="16"/>
  <c r="AN104" i="16"/>
  <c r="AR104" i="16"/>
  <c r="AV104" i="16"/>
  <c r="AJ62" i="16"/>
  <c r="AR62" i="16"/>
  <c r="AF90" i="16"/>
  <c r="AJ90" i="16"/>
  <c r="AN90" i="16"/>
  <c r="AR90" i="16"/>
  <c r="AV90" i="16"/>
  <c r="AG97" i="16"/>
  <c r="AK97" i="16"/>
  <c r="AO97" i="16"/>
  <c r="AS97" i="16"/>
  <c r="AW97" i="16"/>
  <c r="AI99" i="16"/>
  <c r="AM99" i="16"/>
  <c r="AQ99" i="16"/>
  <c r="AU99" i="16"/>
  <c r="AW50" i="16"/>
  <c r="AJ113" i="16"/>
  <c r="AN113" i="16"/>
  <c r="AV113" i="16"/>
  <c r="AF64" i="16"/>
  <c r="AF57" i="16"/>
  <c r="AF85" i="16"/>
  <c r="AF113" i="16"/>
  <c r="AF71" i="16"/>
  <c r="AF78" i="16"/>
  <c r="AR78" i="16"/>
  <c r="AJ114" i="16"/>
  <c r="AJ115" i="16" s="1"/>
  <c r="AN114" i="16"/>
  <c r="AN115" i="16" s="1"/>
  <c r="AR114" i="16"/>
  <c r="AR115" i="16" s="1"/>
  <c r="AV114" i="16"/>
  <c r="AV115" i="16" s="1"/>
  <c r="AG114" i="16"/>
  <c r="AG115" i="16" s="1"/>
  <c r="AK114" i="16"/>
  <c r="AK115" i="16" s="1"/>
  <c r="AO114" i="16"/>
  <c r="AO115" i="16" s="1"/>
  <c r="AS114" i="16"/>
  <c r="AS115" i="16" s="1"/>
  <c r="AW114" i="16"/>
  <c r="AW115" i="16" s="1"/>
  <c r="AI113" i="16"/>
  <c r="AM113" i="16"/>
  <c r="AQ113" i="16"/>
  <c r="AU113" i="16"/>
  <c r="AR113" i="16"/>
  <c r="AH114" i="16"/>
  <c r="AH115" i="16" s="1"/>
  <c r="AL114" i="16"/>
  <c r="AL115" i="16" s="1"/>
  <c r="AP114" i="16"/>
  <c r="AP115" i="16" s="1"/>
  <c r="AT114" i="16"/>
  <c r="AT115" i="16" s="1"/>
  <c r="AX114" i="16"/>
  <c r="AX115" i="16" s="1"/>
  <c r="AG113" i="16"/>
  <c r="AK113" i="16"/>
  <c r="AO113" i="16"/>
  <c r="AS113" i="16"/>
  <c r="AW113" i="16"/>
  <c r="AI114" i="16"/>
  <c r="AI115" i="16" s="1"/>
  <c r="AM114" i="16"/>
  <c r="AM115" i="16" s="1"/>
  <c r="AQ114" i="16"/>
  <c r="AQ115" i="16" s="1"/>
  <c r="AU114" i="16"/>
  <c r="AU115" i="16" s="1"/>
  <c r="AH113" i="16"/>
  <c r="AL113" i="16"/>
  <c r="AP113" i="16"/>
  <c r="AT113" i="16"/>
  <c r="AX113" i="16"/>
  <c r="AJ78" i="16"/>
  <c r="AN78" i="16"/>
  <c r="AV78" i="16"/>
  <c r="AJ100" i="16"/>
  <c r="AN100" i="16"/>
  <c r="AR100" i="16"/>
  <c r="AV100" i="16"/>
  <c r="AS79" i="16"/>
  <c r="AS80" i="16" s="1"/>
  <c r="AI100" i="16"/>
  <c r="AI101" i="16" s="1"/>
  <c r="AM100" i="16"/>
  <c r="AM101" i="16" s="1"/>
  <c r="AQ100" i="16"/>
  <c r="AQ101" i="16" s="1"/>
  <c r="AU100" i="16"/>
  <c r="AU101" i="16" s="1"/>
  <c r="AK86" i="16"/>
  <c r="AK87" i="16" s="1"/>
  <c r="AO86" i="16"/>
  <c r="AO87" i="16" s="1"/>
  <c r="AS86" i="16"/>
  <c r="AS87" i="16" s="1"/>
  <c r="AW86" i="16"/>
  <c r="AW87" i="16" s="1"/>
  <c r="AH99" i="16"/>
  <c r="AL99" i="16"/>
  <c r="AP99" i="16"/>
  <c r="AT99" i="16"/>
  <c r="AX99" i="16"/>
  <c r="AL86" i="16"/>
  <c r="AL87" i="16" s="1"/>
  <c r="AK45" i="16"/>
  <c r="AG79" i="16"/>
  <c r="AG80" i="16" s="1"/>
  <c r="AH93" i="16"/>
  <c r="AP93" i="16"/>
  <c r="AX93" i="16"/>
  <c r="AI57" i="16"/>
  <c r="AM57" i="16"/>
  <c r="AQ57" i="16"/>
  <c r="AU57" i="16"/>
  <c r="AJ86" i="16"/>
  <c r="AJ87" i="16" s="1"/>
  <c r="AN86" i="16"/>
  <c r="AN87" i="16" s="1"/>
  <c r="AR86" i="16"/>
  <c r="AR87" i="16" s="1"/>
  <c r="AV86" i="16"/>
  <c r="AV87" i="16" s="1"/>
  <c r="AG86" i="16"/>
  <c r="AG87" i="16" s="1"/>
  <c r="AG92" i="16"/>
  <c r="AO92" i="16"/>
  <c r="AW92" i="16"/>
  <c r="AN85" i="16"/>
  <c r="AV85" i="16"/>
  <c r="AT86" i="16"/>
  <c r="AT87" i="16" s="1"/>
  <c r="AM78" i="16"/>
  <c r="AQ78" i="16"/>
  <c r="AJ85" i="16"/>
  <c r="AR85" i="16"/>
  <c r="AP86" i="16"/>
  <c r="AP87" i="16" s="1"/>
  <c r="AX86" i="16"/>
  <c r="AX87" i="16" s="1"/>
  <c r="AI85" i="16"/>
  <c r="AM85" i="16"/>
  <c r="AQ85" i="16"/>
  <c r="AU85" i="16"/>
  <c r="AH86" i="16"/>
  <c r="AH87" i="16" s="1"/>
  <c r="AJ79" i="16"/>
  <c r="AJ80" i="16" s="1"/>
  <c r="AN79" i="16"/>
  <c r="AN80" i="16" s="1"/>
  <c r="AR79" i="16"/>
  <c r="AR80" i="16" s="1"/>
  <c r="AV79" i="16"/>
  <c r="AV80" i="16" s="1"/>
  <c r="AU78" i="16"/>
  <c r="AG85" i="16"/>
  <c r="AK85" i="16"/>
  <c r="AO85" i="16"/>
  <c r="AS85" i="16"/>
  <c r="AW85" i="16"/>
  <c r="AI86" i="16"/>
  <c r="AI87" i="16" s="1"/>
  <c r="AM86" i="16"/>
  <c r="AM87" i="16" s="1"/>
  <c r="AQ86" i="16"/>
  <c r="AQ87" i="16" s="1"/>
  <c r="AU86" i="16"/>
  <c r="AU87" i="16" s="1"/>
  <c r="AI78" i="16"/>
  <c r="AH85" i="16"/>
  <c r="AL85" i="16"/>
  <c r="AP85" i="16"/>
  <c r="AT85" i="16"/>
  <c r="AX85" i="16"/>
  <c r="AW79" i="16"/>
  <c r="AW80" i="16" s="1"/>
  <c r="AH79" i="16"/>
  <c r="AH80" i="16" s="1"/>
  <c r="AL79" i="16"/>
  <c r="AL80" i="16" s="1"/>
  <c r="AP79" i="16"/>
  <c r="AP80" i="16" s="1"/>
  <c r="AT79" i="16"/>
  <c r="AT80" i="16" s="1"/>
  <c r="AX79" i="16"/>
  <c r="AX80" i="16" s="1"/>
  <c r="AG78" i="16"/>
  <c r="AK78" i="16"/>
  <c r="AO78" i="16"/>
  <c r="AS78" i="16"/>
  <c r="AW78" i="16"/>
  <c r="AI79" i="16"/>
  <c r="AI80" i="16" s="1"/>
  <c r="AM79" i="16"/>
  <c r="AM80" i="16" s="1"/>
  <c r="AQ79" i="16"/>
  <c r="AQ80" i="16" s="1"/>
  <c r="AU79" i="16"/>
  <c r="AU80" i="16" s="1"/>
  <c r="AK79" i="16"/>
  <c r="AK80" i="16" s="1"/>
  <c r="AO79" i="16"/>
  <c r="AO80" i="16" s="1"/>
  <c r="AJ72" i="16"/>
  <c r="AJ73" i="16" s="1"/>
  <c r="AN72" i="16"/>
  <c r="AN73" i="16" s="1"/>
  <c r="AR72" i="16"/>
  <c r="AR73" i="16" s="1"/>
  <c r="AV72" i="16"/>
  <c r="AV73" i="16" s="1"/>
  <c r="AH78" i="16"/>
  <c r="AL78" i="16"/>
  <c r="AP78" i="16"/>
  <c r="AT78" i="16"/>
  <c r="AX78" i="16"/>
  <c r="AG57" i="16"/>
  <c r="AN65" i="16"/>
  <c r="AN66" i="16" s="1"/>
  <c r="AR65" i="16"/>
  <c r="AV65" i="16"/>
  <c r="AV66" i="16" s="1"/>
  <c r="AI71" i="16"/>
  <c r="AM71" i="16"/>
  <c r="AQ71" i="16"/>
  <c r="AU71" i="16"/>
  <c r="AG72" i="16"/>
  <c r="AG73" i="16" s="1"/>
  <c r="AK72" i="16"/>
  <c r="AK73" i="16" s="1"/>
  <c r="AO72" i="16"/>
  <c r="AO73" i="16" s="1"/>
  <c r="AS72" i="16"/>
  <c r="AS73" i="16" s="1"/>
  <c r="AW72" i="16"/>
  <c r="AW73" i="16" s="1"/>
  <c r="AJ71" i="16"/>
  <c r="AN71" i="16"/>
  <c r="AR71" i="16"/>
  <c r="AV71" i="16"/>
  <c r="AH72" i="16"/>
  <c r="AH73" i="16" s="1"/>
  <c r="AL72" i="16"/>
  <c r="AL73" i="16" s="1"/>
  <c r="AP72" i="16"/>
  <c r="AP73" i="16" s="1"/>
  <c r="AT72" i="16"/>
  <c r="AT73" i="16" s="1"/>
  <c r="AX72" i="16"/>
  <c r="AX73" i="16" s="1"/>
  <c r="AG71" i="16"/>
  <c r="AK71" i="16"/>
  <c r="AO71" i="16"/>
  <c r="AS71" i="16"/>
  <c r="AW71" i="16"/>
  <c r="AI72" i="16"/>
  <c r="AI73" i="16" s="1"/>
  <c r="AM72" i="16"/>
  <c r="AM73" i="16" s="1"/>
  <c r="AQ72" i="16"/>
  <c r="AQ73" i="16" s="1"/>
  <c r="AU72" i="16"/>
  <c r="AU73" i="16" s="1"/>
  <c r="AF46" i="16"/>
  <c r="AH71" i="16"/>
  <c r="AL71" i="16"/>
  <c r="AP71" i="16"/>
  <c r="AT71" i="16"/>
  <c r="AX71" i="16"/>
  <c r="AM64" i="16"/>
  <c r="AQ64" i="16"/>
  <c r="AU64" i="16"/>
  <c r="AG65" i="16"/>
  <c r="AG66" i="16" s="1"/>
  <c r="AO65" i="16"/>
  <c r="AO66" i="16" s="1"/>
  <c r="AW65" i="16"/>
  <c r="AW66" i="16" s="1"/>
  <c r="AG51" i="16"/>
  <c r="AG52" i="16" s="1"/>
  <c r="AN64" i="16"/>
  <c r="AV64" i="16"/>
  <c r="AH65" i="16"/>
  <c r="AH66" i="16" s="1"/>
  <c r="AL65" i="16"/>
  <c r="AP65" i="16"/>
  <c r="AP66" i="16" s="1"/>
  <c r="AT65" i="16"/>
  <c r="AX65" i="16"/>
  <c r="AX66" i="16" s="1"/>
  <c r="AG64" i="16"/>
  <c r="AK64" i="16"/>
  <c r="AO64" i="16"/>
  <c r="AS64" i="16"/>
  <c r="AW64" i="16"/>
  <c r="AI65" i="16"/>
  <c r="AQ65" i="16"/>
  <c r="AQ66" i="16" s="1"/>
  <c r="AJ58" i="16"/>
  <c r="AJ59" i="16" s="1"/>
  <c r="AN58" i="16"/>
  <c r="AN59" i="16" s="1"/>
  <c r="AR58" i="16"/>
  <c r="AR59" i="16" s="1"/>
  <c r="AV58" i="16"/>
  <c r="AV59" i="16" s="1"/>
  <c r="AG58" i="16"/>
  <c r="AG59" i="16" s="1"/>
  <c r="AH64" i="16"/>
  <c r="AP64" i="16"/>
  <c r="AX64" i="16"/>
  <c r="AK58" i="16"/>
  <c r="AK59" i="16" s="1"/>
  <c r="AO58" i="16"/>
  <c r="AO59" i="16" s="1"/>
  <c r="AS58" i="16"/>
  <c r="AS59" i="16" s="1"/>
  <c r="AW58" i="16"/>
  <c r="AW59" i="16" s="1"/>
  <c r="AO50" i="16"/>
  <c r="AS50" i="16"/>
  <c r="AJ57" i="16"/>
  <c r="AN57" i="16"/>
  <c r="AR57" i="16"/>
  <c r="AV57" i="16"/>
  <c r="AH58" i="16"/>
  <c r="AH59" i="16" s="1"/>
  <c r="AL58" i="16"/>
  <c r="AL59" i="16" s="1"/>
  <c r="AP58" i="16"/>
  <c r="AP59" i="16" s="1"/>
  <c r="AT58" i="16"/>
  <c r="AT59" i="16" s="1"/>
  <c r="AX58" i="16"/>
  <c r="AX59" i="16" s="1"/>
  <c r="AK57" i="16"/>
  <c r="AO57" i="16"/>
  <c r="AS57" i="16"/>
  <c r="AW57" i="16"/>
  <c r="AI58" i="16"/>
  <c r="AI59" i="16" s="1"/>
  <c r="AM58" i="16"/>
  <c r="AM59" i="16" s="1"/>
  <c r="AQ58" i="16"/>
  <c r="AQ59" i="16" s="1"/>
  <c r="AU58" i="16"/>
  <c r="AU59" i="16" s="1"/>
  <c r="AH57" i="16"/>
  <c r="AL57" i="16"/>
  <c r="AP57" i="16"/>
  <c r="AT57" i="16"/>
  <c r="AX57" i="16"/>
  <c r="AL51" i="16"/>
  <c r="AL52" i="16" s="1"/>
  <c r="AN51" i="16"/>
  <c r="AN52" i="16" s="1"/>
  <c r="AV51" i="16"/>
  <c r="AV52" i="16" s="1"/>
  <c r="AK50" i="16"/>
  <c r="AT51" i="16"/>
  <c r="AT52" i="16" s="1"/>
  <c r="AJ51" i="16"/>
  <c r="AJ52" i="16" s="1"/>
  <c r="AR51" i="16"/>
  <c r="AR52" i="16" s="1"/>
  <c r="AP51" i="16"/>
  <c r="AP52" i="16" s="1"/>
  <c r="AF50" i="16"/>
  <c r="AG50" i="16"/>
  <c r="AM51" i="16"/>
  <c r="AM52" i="16" s="1"/>
  <c r="AQ51" i="16"/>
  <c r="AQ52" i="16" s="1"/>
  <c r="AU51" i="16"/>
  <c r="AU52" i="16" s="1"/>
  <c r="AX50" i="16"/>
  <c r="AX51" i="16"/>
  <c r="AX52" i="16" s="1"/>
  <c r="AT50" i="16"/>
  <c r="AP50" i="16"/>
  <c r="AL50" i="16"/>
  <c r="AH50" i="16"/>
  <c r="AI51" i="16"/>
  <c r="AI52" i="16" s="1"/>
  <c r="AV50" i="16"/>
  <c r="AR50" i="16"/>
  <c r="AN50" i="16"/>
  <c r="AJ50" i="16"/>
  <c r="AW51" i="16"/>
  <c r="AW52" i="16" s="1"/>
  <c r="AS51" i="16"/>
  <c r="AS52" i="16" s="1"/>
  <c r="AO51" i="16"/>
  <c r="AO52" i="16" s="1"/>
  <c r="AK51" i="16"/>
  <c r="AK52" i="16" s="1"/>
  <c r="AU50" i="16"/>
  <c r="AQ50" i="16"/>
  <c r="AM50" i="16"/>
  <c r="AI50" i="16"/>
  <c r="AO45" i="16"/>
  <c r="AS45" i="16"/>
  <c r="AJ45" i="16"/>
  <c r="AJ46" i="16"/>
  <c r="AF45" i="16"/>
  <c r="AV45" i="16"/>
  <c r="AV46" i="16"/>
  <c r="AN45" i="16"/>
  <c r="AN46" i="16"/>
  <c r="AR45" i="16"/>
  <c r="AR46" i="16"/>
  <c r="AI45" i="16"/>
  <c r="AQ45" i="16"/>
  <c r="AG46" i="16"/>
  <c r="AO46" i="16"/>
  <c r="AW46" i="16"/>
  <c r="AW45" i="16"/>
  <c r="AM45" i="16"/>
  <c r="AU45" i="16"/>
  <c r="AK46" i="16"/>
  <c r="AS46" i="16"/>
  <c r="AG45" i="16"/>
  <c r="AH46" i="16"/>
  <c r="AL46" i="16"/>
  <c r="AP46" i="16"/>
  <c r="AT46" i="16"/>
  <c r="AX46" i="16"/>
  <c r="AH45" i="16"/>
  <c r="AL45" i="16"/>
  <c r="AP45" i="16"/>
  <c r="AT45" i="16"/>
  <c r="AX45" i="16"/>
  <c r="AI46" i="16"/>
  <c r="AM46" i="16"/>
  <c r="AQ46" i="16"/>
  <c r="AU46" i="16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Y4" i="5"/>
  <c r="X4" i="5"/>
  <c r="M4" i="15"/>
  <c r="BA4" i="15" s="1"/>
  <c r="N4" i="15"/>
  <c r="BB4" i="15" s="1"/>
  <c r="O4" i="15"/>
  <c r="BC4" i="15" s="1"/>
  <c r="P4" i="15"/>
  <c r="BD4" i="15" s="1"/>
  <c r="Q4" i="15"/>
  <c r="BE4" i="15" s="1"/>
  <c r="R4" i="15"/>
  <c r="BF4" i="15" s="1"/>
  <c r="S4" i="15"/>
  <c r="BG4" i="15" s="1"/>
  <c r="T4" i="15"/>
  <c r="BH4" i="15" s="1"/>
  <c r="U4" i="15"/>
  <c r="BI4" i="15" s="1"/>
  <c r="V4" i="15"/>
  <c r="BJ4" i="15" s="1"/>
  <c r="W4" i="15"/>
  <c r="BK4" i="15" s="1"/>
  <c r="X4" i="15"/>
  <c r="BL4" i="15" s="1"/>
  <c r="Y4" i="15"/>
  <c r="BM4" i="15" s="1"/>
  <c r="Z4" i="15"/>
  <c r="BN4" i="15" s="1"/>
  <c r="L4" i="15"/>
  <c r="AZ4" i="15" s="1"/>
  <c r="K4" i="15"/>
  <c r="AY4" i="15" s="1"/>
  <c r="I43" i="15"/>
  <c r="I44" i="15"/>
  <c r="I46" i="15"/>
  <c r="I49" i="15"/>
  <c r="I52" i="15"/>
  <c r="I55" i="15"/>
  <c r="I58" i="15"/>
  <c r="I61" i="15"/>
  <c r="I64" i="15"/>
  <c r="I67" i="15"/>
  <c r="I70" i="15"/>
  <c r="I73" i="15"/>
  <c r="AY73" i="15"/>
  <c r="K73" i="15"/>
  <c r="AY70" i="15"/>
  <c r="K70" i="15"/>
  <c r="AY67" i="15"/>
  <c r="K67" i="15"/>
  <c r="AY64" i="15"/>
  <c r="K64" i="15"/>
  <c r="AY61" i="15"/>
  <c r="K61" i="15"/>
  <c r="AY58" i="15"/>
  <c r="K58" i="15"/>
  <c r="AY55" i="15"/>
  <c r="K55" i="15"/>
  <c r="AY52" i="15"/>
  <c r="K52" i="15"/>
  <c r="AY49" i="15"/>
  <c r="K49" i="15"/>
  <c r="AY46" i="15"/>
  <c r="K46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BR3" i="15"/>
  <c r="BN3" i="15"/>
  <c r="BM3" i="15"/>
  <c r="BL3" i="15"/>
  <c r="BK3" i="15"/>
  <c r="BJ3" i="15"/>
  <c r="BI3" i="15"/>
  <c r="BH3" i="15"/>
  <c r="BG3" i="15"/>
  <c r="BE3" i="15"/>
  <c r="BD3" i="15"/>
  <c r="BC3" i="15"/>
  <c r="BB3" i="15"/>
  <c r="BA3" i="15"/>
  <c r="AZ3" i="15"/>
  <c r="AY3" i="15"/>
  <c r="W79" i="5"/>
  <c r="I79" i="5"/>
  <c r="W76" i="5"/>
  <c r="I76" i="5"/>
  <c r="W71" i="5"/>
  <c r="I71" i="5"/>
  <c r="W68" i="5"/>
  <c r="I68" i="5"/>
  <c r="W63" i="5"/>
  <c r="I63" i="5"/>
  <c r="W60" i="5"/>
  <c r="I60" i="5"/>
  <c r="W55" i="5"/>
  <c r="I55" i="5"/>
  <c r="W52" i="5"/>
  <c r="I52" i="5"/>
  <c r="E7" i="14"/>
  <c r="E8" i="14"/>
  <c r="E9" i="14"/>
  <c r="E10" i="14"/>
  <c r="E11" i="14"/>
  <c r="E12" i="14"/>
  <c r="E13" i="14"/>
  <c r="E14" i="14"/>
  <c r="E15" i="14"/>
  <c r="E6" i="14"/>
  <c r="W49" i="5"/>
  <c r="I49" i="5"/>
  <c r="I46" i="5"/>
  <c r="BM3" i="5"/>
  <c r="W43" i="5"/>
  <c r="W44" i="5"/>
  <c r="I44" i="5"/>
  <c r="I43" i="5"/>
  <c r="R6" i="5"/>
  <c r="S6" i="5"/>
  <c r="T6" i="5"/>
  <c r="R7" i="5"/>
  <c r="S7" i="5"/>
  <c r="T7" i="5"/>
  <c r="R8" i="5"/>
  <c r="S8" i="5"/>
  <c r="T8" i="5"/>
  <c r="R9" i="5"/>
  <c r="S9" i="5"/>
  <c r="S46" i="5" s="1"/>
  <c r="T9" i="5"/>
  <c r="R10" i="5"/>
  <c r="S10" i="5"/>
  <c r="T10" i="5"/>
  <c r="R11" i="5"/>
  <c r="S11" i="5"/>
  <c r="T11" i="5"/>
  <c r="R12" i="5"/>
  <c r="S12" i="5"/>
  <c r="S49" i="5" s="1"/>
  <c r="T12" i="5"/>
  <c r="S76" i="5"/>
  <c r="R13" i="5"/>
  <c r="S13" i="5"/>
  <c r="T13" i="5"/>
  <c r="R14" i="5"/>
  <c r="S14" i="5"/>
  <c r="T14" i="5"/>
  <c r="R15" i="5"/>
  <c r="S15" i="5"/>
  <c r="T15" i="5"/>
  <c r="R16" i="5"/>
  <c r="S16" i="5"/>
  <c r="T16" i="5"/>
  <c r="R17" i="5"/>
  <c r="S17" i="5"/>
  <c r="T17" i="5"/>
  <c r="R18" i="5"/>
  <c r="S18" i="5"/>
  <c r="T18" i="5"/>
  <c r="R19" i="5"/>
  <c r="S19" i="5"/>
  <c r="T19" i="5"/>
  <c r="R20" i="5"/>
  <c r="S20" i="5"/>
  <c r="T20" i="5"/>
  <c r="R21" i="5"/>
  <c r="S21" i="5"/>
  <c r="T21" i="5"/>
  <c r="R22" i="5"/>
  <c r="S22" i="5"/>
  <c r="T22" i="5"/>
  <c r="R23" i="5"/>
  <c r="S23" i="5"/>
  <c r="T23" i="5"/>
  <c r="R24" i="5"/>
  <c r="S24" i="5"/>
  <c r="T24" i="5"/>
  <c r="R25" i="5"/>
  <c r="S25" i="5"/>
  <c r="T25" i="5"/>
  <c r="R26" i="5"/>
  <c r="S26" i="5"/>
  <c r="T26" i="5"/>
  <c r="R27" i="5"/>
  <c r="S27" i="5"/>
  <c r="T27" i="5"/>
  <c r="R28" i="5"/>
  <c r="S28" i="5"/>
  <c r="T28" i="5"/>
  <c r="R29" i="5"/>
  <c r="S29" i="5"/>
  <c r="T29" i="5"/>
  <c r="R30" i="5"/>
  <c r="S30" i="5"/>
  <c r="T30" i="5"/>
  <c r="R31" i="5"/>
  <c r="S31" i="5"/>
  <c r="T31" i="5"/>
  <c r="R32" i="5"/>
  <c r="S32" i="5"/>
  <c r="T32" i="5"/>
  <c r="R33" i="5"/>
  <c r="S33" i="5"/>
  <c r="T33" i="5"/>
  <c r="R34" i="5"/>
  <c r="S34" i="5"/>
  <c r="T34" i="5"/>
  <c r="R35" i="5"/>
  <c r="S35" i="5"/>
  <c r="T35" i="5"/>
  <c r="R36" i="5"/>
  <c r="S36" i="5"/>
  <c r="T36" i="5"/>
  <c r="R37" i="5"/>
  <c r="S37" i="5"/>
  <c r="T37" i="5"/>
  <c r="R38" i="5"/>
  <c r="S38" i="5"/>
  <c r="T38" i="5"/>
  <c r="R39" i="5"/>
  <c r="S39" i="5"/>
  <c r="T39" i="5"/>
  <c r="R40" i="5"/>
  <c r="S40" i="5"/>
  <c r="T40" i="5"/>
  <c r="R41" i="5"/>
  <c r="S41" i="5"/>
  <c r="T41" i="5"/>
  <c r="T5" i="5"/>
  <c r="S5" i="5"/>
  <c r="R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5" i="5"/>
  <c r="CZ71" i="5" l="1"/>
  <c r="CZ63" i="5"/>
  <c r="CZ55" i="5"/>
  <c r="CA4" i="5"/>
  <c r="DG48" i="5"/>
  <c r="BW4" i="5"/>
  <c r="DC48" i="5"/>
  <c r="BS4" i="5"/>
  <c r="BO4" i="5"/>
  <c r="BZ4" i="5"/>
  <c r="DF48" i="5"/>
  <c r="BV4" i="5"/>
  <c r="DB48" i="5"/>
  <c r="BR4" i="5"/>
  <c r="BY4" i="5"/>
  <c r="DE48" i="5"/>
  <c r="BU4" i="5"/>
  <c r="DA48" i="5"/>
  <c r="BQ4" i="5"/>
  <c r="BX4" i="5"/>
  <c r="DD48" i="5"/>
  <c r="BT4" i="5"/>
  <c r="CZ48" i="5"/>
  <c r="BP4" i="5"/>
  <c r="T71" i="5"/>
  <c r="S71" i="5"/>
  <c r="R52" i="5"/>
  <c r="T79" i="5"/>
  <c r="T46" i="5"/>
  <c r="R55" i="5"/>
  <c r="T44" i="5"/>
  <c r="T43" i="5"/>
  <c r="T72" i="5" a="1"/>
  <c r="T72" i="5" s="1"/>
  <c r="T53" i="5" a="1"/>
  <c r="T53" i="5" s="1"/>
  <c r="T61" i="5" a="1"/>
  <c r="T61" i="5" s="1"/>
  <c r="T77" i="5" a="1"/>
  <c r="T77" i="5" s="1"/>
  <c r="T64" i="5" a="1"/>
  <c r="T64" i="5" s="1"/>
  <c r="T98" i="5" a="1"/>
  <c r="T98" i="5" s="1"/>
  <c r="T50" i="5" a="1"/>
  <c r="T50" i="5" s="1"/>
  <c r="T92" i="5" a="1"/>
  <c r="T92" i="5" s="1"/>
  <c r="T86" i="5" a="1"/>
  <c r="T86" i="5" s="1"/>
  <c r="T89" i="5" a="1"/>
  <c r="T89" i="5" s="1"/>
  <c r="T83" i="5" a="1"/>
  <c r="T83" i="5" s="1"/>
  <c r="T47" i="5" a="1"/>
  <c r="T47" i="5" s="1"/>
  <c r="T69" i="5" a="1"/>
  <c r="T69" i="5" s="1"/>
  <c r="T63" i="5"/>
  <c r="T80" i="5" a="1"/>
  <c r="T80" i="5" s="1"/>
  <c r="T56" i="5" a="1"/>
  <c r="T56" i="5" s="1"/>
  <c r="T95" i="5" a="1"/>
  <c r="T95" i="5" s="1"/>
  <c r="T68" i="5"/>
  <c r="R71" i="5"/>
  <c r="R76" i="5"/>
  <c r="T52" i="5"/>
  <c r="T60" i="5"/>
  <c r="R79" i="5"/>
  <c r="R43" i="5"/>
  <c r="R44" i="5"/>
  <c r="R77" i="5" a="1"/>
  <c r="R77" i="5" s="1"/>
  <c r="R64" i="5" a="1"/>
  <c r="R64" i="5" s="1"/>
  <c r="R89" i="5" a="1"/>
  <c r="R89" i="5" s="1"/>
  <c r="R92" i="5" a="1"/>
  <c r="R92" i="5" s="1"/>
  <c r="R83" i="5" a="1"/>
  <c r="R83" i="5" s="1"/>
  <c r="R47" i="5" a="1"/>
  <c r="R47" i="5" s="1"/>
  <c r="R69" i="5" a="1"/>
  <c r="R69" i="5" s="1"/>
  <c r="R50" i="5" a="1"/>
  <c r="R50" i="5" s="1"/>
  <c r="R63" i="5"/>
  <c r="R80" i="5" a="1"/>
  <c r="R80" i="5" s="1"/>
  <c r="R86" i="5" a="1"/>
  <c r="R86" i="5" s="1"/>
  <c r="R53" i="5" a="1"/>
  <c r="R53" i="5" s="1"/>
  <c r="R56" i="5" a="1"/>
  <c r="R56" i="5" s="1"/>
  <c r="R98" i="5" a="1"/>
  <c r="R98" i="5" s="1"/>
  <c r="R72" i="5" a="1"/>
  <c r="R72" i="5" s="1"/>
  <c r="R95" i="5" a="1"/>
  <c r="R95" i="5" s="1"/>
  <c r="R61" i="5" a="1"/>
  <c r="R61" i="5" s="1"/>
  <c r="R68" i="5"/>
  <c r="T76" i="5"/>
  <c r="R60" i="5"/>
  <c r="S55" i="5"/>
  <c r="S44" i="5"/>
  <c r="S43" i="5"/>
  <c r="S92" i="5" a="1"/>
  <c r="S92" i="5" s="1"/>
  <c r="S64" i="5" a="1"/>
  <c r="S64" i="5" s="1"/>
  <c r="S89" i="5" a="1"/>
  <c r="S89" i="5" s="1"/>
  <c r="S69" i="5" a="1"/>
  <c r="S69" i="5" s="1"/>
  <c r="S72" i="5" a="1"/>
  <c r="S72" i="5" s="1"/>
  <c r="S83" i="5" a="1"/>
  <c r="S83" i="5" s="1"/>
  <c r="S53" i="5" a="1"/>
  <c r="S53" i="5" s="1"/>
  <c r="S98" i="5" a="1"/>
  <c r="S98" i="5" s="1"/>
  <c r="S63" i="5"/>
  <c r="S47" i="5" a="1"/>
  <c r="S47" i="5" s="1"/>
  <c r="S50" i="5" a="1"/>
  <c r="S50" i="5" s="1"/>
  <c r="S56" i="5" a="1"/>
  <c r="S56" i="5" s="1"/>
  <c r="S95" i="5" a="1"/>
  <c r="S95" i="5" s="1"/>
  <c r="S61" i="5" a="1"/>
  <c r="S61" i="5" s="1"/>
  <c r="S77" i="5" a="1"/>
  <c r="S77" i="5" s="1"/>
  <c r="S86" i="5" a="1"/>
  <c r="S86" i="5" s="1"/>
  <c r="S80" i="5" a="1"/>
  <c r="S80" i="5" s="1"/>
  <c r="R49" i="5"/>
  <c r="S79" i="5"/>
  <c r="S68" i="5"/>
  <c r="T49" i="5"/>
  <c r="S52" i="5"/>
  <c r="R46" i="5"/>
  <c r="S60" i="5"/>
  <c r="T55" i="5"/>
  <c r="J12" i="14"/>
  <c r="J9" i="14"/>
  <c r="J11" i="14"/>
  <c r="J15" i="14"/>
  <c r="J6" i="14"/>
  <c r="J7" i="14"/>
  <c r="K14" i="14" a="1"/>
  <c r="K14" i="14" s="1"/>
  <c r="K16" i="14" a="1"/>
  <c r="K16" i="14" s="1"/>
  <c r="K18" i="14" a="1"/>
  <c r="K18" i="14" s="1"/>
  <c r="K10" i="14" a="1"/>
  <c r="K10" i="14" s="1"/>
  <c r="K15" i="14" a="1"/>
  <c r="K15" i="14" s="1"/>
  <c r="K8" i="14" a="1"/>
  <c r="K8" i="14" s="1"/>
  <c r="K11" i="14" a="1"/>
  <c r="K11" i="14" s="1"/>
  <c r="K13" i="14" a="1"/>
  <c r="K13" i="14" s="1"/>
  <c r="K9" i="14" a="1"/>
  <c r="K9" i="14" s="1"/>
  <c r="K17" i="14" a="1"/>
  <c r="K17" i="14" s="1"/>
  <c r="K19" i="14" a="1"/>
  <c r="K19" i="14" s="1"/>
  <c r="K6" i="14" a="1"/>
  <c r="K6" i="14" s="1"/>
  <c r="K20" i="14" a="1"/>
  <c r="K20" i="14" s="1"/>
  <c r="K12" i="14" a="1"/>
  <c r="K12" i="14" s="1"/>
  <c r="K21" i="14" a="1"/>
  <c r="K21" i="14" s="1"/>
  <c r="K7" i="14" a="1"/>
  <c r="K7" i="14" s="1"/>
  <c r="J14" i="14"/>
  <c r="J13" i="14"/>
  <c r="J8" i="14"/>
  <c r="J10" i="14"/>
  <c r="AV106" i="16"/>
  <c r="AV109" i="16"/>
  <c r="AF106" i="16"/>
  <c r="AF109" i="16"/>
  <c r="AM106" i="16"/>
  <c r="AM109" i="16"/>
  <c r="AM107" i="16"/>
  <c r="AM108" i="16" s="1"/>
  <c r="AL109" i="16"/>
  <c r="AT107" i="16"/>
  <c r="AT108" i="16" s="1"/>
  <c r="AS109" i="16"/>
  <c r="AR106" i="16"/>
  <c r="AR109" i="16"/>
  <c r="AX107" i="16"/>
  <c r="AX108" i="16" s="1"/>
  <c r="AW109" i="16"/>
  <c r="AI106" i="16"/>
  <c r="AI109" i="16"/>
  <c r="AX106" i="16"/>
  <c r="AX109" i="16"/>
  <c r="AI107" i="16"/>
  <c r="AI108" i="16" s="1"/>
  <c r="AH109" i="16"/>
  <c r="AL107" i="16"/>
  <c r="AL108" i="16" s="1"/>
  <c r="AK109" i="16"/>
  <c r="AO107" i="16"/>
  <c r="AO108" i="16" s="1"/>
  <c r="AN109" i="16"/>
  <c r="AP107" i="16"/>
  <c r="AP108" i="16" s="1"/>
  <c r="AO109" i="16"/>
  <c r="AU106" i="16"/>
  <c r="AU109" i="16"/>
  <c r="AU107" i="16"/>
  <c r="AU108" i="16" s="1"/>
  <c r="AT109" i="16"/>
  <c r="AK107" i="16"/>
  <c r="AK108" i="16" s="1"/>
  <c r="AJ109" i="16"/>
  <c r="AH107" i="16"/>
  <c r="AH108" i="16" s="1"/>
  <c r="AG109" i="16"/>
  <c r="AQ106" i="16"/>
  <c r="AQ109" i="16"/>
  <c r="AQ107" i="16"/>
  <c r="AQ108" i="16" s="1"/>
  <c r="AP109" i="16"/>
  <c r="AT100" i="16"/>
  <c r="AT101" i="16" s="1"/>
  <c r="AS102" i="16"/>
  <c r="AS100" i="16"/>
  <c r="AS101" i="16" s="1"/>
  <c r="AR102" i="16"/>
  <c r="AP100" i="16"/>
  <c r="AP101" i="16" s="1"/>
  <c r="AO102" i="16"/>
  <c r="AN99" i="16"/>
  <c r="AN102" i="16"/>
  <c r="AK99" i="16"/>
  <c r="AK102" i="16"/>
  <c r="AK100" i="16"/>
  <c r="AK101" i="16" s="1"/>
  <c r="AJ102" i="16"/>
  <c r="AX100" i="16"/>
  <c r="AX101" i="16" s="1"/>
  <c r="AW102" i="16"/>
  <c r="AH100" i="16"/>
  <c r="AH101" i="16" s="1"/>
  <c r="AG102" i="16"/>
  <c r="AV99" i="16"/>
  <c r="AV102" i="16"/>
  <c r="AF99" i="16"/>
  <c r="AF102" i="16"/>
  <c r="AS93" i="16"/>
  <c r="AS94" i="16" s="1"/>
  <c r="AR95" i="16"/>
  <c r="AR93" i="16"/>
  <c r="AR94" i="16" s="1"/>
  <c r="AQ95" i="16"/>
  <c r="AX92" i="16"/>
  <c r="AX95" i="16"/>
  <c r="AI93" i="16"/>
  <c r="AI94" i="16" s="1"/>
  <c r="AH95" i="16"/>
  <c r="AS92" i="16"/>
  <c r="AS95" i="16"/>
  <c r="AN92" i="16"/>
  <c r="AN95" i="16"/>
  <c r="AN93" i="16"/>
  <c r="AN94" i="16" s="1"/>
  <c r="AM95" i="16"/>
  <c r="AT92" i="16"/>
  <c r="AT95" i="16"/>
  <c r="AL93" i="16"/>
  <c r="AL94" i="16" s="1"/>
  <c r="AK95" i="16"/>
  <c r="AJ92" i="16"/>
  <c r="AJ95" i="16"/>
  <c r="AI92" i="16"/>
  <c r="AI95" i="16"/>
  <c r="AP92" i="16"/>
  <c r="AP95" i="16"/>
  <c r="AV92" i="16"/>
  <c r="AV95" i="16"/>
  <c r="AG93" i="16"/>
  <c r="AG94" i="16" s="1"/>
  <c r="AF95" i="16"/>
  <c r="AU92" i="16"/>
  <c r="AU95" i="16"/>
  <c r="AL92" i="16"/>
  <c r="AL95" i="16"/>
  <c r="AL100" i="16"/>
  <c r="AL101" i="16" s="1"/>
  <c r="AO100" i="16"/>
  <c r="AO101" i="16" s="1"/>
  <c r="AU93" i="16"/>
  <c r="AU94" i="16" s="1"/>
  <c r="AW93" i="16"/>
  <c r="AW94" i="16" s="1"/>
  <c r="AH92" i="16"/>
  <c r="AT106" i="16"/>
  <c r="AJ64" i="16"/>
  <c r="AJ67" i="16"/>
  <c r="AU65" i="16"/>
  <c r="AU66" i="16" s="1"/>
  <c r="AT67" i="16"/>
  <c r="AI66" i="16"/>
  <c r="AM92" i="16"/>
  <c r="AH106" i="16"/>
  <c r="AG106" i="16"/>
  <c r="AL64" i="16"/>
  <c r="AL67" i="16"/>
  <c r="AJ65" i="16"/>
  <c r="AJ66" i="16" s="1"/>
  <c r="AI67" i="16"/>
  <c r="AV93" i="16"/>
  <c r="AV94" i="16" s="1"/>
  <c r="AS65" i="16"/>
  <c r="AS66" i="16" s="1"/>
  <c r="AR67" i="16"/>
  <c r="AT64" i="16"/>
  <c r="AM93" i="16"/>
  <c r="AM94" i="16" s="1"/>
  <c r="AS99" i="16"/>
  <c r="AK106" i="16"/>
  <c r="AR107" i="16"/>
  <c r="AR108" i="16" s="1"/>
  <c r="AF92" i="16"/>
  <c r="AR99" i="16"/>
  <c r="AR101" i="16"/>
  <c r="AW106" i="16"/>
  <c r="AS107" i="16"/>
  <c r="AS108" i="16" s="1"/>
  <c r="AW100" i="16"/>
  <c r="AW101" i="16" s="1"/>
  <c r="AJ93" i="16"/>
  <c r="AJ94" i="16" s="1"/>
  <c r="AR66" i="16"/>
  <c r="AT93" i="16"/>
  <c r="AT94" i="16" s="1"/>
  <c r="AR92" i="16"/>
  <c r="AG99" i="16"/>
  <c r="AW107" i="16"/>
  <c r="AW108" i="16" s="1"/>
  <c r="AO106" i="16"/>
  <c r="AV107" i="16"/>
  <c r="AV108" i="16" s="1"/>
  <c r="AR64" i="16"/>
  <c r="AH94" i="16"/>
  <c r="AQ92" i="16"/>
  <c r="AN107" i="16"/>
  <c r="AN108" i="16" s="1"/>
  <c r="AN106" i="16"/>
  <c r="AP94" i="16"/>
  <c r="AK93" i="16"/>
  <c r="AK94" i="16" s="1"/>
  <c r="AW99" i="16"/>
  <c r="AG100" i="16"/>
  <c r="AG101" i="16" s="1"/>
  <c r="AS106" i="16"/>
  <c r="AL66" i="16"/>
  <c r="AQ93" i="16"/>
  <c r="AQ94" i="16" s="1"/>
  <c r="AX94" i="16"/>
  <c r="AO99" i="16"/>
  <c r="AL106" i="16"/>
  <c r="AN101" i="16"/>
  <c r="AJ99" i="16"/>
  <c r="AM65" i="16"/>
  <c r="AM66" i="16" s="1"/>
  <c r="AT66" i="16"/>
  <c r="AK65" i="16"/>
  <c r="AK66" i="16" s="1"/>
  <c r="AK92" i="16"/>
  <c r="AO93" i="16"/>
  <c r="AO94" i="16" s="1"/>
  <c r="AP106" i="16"/>
  <c r="AG107" i="16"/>
  <c r="AG108" i="16" s="1"/>
  <c r="AJ106" i="16"/>
  <c r="AJ101" i="16"/>
  <c r="AV101" i="16"/>
  <c r="AJ108" i="16"/>
  <c r="K44" i="15"/>
  <c r="K43" i="15"/>
  <c r="BL71" i="5" l="1"/>
  <c r="BL46" i="5"/>
  <c r="BL68" i="5"/>
  <c r="BL44" i="5"/>
  <c r="BL76" i="5"/>
  <c r="BL52" i="5"/>
  <c r="BL43" i="5"/>
  <c r="BL60" i="5"/>
  <c r="BL49" i="5"/>
  <c r="BL79" i="5"/>
  <c r="BL63" i="5"/>
  <c r="BL55" i="5"/>
  <c r="AY44" i="15"/>
  <c r="AY43" i="15"/>
  <c r="BN3" i="5" l="1"/>
  <c r="BM4" i="5"/>
  <c r="BN4" i="5"/>
  <c r="BL4" i="5"/>
  <c r="BL3" i="5"/>
</calcChain>
</file>

<file path=xl/sharedStrings.xml><?xml version="1.0" encoding="utf-8"?>
<sst xmlns="http://schemas.openxmlformats.org/spreadsheetml/2006/main" count="3041" uniqueCount="99">
  <si>
    <t>ADMINISTRATION DATA</t>
  </si>
  <si>
    <t>Date</t>
  </si>
  <si>
    <t>Weight</t>
  </si>
  <si>
    <t>Tumor Volume</t>
  </si>
  <si>
    <t>Calc. Activity</t>
  </si>
  <si>
    <t>Tumor Flux</t>
  </si>
  <si>
    <t>CAGE</t>
  </si>
  <si>
    <t>MOUSE</t>
  </si>
  <si>
    <t>Unique Sample ID</t>
  </si>
  <si>
    <t>DAY:</t>
  </si>
  <si>
    <t>Avg:</t>
  </si>
  <si>
    <t>Group</t>
  </si>
  <si>
    <t>Std:</t>
  </si>
  <si>
    <r>
      <rPr>
        <b/>
        <vertAlign val="superscript"/>
        <sz val="10"/>
        <color theme="1"/>
        <rFont val="Times New Roman"/>
        <family val="1"/>
      </rPr>
      <t>131</t>
    </r>
    <r>
      <rPr>
        <b/>
        <sz val="10"/>
        <color theme="1"/>
        <rFont val="Times New Roman"/>
        <family val="1"/>
      </rPr>
      <t>I Activity</t>
    </r>
  </si>
  <si>
    <t>INOCULATION 
DATA</t>
  </si>
  <si>
    <t>DATE:</t>
  </si>
  <si>
    <t>Time</t>
  </si>
  <si>
    <t>Trial</t>
  </si>
  <si>
    <t xml:space="preserve">       BODY WEIGHT</t>
  </si>
  <si>
    <t xml:space="preserve">       TUMOR SIZE</t>
  </si>
  <si>
    <t>Total</t>
  </si>
  <si>
    <t>Theoretical</t>
  </si>
  <si>
    <t>Theoretical:</t>
  </si>
  <si>
    <t>Tumor Size</t>
  </si>
  <si>
    <t>Alive</t>
  </si>
  <si>
    <t>Excision Size</t>
  </si>
  <si>
    <t>Radiodose Escalation</t>
  </si>
  <si>
    <t>Length</t>
  </si>
  <si>
    <t>Width</t>
  </si>
  <si>
    <t>Inj. ELP Vol.</t>
  </si>
  <si>
    <t>Radio dose uCi/mg</t>
  </si>
  <si>
    <t>%Dose</t>
  </si>
  <si>
    <t>ELP Loading</t>
  </si>
  <si>
    <t>Count</t>
  </si>
  <si>
    <t>PBS Control</t>
  </si>
  <si>
    <t>CP-PTX Control</t>
  </si>
  <si>
    <t>Experimental Groups</t>
  </si>
  <si>
    <t>Avg</t>
  </si>
  <si>
    <t>StDev</t>
  </si>
  <si>
    <t xml:space="preserve">Body Weight </t>
  </si>
  <si>
    <t>Radioactivity</t>
  </si>
  <si>
    <t>Activity</t>
  </si>
  <si>
    <t xml:space="preserve">       WHOLE BODY RADIOACTIVITY</t>
  </si>
  <si>
    <r>
      <rPr>
        <b/>
        <sz val="11"/>
        <color theme="1"/>
        <rFont val="Times New Roman"/>
        <family val="1"/>
      </rPr>
      <t xml:space="preserve">Theor </t>
    </r>
    <r>
      <rPr>
        <b/>
        <sz val="11"/>
        <color theme="1"/>
        <rFont val="Mathematica1"/>
        <charset val="2"/>
      </rPr>
      <t>D:</t>
    </r>
  </si>
  <si>
    <r>
      <t xml:space="preserve">D2D </t>
    </r>
    <r>
      <rPr>
        <b/>
        <sz val="11"/>
        <color theme="1"/>
        <rFont val="Mathematica1"/>
        <charset val="2"/>
      </rPr>
      <t>D</t>
    </r>
    <r>
      <rPr>
        <b/>
        <sz val="11"/>
        <color theme="1"/>
        <rFont val="Times New Roman"/>
        <family val="1"/>
      </rPr>
      <t>:</t>
    </r>
  </si>
  <si>
    <t>Survival</t>
  </si>
  <si>
    <t xml:space="preserve">       SURVIVAL</t>
  </si>
  <si>
    <t>3.3 uCi Control</t>
  </si>
  <si>
    <t>3.3 uCi + CP-PTX</t>
  </si>
  <si>
    <t>6.6 uCi Control</t>
  </si>
  <si>
    <t>6.6 uCi + CP-PTX</t>
  </si>
  <si>
    <t>10.0 uCi Control</t>
  </si>
  <si>
    <t>10.0 uCi + CP-PTX</t>
  </si>
  <si>
    <t>Group 11</t>
  </si>
  <si>
    <t>Group 12</t>
  </si>
  <si>
    <t>Group 13</t>
  </si>
  <si>
    <t>Group 14</t>
  </si>
  <si>
    <t>Group 15</t>
  </si>
  <si>
    <t>Group 16</t>
  </si>
  <si>
    <r>
      <t>Tumor Volume (mm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</si>
  <si>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r>
      <t>Radiation Dose (uCi/mm</t>
    </r>
    <r>
      <rPr>
        <b/>
        <vertAlign val="superscript"/>
        <sz val="11"/>
        <color theme="1"/>
        <rFont val="Garamond"/>
        <family val="1"/>
      </rPr>
      <t>3</t>
    </r>
    <r>
      <rPr>
        <b/>
        <sz val="11"/>
        <color theme="1"/>
        <rFont val="Garamond"/>
        <family val="1"/>
      </rPr>
      <t>)</t>
    </r>
  </si>
  <si>
    <t>Body Weight
(g)</t>
  </si>
  <si>
    <t>List of Groups</t>
  </si>
  <si>
    <t>D2D Theor:</t>
  </si>
  <si>
    <t>Retention (Decay corrected)</t>
  </si>
  <si>
    <t>Surviving:</t>
  </si>
  <si>
    <t>Censored:</t>
  </si>
  <si>
    <t>Surviving</t>
  </si>
  <si>
    <t>Surv. Prob:</t>
  </si>
  <si>
    <t xml:space="preserve">       PERCENT CHANGE</t>
  </si>
  <si>
    <t>Sacrificed</t>
  </si>
  <si>
    <t xml:space="preserve">       PERCENT GROWTH</t>
  </si>
  <si>
    <t>Group 9</t>
  </si>
  <si>
    <t>Group 10</t>
  </si>
  <si>
    <t>BLISS Statistics</t>
  </si>
  <si>
    <t>I-ELP Labeling</t>
  </si>
  <si>
    <t>Radiodose uCi/mg</t>
  </si>
  <si>
    <t>CP-PTX Vol (uL)</t>
  </si>
  <si>
    <t>CP-PTX (mg/kg)</t>
  </si>
  <si>
    <t>PTX:Tumor (ug/mm3)</t>
  </si>
  <si>
    <t>CP-PTX Dose Escalation</t>
  </si>
  <si>
    <t>Excluded</t>
  </si>
  <si>
    <t>Metronomic Combotherapy</t>
  </si>
  <si>
    <t>12.5mg CP-PTX</t>
  </si>
  <si>
    <t>Metronomic CP-PTX</t>
  </si>
  <si>
    <t>50mg CP-PTX</t>
  </si>
  <si>
    <t>25mg Combotherapy</t>
  </si>
  <si>
    <t>12.5mg Combotherapy</t>
  </si>
  <si>
    <t>25mg CP-PTX</t>
  </si>
  <si>
    <t>50mg Combotherapy</t>
  </si>
  <si>
    <t>3.3uCi Radiodepot</t>
  </si>
  <si>
    <t>Avg(fu):</t>
  </si>
  <si>
    <r>
      <t>Avg(fu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):</t>
    </r>
  </si>
  <si>
    <t>Bliss StDev:</t>
  </si>
  <si>
    <t>Died</t>
  </si>
  <si>
    <t>(2x 25mg)</t>
  </si>
  <si>
    <t>CP-PTX Dose Escalation Trials</t>
  </si>
  <si>
    <r>
      <rPr>
        <b/>
        <vertAlign val="superscript"/>
        <sz val="18"/>
        <color theme="1"/>
        <rFont val="Garamond"/>
        <family val="1"/>
      </rPr>
      <t>131</t>
    </r>
    <r>
      <rPr>
        <b/>
        <sz val="18"/>
        <color theme="1"/>
        <rFont val="Garamond"/>
        <family val="1"/>
      </rPr>
      <t>I-ELP Radiodose Escalation Trial</t>
    </r>
  </si>
  <si>
    <r>
      <rPr>
        <b/>
        <vertAlign val="superscript"/>
        <sz val="20"/>
        <color theme="1"/>
        <rFont val="Times New Roman"/>
        <family val="1"/>
      </rPr>
      <t>131</t>
    </r>
    <r>
      <rPr>
        <b/>
        <sz val="20"/>
        <color theme="1"/>
        <rFont val="Times New Roman"/>
        <family val="1"/>
      </rPr>
      <t>I-ELP Radiodose Escalation Trial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</si>
</sst>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E+00"/>
    <numFmt numFmtId="165" formatCode="0.0"/>
    <numFmt numFmtId="166" formatCode="[$-409]d\-mmm;@"/>
    <numFmt numFmtId="167" formatCode="0.000"/>
    <numFmt numFmtId="168" formatCode="0.0%"/>
    <numFmt numFmtId="169" formatCode="[$-409]h:mm\ AM/PM;@"/>
    <numFmt numFmtId="170" formatCode="0.00000"/>
  </numFmts>
  <fonts count="30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3"/>
      <name val="Times New Roman"/>
      <family val="1"/>
    </font>
    <font>
      <sz val="10"/>
      <color theme="4" tint="-0.249977111117893"/>
      <name val="Times New Roman"/>
      <family val="1"/>
    </font>
    <font>
      <b/>
      <sz val="10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6"/>
      <color theme="4" tint="-0.249977111117893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vertAlign val="superscript"/>
      <sz val="2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C00000"/>
      <name val="Times New Roman"/>
      <family val="1"/>
    </font>
    <font>
      <b/>
      <sz val="11"/>
      <color theme="1"/>
      <name val="Mathematica1"/>
      <charset val="2"/>
    </font>
    <font>
      <sz val="11"/>
      <color theme="1"/>
      <name val="Garamond"/>
      <family val="1"/>
    </font>
    <font>
      <b/>
      <u/>
      <sz val="11"/>
      <color theme="1"/>
      <name val="Garamond"/>
      <family val="1"/>
    </font>
    <font>
      <b/>
      <sz val="18"/>
      <color theme="1"/>
      <name val="Garamond"/>
      <family val="1"/>
    </font>
    <font>
      <b/>
      <sz val="11"/>
      <color theme="1"/>
      <name val="Garamond"/>
      <family val="1"/>
    </font>
    <font>
      <sz val="10"/>
      <color theme="1"/>
      <name val="Garamond"/>
      <family val="1"/>
    </font>
    <font>
      <i/>
      <sz val="11"/>
      <color theme="1"/>
      <name val="Garamond"/>
      <family val="1"/>
    </font>
    <font>
      <b/>
      <sz val="12"/>
      <color rgb="FF008000"/>
      <name val="Times New Roman"/>
      <family val="1"/>
    </font>
    <font>
      <b/>
      <sz val="12"/>
      <color theme="7" tint="-0.249977111117893"/>
      <name val="Times New Roman"/>
      <family val="1"/>
    </font>
    <font>
      <b/>
      <vertAlign val="superscript"/>
      <sz val="11"/>
      <color theme="1"/>
      <name val="Garamond"/>
      <family val="1"/>
    </font>
    <font>
      <sz val="8"/>
      <name val="Calibri"/>
      <family val="2"/>
      <scheme val="minor"/>
    </font>
    <font>
      <b/>
      <u/>
      <sz val="12"/>
      <color theme="1"/>
      <name val="Times New Roman"/>
      <family val="1"/>
    </font>
    <font>
      <b/>
      <vertAlign val="superscript"/>
      <sz val="18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indexed="64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theme="0" tint="-0.24994659260841701"/>
      </bottom>
      <diagonal/>
    </border>
    <border>
      <left style="thin">
        <color indexed="64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 style="thin">
        <color indexed="64"/>
      </right>
      <top style="dott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90">
    <xf numFmtId="0" fontId="0" fillId="0" borderId="0" xfId="0"/>
    <xf numFmtId="0" fontId="1" fillId="0" borderId="6" xfId="0" applyFont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14" fontId="12" fillId="0" borderId="0" xfId="0" applyNumberFormat="1" applyFont="1" applyProtection="1">
      <protection locked="0"/>
    </xf>
    <xf numFmtId="165" fontId="12" fillId="0" borderId="0" xfId="0" applyNumberFormat="1" applyFont="1" applyProtection="1">
      <protection locked="0"/>
    </xf>
    <xf numFmtId="164" fontId="12" fillId="0" borderId="0" xfId="0" applyNumberFormat="1" applyFont="1" applyProtection="1"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2" fillId="0" borderId="10" xfId="0" applyFont="1" applyBorder="1" applyProtection="1">
      <protection locked="0"/>
    </xf>
    <xf numFmtId="14" fontId="2" fillId="0" borderId="2" xfId="0" applyNumberFormat="1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164" fontId="2" fillId="0" borderId="0" xfId="0" applyNumberFormat="1" applyFont="1" applyBorder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1" xfId="0" applyNumberFormat="1" applyFont="1" applyBorder="1" applyProtection="1">
      <protection locked="0"/>
    </xf>
    <xf numFmtId="165" fontId="1" fillId="0" borderId="4" xfId="0" applyNumberFormat="1" applyFont="1" applyBorder="1" applyProtection="1">
      <protection locked="0"/>
    </xf>
    <xf numFmtId="165" fontId="1" fillId="0" borderId="12" xfId="0" applyNumberFormat="1" applyFon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14" xfId="0" applyFont="1" applyBorder="1" applyProtection="1">
      <protection locked="0"/>
    </xf>
    <xf numFmtId="165" fontId="1" fillId="0" borderId="6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6" xfId="0" applyFont="1" applyBorder="1" applyProtection="1">
      <protection locked="0"/>
    </xf>
    <xf numFmtId="14" fontId="1" fillId="0" borderId="15" xfId="0" applyNumberFormat="1" applyFont="1" applyBorder="1" applyProtection="1">
      <protection locked="0"/>
    </xf>
    <xf numFmtId="165" fontId="1" fillId="0" borderId="8" xfId="0" applyNumberFormat="1" applyFont="1" applyBorder="1" applyProtection="1">
      <protection locked="0"/>
    </xf>
    <xf numFmtId="165" fontId="1" fillId="0" borderId="16" xfId="0" applyNumberFormat="1" applyFont="1" applyBorder="1" applyProtection="1">
      <protection locked="0"/>
    </xf>
    <xf numFmtId="164" fontId="1" fillId="0" borderId="8" xfId="0" applyNumberFormat="1" applyFont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65" fontId="1" fillId="0" borderId="0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Protection="1">
      <protection locked="0"/>
    </xf>
    <xf numFmtId="0" fontId="7" fillId="0" borderId="2" xfId="0" applyFont="1" applyBorder="1" applyAlignment="1" applyProtection="1">
      <protection locked="0"/>
    </xf>
    <xf numFmtId="0" fontId="4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65" fontId="1" fillId="0" borderId="0" xfId="0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166" fontId="4" fillId="0" borderId="0" xfId="0" applyNumberFormat="1" applyFont="1" applyBorder="1" applyAlignment="1" applyProtection="1">
      <alignment horizontal="left"/>
      <protection locked="0"/>
    </xf>
    <xf numFmtId="166" fontId="4" fillId="0" borderId="0" xfId="0" applyNumberFormat="1" applyFont="1" applyBorder="1" applyAlignment="1" applyProtection="1">
      <alignment horizontal="center"/>
      <protection locked="0"/>
    </xf>
    <xf numFmtId="166" fontId="6" fillId="0" borderId="0" xfId="0" applyNumberFormat="1" applyFont="1" applyBorder="1" applyProtection="1">
      <protection locked="0"/>
    </xf>
    <xf numFmtId="166" fontId="4" fillId="0" borderId="10" xfId="0" applyNumberFormat="1" applyFont="1" applyBorder="1" applyProtection="1">
      <protection locked="0"/>
    </xf>
    <xf numFmtId="166" fontId="2" fillId="2" borderId="5" xfId="0" applyNumberFormat="1" applyFont="1" applyFill="1" applyBorder="1" applyAlignment="1" applyProtection="1">
      <alignment horizontal="center"/>
      <protection locked="0"/>
    </xf>
    <xf numFmtId="166" fontId="2" fillId="2" borderId="11" xfId="0" applyNumberFormat="1" applyFont="1" applyFill="1" applyBorder="1" applyAlignment="1" applyProtection="1">
      <alignment horizontal="center"/>
      <protection locked="0"/>
    </xf>
    <xf numFmtId="166" fontId="4" fillId="0" borderId="2" xfId="0" applyNumberFormat="1" applyFont="1" applyBorder="1" applyProtection="1">
      <protection locked="0"/>
    </xf>
    <xf numFmtId="166" fontId="4" fillId="0" borderId="0" xfId="0" applyNumberFormat="1" applyFont="1" applyProtection="1">
      <protection locked="0"/>
    </xf>
    <xf numFmtId="165" fontId="12" fillId="0" borderId="0" xfId="0" applyNumberFormat="1" applyFont="1" applyBorder="1" applyProtection="1">
      <protection locked="0"/>
    </xf>
    <xf numFmtId="167" fontId="12" fillId="0" borderId="0" xfId="0" applyNumberFormat="1" applyFont="1" applyBorder="1" applyProtection="1">
      <protection locked="0"/>
    </xf>
    <xf numFmtId="167" fontId="1" fillId="0" borderId="0" xfId="0" applyNumberFormat="1" applyFont="1" applyBorder="1" applyProtection="1">
      <protection locked="0"/>
    </xf>
    <xf numFmtId="9" fontId="12" fillId="0" borderId="0" xfId="1" applyFont="1" applyBorder="1" applyAlignment="1" applyProtection="1">
      <alignment horizontal="center"/>
      <protection locked="0"/>
    </xf>
    <xf numFmtId="9" fontId="1" fillId="0" borderId="0" xfId="1" applyFont="1" applyBorder="1" applyAlignment="1" applyProtection="1">
      <alignment horizontal="center"/>
      <protection locked="0"/>
    </xf>
    <xf numFmtId="167" fontId="2" fillId="0" borderId="1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Protection="1">
      <protection locked="0"/>
    </xf>
    <xf numFmtId="14" fontId="1" fillId="0" borderId="0" xfId="0" applyNumberFormat="1" applyFont="1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168" fontId="1" fillId="0" borderId="4" xfId="1" applyNumberFormat="1" applyFont="1" applyBorder="1" applyAlignment="1" applyProtection="1">
      <alignment horizontal="center"/>
      <protection locked="0"/>
    </xf>
    <xf numFmtId="168" fontId="1" fillId="0" borderId="20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Alignment="1" applyProtection="1">
      <alignment horizontal="center"/>
      <protection locked="0"/>
    </xf>
    <xf numFmtId="168" fontId="1" fillId="0" borderId="2" xfId="1" applyNumberFormat="1" applyFont="1" applyBorder="1" applyProtection="1">
      <protection locked="0"/>
    </xf>
    <xf numFmtId="168" fontId="1" fillId="0" borderId="18" xfId="1" applyNumberFormat="1" applyFont="1" applyBorder="1" applyAlignment="1" applyProtection="1">
      <alignment horizontal="center"/>
      <protection locked="0"/>
    </xf>
    <xf numFmtId="165" fontId="1" fillId="0" borderId="4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165" fontId="1" fillId="0" borderId="19" xfId="0" applyNumberFormat="1" applyFont="1" applyBorder="1" applyAlignment="1" applyProtection="1">
      <alignment horizontal="center"/>
      <protection locked="0"/>
    </xf>
    <xf numFmtId="165" fontId="1" fillId="0" borderId="20" xfId="0" applyNumberFormat="1" applyFont="1" applyBorder="1" applyAlignment="1" applyProtection="1">
      <alignment horizontal="center"/>
      <protection locked="0"/>
    </xf>
    <xf numFmtId="165" fontId="1" fillId="0" borderId="0" xfId="0" applyNumberFormat="1" applyFont="1" applyBorder="1" applyAlignment="1" applyProtection="1">
      <alignment horizontal="center"/>
      <protection locked="0"/>
    </xf>
    <xf numFmtId="168" fontId="1" fillId="0" borderId="6" xfId="1" applyNumberFormat="1" applyFont="1" applyBorder="1" applyAlignment="1" applyProtection="1">
      <alignment horizontal="center"/>
      <protection locked="0"/>
    </xf>
    <xf numFmtId="165" fontId="1" fillId="0" borderId="6" xfId="0" applyNumberFormat="1" applyFont="1" applyBorder="1" applyAlignment="1" applyProtection="1">
      <alignment horizontal="center"/>
      <protection locked="0"/>
    </xf>
    <xf numFmtId="165" fontId="1" fillId="0" borderId="8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14" fontId="1" fillId="0" borderId="0" xfId="0" applyNumberFormat="1" applyFont="1" applyBorder="1" applyAlignment="1" applyProtection="1">
      <protection locked="0"/>
    </xf>
    <xf numFmtId="165" fontId="1" fillId="0" borderId="0" xfId="0" applyNumberFormat="1" applyFont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Protection="1">
      <protection locked="0"/>
    </xf>
    <xf numFmtId="0" fontId="8" fillId="0" borderId="8" xfId="0" applyFont="1" applyBorder="1" applyProtection="1"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165" fontId="1" fillId="0" borderId="15" xfId="0" applyNumberFormat="1" applyFont="1" applyBorder="1" applyAlignment="1" applyProtection="1">
      <alignment horizontal="center"/>
      <protection locked="0"/>
    </xf>
    <xf numFmtId="0" fontId="3" fillId="0" borderId="10" xfId="0" applyFont="1" applyBorder="1" applyProtection="1"/>
    <xf numFmtId="0" fontId="3" fillId="0" borderId="0" xfId="0" applyFont="1"/>
    <xf numFmtId="0" fontId="3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166" fontId="16" fillId="0" borderId="0" xfId="0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Fill="1" applyBorder="1" applyProtection="1">
      <protection locked="0"/>
    </xf>
    <xf numFmtId="165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168" fontId="3" fillId="0" borderId="12" xfId="1" applyNumberFormat="1" applyFont="1" applyBorder="1" applyAlignment="1" applyProtection="1">
      <alignment horizontal="center"/>
      <protection locked="0"/>
    </xf>
    <xf numFmtId="168" fontId="3" fillId="0" borderId="21" xfId="1" applyNumberFormat="1" applyFont="1" applyBorder="1" applyAlignment="1" applyProtection="1">
      <alignment horizontal="center"/>
      <protection locked="0"/>
    </xf>
    <xf numFmtId="168" fontId="3" fillId="0" borderId="10" xfId="1" applyNumberFormat="1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right"/>
      <protection locked="0"/>
    </xf>
    <xf numFmtId="167" fontId="1" fillId="0" borderId="4" xfId="0" applyNumberFormat="1" applyFont="1" applyBorder="1" applyProtection="1">
      <protection locked="0"/>
    </xf>
    <xf numFmtId="167" fontId="2" fillId="0" borderId="0" xfId="0" applyNumberFormat="1" applyFont="1" applyBorder="1" applyAlignment="1" applyProtection="1">
      <alignment horizontal="left"/>
      <protection locked="0"/>
    </xf>
    <xf numFmtId="165" fontId="1" fillId="0" borderId="0" xfId="0" applyNumberFormat="1" applyFont="1" applyBorder="1" applyAlignment="1" applyProtection="1">
      <alignment vertical="top"/>
      <protection locked="0"/>
    </xf>
    <xf numFmtId="0" fontId="1" fillId="0" borderId="17" xfId="0" applyFont="1" applyFill="1" applyBorder="1" applyAlignment="1" applyProtection="1">
      <alignment horizontal="left"/>
      <protection locked="0"/>
    </xf>
    <xf numFmtId="0" fontId="8" fillId="0" borderId="17" xfId="0" applyFont="1" applyFill="1" applyBorder="1" applyProtection="1">
      <protection locked="0"/>
    </xf>
    <xf numFmtId="14" fontId="1" fillId="0" borderId="17" xfId="0" applyNumberFormat="1" applyFont="1" applyFill="1" applyBorder="1" applyProtection="1">
      <protection locked="0"/>
    </xf>
    <xf numFmtId="165" fontId="1" fillId="0" borderId="17" xfId="0" applyNumberFormat="1" applyFont="1" applyFill="1" applyBorder="1" applyProtection="1">
      <protection locked="0"/>
    </xf>
    <xf numFmtId="164" fontId="1" fillId="0" borderId="17" xfId="0" applyNumberFormat="1" applyFont="1" applyFill="1" applyBorder="1" applyProtection="1">
      <protection locked="0"/>
    </xf>
    <xf numFmtId="9" fontId="1" fillId="0" borderId="17" xfId="1" applyFont="1" applyFill="1" applyBorder="1" applyAlignment="1" applyProtection="1">
      <alignment horizontal="center"/>
      <protection locked="0"/>
    </xf>
    <xf numFmtId="167" fontId="1" fillId="0" borderId="17" xfId="0" applyNumberFormat="1" applyFont="1" applyFill="1" applyBorder="1" applyProtection="1">
      <protection locked="0"/>
    </xf>
    <xf numFmtId="167" fontId="1" fillId="0" borderId="1" xfId="0" applyNumberFormat="1" applyFont="1" applyBorder="1" applyProtection="1">
      <protection locked="0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center"/>
    </xf>
    <xf numFmtId="0" fontId="21" fillId="0" borderId="0" xfId="0" applyFont="1"/>
    <xf numFmtId="0" fontId="23" fillId="0" borderId="0" xfId="0" applyFont="1" applyAlignment="1">
      <alignment horizontal="center"/>
    </xf>
    <xf numFmtId="1" fontId="2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165" fontId="1" fillId="2" borderId="5" xfId="0" applyNumberFormat="1" applyFont="1" applyFill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Protection="1">
      <protection locked="0"/>
    </xf>
    <xf numFmtId="14" fontId="1" fillId="0" borderId="0" xfId="0" applyNumberFormat="1" applyFont="1" applyFill="1" applyBorder="1" applyProtection="1">
      <protection locked="0"/>
    </xf>
    <xf numFmtId="165" fontId="1" fillId="0" borderId="0" xfId="0" applyNumberFormat="1" applyFont="1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horizontal="right"/>
      <protection locked="0"/>
    </xf>
    <xf numFmtId="168" fontId="1" fillId="0" borderId="0" xfId="1" applyNumberFormat="1" applyFont="1" applyBorder="1" applyProtection="1">
      <protection locked="0"/>
    </xf>
    <xf numFmtId="168" fontId="17" fillId="0" borderId="10" xfId="1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right"/>
      <protection locked="0"/>
    </xf>
    <xf numFmtId="0" fontId="3" fillId="0" borderId="21" xfId="0" applyFont="1" applyBorder="1" applyAlignment="1" applyProtection="1">
      <alignment horizontal="right"/>
      <protection locked="0"/>
    </xf>
    <xf numFmtId="168" fontId="3" fillId="0" borderId="12" xfId="1" applyNumberFormat="1" applyFont="1" applyBorder="1" applyAlignment="1" applyProtection="1">
      <alignment horizontal="right"/>
      <protection locked="0"/>
    </xf>
    <xf numFmtId="168" fontId="3" fillId="0" borderId="21" xfId="1" applyNumberFormat="1" applyFont="1" applyBorder="1" applyAlignment="1" applyProtection="1">
      <alignment horizontal="right"/>
      <protection locked="0"/>
    </xf>
    <xf numFmtId="0" fontId="25" fillId="0" borderId="0" xfId="0" applyFont="1" applyBorder="1" applyAlignment="1" applyProtection="1">
      <protection locked="0"/>
    </xf>
    <xf numFmtId="2" fontId="22" fillId="0" borderId="0" xfId="0" applyNumberFormat="1" applyFont="1" applyAlignment="1">
      <alignment horizontal="center"/>
    </xf>
    <xf numFmtId="2" fontId="2" fillId="0" borderId="0" xfId="1" applyNumberFormat="1" applyFont="1" applyBorder="1" applyAlignment="1" applyProtection="1">
      <alignment horizontal="left"/>
      <protection locked="0"/>
    </xf>
    <xf numFmtId="2" fontId="1" fillId="0" borderId="4" xfId="1" applyNumberFormat="1" applyFont="1" applyBorder="1" applyAlignment="1" applyProtection="1">
      <alignment horizontal="center"/>
      <protection locked="0"/>
    </xf>
    <xf numFmtId="2" fontId="1" fillId="0" borderId="1" xfId="1" applyNumberFormat="1" applyFont="1" applyBorder="1" applyAlignment="1" applyProtection="1">
      <alignment horizontal="center"/>
      <protection locked="0"/>
    </xf>
    <xf numFmtId="168" fontId="1" fillId="0" borderId="4" xfId="1" applyNumberFormat="1" applyFont="1" applyBorder="1" applyProtection="1">
      <protection locked="0"/>
    </xf>
    <xf numFmtId="168" fontId="1" fillId="0" borderId="1" xfId="1" applyNumberFormat="1" applyFont="1" applyBorder="1" applyProtection="1">
      <protection locked="0"/>
    </xf>
    <xf numFmtId="169" fontId="12" fillId="0" borderId="0" xfId="0" applyNumberFormat="1" applyFont="1" applyProtection="1">
      <protection locked="0"/>
    </xf>
    <xf numFmtId="169" fontId="2" fillId="0" borderId="0" xfId="0" applyNumberFormat="1" applyFont="1" applyBorder="1" applyProtection="1">
      <protection locked="0"/>
    </xf>
    <xf numFmtId="169" fontId="1" fillId="0" borderId="4" xfId="0" applyNumberFormat="1" applyFont="1" applyBorder="1" applyProtection="1">
      <protection locked="0"/>
    </xf>
    <xf numFmtId="169" fontId="1" fillId="0" borderId="6" xfId="0" applyNumberFormat="1" applyFont="1" applyBorder="1" applyProtection="1">
      <protection locked="0"/>
    </xf>
    <xf numFmtId="169" fontId="1" fillId="0" borderId="8" xfId="0" applyNumberFormat="1" applyFont="1" applyBorder="1" applyProtection="1">
      <protection locked="0"/>
    </xf>
    <xf numFmtId="169" fontId="1" fillId="0" borderId="17" xfId="0" applyNumberFormat="1" applyFont="1" applyFill="1" applyBorder="1" applyProtection="1">
      <protection locked="0"/>
    </xf>
    <xf numFmtId="169" fontId="1" fillId="0" borderId="0" xfId="0" applyNumberFormat="1" applyFont="1" applyProtection="1"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19" fillId="0" borderId="0" xfId="0" applyFont="1" applyAlignment="1">
      <alignment horizontal="center"/>
    </xf>
    <xf numFmtId="168" fontId="1" fillId="0" borderId="0" xfId="1" applyNumberFormat="1" applyFont="1" applyFill="1" applyBorder="1" applyAlignment="1" applyProtection="1">
      <alignment horizontal="center"/>
      <protection locked="0"/>
    </xf>
    <xf numFmtId="168" fontId="1" fillId="0" borderId="12" xfId="1" applyNumberFormat="1" applyFont="1" applyBorder="1" applyAlignment="1" applyProtection="1">
      <alignment horizontal="center"/>
      <protection locked="0"/>
    </xf>
    <xf numFmtId="168" fontId="1" fillId="0" borderId="19" xfId="1" applyNumberFormat="1" applyFont="1" applyBorder="1" applyAlignment="1" applyProtection="1">
      <alignment horizontal="center"/>
      <protection locked="0"/>
    </xf>
    <xf numFmtId="168" fontId="1" fillId="0" borderId="21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Protection="1">
      <protection locked="0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2" fontId="22" fillId="0" borderId="10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2" fontId="22" fillId="0" borderId="2" xfId="0" applyNumberFormat="1" applyFont="1" applyBorder="1" applyAlignment="1">
      <alignment horizontal="center"/>
    </xf>
    <xf numFmtId="166" fontId="2" fillId="2" borderId="5" xfId="0" applyNumberFormat="1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2" fontId="1" fillId="0" borderId="0" xfId="1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Border="1" applyAlignment="1" applyProtection="1">
      <alignment horizontal="center" vertical="top"/>
      <protection locked="0"/>
    </xf>
    <xf numFmtId="168" fontId="3" fillId="0" borderId="0" xfId="1" applyNumberFormat="1" applyFont="1" applyBorder="1" applyAlignment="1" applyProtection="1">
      <alignment horizontal="center"/>
      <protection locked="0"/>
    </xf>
    <xf numFmtId="168" fontId="1" fillId="0" borderId="0" xfId="1" applyNumberFormat="1" applyFont="1" applyBorder="1" applyAlignment="1" applyProtection="1">
      <alignment horizontal="center"/>
      <protection locked="0"/>
    </xf>
    <xf numFmtId="168" fontId="18" fillId="0" borderId="0" xfId="0" applyNumberFormat="1" applyFont="1"/>
    <xf numFmtId="168" fontId="1" fillId="0" borderId="0" xfId="0" applyNumberFormat="1" applyFont="1" applyAlignment="1" applyProtection="1">
      <alignment horizontal="center"/>
      <protection locked="0"/>
    </xf>
    <xf numFmtId="168" fontId="8" fillId="0" borderId="0" xfId="0" applyNumberFormat="1" applyFont="1" applyProtection="1">
      <protection locked="0"/>
    </xf>
    <xf numFmtId="168" fontId="21" fillId="0" borderId="0" xfId="0" applyNumberFormat="1" applyFont="1"/>
    <xf numFmtId="168" fontId="1" fillId="0" borderId="0" xfId="0" applyNumberFormat="1" applyFont="1" applyProtection="1">
      <protection locked="0"/>
    </xf>
    <xf numFmtId="168" fontId="3" fillId="0" borderId="0" xfId="0" applyNumberFormat="1" applyFont="1"/>
    <xf numFmtId="168" fontId="1" fillId="0" borderId="0" xfId="0" applyNumberFormat="1" applyFont="1" applyBorder="1" applyAlignment="1" applyProtection="1">
      <alignment vertical="top"/>
      <protection locked="0"/>
    </xf>
    <xf numFmtId="168" fontId="1" fillId="0" borderId="0" xfId="0" applyNumberFormat="1" applyFont="1" applyBorder="1" applyAlignment="1" applyProtection="1">
      <alignment horizontal="center" vertical="top"/>
      <protection locked="0"/>
    </xf>
    <xf numFmtId="168" fontId="3" fillId="0" borderId="0" xfId="0" applyNumberFormat="1" applyFont="1" applyBorder="1" applyAlignment="1" applyProtection="1">
      <alignment horizontal="center"/>
      <protection locked="0"/>
    </xf>
    <xf numFmtId="168" fontId="1" fillId="0" borderId="0" xfId="0" applyNumberFormat="1" applyFont="1" applyBorder="1" applyAlignment="1" applyProtection="1">
      <alignment horizontal="center"/>
      <protection locked="0"/>
    </xf>
    <xf numFmtId="170" fontId="1" fillId="0" borderId="0" xfId="1" applyNumberFormat="1" applyFont="1" applyBorder="1" applyAlignment="1" applyProtection="1">
      <alignment horizontal="center"/>
      <protection locked="0"/>
    </xf>
    <xf numFmtId="170" fontId="18" fillId="0" borderId="0" xfId="0" applyNumberFormat="1" applyFont="1"/>
    <xf numFmtId="170" fontId="1" fillId="0" borderId="0" xfId="0" applyNumberFormat="1" applyFont="1" applyAlignment="1" applyProtection="1">
      <alignment horizontal="center"/>
      <protection locked="0"/>
    </xf>
    <xf numFmtId="170" fontId="8" fillId="0" borderId="0" xfId="0" applyNumberFormat="1" applyFont="1" applyProtection="1">
      <protection locked="0"/>
    </xf>
    <xf numFmtId="170" fontId="21" fillId="0" borderId="0" xfId="0" applyNumberFormat="1" applyFont="1"/>
    <xf numFmtId="170" fontId="1" fillId="0" borderId="0" xfId="0" applyNumberFormat="1" applyFont="1" applyProtection="1">
      <protection locked="0"/>
    </xf>
    <xf numFmtId="170" fontId="3" fillId="0" borderId="0" xfId="0" applyNumberFormat="1" applyFont="1"/>
    <xf numFmtId="170" fontId="1" fillId="0" borderId="0" xfId="0" applyNumberFormat="1" applyFont="1" applyBorder="1" applyAlignment="1" applyProtection="1">
      <alignment vertical="top"/>
      <protection locked="0"/>
    </xf>
    <xf numFmtId="170" fontId="1" fillId="0" borderId="0" xfId="0" applyNumberFormat="1" applyFont="1" applyBorder="1" applyAlignment="1" applyProtection="1">
      <alignment horizontal="center" vertical="top"/>
      <protection locked="0"/>
    </xf>
    <xf numFmtId="170" fontId="3" fillId="0" borderId="0" xfId="0" applyNumberFormat="1" applyFont="1" applyBorder="1" applyAlignment="1" applyProtection="1">
      <alignment horizontal="center"/>
      <protection locked="0"/>
    </xf>
    <xf numFmtId="170" fontId="1" fillId="0" borderId="0" xfId="0" applyNumberFormat="1" applyFont="1" applyBorder="1" applyAlignment="1" applyProtection="1">
      <alignment horizontal="center"/>
      <protection locked="0"/>
    </xf>
    <xf numFmtId="170" fontId="3" fillId="0" borderId="0" xfId="1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0" fontId="1" fillId="0" borderId="0" xfId="0" applyNumberFormat="1" applyFont="1" applyProtection="1">
      <protection locked="0"/>
    </xf>
    <xf numFmtId="10" fontId="1" fillId="0" borderId="0" xfId="1" applyNumberFormat="1" applyFont="1" applyProtection="1"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19" fillId="0" borderId="0" xfId="0" applyFont="1" applyAlignment="1">
      <alignment horizontal="center"/>
    </xf>
    <xf numFmtId="167" fontId="12" fillId="0" borderId="0" xfId="0" applyNumberFormat="1" applyFont="1" applyProtection="1">
      <protection locked="0"/>
    </xf>
    <xf numFmtId="9" fontId="12" fillId="0" borderId="0" xfId="1" applyFont="1" applyBorder="1" applyAlignment="1" applyProtection="1">
      <alignment horizontal="right"/>
      <protection locked="0"/>
    </xf>
    <xf numFmtId="165" fontId="12" fillId="0" borderId="0" xfId="1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10" xfId="0" applyFont="1" applyBorder="1" applyProtection="1">
      <protection locked="0"/>
    </xf>
    <xf numFmtId="0" fontId="7" fillId="0" borderId="2" xfId="0" applyFont="1" applyBorder="1" applyProtection="1">
      <protection locked="0"/>
    </xf>
    <xf numFmtId="166" fontId="4" fillId="0" borderId="0" xfId="0" applyNumberFormat="1" applyFont="1" applyAlignment="1" applyProtection="1">
      <alignment horizontal="left"/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66" fontId="6" fillId="0" borderId="0" xfId="0" applyNumberFormat="1" applyFont="1" applyProtection="1">
      <protection locked="0"/>
    </xf>
    <xf numFmtId="166" fontId="16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165" fontId="2" fillId="0" borderId="0" xfId="0" applyNumberFormat="1" applyFont="1" applyProtection="1">
      <protection locked="0"/>
    </xf>
    <xf numFmtId="169" fontId="2" fillId="0" borderId="0" xfId="0" applyNumberFormat="1" applyFont="1" applyProtection="1">
      <protection locked="0"/>
    </xf>
    <xf numFmtId="167" fontId="2" fillId="0" borderId="0" xfId="0" applyNumberFormat="1" applyFont="1" applyAlignment="1" applyProtection="1">
      <alignment horizontal="left"/>
      <protection locked="0"/>
    </xf>
    <xf numFmtId="165" fontId="2" fillId="0" borderId="0" xfId="1" applyNumberFormat="1" applyFont="1" applyBorder="1" applyAlignment="1" applyProtection="1">
      <alignment horizontal="left"/>
      <protection locked="0"/>
    </xf>
    <xf numFmtId="2" fontId="1" fillId="0" borderId="4" xfId="1" applyNumberFormat="1" applyFont="1" applyBorder="1" applyAlignment="1" applyProtection="1">
      <alignment horizontal="right"/>
      <protection locked="0"/>
    </xf>
    <xf numFmtId="165" fontId="1" fillId="0" borderId="4" xfId="1" applyNumberFormat="1" applyFont="1" applyBorder="1" applyAlignment="1" applyProtection="1">
      <alignment horizontal="right"/>
      <protection locked="0"/>
    </xf>
    <xf numFmtId="167" fontId="1" fillId="0" borderId="4" xfId="1" applyNumberFormat="1" applyFont="1" applyBorder="1" applyAlignment="1" applyProtection="1">
      <alignment horizontal="right"/>
      <protection locked="0"/>
    </xf>
    <xf numFmtId="165" fontId="1" fillId="0" borderId="0" xfId="1" applyNumberFormat="1" applyFont="1" applyBorder="1" applyAlignment="1" applyProtection="1">
      <alignment horizontal="right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8" fillId="0" borderId="17" xfId="0" applyFont="1" applyBorder="1" applyProtection="1">
      <protection locked="0"/>
    </xf>
    <xf numFmtId="0" fontId="1" fillId="0" borderId="17" xfId="0" applyFont="1" applyBorder="1" applyProtection="1">
      <protection locked="0"/>
    </xf>
    <xf numFmtId="14" fontId="1" fillId="0" borderId="17" xfId="0" applyNumberFormat="1" applyFont="1" applyBorder="1" applyProtection="1">
      <protection locked="0"/>
    </xf>
    <xf numFmtId="165" fontId="1" fillId="0" borderId="17" xfId="0" applyNumberFormat="1" applyFont="1" applyBorder="1" applyProtection="1">
      <protection locked="0"/>
    </xf>
    <xf numFmtId="169" fontId="1" fillId="0" borderId="17" xfId="0" applyNumberFormat="1" applyFont="1" applyBorder="1" applyProtection="1">
      <protection locked="0"/>
    </xf>
    <xf numFmtId="164" fontId="1" fillId="0" borderId="17" xfId="0" applyNumberFormat="1" applyFont="1" applyBorder="1" applyProtection="1">
      <protection locked="0"/>
    </xf>
    <xf numFmtId="167" fontId="1" fillId="0" borderId="17" xfId="0" applyNumberFormat="1" applyFont="1" applyBorder="1" applyProtection="1">
      <protection locked="0"/>
    </xf>
    <xf numFmtId="168" fontId="1" fillId="0" borderId="17" xfId="1" applyNumberFormat="1" applyFont="1" applyFill="1" applyBorder="1" applyProtection="1">
      <protection locked="0"/>
    </xf>
    <xf numFmtId="9" fontId="1" fillId="0" borderId="17" xfId="1" applyFont="1" applyFill="1" applyBorder="1" applyAlignment="1" applyProtection="1">
      <alignment horizontal="right"/>
      <protection locked="0"/>
    </xf>
    <xf numFmtId="165" fontId="1" fillId="0" borderId="17" xfId="1" applyNumberFormat="1" applyFont="1" applyFill="1" applyBorder="1" applyAlignment="1" applyProtection="1">
      <alignment horizontal="right"/>
      <protection locked="0"/>
    </xf>
    <xf numFmtId="165" fontId="1" fillId="0" borderId="17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0" fontId="3" fillId="0" borderId="10" xfId="0" applyFont="1" applyBorder="1"/>
    <xf numFmtId="0" fontId="28" fillId="0" borderId="0" xfId="0" applyFont="1" applyAlignment="1" applyProtection="1">
      <alignment horizontal="right"/>
      <protection locked="0"/>
    </xf>
    <xf numFmtId="165" fontId="1" fillId="0" borderId="0" xfId="0" applyNumberFormat="1" applyFont="1" applyAlignment="1" applyProtection="1">
      <alignment vertical="top"/>
      <protection locked="0"/>
    </xf>
    <xf numFmtId="168" fontId="1" fillId="0" borderId="0" xfId="1" applyNumberFormat="1" applyFont="1" applyBorder="1" applyAlignment="1" applyProtection="1">
      <alignment vertical="top"/>
      <protection locked="0"/>
    </xf>
    <xf numFmtId="2" fontId="1" fillId="0" borderId="0" xfId="0" applyNumberFormat="1" applyFont="1" applyAlignment="1" applyProtection="1">
      <alignment horizontal="right" vertical="top"/>
      <protection locked="0"/>
    </xf>
    <xf numFmtId="0" fontId="2" fillId="0" borderId="0" xfId="0" applyFont="1" applyAlignment="1" applyProtection="1">
      <alignment horizontal="right"/>
      <protection locked="0"/>
    </xf>
    <xf numFmtId="168" fontId="1" fillId="0" borderId="0" xfId="0" applyNumberFormat="1" applyFont="1" applyAlignment="1" applyProtection="1">
      <alignment vertical="top"/>
      <protection locked="0"/>
    </xf>
    <xf numFmtId="168" fontId="1" fillId="0" borderId="0" xfId="0" applyNumberFormat="1" applyFont="1" applyAlignment="1" applyProtection="1">
      <alignment horizontal="right" vertical="top"/>
      <protection locked="0"/>
    </xf>
    <xf numFmtId="168" fontId="3" fillId="0" borderId="0" xfId="0" applyNumberFormat="1" applyFont="1" applyAlignment="1" applyProtection="1">
      <alignment horizontal="center"/>
      <protection locked="0"/>
    </xf>
    <xf numFmtId="170" fontId="1" fillId="0" borderId="0" xfId="0" applyNumberFormat="1" applyFont="1" applyAlignment="1" applyProtection="1">
      <alignment vertical="top"/>
      <protection locked="0"/>
    </xf>
    <xf numFmtId="170" fontId="1" fillId="0" borderId="0" xfId="0" applyNumberFormat="1" applyFont="1" applyAlignment="1" applyProtection="1">
      <alignment horizontal="right" vertical="top"/>
      <protection locked="0"/>
    </xf>
    <xf numFmtId="170" fontId="3" fillId="0" borderId="0" xfId="0" applyNumberFormat="1" applyFont="1" applyAlignment="1" applyProtection="1">
      <alignment horizontal="center"/>
      <protection locked="0"/>
    </xf>
    <xf numFmtId="167" fontId="1" fillId="0" borderId="0" xfId="0" applyNumberFormat="1" applyFont="1" applyProtection="1">
      <protection locked="0"/>
    </xf>
    <xf numFmtId="2" fontId="1" fillId="0" borderId="0" xfId="1" applyNumberFormat="1" applyFont="1" applyBorder="1" applyAlignment="1" applyProtection="1">
      <alignment horizontal="right"/>
      <protection locked="0"/>
    </xf>
    <xf numFmtId="9" fontId="1" fillId="0" borderId="0" xfId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14" fontId="2" fillId="0" borderId="0" xfId="0" applyNumberFormat="1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2" fillId="0" borderId="0" xfId="0" applyNumberFormat="1" applyFont="1" applyBorder="1" applyAlignment="1" applyProtection="1">
      <alignment horizontal="left"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right"/>
      <protection locked="0"/>
    </xf>
    <xf numFmtId="0" fontId="21" fillId="0" borderId="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top"/>
      <protection locked="0"/>
    </xf>
    <xf numFmtId="14" fontId="2" fillId="0" borderId="0" xfId="0" applyNumberFormat="1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right"/>
      <protection locked="0"/>
    </xf>
    <xf numFmtId="0" fontId="20" fillId="0" borderId="0" xfId="0" applyFont="1" applyAlignment="1">
      <alignment horizontal="center"/>
    </xf>
    <xf numFmtId="0" fontId="20" fillId="0" borderId="2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10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  <color rgb="FF008000"/>
      <color rgb="FF0099FF"/>
      <color rgb="FF0066FF"/>
      <color rgb="FFFF33CC"/>
      <color rgb="FF00CC00"/>
      <color rgb="FF990000"/>
      <color rgb="FF00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178"/>
  <sheetViews>
    <sheetView showGridLines="0"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B17" sqref="AB17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19" style="50" hidden="1" customWidth="1" outlineLevel="1"/>
    <col min="5" max="5" width="17.5703125" style="59" customWidth="1" collapsed="1"/>
    <col min="6" max="6" width="12.7109375" style="62" customWidth="1"/>
    <col min="7" max="7" width="12.7109375" style="63" hidden="1" customWidth="1" outlineLevel="1"/>
    <col min="8" max="8" width="13.85546875" style="62" customWidth="1" collapsed="1"/>
    <col min="9" max="9" width="9.140625" style="63" hidden="1" customWidth="1" outlineLevel="1"/>
    <col min="10" max="10" width="9.140625" style="168" hidden="1" customWidth="1" outlineLevel="1"/>
    <col min="11" max="11" width="9" style="64" hidden="1" customWidth="1" outlineLevel="1"/>
    <col min="12" max="12" width="8.42578125" style="64" hidden="1" customWidth="1" outlineLevel="1"/>
    <col min="13" max="13" width="15" style="63" hidden="1" customWidth="1" outlineLevel="1"/>
    <col min="14" max="14" width="12.85546875" style="64" hidden="1" customWidth="1" outlineLevel="1"/>
    <col min="15" max="16" width="12.85546875" style="63" hidden="1" customWidth="1" outlineLevel="1"/>
    <col min="17" max="17" width="12.85546875" style="49" hidden="1" customWidth="1" outlineLevel="1"/>
    <col min="18" max="18" width="18" style="77" hidden="1" customWidth="1" outlineLevel="1"/>
    <col min="19" max="19" width="9.85546875" style="75" hidden="1" customWidth="1" outlineLevel="1"/>
    <col min="20" max="20" width="13.28515625" style="75" hidden="1" customWidth="1" outlineLevel="1"/>
    <col min="21" max="21" width="12.85546875" style="75" hidden="1" customWidth="1" outlineLevel="1"/>
    <col min="22" max="22" width="7.85546875" style="50" customWidth="1" collapsed="1"/>
    <col min="23" max="24" width="8.5703125" style="50" customWidth="1"/>
    <col min="25" max="62" width="8.5703125" style="50" customWidth="1" outlineLevel="1"/>
    <col min="63" max="63" width="6.140625" style="51" bestFit="1" customWidth="1"/>
    <col min="64" max="65" width="8.5703125" style="50" customWidth="1"/>
    <col min="66" max="103" width="8.5703125" style="50" customWidth="1" outlineLevel="1"/>
    <col min="104" max="16384" width="9.140625" style="59"/>
  </cols>
  <sheetData>
    <row r="1" spans="1:103" s="7" customFormat="1" ht="28.5">
      <c r="A1" s="6" t="s">
        <v>98</v>
      </c>
      <c r="C1" s="8"/>
      <c r="D1" s="9"/>
      <c r="F1" s="10"/>
      <c r="G1" s="11"/>
      <c r="H1" s="10"/>
      <c r="I1" s="11"/>
      <c r="J1" s="162"/>
      <c r="K1" s="12"/>
      <c r="L1" s="12"/>
      <c r="M1" s="11"/>
      <c r="N1" s="12"/>
      <c r="O1" s="11"/>
      <c r="P1" s="11"/>
      <c r="Q1" s="73"/>
      <c r="R1" s="76"/>
      <c r="S1" s="74"/>
      <c r="T1" s="74"/>
      <c r="U1" s="74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3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</row>
    <row r="2" spans="1:103" s="56" customFormat="1" ht="15.75" customHeight="1">
      <c r="A2" s="106" t="s">
        <v>23</v>
      </c>
      <c r="B2" s="14"/>
      <c r="C2" s="15"/>
      <c r="D2" s="14"/>
      <c r="E2" s="16"/>
      <c r="F2" s="275" t="s">
        <v>14</v>
      </c>
      <c r="G2" s="276"/>
      <c r="H2" s="275" t="s">
        <v>0</v>
      </c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8"/>
      <c r="V2" s="17"/>
      <c r="W2" s="106" t="s">
        <v>19</v>
      </c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7"/>
      <c r="BK2" s="54"/>
      <c r="BL2" s="106" t="s">
        <v>71</v>
      </c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</row>
    <row r="3" spans="1:103" s="72" customFormat="1" ht="15.75">
      <c r="A3" s="65"/>
      <c r="B3" s="66"/>
      <c r="C3" s="67"/>
      <c r="D3" s="66"/>
      <c r="E3" s="68"/>
      <c r="F3" s="275"/>
      <c r="G3" s="276"/>
      <c r="H3" s="275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8"/>
      <c r="V3" s="183" t="s">
        <v>15</v>
      </c>
      <c r="W3" s="108">
        <v>42348</v>
      </c>
      <c r="X3" s="108">
        <v>42349</v>
      </c>
      <c r="Y3" s="108">
        <v>42350</v>
      </c>
      <c r="Z3" s="108">
        <v>42351</v>
      </c>
      <c r="AA3" s="108">
        <v>42352</v>
      </c>
      <c r="AB3" s="108">
        <v>42353</v>
      </c>
      <c r="AC3" s="108">
        <v>42355</v>
      </c>
      <c r="AD3" s="108">
        <v>42358</v>
      </c>
      <c r="AE3" s="108">
        <v>42360</v>
      </c>
      <c r="AF3" s="108">
        <v>42365</v>
      </c>
      <c r="AG3" s="108">
        <v>42369</v>
      </c>
      <c r="AH3" s="108">
        <v>42371</v>
      </c>
      <c r="AI3" s="108">
        <v>42373</v>
      </c>
      <c r="AJ3" s="108">
        <v>42374</v>
      </c>
      <c r="AK3" s="108">
        <v>42376</v>
      </c>
      <c r="AL3" s="108">
        <v>42379</v>
      </c>
      <c r="AM3" s="108">
        <v>42381</v>
      </c>
      <c r="AN3" s="108">
        <v>42383</v>
      </c>
      <c r="AO3" s="108">
        <v>42386</v>
      </c>
      <c r="AP3" s="108">
        <v>42389</v>
      </c>
      <c r="AQ3" s="108">
        <v>42393</v>
      </c>
      <c r="AR3" s="108">
        <v>42395</v>
      </c>
      <c r="AS3" s="108">
        <v>42396</v>
      </c>
      <c r="AT3" s="108">
        <v>42398</v>
      </c>
      <c r="AU3" s="108">
        <v>42401</v>
      </c>
      <c r="AV3" s="108">
        <v>42403</v>
      </c>
      <c r="AW3" s="108">
        <v>42406</v>
      </c>
      <c r="AX3" s="108">
        <v>42409</v>
      </c>
      <c r="AY3" s="108">
        <v>42412</v>
      </c>
      <c r="AZ3" s="108">
        <v>42415</v>
      </c>
      <c r="BA3" s="108">
        <v>42420</v>
      </c>
      <c r="BB3" s="108">
        <v>42423</v>
      </c>
      <c r="BC3" s="108">
        <v>42425</v>
      </c>
      <c r="BD3" s="108">
        <v>42431</v>
      </c>
      <c r="BE3" s="108">
        <v>42433</v>
      </c>
      <c r="BF3" s="108">
        <v>42437</v>
      </c>
      <c r="BG3" s="108">
        <v>42441</v>
      </c>
      <c r="BH3" s="108">
        <v>42444</v>
      </c>
      <c r="BI3" s="108"/>
      <c r="BJ3" s="108"/>
      <c r="BK3" s="70" t="s">
        <v>15</v>
      </c>
      <c r="BL3" s="108">
        <f t="shared" ref="BL3:BN4" si="0">IF(ISBLANK(W3)="TRUE","",W3)</f>
        <v>42348</v>
      </c>
      <c r="BM3" s="108">
        <f t="shared" si="0"/>
        <v>42349</v>
      </c>
      <c r="BN3" s="108">
        <f t="shared" si="0"/>
        <v>42350</v>
      </c>
      <c r="BO3" s="108">
        <f t="shared" ref="BO3:BO4" si="1">IF(ISBLANK(Z3)="TRUE","",Z3)</f>
        <v>42351</v>
      </c>
      <c r="BP3" s="108">
        <f t="shared" ref="BP3:BP4" si="2">IF(ISBLANK(AA3)="TRUE","",AA3)</f>
        <v>42352</v>
      </c>
      <c r="BQ3" s="108">
        <f t="shared" ref="BQ3:BQ4" si="3">IF(ISBLANK(AB3)="TRUE","",AB3)</f>
        <v>42353</v>
      </c>
      <c r="BR3" s="108">
        <f t="shared" ref="BR3:BR4" si="4">IF(ISBLANK(AC3)="TRUE","",AC3)</f>
        <v>42355</v>
      </c>
      <c r="BS3" s="108">
        <f t="shared" ref="BS3:BS4" si="5">IF(ISBLANK(AD3)="TRUE","",AD3)</f>
        <v>42358</v>
      </c>
      <c r="BT3" s="108">
        <f t="shared" ref="BT3:BT4" si="6">IF(ISBLANK(AE3)="TRUE","",AE3)</f>
        <v>42360</v>
      </c>
      <c r="BU3" s="108">
        <f t="shared" ref="BU3:BU4" si="7">IF(ISBLANK(AF3)="TRUE","",AF3)</f>
        <v>42365</v>
      </c>
      <c r="BV3" s="108">
        <f t="shared" ref="BV3:BV4" si="8">IF(ISBLANK(AG3)="TRUE","",AG3)</f>
        <v>42369</v>
      </c>
      <c r="BW3" s="108">
        <f t="shared" ref="BW3:BW4" si="9">IF(ISBLANK(AH3)="TRUE","",AH3)</f>
        <v>42371</v>
      </c>
      <c r="BX3" s="108">
        <f t="shared" ref="BX3:BX4" si="10">IF(ISBLANK(AI3)="TRUE","",AI3)</f>
        <v>42373</v>
      </c>
      <c r="BY3" s="108">
        <f t="shared" ref="BY3:BY4" si="11">IF(ISBLANK(AJ3)="TRUE","",AJ3)</f>
        <v>42374</v>
      </c>
      <c r="BZ3" s="108">
        <f t="shared" ref="BZ3:BZ4" si="12">IF(ISBLANK(AK3)="TRUE","",AK3)</f>
        <v>42376</v>
      </c>
      <c r="CA3" s="108">
        <f t="shared" ref="CA3:CA4" si="13">IF(ISBLANK(AL3)="TRUE","",AL3)</f>
        <v>42379</v>
      </c>
      <c r="CB3" s="108">
        <f t="shared" ref="CB3:CB4" si="14">IF(ISBLANK(AM3)="TRUE","",AM3)</f>
        <v>42381</v>
      </c>
      <c r="CC3" s="108">
        <f t="shared" ref="CC3:CC4" si="15">IF(ISBLANK(AN3)="TRUE","",AN3)</f>
        <v>42383</v>
      </c>
      <c r="CD3" s="108">
        <f t="shared" ref="CD3:CD4" si="16">IF(ISBLANK(AO3)="TRUE","",AO3)</f>
        <v>42386</v>
      </c>
      <c r="CE3" s="108">
        <f t="shared" ref="CE3:CE4" si="17">IF(ISBLANK(AP3)="TRUE","",AP3)</f>
        <v>42389</v>
      </c>
      <c r="CF3" s="108">
        <f t="shared" ref="CF3:CF4" si="18">IF(ISBLANK(AQ3)="TRUE","",AQ3)</f>
        <v>42393</v>
      </c>
      <c r="CG3" s="108">
        <f t="shared" ref="CG3:CG4" si="19">IF(ISBLANK(AR3)="TRUE","",AR3)</f>
        <v>42395</v>
      </c>
      <c r="CH3" s="108">
        <f t="shared" ref="CH3:CH4" si="20">IF(ISBLANK(AS3)="TRUE","",AS3)</f>
        <v>42396</v>
      </c>
      <c r="CI3" s="108">
        <f t="shared" ref="CI3:CI4" si="21">IF(ISBLANK(AT3)="TRUE","",AT3)</f>
        <v>42398</v>
      </c>
      <c r="CJ3" s="108">
        <f t="shared" ref="CJ3:CJ4" si="22">IF(ISBLANK(AU3)="TRUE","",AU3)</f>
        <v>42401</v>
      </c>
      <c r="CK3" s="108">
        <f t="shared" ref="CK3:CK4" si="23">IF(ISBLANK(AV3)="TRUE","",AV3)</f>
        <v>42403</v>
      </c>
      <c r="CL3" s="108">
        <f t="shared" ref="CL3:CL4" si="24">IF(ISBLANK(AW3)="TRUE","",AW3)</f>
        <v>42406</v>
      </c>
      <c r="CM3" s="108">
        <f t="shared" ref="CM3:CM4" si="25">IF(ISBLANK(AX3)="TRUE","",AX3)</f>
        <v>42409</v>
      </c>
      <c r="CN3" s="108">
        <f t="shared" ref="CN3:CN4" si="26">IF(ISBLANK(AY3)="TRUE","",AY3)</f>
        <v>42412</v>
      </c>
      <c r="CO3" s="108">
        <f t="shared" ref="CO3:CO4" si="27">IF(ISBLANK(AZ3)="TRUE","",AZ3)</f>
        <v>42415</v>
      </c>
      <c r="CP3" s="108">
        <f t="shared" ref="CP3:CP4" si="28">IF(ISBLANK(BA3)="TRUE","",BA3)</f>
        <v>42420</v>
      </c>
      <c r="CQ3" s="108">
        <f t="shared" ref="CQ3:CQ4" si="29">IF(ISBLANK(BB3)="TRUE","",BB3)</f>
        <v>42423</v>
      </c>
      <c r="CR3" s="108">
        <f t="shared" ref="CR3:CR4" si="30">IF(ISBLANK(BC3)="TRUE","",BC3)</f>
        <v>42425</v>
      </c>
      <c r="CS3" s="108">
        <f t="shared" ref="CS3:CS4" si="31">IF(ISBLANK(BD3)="TRUE","",BD3)</f>
        <v>42431</v>
      </c>
      <c r="CT3" s="108">
        <f t="shared" ref="CT3:CT4" si="32">IF(ISBLANK(BE3)="TRUE","",BE3)</f>
        <v>42433</v>
      </c>
      <c r="CU3" s="108">
        <f t="shared" ref="CU3:CU4" si="33">IF(ISBLANK(BF3)="TRUE","",BF3)</f>
        <v>42437</v>
      </c>
      <c r="CV3" s="108">
        <f t="shared" ref="CV3:CV4" si="34">IF(ISBLANK(BG3)="TRUE","",BG3)</f>
        <v>42441</v>
      </c>
      <c r="CW3" s="108">
        <f t="shared" ref="CW3:CW4" si="35">IF(ISBLANK(BH3)="TRUE","",BH3)</f>
        <v>42444</v>
      </c>
      <c r="CX3" s="108">
        <f t="shared" ref="CX3:CX4" si="36">IF(ISBLANK(BI3)="TRUE","",BI3)</f>
        <v>0</v>
      </c>
      <c r="CY3" s="108">
        <f t="shared" ref="CY3:CY4" si="37">IF(ISBLANK(BJ3)="TRUE","",BJ3)</f>
        <v>0</v>
      </c>
    </row>
    <row r="4" spans="1:103" s="58" customFormat="1" ht="15.75">
      <c r="A4" s="18" t="s">
        <v>6</v>
      </c>
      <c r="B4" s="19" t="s">
        <v>7</v>
      </c>
      <c r="C4" s="20" t="s">
        <v>8</v>
      </c>
      <c r="D4" s="18" t="s">
        <v>17</v>
      </c>
      <c r="E4" s="21" t="s">
        <v>11</v>
      </c>
      <c r="F4" s="22" t="s">
        <v>1</v>
      </c>
      <c r="G4" s="23" t="s">
        <v>2</v>
      </c>
      <c r="H4" s="22" t="s">
        <v>1</v>
      </c>
      <c r="I4" s="23" t="s">
        <v>2</v>
      </c>
      <c r="J4" s="163" t="s">
        <v>16</v>
      </c>
      <c r="K4" s="23" t="s">
        <v>27</v>
      </c>
      <c r="L4" s="23" t="s">
        <v>28</v>
      </c>
      <c r="M4" s="23" t="s">
        <v>3</v>
      </c>
      <c r="N4" s="24" t="s">
        <v>5</v>
      </c>
      <c r="O4" s="23" t="s">
        <v>4</v>
      </c>
      <c r="P4" s="23" t="s">
        <v>29</v>
      </c>
      <c r="Q4" s="23" t="s">
        <v>13</v>
      </c>
      <c r="R4" s="157" t="s">
        <v>30</v>
      </c>
      <c r="S4" s="119" t="s">
        <v>31</v>
      </c>
      <c r="T4" s="119" t="s">
        <v>32</v>
      </c>
      <c r="U4" s="78" t="s">
        <v>25</v>
      </c>
      <c r="V4" s="184" t="s">
        <v>9</v>
      </c>
      <c r="W4" s="19">
        <f>W3-$H5</f>
        <v>-2</v>
      </c>
      <c r="X4" s="19">
        <f>X3-$H5</f>
        <v>-1</v>
      </c>
      <c r="Y4" s="19">
        <f>Y3-$H5</f>
        <v>0</v>
      </c>
      <c r="Z4" s="19">
        <f t="shared" ref="Z4:AL4" si="38">Z3-$H5</f>
        <v>1</v>
      </c>
      <c r="AA4" s="19">
        <f t="shared" si="38"/>
        <v>2</v>
      </c>
      <c r="AB4" s="19">
        <f t="shared" si="38"/>
        <v>3</v>
      </c>
      <c r="AC4" s="19">
        <f t="shared" si="38"/>
        <v>5</v>
      </c>
      <c r="AD4" s="19">
        <f t="shared" si="38"/>
        <v>8</v>
      </c>
      <c r="AE4" s="19">
        <f t="shared" si="38"/>
        <v>10</v>
      </c>
      <c r="AF4" s="19">
        <f t="shared" si="38"/>
        <v>15</v>
      </c>
      <c r="AG4" s="19">
        <f t="shared" si="38"/>
        <v>19</v>
      </c>
      <c r="AH4" s="19">
        <f t="shared" si="38"/>
        <v>21</v>
      </c>
      <c r="AI4" s="19">
        <f t="shared" si="38"/>
        <v>23</v>
      </c>
      <c r="AJ4" s="19">
        <f t="shared" si="38"/>
        <v>24</v>
      </c>
      <c r="AK4" s="19">
        <f t="shared" si="38"/>
        <v>26</v>
      </c>
      <c r="AL4" s="19">
        <f t="shared" si="38"/>
        <v>29</v>
      </c>
      <c r="AM4" s="19">
        <f t="shared" ref="AM4" si="39">AM3-$H5</f>
        <v>31</v>
      </c>
      <c r="AN4" s="19">
        <f>AN3-$H5</f>
        <v>33</v>
      </c>
      <c r="AO4" s="19">
        <f t="shared" ref="AO4:AP4" si="40">AO3-$H5</f>
        <v>36</v>
      </c>
      <c r="AP4" s="19">
        <f t="shared" si="40"/>
        <v>39</v>
      </c>
      <c r="AQ4" s="19">
        <f t="shared" ref="AQ4:BJ4" si="41">AQ3-$H5</f>
        <v>43</v>
      </c>
      <c r="AR4" s="19">
        <f t="shared" si="41"/>
        <v>45</v>
      </c>
      <c r="AS4" s="19">
        <f t="shared" si="41"/>
        <v>46</v>
      </c>
      <c r="AT4" s="19">
        <f t="shared" si="41"/>
        <v>48</v>
      </c>
      <c r="AU4" s="19">
        <f t="shared" si="41"/>
        <v>51</v>
      </c>
      <c r="AV4" s="19">
        <f t="shared" si="41"/>
        <v>53</v>
      </c>
      <c r="AW4" s="19">
        <f t="shared" si="41"/>
        <v>56</v>
      </c>
      <c r="AX4" s="19">
        <f t="shared" si="41"/>
        <v>59</v>
      </c>
      <c r="AY4" s="19">
        <f t="shared" si="41"/>
        <v>62</v>
      </c>
      <c r="AZ4" s="19">
        <f t="shared" si="41"/>
        <v>65</v>
      </c>
      <c r="BA4" s="19">
        <f t="shared" si="41"/>
        <v>70</v>
      </c>
      <c r="BB4" s="19">
        <f t="shared" si="41"/>
        <v>73</v>
      </c>
      <c r="BC4" s="19">
        <f t="shared" si="41"/>
        <v>75</v>
      </c>
      <c r="BD4" s="19">
        <f t="shared" si="41"/>
        <v>81</v>
      </c>
      <c r="BE4" s="19">
        <f t="shared" si="41"/>
        <v>83</v>
      </c>
      <c r="BF4" s="19">
        <f t="shared" si="41"/>
        <v>87</v>
      </c>
      <c r="BG4" s="19">
        <f t="shared" si="41"/>
        <v>91</v>
      </c>
      <c r="BH4" s="19">
        <f t="shared" si="41"/>
        <v>94</v>
      </c>
      <c r="BI4" s="19">
        <f t="shared" si="41"/>
        <v>-42350</v>
      </c>
      <c r="BJ4" s="19">
        <f t="shared" si="41"/>
        <v>-42350</v>
      </c>
      <c r="BK4" s="26" t="s">
        <v>9</v>
      </c>
      <c r="BL4" s="19">
        <f t="shared" si="0"/>
        <v>-2</v>
      </c>
      <c r="BM4" s="19">
        <f t="shared" si="0"/>
        <v>-1</v>
      </c>
      <c r="BN4" s="19">
        <f t="shared" si="0"/>
        <v>0</v>
      </c>
      <c r="BO4" s="19">
        <f t="shared" si="1"/>
        <v>1</v>
      </c>
      <c r="BP4" s="19">
        <f t="shared" si="2"/>
        <v>2</v>
      </c>
      <c r="BQ4" s="19">
        <f t="shared" si="3"/>
        <v>3</v>
      </c>
      <c r="BR4" s="19">
        <f t="shared" si="4"/>
        <v>5</v>
      </c>
      <c r="BS4" s="19">
        <f t="shared" si="5"/>
        <v>8</v>
      </c>
      <c r="BT4" s="19">
        <f t="shared" si="6"/>
        <v>10</v>
      </c>
      <c r="BU4" s="19">
        <f t="shared" si="7"/>
        <v>15</v>
      </c>
      <c r="BV4" s="19">
        <f t="shared" si="8"/>
        <v>19</v>
      </c>
      <c r="BW4" s="19">
        <f t="shared" si="9"/>
        <v>21</v>
      </c>
      <c r="BX4" s="19">
        <f t="shared" si="10"/>
        <v>23</v>
      </c>
      <c r="BY4" s="19">
        <f t="shared" si="11"/>
        <v>24</v>
      </c>
      <c r="BZ4" s="19">
        <f t="shared" si="12"/>
        <v>26</v>
      </c>
      <c r="CA4" s="19">
        <f t="shared" si="13"/>
        <v>29</v>
      </c>
      <c r="CB4" s="19">
        <f t="shared" si="14"/>
        <v>31</v>
      </c>
      <c r="CC4" s="19">
        <f t="shared" si="15"/>
        <v>33</v>
      </c>
      <c r="CD4" s="19">
        <f t="shared" si="16"/>
        <v>36</v>
      </c>
      <c r="CE4" s="19">
        <f t="shared" si="17"/>
        <v>39</v>
      </c>
      <c r="CF4" s="19">
        <f t="shared" si="18"/>
        <v>43</v>
      </c>
      <c r="CG4" s="19">
        <f t="shared" si="19"/>
        <v>45</v>
      </c>
      <c r="CH4" s="19">
        <f t="shared" si="20"/>
        <v>46</v>
      </c>
      <c r="CI4" s="19">
        <f t="shared" si="21"/>
        <v>48</v>
      </c>
      <c r="CJ4" s="19">
        <f t="shared" si="22"/>
        <v>51</v>
      </c>
      <c r="CK4" s="19">
        <f t="shared" si="23"/>
        <v>53</v>
      </c>
      <c r="CL4" s="19">
        <f t="shared" si="24"/>
        <v>56</v>
      </c>
      <c r="CM4" s="19">
        <f t="shared" si="25"/>
        <v>59</v>
      </c>
      <c r="CN4" s="19">
        <f t="shared" si="26"/>
        <v>62</v>
      </c>
      <c r="CO4" s="19">
        <f t="shared" si="27"/>
        <v>65</v>
      </c>
      <c r="CP4" s="19">
        <f t="shared" si="28"/>
        <v>70</v>
      </c>
      <c r="CQ4" s="19">
        <f t="shared" si="29"/>
        <v>73</v>
      </c>
      <c r="CR4" s="19">
        <f t="shared" si="30"/>
        <v>75</v>
      </c>
      <c r="CS4" s="19">
        <f t="shared" si="31"/>
        <v>81</v>
      </c>
      <c r="CT4" s="19">
        <f t="shared" si="32"/>
        <v>83</v>
      </c>
      <c r="CU4" s="19">
        <f t="shared" si="33"/>
        <v>87</v>
      </c>
      <c r="CV4" s="19">
        <f t="shared" si="34"/>
        <v>91</v>
      </c>
      <c r="CW4" s="19">
        <f t="shared" si="35"/>
        <v>94</v>
      </c>
      <c r="CX4" s="19">
        <f t="shared" si="36"/>
        <v>-42350</v>
      </c>
      <c r="CY4" s="19">
        <f t="shared" si="37"/>
        <v>-42350</v>
      </c>
    </row>
    <row r="5" spans="1:103">
      <c r="A5" s="27">
        <v>961157</v>
      </c>
      <c r="B5" s="28">
        <v>11</v>
      </c>
      <c r="C5" s="29" t="str">
        <f t="shared" ref="C5:C25" si="42">CONCATENATE(A5,"-",B5)</f>
        <v>961157-11</v>
      </c>
      <c r="D5" s="28" t="s">
        <v>26</v>
      </c>
      <c r="E5" s="30" t="s">
        <v>50</v>
      </c>
      <c r="F5" s="31">
        <v>42340</v>
      </c>
      <c r="G5" s="32">
        <v>24.9</v>
      </c>
      <c r="H5" s="31">
        <v>42350</v>
      </c>
      <c r="I5" s="32">
        <v>26</v>
      </c>
      <c r="J5" s="164">
        <v>0.6430555555555556</v>
      </c>
      <c r="K5" s="32">
        <v>7.8</v>
      </c>
      <c r="L5" s="32">
        <v>6.4</v>
      </c>
      <c r="M5" s="32">
        <f t="shared" ref="M5:M25" si="43">K5*L5^2*0.52</f>
        <v>166.13376000000002</v>
      </c>
      <c r="N5" s="34"/>
      <c r="O5" s="32">
        <f>M5*20/3</f>
        <v>1107.5584000000001</v>
      </c>
      <c r="P5" s="32">
        <f t="shared" ref="P5:P25" si="44">M5/3</f>
        <v>55.37792000000001</v>
      </c>
      <c r="Q5" s="32">
        <v>1027</v>
      </c>
      <c r="R5" s="158">
        <f t="shared" ref="R5:R25" si="45">Q5/M5</f>
        <v>6.1817658253205119</v>
      </c>
      <c r="S5" s="160">
        <f t="shared" ref="S5:S25" si="46">Q5/O5</f>
        <v>0.92726487379807687</v>
      </c>
      <c r="T5" s="118">
        <f t="shared" ref="T5:T25" si="47">Q5/P5</f>
        <v>18.545297475961537</v>
      </c>
      <c r="U5" s="33"/>
      <c r="V5" s="138"/>
      <c r="W5" s="87">
        <f>6.5*5.9*5.9*0.52</f>
        <v>117.65780000000001</v>
      </c>
      <c r="X5" s="87">
        <f>6.7*6.3^2*0.52</f>
        <v>138.27996000000002</v>
      </c>
      <c r="Y5" s="87">
        <f>7.8*6.4*6.4*0.52</f>
        <v>166.13376000000002</v>
      </c>
      <c r="Z5" s="87">
        <f>7.7*7.4*7.4*0.52</f>
        <v>219.25904000000003</v>
      </c>
      <c r="AA5" s="87">
        <f>8.7*7.7*7.7*0.52</f>
        <v>268.22796</v>
      </c>
      <c r="AB5" s="87">
        <f>8.9*6.5*6.5*0.52</f>
        <v>195.53300000000002</v>
      </c>
      <c r="AC5" s="87">
        <f>8.4*6.6*6.6*0.52</f>
        <v>190.27007999999998</v>
      </c>
      <c r="AD5" s="87">
        <f>8.6*7.4*7.4*0.52</f>
        <v>244.88672000000003</v>
      </c>
      <c r="AE5" s="87">
        <f>8.6*6.6*6.6*0.52</f>
        <v>194.80032</v>
      </c>
      <c r="AF5" s="87">
        <f>8.4*6.6*6.6*0.52</f>
        <v>190.27007999999998</v>
      </c>
      <c r="AG5" s="87">
        <f>8.8*7*7*0.52</f>
        <v>224.22400000000002</v>
      </c>
      <c r="AH5" s="87">
        <f>7.7*7.2*7.2*0.52</f>
        <v>207.56736000000004</v>
      </c>
      <c r="AI5" s="87">
        <f>7.8*7.5*7.5*0.52</f>
        <v>228.15</v>
      </c>
      <c r="AJ5" s="87">
        <f>7.5*7.2*7.2*0.52</f>
        <v>202.17600000000002</v>
      </c>
      <c r="AK5" s="87">
        <f>8.9*8.3*8.3*0.52</f>
        <v>318.82292000000007</v>
      </c>
      <c r="AL5" s="87">
        <f>9.5*8.8*8.8*0.52</f>
        <v>382.55360000000013</v>
      </c>
      <c r="AM5" s="87">
        <f>10*10*10*0.52</f>
        <v>520</v>
      </c>
      <c r="AN5" s="87">
        <f>10.7*9.8*9.8*0.52</f>
        <v>534.36656000000005</v>
      </c>
      <c r="AO5" s="87">
        <f>10.9*10.5*10.5*0.52</f>
        <v>624.89700000000005</v>
      </c>
      <c r="AP5" s="87">
        <f>12.3*10.9*10.9*0.52</f>
        <v>759.90876000000014</v>
      </c>
      <c r="AQ5" s="87">
        <f>12.2*11.6*11.6*0.52</f>
        <v>853.64863999999989</v>
      </c>
      <c r="AR5" s="87">
        <f>13.4*11.6*11.6*0.52</f>
        <v>937.61407999999994</v>
      </c>
      <c r="AS5" s="87">
        <f>13.7*11.4*11.4*0.52</f>
        <v>925.83504000000016</v>
      </c>
      <c r="AT5" s="87">
        <f>14.6*13.8*13.8*0.52</f>
        <v>1445.8204800000003</v>
      </c>
      <c r="AU5" s="87">
        <f>15.6*13.6*13.6*0.52</f>
        <v>1500.39552</v>
      </c>
      <c r="AV5" s="87">
        <f>16.8*13.8*13.8*0.52</f>
        <v>1663.6838400000004</v>
      </c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36"/>
      <c r="BL5" s="86">
        <f t="shared" ref="BL5:BL25" si="48">IF(OR(ISERROR(W5/$M5)=TRUE,ISBLANK(W5)=TRUE),"",W5/$M5)</f>
        <v>0.70821126302083326</v>
      </c>
      <c r="BM5" s="86">
        <f t="shared" ref="BM5:BM25" si="49">IF(OR(ISERROR(X5/$M5)=TRUE,ISBLANK(X5)=TRUE),"",X5/$M5)</f>
        <v>0.83234112079326916</v>
      </c>
      <c r="BN5" s="86">
        <f t="shared" ref="BN5:BN25" si="50">IF(OR(ISERROR(Y5/$M5)=TRUE,ISBLANK(Y5)=TRUE),"",Y5/$M5)</f>
        <v>1</v>
      </c>
      <c r="BO5" s="86">
        <f t="shared" ref="BO5:BO7" si="51">IF(OR(ISERROR(Z5/$M5)=TRUE,ISBLANK(Z5)=TRUE),"",Z5/$M5)</f>
        <v>1.3197741386217949</v>
      </c>
      <c r="BP5" s="86">
        <f t="shared" ref="BP5:BP7" si="52">IF(OR(ISERROR(AA5/$M5)=TRUE,ISBLANK(AA5)=TRUE),"",AA5/$M5)</f>
        <v>1.6145301231971152</v>
      </c>
      <c r="BQ5" s="86">
        <f t="shared" ref="BQ5:BQ7" si="53">IF(OR(ISERROR(AB5/$M5)=TRUE,ISBLANK(AB5)=TRUE),"",AB5/$M5)</f>
        <v>1.1769612630208333</v>
      </c>
      <c r="BR5" s="86">
        <f t="shared" ref="BR5:BR7" si="54">IF(OR(ISERROR(AC5/$M5)=TRUE,ISBLANK(AC5)=TRUE),"",AC5/$M5)</f>
        <v>1.1452824519230766</v>
      </c>
      <c r="BS5" s="86">
        <f t="shared" ref="BS5:BS7" si="55">IF(OR(ISERROR(AD5/$M5)=TRUE,ISBLANK(AD5)=TRUE),"",AD5/$M5)</f>
        <v>1.474033453525641</v>
      </c>
      <c r="BT5" s="86">
        <f t="shared" ref="BT5:BT7" si="56">IF(OR(ISERROR(AE5/$M5)=TRUE,ISBLANK(AE5)=TRUE),"",AE5/$M5)</f>
        <v>1.1725510817307692</v>
      </c>
      <c r="BU5" s="86">
        <f t="shared" ref="BU5:BU7" si="57">IF(OR(ISERROR(AF5/$M5)=TRUE,ISBLANK(AF5)=TRUE),"",AF5/$M5)</f>
        <v>1.1452824519230766</v>
      </c>
      <c r="BV5" s="86">
        <f t="shared" ref="BV5:BV7" si="58">IF(OR(ISERROR(AG5/$M5)=TRUE,ISBLANK(AG5)=TRUE),"",AG5/$M5)</f>
        <v>1.3496594551282051</v>
      </c>
      <c r="BW5" s="86">
        <f t="shared" ref="BW5:BW7" si="59">IF(OR(ISERROR(AH5/$M5)=TRUE,ISBLANK(AH5)=TRUE),"",AH5/$M5)</f>
        <v>1.2493990384615385</v>
      </c>
      <c r="BX5" s="86">
        <f t="shared" ref="BX5:BX7" si="60">IF(OR(ISERROR(AI5/$M5)=TRUE,ISBLANK(AI5)=TRUE),"",AI5/$M5)</f>
        <v>1.3732910156249998</v>
      </c>
      <c r="BY5" s="86">
        <f t="shared" ref="BY5:BY7" si="61">IF(OR(ISERROR(AJ5/$M5)=TRUE,ISBLANK(AJ5)=TRUE),"",AJ5/$M5)</f>
        <v>1.2169471153846154</v>
      </c>
      <c r="BZ5" s="86">
        <f t="shared" ref="BZ5:BZ7" si="62">IF(OR(ISERROR(AK5/$M5)=TRUE,ISBLANK(AK5)=TRUE),"",AK5/$M5)</f>
        <v>1.9190736428285258</v>
      </c>
      <c r="CA5" s="86">
        <f t="shared" ref="CA5:CA7" si="63">IF(OR(ISERROR(AL5/$M5)=TRUE,ISBLANK(AL5)=TRUE),"",AL5/$M5)</f>
        <v>2.3026842948717952</v>
      </c>
      <c r="CB5" s="86">
        <f t="shared" ref="CB5:CB7" si="64">IF(OR(ISERROR(AM5/$M5)=TRUE,ISBLANK(AM5)=TRUE),"",AM5/$M5)</f>
        <v>3.1300080128205123</v>
      </c>
      <c r="CC5" s="86">
        <f t="shared" ref="CC5:CC7" si="65">IF(OR(ISERROR(AN5/$M5)=TRUE,ISBLANK(AN5)=TRUE),"",AN5/$M5)</f>
        <v>3.2164838741987176</v>
      </c>
      <c r="CD5" s="86">
        <f t="shared" ref="CD5:CD7" si="66">IF(OR(ISERROR(AO5/$M5)=TRUE,ISBLANK(AO5)=TRUE),"",AO5/$M5)</f>
        <v>3.7614088792067304</v>
      </c>
      <c r="CE5" s="86">
        <f t="shared" ref="CE5:CE7" si="67">IF(OR(ISERROR(AP5/$M5)=TRUE,ISBLANK(AP5)=TRUE),"",AP5/$M5)</f>
        <v>4.5740778996394234</v>
      </c>
      <c r="CF5" s="86">
        <f t="shared" ref="CF5:CF7" si="68">IF(OR(ISERROR(AQ5/$M5)=TRUE,ISBLANK(AQ5)=TRUE),"",AQ5/$M5)</f>
        <v>5.138321314102563</v>
      </c>
      <c r="CG5" s="86">
        <f t="shared" ref="CG5:CG7" si="69">IF(OR(ISERROR(AR5/$M5)=TRUE,ISBLANK(AR5)=TRUE),"",AR5/$M5)</f>
        <v>5.6437299679487172</v>
      </c>
      <c r="CH5" s="86">
        <f t="shared" ref="CH5:CH7" si="70">IF(OR(ISERROR(AS5/$M5)=TRUE,ISBLANK(AS5)=TRUE),"",AS5/$M5)</f>
        <v>5.5728290264423075</v>
      </c>
      <c r="CI5" s="86">
        <f t="shared" ref="CI5:CI7" si="71">IF(OR(ISERROR(AT5/$M5)=TRUE,ISBLANK(AT5)=TRUE),"",AT5/$M5)</f>
        <v>8.7027493990384617</v>
      </c>
      <c r="CJ5" s="86">
        <f t="shared" ref="CJ5:CJ7" si="72">IF(OR(ISERROR(AU5/$M5)=TRUE,ISBLANK(AU5)=TRUE),"",AU5/$M5)</f>
        <v>9.0312499999999982</v>
      </c>
      <c r="CK5" s="86">
        <f t="shared" ref="CK5:CK7" si="73">IF(OR(ISERROR(AV5/$M5)=TRUE,ISBLANK(AV5)=TRUE),"",AV5/$M5)</f>
        <v>10.014122596153847</v>
      </c>
      <c r="CL5" s="86" t="str">
        <f t="shared" ref="CL5:CL7" si="74">IF(OR(ISERROR(AW5/$M5)=TRUE,ISBLANK(AW5)=TRUE),"",AW5/$M5)</f>
        <v/>
      </c>
      <c r="CM5" s="86" t="str">
        <f t="shared" ref="CM5:CM7" si="75">IF(OR(ISERROR(AX5/$M5)=TRUE,ISBLANK(AX5)=TRUE),"",AX5/$M5)</f>
        <v/>
      </c>
      <c r="CN5" s="86" t="str">
        <f t="shared" ref="CN5:CN7" si="76">IF(OR(ISERROR(AY5/$M5)=TRUE,ISBLANK(AY5)=TRUE),"",AY5/$M5)</f>
        <v/>
      </c>
      <c r="CO5" s="86" t="str">
        <f t="shared" ref="CO5:CO7" si="77">IF(OR(ISERROR(AZ5/$M5)=TRUE,ISBLANK(AZ5)=TRUE),"",AZ5/$M5)</f>
        <v/>
      </c>
      <c r="CP5" s="86" t="str">
        <f t="shared" ref="CP5:CP7" si="78">IF(OR(ISERROR(BA5/$M5)=TRUE,ISBLANK(BA5)=TRUE),"",BA5/$M5)</f>
        <v/>
      </c>
      <c r="CQ5" s="86" t="str">
        <f t="shared" ref="CQ5:CQ7" si="79">IF(OR(ISERROR(BB5/$M5)=TRUE,ISBLANK(BB5)=TRUE),"",BB5/$M5)</f>
        <v/>
      </c>
      <c r="CR5" s="86" t="str">
        <f t="shared" ref="CR5:CR7" si="80">IF(OR(ISERROR(BC5/$M5)=TRUE,ISBLANK(BC5)=TRUE),"",BC5/$M5)</f>
        <v/>
      </c>
      <c r="CS5" s="86" t="str">
        <f t="shared" ref="CS5:CS7" si="81">IF(OR(ISERROR(BD5/$M5)=TRUE,ISBLANK(BD5)=TRUE),"",BD5/$M5)</f>
        <v/>
      </c>
      <c r="CT5" s="86" t="str">
        <f t="shared" ref="CT5:CT7" si="82">IF(OR(ISERROR(BE5/$M5)=TRUE,ISBLANK(BE5)=TRUE),"",BE5/$M5)</f>
        <v/>
      </c>
      <c r="CU5" s="86" t="str">
        <f t="shared" ref="CU5:CU7" si="83">IF(OR(ISERROR(BF5/$M5)=TRUE,ISBLANK(BF5)=TRUE),"",BF5/$M5)</f>
        <v/>
      </c>
      <c r="CV5" s="86" t="str">
        <f t="shared" ref="CV5:CV7" si="84">IF(OR(ISERROR(BG5/$M5)=TRUE,ISBLANK(BG5)=TRUE),"",BG5/$M5)</f>
        <v/>
      </c>
      <c r="CW5" s="86" t="str">
        <f t="shared" ref="CW5:CW7" si="85">IF(OR(ISERROR(BH5/$M5)=TRUE,ISBLANK(BH5)=TRUE),"",BH5/$M5)</f>
        <v/>
      </c>
      <c r="CX5" s="86" t="str">
        <f t="shared" ref="CX5:CX7" si="86">IF(OR(ISERROR(BI5/$M5)=TRUE,ISBLANK(BI5)=TRUE),"",BI5/$M5)</f>
        <v/>
      </c>
      <c r="CY5" s="86" t="str">
        <f t="shared" ref="CY5:CY7" si="87">IF(OR(ISERROR(BJ5/$M5)=TRUE,ISBLANK(BJ5)=TRUE),"",BJ5/$M5)</f>
        <v/>
      </c>
    </row>
    <row r="6" spans="1:103">
      <c r="A6" s="27">
        <v>961157</v>
      </c>
      <c r="B6" s="1">
        <v>12</v>
      </c>
      <c r="C6" s="29" t="str">
        <f t="shared" si="42"/>
        <v>961157-12</v>
      </c>
      <c r="D6" s="28" t="s">
        <v>26</v>
      </c>
      <c r="E6" s="37" t="s">
        <v>48</v>
      </c>
      <c r="F6" s="31">
        <v>42340</v>
      </c>
      <c r="G6" s="38">
        <v>28.2</v>
      </c>
      <c r="H6" s="31">
        <v>42350</v>
      </c>
      <c r="I6" s="38">
        <v>30.4</v>
      </c>
      <c r="J6" s="165">
        <v>0.61805555555555558</v>
      </c>
      <c r="K6" s="38">
        <v>7.5</v>
      </c>
      <c r="L6" s="38">
        <v>6.5</v>
      </c>
      <c r="M6" s="32">
        <f t="shared" si="43"/>
        <v>164.77500000000001</v>
      </c>
      <c r="N6" s="39"/>
      <c r="O6" s="32">
        <f>M6*10/3</f>
        <v>549.25</v>
      </c>
      <c r="P6" s="32">
        <f t="shared" si="44"/>
        <v>54.925000000000004</v>
      </c>
      <c r="Q6" s="38">
        <v>364</v>
      </c>
      <c r="R6" s="158">
        <f t="shared" si="45"/>
        <v>2.2090729783037473</v>
      </c>
      <c r="S6" s="160">
        <f t="shared" si="46"/>
        <v>0.66272189349112431</v>
      </c>
      <c r="T6" s="118">
        <f t="shared" si="47"/>
        <v>6.6272189349112418</v>
      </c>
      <c r="U6" s="33"/>
      <c r="V6" s="138"/>
      <c r="W6" s="87">
        <f>6*5.8*5.8*0.52</f>
        <v>104.95679999999999</v>
      </c>
      <c r="X6" s="93">
        <f>6.7*6.2*6.2*0.52</f>
        <v>133.92496</v>
      </c>
      <c r="Y6" s="93">
        <f>7.5*6.5*6.5*0.52</f>
        <v>164.77500000000001</v>
      </c>
      <c r="Z6" s="93">
        <f>6.9*6.4*6.4*0.52</f>
        <v>146.96448000000001</v>
      </c>
      <c r="AA6" s="93">
        <f>7.5*6.1*6.1*0.52</f>
        <v>145.119</v>
      </c>
      <c r="AB6" s="93">
        <f>7.4*6.1*6.1*0.52</f>
        <v>143.18407999999999</v>
      </c>
      <c r="AC6" s="93">
        <f>8*7.1*7.1*0.52</f>
        <v>209.7056</v>
      </c>
      <c r="AD6" s="93">
        <f>8.3*6.4*6.4*0.52</f>
        <v>176.78336000000004</v>
      </c>
      <c r="AE6" s="93">
        <f>7.7*6.5*6.5*0.52</f>
        <v>169.16900000000004</v>
      </c>
      <c r="AF6" s="93">
        <f>8.8*6.5*6.5*0.52</f>
        <v>193.33600000000001</v>
      </c>
      <c r="AG6" s="93">
        <f>10.2*8*8*0.52</f>
        <v>339.45599999999996</v>
      </c>
      <c r="AH6" s="93">
        <f>9.7*8.8*8.8*0.52</f>
        <v>390.60736000000003</v>
      </c>
      <c r="AI6" s="93">
        <f>10.8*9*9*0.52</f>
        <v>454.89600000000007</v>
      </c>
      <c r="AJ6" s="93">
        <f>11.8*9.2*9.2*0.52</f>
        <v>519.35104000000001</v>
      </c>
      <c r="AK6" s="93">
        <f>12.1*10.3*10.3*0.52</f>
        <v>667.51828000000012</v>
      </c>
      <c r="AL6" s="93">
        <f>13.8*11.3*11.3*0.52</f>
        <v>916.30344000000014</v>
      </c>
      <c r="AM6" s="93">
        <f>14.4*12.4*12.4*0.52</f>
        <v>1151.3548800000001</v>
      </c>
      <c r="AN6" s="93">
        <f>15.9*13.2*13.2*0.52</f>
        <v>1440.6163199999999</v>
      </c>
      <c r="AO6" s="93">
        <f>16.1*13.8*13.8*0.52</f>
        <v>1594.3636800000004</v>
      </c>
      <c r="AP6" s="93">
        <f>17.8*15.1*15.1*0.52</f>
        <v>2110.4605600000004</v>
      </c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2"/>
      <c r="BL6" s="92">
        <f t="shared" si="48"/>
        <v>0.63697041420118328</v>
      </c>
      <c r="BM6" s="92">
        <f t="shared" si="49"/>
        <v>0.81277475345167649</v>
      </c>
      <c r="BN6" s="92">
        <f t="shared" si="50"/>
        <v>1</v>
      </c>
      <c r="BO6" s="92">
        <f t="shared" si="51"/>
        <v>0.8919100591715976</v>
      </c>
      <c r="BP6" s="92">
        <f t="shared" si="52"/>
        <v>0.88071005917159761</v>
      </c>
      <c r="BQ6" s="92">
        <f t="shared" si="53"/>
        <v>0.86896725838264288</v>
      </c>
      <c r="BR6" s="92">
        <f t="shared" si="54"/>
        <v>1.2726785009861932</v>
      </c>
      <c r="BS6" s="92">
        <f t="shared" si="55"/>
        <v>1.0728773175542408</v>
      </c>
      <c r="BT6" s="92">
        <f t="shared" si="56"/>
        <v>1.0266666666666668</v>
      </c>
      <c r="BU6" s="92">
        <f t="shared" si="57"/>
        <v>1.1733333333333333</v>
      </c>
      <c r="BV6" s="92">
        <f t="shared" si="58"/>
        <v>2.0601183431952661</v>
      </c>
      <c r="BW6" s="92">
        <f t="shared" si="59"/>
        <v>2.3705499013806706</v>
      </c>
      <c r="BX6" s="92">
        <f t="shared" si="60"/>
        <v>2.7607100591715978</v>
      </c>
      <c r="BY6" s="92">
        <f t="shared" si="61"/>
        <v>3.1518800788954633</v>
      </c>
      <c r="BZ6" s="92">
        <f t="shared" si="62"/>
        <v>4.0510895463510854</v>
      </c>
      <c r="CA6" s="92">
        <f t="shared" si="63"/>
        <v>5.5609372781065094</v>
      </c>
      <c r="CB6" s="92">
        <f t="shared" si="64"/>
        <v>6.9874366863905326</v>
      </c>
      <c r="CC6" s="92">
        <f t="shared" si="65"/>
        <v>8.7429301775147916</v>
      </c>
      <c r="CD6" s="92">
        <f t="shared" si="66"/>
        <v>9.6760047337278134</v>
      </c>
      <c r="CE6" s="92">
        <f t="shared" si="67"/>
        <v>12.808135700197241</v>
      </c>
      <c r="CF6" s="92" t="str">
        <f t="shared" si="68"/>
        <v/>
      </c>
      <c r="CG6" s="92" t="str">
        <f t="shared" si="69"/>
        <v/>
      </c>
      <c r="CH6" s="92" t="str">
        <f t="shared" si="70"/>
        <v/>
      </c>
      <c r="CI6" s="92" t="str">
        <f t="shared" si="71"/>
        <v/>
      </c>
      <c r="CJ6" s="92" t="str">
        <f t="shared" si="72"/>
        <v/>
      </c>
      <c r="CK6" s="92" t="str">
        <f t="shared" si="73"/>
        <v/>
      </c>
      <c r="CL6" s="92" t="str">
        <f t="shared" si="74"/>
        <v/>
      </c>
      <c r="CM6" s="92" t="str">
        <f t="shared" si="75"/>
        <v/>
      </c>
      <c r="CN6" s="92" t="str">
        <f t="shared" si="76"/>
        <v/>
      </c>
      <c r="CO6" s="92" t="str">
        <f t="shared" si="77"/>
        <v/>
      </c>
      <c r="CP6" s="92" t="str">
        <f t="shared" si="78"/>
        <v/>
      </c>
      <c r="CQ6" s="92" t="str">
        <f t="shared" si="79"/>
        <v/>
      </c>
      <c r="CR6" s="92" t="str">
        <f t="shared" si="80"/>
        <v/>
      </c>
      <c r="CS6" s="92" t="str">
        <f t="shared" si="81"/>
        <v/>
      </c>
      <c r="CT6" s="92" t="str">
        <f t="shared" si="82"/>
        <v/>
      </c>
      <c r="CU6" s="92" t="str">
        <f t="shared" si="83"/>
        <v/>
      </c>
      <c r="CV6" s="92" t="str">
        <f t="shared" si="84"/>
        <v/>
      </c>
      <c r="CW6" s="92" t="str">
        <f t="shared" si="85"/>
        <v/>
      </c>
      <c r="CX6" s="92" t="str">
        <f t="shared" si="86"/>
        <v/>
      </c>
      <c r="CY6" s="92" t="str">
        <f t="shared" si="87"/>
        <v/>
      </c>
    </row>
    <row r="7" spans="1:103">
      <c r="A7" s="27">
        <v>961157</v>
      </c>
      <c r="B7" s="1">
        <v>14</v>
      </c>
      <c r="C7" s="29" t="str">
        <f t="shared" si="42"/>
        <v>961157-14</v>
      </c>
      <c r="D7" s="28" t="s">
        <v>26</v>
      </c>
      <c r="E7" s="37" t="s">
        <v>48</v>
      </c>
      <c r="F7" s="31">
        <v>42340</v>
      </c>
      <c r="G7" s="38">
        <v>24.5</v>
      </c>
      <c r="H7" s="31">
        <v>42350</v>
      </c>
      <c r="I7" s="38">
        <v>26.1</v>
      </c>
      <c r="J7" s="165">
        <v>0.70486111111111116</v>
      </c>
      <c r="K7" s="38">
        <v>7</v>
      </c>
      <c r="L7" s="38">
        <v>5.2</v>
      </c>
      <c r="M7" s="32">
        <f t="shared" si="43"/>
        <v>98.425600000000017</v>
      </c>
      <c r="N7" s="39"/>
      <c r="O7" s="32">
        <f>M7*10/3</f>
        <v>328.08533333333338</v>
      </c>
      <c r="P7" s="32">
        <f t="shared" si="44"/>
        <v>32.808533333333337</v>
      </c>
      <c r="Q7" s="38">
        <v>292</v>
      </c>
      <c r="R7" s="158">
        <f t="shared" si="45"/>
        <v>2.9667078483646527</v>
      </c>
      <c r="S7" s="160">
        <f t="shared" si="46"/>
        <v>0.89001235450939575</v>
      </c>
      <c r="T7" s="118">
        <f t="shared" si="47"/>
        <v>8.9001235450939582</v>
      </c>
      <c r="U7" s="33"/>
      <c r="V7" s="138"/>
      <c r="W7" s="87">
        <f>4.8*3.5*3.5*0.52</f>
        <v>30.576000000000004</v>
      </c>
      <c r="X7" s="93">
        <f>6.3*4.2*4.2*0.52</f>
        <v>57.788640000000008</v>
      </c>
      <c r="Y7" s="93">
        <f>7*5.2*5.2*0.52</f>
        <v>98.425600000000003</v>
      </c>
      <c r="Z7" s="93">
        <f>8.4*6.1*6.1*0.52</f>
        <v>162.53328000000002</v>
      </c>
      <c r="AA7" s="93">
        <f>7.4*8.7*7.4*0.52</f>
        <v>247.73424</v>
      </c>
      <c r="AB7" s="93">
        <f>8.1*5.6*5.6*0.52</f>
        <v>132.08831999999998</v>
      </c>
      <c r="AC7" s="93">
        <f>6.6*6*6*0.52</f>
        <v>123.55199999999999</v>
      </c>
      <c r="AD7" s="93">
        <f>9.7*7*7*0.52</f>
        <v>247.15599999999998</v>
      </c>
      <c r="AE7" s="93">
        <f>8.8*6.3*6.3*0.52</f>
        <v>181.62144000000004</v>
      </c>
      <c r="AF7" s="93">
        <f>10.9*7.4*7.4*0.52</f>
        <v>310.37968000000006</v>
      </c>
      <c r="AG7" s="93">
        <f>11.9*8.4*8.4*0.52</f>
        <v>436.62528000000009</v>
      </c>
      <c r="AH7" s="93">
        <f>13.5*9.6*9.6*0.52</f>
        <v>646.96319999999992</v>
      </c>
      <c r="AI7" s="93">
        <f>15.4*10*10*0.52</f>
        <v>800.80000000000007</v>
      </c>
      <c r="AJ7" s="93">
        <f>15.6*9.9*9.9*0.52</f>
        <v>795.05712000000005</v>
      </c>
      <c r="AK7" s="93">
        <f>16.5*11.2*11.2*0.52</f>
        <v>1076.2751999999998</v>
      </c>
      <c r="AL7" s="93">
        <f>18.6*11.3*11.3*0.52</f>
        <v>1235.0176800000004</v>
      </c>
      <c r="AM7" s="93">
        <f>19.2*12.9*12.9*0.52</f>
        <v>1661.4374400000002</v>
      </c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2"/>
      <c r="BL7" s="92">
        <f t="shared" si="48"/>
        <v>0.31065088757396447</v>
      </c>
      <c r="BM7" s="92">
        <f t="shared" si="49"/>
        <v>0.58713017751479291</v>
      </c>
      <c r="BN7" s="92">
        <f t="shared" si="50"/>
        <v>0.99999999999999989</v>
      </c>
      <c r="BO7" s="92">
        <f t="shared" si="51"/>
        <v>1.6513313609467455</v>
      </c>
      <c r="BP7" s="92">
        <f t="shared" si="52"/>
        <v>2.5169695688926454</v>
      </c>
      <c r="BQ7" s="92">
        <f t="shared" si="53"/>
        <v>1.3420118343195262</v>
      </c>
      <c r="BR7" s="92">
        <f t="shared" si="54"/>
        <v>1.2552831783601011</v>
      </c>
      <c r="BS7" s="92">
        <f t="shared" si="55"/>
        <v>2.5110946745562122</v>
      </c>
      <c r="BT7" s="92">
        <f t="shared" si="56"/>
        <v>1.8452662721893491</v>
      </c>
      <c r="BU7" s="92">
        <f t="shared" si="57"/>
        <v>3.1534446322907863</v>
      </c>
      <c r="BV7" s="92">
        <f t="shared" si="58"/>
        <v>4.4360946745562133</v>
      </c>
      <c r="BW7" s="92">
        <f t="shared" si="59"/>
        <v>6.5731191885038021</v>
      </c>
      <c r="BX7" s="92">
        <f t="shared" si="60"/>
        <v>8.1360946745562117</v>
      </c>
      <c r="BY7" s="92">
        <f t="shared" si="61"/>
        <v>8.0777472527472511</v>
      </c>
      <c r="BZ7" s="92">
        <f t="shared" si="62"/>
        <v>10.934911242603546</v>
      </c>
      <c r="CA7" s="92">
        <f t="shared" si="63"/>
        <v>12.547728233305158</v>
      </c>
      <c r="CB7" s="92">
        <f t="shared" si="64"/>
        <v>16.880135249366017</v>
      </c>
      <c r="CC7" s="92" t="str">
        <f t="shared" si="65"/>
        <v/>
      </c>
      <c r="CD7" s="92" t="str">
        <f t="shared" si="66"/>
        <v/>
      </c>
      <c r="CE7" s="92" t="str">
        <f t="shared" si="67"/>
        <v/>
      </c>
      <c r="CF7" s="92" t="str">
        <f t="shared" si="68"/>
        <v/>
      </c>
      <c r="CG7" s="92" t="str">
        <f t="shared" si="69"/>
        <v/>
      </c>
      <c r="CH7" s="92" t="str">
        <f t="shared" si="70"/>
        <v/>
      </c>
      <c r="CI7" s="92" t="str">
        <f t="shared" si="71"/>
        <v/>
      </c>
      <c r="CJ7" s="92" t="str">
        <f t="shared" si="72"/>
        <v/>
      </c>
      <c r="CK7" s="92" t="str">
        <f t="shared" si="73"/>
        <v/>
      </c>
      <c r="CL7" s="92" t="str">
        <f t="shared" si="74"/>
        <v/>
      </c>
      <c r="CM7" s="92" t="str">
        <f t="shared" si="75"/>
        <v/>
      </c>
      <c r="CN7" s="92" t="str">
        <f t="shared" si="76"/>
        <v/>
      </c>
      <c r="CO7" s="92" t="str">
        <f t="shared" si="77"/>
        <v/>
      </c>
      <c r="CP7" s="92" t="str">
        <f t="shared" si="78"/>
        <v/>
      </c>
      <c r="CQ7" s="92" t="str">
        <f t="shared" si="79"/>
        <v/>
      </c>
      <c r="CR7" s="92" t="str">
        <f t="shared" si="80"/>
        <v/>
      </c>
      <c r="CS7" s="92" t="str">
        <f t="shared" si="81"/>
        <v/>
      </c>
      <c r="CT7" s="92" t="str">
        <f t="shared" si="82"/>
        <v/>
      </c>
      <c r="CU7" s="92" t="str">
        <f t="shared" si="83"/>
        <v/>
      </c>
      <c r="CV7" s="92" t="str">
        <f t="shared" si="84"/>
        <v/>
      </c>
      <c r="CW7" s="92" t="str">
        <f t="shared" si="85"/>
        <v/>
      </c>
      <c r="CX7" s="92" t="str">
        <f t="shared" si="86"/>
        <v/>
      </c>
      <c r="CY7" s="92" t="str">
        <f t="shared" si="87"/>
        <v/>
      </c>
    </row>
    <row r="8" spans="1:103">
      <c r="A8" s="27">
        <v>961157</v>
      </c>
      <c r="B8" s="1">
        <v>15</v>
      </c>
      <c r="C8" s="29" t="str">
        <f t="shared" si="42"/>
        <v>961157-15</v>
      </c>
      <c r="D8" s="28" t="s">
        <v>26</v>
      </c>
      <c r="E8" s="37" t="s">
        <v>49</v>
      </c>
      <c r="F8" s="31">
        <v>42340</v>
      </c>
      <c r="G8" s="38">
        <v>28.4</v>
      </c>
      <c r="H8" s="31">
        <v>42350</v>
      </c>
      <c r="I8" s="38">
        <v>30.5</v>
      </c>
      <c r="J8" s="165">
        <v>0.65972222222222221</v>
      </c>
      <c r="K8" s="38">
        <v>6.8</v>
      </c>
      <c r="L8" s="38">
        <v>5.8</v>
      </c>
      <c r="M8" s="32">
        <f t="shared" si="43"/>
        <v>118.95104000000001</v>
      </c>
      <c r="N8" s="39"/>
      <c r="O8" s="32">
        <f>M8*20/3</f>
        <v>793.00693333333345</v>
      </c>
      <c r="P8" s="32">
        <f t="shared" si="44"/>
        <v>39.650346666666671</v>
      </c>
      <c r="Q8" s="38">
        <v>608</v>
      </c>
      <c r="R8" s="158">
        <f t="shared" si="45"/>
        <v>5.1113466515299066</v>
      </c>
      <c r="S8" s="160">
        <f t="shared" si="46"/>
        <v>0.76670199772948588</v>
      </c>
      <c r="T8" s="118">
        <f t="shared" si="47"/>
        <v>15.334039954589718</v>
      </c>
      <c r="U8" s="33"/>
      <c r="V8" s="138"/>
      <c r="W8" s="87">
        <f>5.5*5.4*5.4*0.52</f>
        <v>83.397600000000011</v>
      </c>
      <c r="X8" s="93">
        <f>6.8*5.8*5.8*0.52</f>
        <v>118.95103999999999</v>
      </c>
      <c r="Y8" s="93">
        <f>6.8*5.8*5.8*0.52</f>
        <v>118.95103999999999</v>
      </c>
      <c r="Z8" s="93">
        <f>8.6*6.8*6.8*0.52</f>
        <v>206.78528</v>
      </c>
      <c r="AA8" s="93">
        <f>9.1*6.8*6.8*0.52</f>
        <v>218.80767999999998</v>
      </c>
      <c r="AB8" s="93">
        <f>8.8*6.8*6.8*0.52</f>
        <v>211.59424000000001</v>
      </c>
      <c r="AC8" s="93">
        <f>9.1*6.7*6.7*0.52</f>
        <v>212.41948000000002</v>
      </c>
      <c r="AD8" s="93">
        <f>8.3*6.3*6.3*0.52</f>
        <v>171.30204000000001</v>
      </c>
      <c r="AE8" s="93">
        <f>8.3*8.3*8.3*0.52</f>
        <v>297.32924000000008</v>
      </c>
      <c r="AF8" s="93">
        <f>11.3*8.2*8.2*0.52</f>
        <v>395.10223999999994</v>
      </c>
      <c r="AG8" s="93">
        <f>12.8*11.8*11.8*0.52</f>
        <v>926.7814400000002</v>
      </c>
      <c r="AH8" s="93">
        <f>15*12.4*12.4*0.52</f>
        <v>1199.328</v>
      </c>
      <c r="AI8" s="93">
        <f>15*14.2*14.2*0.52</f>
        <v>1572.7919999999999</v>
      </c>
      <c r="AJ8" s="93">
        <f>15.3*14.2*14.2*0.52</f>
        <v>1604.2478399999998</v>
      </c>
      <c r="AK8" s="93">
        <f>17.9*14.7*14.7*0.52</f>
        <v>2011.3657199999996</v>
      </c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2"/>
      <c r="BL8" s="92">
        <f t="shared" si="48"/>
        <v>0.70110862418689246</v>
      </c>
      <c r="BM8" s="92">
        <f t="shared" si="49"/>
        <v>0.99999999999999989</v>
      </c>
      <c r="BN8" s="92">
        <f t="shared" si="50"/>
        <v>0.99999999999999989</v>
      </c>
      <c r="BO8" s="92">
        <f t="shared" ref="BO8:BO41" si="88">IF(OR(ISERROR(Z8/$M8)=TRUE,ISBLANK(Z8)=TRUE),"",Z8/$M8)</f>
        <v>1.7384066587395957</v>
      </c>
      <c r="BP8" s="92">
        <f t="shared" ref="BP8:BP41" si="89">IF(OR(ISERROR(AA8/$M8)=TRUE,ISBLANK(AA8)=TRUE),"",AA8/$M8)</f>
        <v>1.8394768133174788</v>
      </c>
      <c r="BQ8" s="92">
        <f t="shared" ref="BQ8:BQ41" si="90">IF(OR(ISERROR(AB8/$M8)=TRUE,ISBLANK(AB8)=TRUE),"",AB8/$M8)</f>
        <v>1.7788347205707491</v>
      </c>
      <c r="BR8" s="92">
        <f t="shared" ref="BR8:BR41" si="91">IF(OR(ISERROR(AC8/$M8)=TRUE,ISBLANK(AC8)=TRUE),"",AC8/$M8)</f>
        <v>1.7857723648317829</v>
      </c>
      <c r="BS8" s="92">
        <f t="shared" ref="BS8:BS41" si="92">IF(OR(ISERROR(AD8/$M8)=TRUE,ISBLANK(AD8)=TRUE),"",AD8/$M8)</f>
        <v>1.4401054417010561</v>
      </c>
      <c r="BT8" s="92">
        <f t="shared" ref="BT8:BT41" si="93">IF(OR(ISERROR(AE8/$M8)=TRUE,ISBLANK(AE8)=TRUE),"",AE8/$M8)</f>
        <v>2.4995934461775202</v>
      </c>
      <c r="BU8" s="92">
        <f t="shared" ref="BU8:BU41" si="94">IF(OR(ISERROR(AF8/$M8)=TRUE,ISBLANK(AF8)=TRUE),"",AF8/$M8)</f>
        <v>3.3215534727565217</v>
      </c>
      <c r="BV8" s="92">
        <f t="shared" ref="BV8:BV41" si="95">IF(OR(ISERROR(AG8/$M8)=TRUE,ISBLANK(AG8)=TRUE),"",AG8/$M8)</f>
        <v>7.7912848849408984</v>
      </c>
      <c r="BW8" s="92">
        <f t="shared" ref="BW8:BW41" si="96">IF(OR(ISERROR(AH8/$M8)=TRUE,ISBLANK(AH8)=TRUE),"",AH8/$M8)</f>
        <v>10.082534797509966</v>
      </c>
      <c r="BX8" s="92">
        <f t="shared" ref="BX8:BX41" si="97">IF(OR(ISERROR(AI8/$M8)=TRUE,ISBLANK(AI8)=TRUE),"",AI8/$M8)</f>
        <v>13.222179478212212</v>
      </c>
      <c r="BY8" s="92">
        <f t="shared" ref="BY8:BY41" si="98">IF(OR(ISERROR(AJ8/$M8)=TRUE,ISBLANK(AJ8)=TRUE),"",AJ8/$M8)</f>
        <v>13.486623067776454</v>
      </c>
      <c r="BZ8" s="92">
        <f t="shared" ref="BZ8:BZ41" si="99">IF(OR(ISERROR(AK8/$M8)=TRUE,ISBLANK(AK8)=TRUE),"",AK8/$M8)</f>
        <v>16.909189865006642</v>
      </c>
      <c r="CA8" s="92" t="str">
        <f t="shared" ref="CA8:CA41" si="100">IF(OR(ISERROR(AL8/$M8)=TRUE,ISBLANK(AL8)=TRUE),"",AL8/$M8)</f>
        <v/>
      </c>
      <c r="CB8" s="92" t="str">
        <f t="shared" ref="CB8:CB41" si="101">IF(OR(ISERROR(AM8/$M8)=TRUE,ISBLANK(AM8)=TRUE),"",AM8/$M8)</f>
        <v/>
      </c>
      <c r="CC8" s="92" t="str">
        <f t="shared" ref="CC8:CC25" si="102">IF(OR(ISERROR(AN8/$M8)=TRUE,ISBLANK(AN8)=TRUE),"",AN8/$M8)</f>
        <v/>
      </c>
      <c r="CD8" s="92" t="str">
        <f t="shared" ref="CD8:CD41" si="103">IF(OR(ISERROR(AO8/$M8)=TRUE,ISBLANK(AO8)=TRUE),"",AO8/$M8)</f>
        <v/>
      </c>
      <c r="CE8" s="92" t="str">
        <f t="shared" ref="CE8:CE41" si="104">IF(OR(ISERROR(AP8/$M8)=TRUE,ISBLANK(AP8)=TRUE),"",AP8/$M8)</f>
        <v/>
      </c>
      <c r="CF8" s="92" t="str">
        <f t="shared" ref="CF8:CF41" si="105">IF(OR(ISERROR(AQ8/$M8)=TRUE,ISBLANK(AQ8)=TRUE),"",AQ8/$M8)</f>
        <v/>
      </c>
      <c r="CG8" s="92" t="str">
        <f t="shared" ref="CG8:CG41" si="106">IF(OR(ISERROR(AR8/$M8)=TRUE,ISBLANK(AR8)=TRUE),"",AR8/$M8)</f>
        <v/>
      </c>
      <c r="CH8" s="92" t="str">
        <f t="shared" ref="CH8:CH41" si="107">IF(OR(ISERROR(AS8/$M8)=TRUE,ISBLANK(AS8)=TRUE),"",AS8/$M8)</f>
        <v/>
      </c>
      <c r="CI8" s="92" t="str">
        <f t="shared" ref="CI8:CI41" si="108">IF(OR(ISERROR(AT8/$M8)=TRUE,ISBLANK(AT8)=TRUE),"",AT8/$M8)</f>
        <v/>
      </c>
      <c r="CJ8" s="92" t="str">
        <f t="shared" ref="CJ8:CJ41" si="109">IF(OR(ISERROR(AU8/$M8)=TRUE,ISBLANK(AU8)=TRUE),"",AU8/$M8)</f>
        <v/>
      </c>
      <c r="CK8" s="92" t="str">
        <f t="shared" ref="CK8:CK41" si="110">IF(OR(ISERROR(AV8/$M8)=TRUE,ISBLANK(AV8)=TRUE),"",AV8/$M8)</f>
        <v/>
      </c>
      <c r="CL8" s="92" t="str">
        <f t="shared" ref="CL8:CL41" si="111">IF(OR(ISERROR(AW8/$M8)=TRUE,ISBLANK(AW8)=TRUE),"",AW8/$M8)</f>
        <v/>
      </c>
      <c r="CM8" s="92" t="str">
        <f t="shared" ref="CM8:CM41" si="112">IF(OR(ISERROR(AX8/$M8)=TRUE,ISBLANK(AX8)=TRUE),"",AX8/$M8)</f>
        <v/>
      </c>
      <c r="CN8" s="92" t="str">
        <f t="shared" ref="CN8:CN41" si="113">IF(OR(ISERROR(AY8/$M8)=TRUE,ISBLANK(AY8)=TRUE),"",AY8/$M8)</f>
        <v/>
      </c>
      <c r="CO8" s="92" t="str">
        <f t="shared" ref="CO8:CO41" si="114">IF(OR(ISERROR(AZ8/$M8)=TRUE,ISBLANK(AZ8)=TRUE),"",AZ8/$M8)</f>
        <v/>
      </c>
      <c r="CP8" s="92" t="str">
        <f t="shared" ref="CP8:CP41" si="115">IF(OR(ISERROR(BA8/$M8)=TRUE,ISBLANK(BA8)=TRUE),"",BA8/$M8)</f>
        <v/>
      </c>
      <c r="CQ8" s="92" t="str">
        <f t="shared" ref="CQ8:CQ41" si="116">IF(OR(ISERROR(BB8/$M8)=TRUE,ISBLANK(BB8)=TRUE),"",BB8/$M8)</f>
        <v/>
      </c>
      <c r="CR8" s="92" t="str">
        <f t="shared" ref="CR8:CR41" si="117">IF(OR(ISERROR(BC8/$M8)=TRUE,ISBLANK(BC8)=TRUE),"",BC8/$M8)</f>
        <v/>
      </c>
      <c r="CS8" s="92" t="str">
        <f t="shared" ref="CS8:CS41" si="118">IF(OR(ISERROR(BD8/$M8)=TRUE,ISBLANK(BD8)=TRUE),"",BD8/$M8)</f>
        <v/>
      </c>
      <c r="CT8" s="92" t="str">
        <f t="shared" ref="CT8:CT41" si="119">IF(OR(ISERROR(BE8/$M8)=TRUE,ISBLANK(BE8)=TRUE),"",BE8/$M8)</f>
        <v/>
      </c>
      <c r="CU8" s="92" t="str">
        <f t="shared" ref="CU8:CU41" si="120">IF(OR(ISERROR(BF8/$M8)=TRUE,ISBLANK(BF8)=TRUE),"",BF8/$M8)</f>
        <v/>
      </c>
      <c r="CV8" s="92" t="str">
        <f t="shared" ref="CV8:CV41" si="121">IF(OR(ISERROR(BG8/$M8)=TRUE,ISBLANK(BG8)=TRUE),"",BG8/$M8)</f>
        <v/>
      </c>
      <c r="CW8" s="92" t="str">
        <f t="shared" ref="CW8:CW41" si="122">IF(OR(ISERROR(BH8/$M8)=TRUE,ISBLANK(BH8)=TRUE),"",BH8/$M8)</f>
        <v/>
      </c>
      <c r="CX8" s="92" t="str">
        <f t="shared" ref="CX8:CX41" si="123">IF(OR(ISERROR(BI8/$M8)=TRUE,ISBLANK(BI8)=TRUE),"",BI8/$M8)</f>
        <v/>
      </c>
      <c r="CY8" s="92" t="str">
        <f t="shared" ref="CY8:CY41" si="124">IF(OR(ISERROR(BJ8/$M8)=TRUE,ISBLANK(BJ8)=TRUE),"",BJ8/$M8)</f>
        <v/>
      </c>
    </row>
    <row r="9" spans="1:103">
      <c r="A9" s="41">
        <v>961158</v>
      </c>
      <c r="B9" s="1">
        <v>23</v>
      </c>
      <c r="C9" s="29" t="str">
        <f t="shared" si="42"/>
        <v>961158-23</v>
      </c>
      <c r="D9" s="28" t="s">
        <v>26</v>
      </c>
      <c r="E9" s="37" t="s">
        <v>34</v>
      </c>
      <c r="F9" s="31">
        <v>42340</v>
      </c>
      <c r="G9" s="38">
        <v>23.8</v>
      </c>
      <c r="H9" s="31">
        <v>42350</v>
      </c>
      <c r="I9" s="38">
        <v>24.8</v>
      </c>
      <c r="J9" s="165"/>
      <c r="K9" s="38">
        <v>7.4</v>
      </c>
      <c r="L9" s="38">
        <v>5.7</v>
      </c>
      <c r="M9" s="32">
        <f t="shared" si="43"/>
        <v>125.02152000000001</v>
      </c>
      <c r="N9" s="39"/>
      <c r="O9" s="32">
        <v>0</v>
      </c>
      <c r="P9" s="32">
        <f t="shared" si="44"/>
        <v>41.673840000000006</v>
      </c>
      <c r="Q9" s="38">
        <v>0</v>
      </c>
      <c r="R9" s="158">
        <f t="shared" si="45"/>
        <v>0</v>
      </c>
      <c r="S9" s="160" t="e">
        <f t="shared" si="46"/>
        <v>#DIV/0!</v>
      </c>
      <c r="T9" s="118">
        <f t="shared" si="47"/>
        <v>0</v>
      </c>
      <c r="U9" s="33"/>
      <c r="V9" s="138"/>
      <c r="W9" s="87">
        <f>6.8*5.1*5.1*0.52</f>
        <v>91.971360000000004</v>
      </c>
      <c r="X9" s="93">
        <f>7.2*5.8*5.8*0.52</f>
        <v>125.94815999999999</v>
      </c>
      <c r="Y9" s="93">
        <f>7.4*5.7*5.7*0.52</f>
        <v>125.02152000000002</v>
      </c>
      <c r="Z9" s="93">
        <f>8.3*6.9*6.9*0.52</f>
        <v>205.48476000000005</v>
      </c>
      <c r="AA9" s="93">
        <f>8.4*7.4*7.4*0.52</f>
        <v>239.19168000000002</v>
      </c>
      <c r="AB9" s="93">
        <f>9.4*7.7*7.7*0.52</f>
        <v>289.80952000000008</v>
      </c>
      <c r="AC9" s="93">
        <f>10.8*8.8*8.8*0.52</f>
        <v>434.90304000000015</v>
      </c>
      <c r="AD9" s="93">
        <f>11.9*9.8*9.8*0.52</f>
        <v>594.29552000000012</v>
      </c>
      <c r="AE9" s="93">
        <f>12.9*11*11*0.52</f>
        <v>811.66800000000012</v>
      </c>
      <c r="AF9" s="93">
        <f>15.3*12.4*12.4*0.52</f>
        <v>1223.3145600000003</v>
      </c>
      <c r="AG9" s="93">
        <f>17.7*16*16*0.52</f>
        <v>2356.2240000000002</v>
      </c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2"/>
      <c r="BL9" s="92">
        <f t="shared" si="48"/>
        <v>0.73564423148910685</v>
      </c>
      <c r="BM9" s="92">
        <f t="shared" si="49"/>
        <v>1.0074118439769408</v>
      </c>
      <c r="BN9" s="92">
        <f t="shared" si="50"/>
        <v>1.0000000000000002</v>
      </c>
      <c r="BO9" s="92">
        <f t="shared" si="88"/>
        <v>1.6435951186643711</v>
      </c>
      <c r="BP9" s="92">
        <f t="shared" si="89"/>
        <v>1.9132040627885503</v>
      </c>
      <c r="BQ9" s="92">
        <f t="shared" si="90"/>
        <v>2.3180770798499335</v>
      </c>
      <c r="BR9" s="92">
        <f t="shared" si="91"/>
        <v>3.4786254398442775</v>
      </c>
      <c r="BS9" s="92">
        <f t="shared" si="92"/>
        <v>4.7535457895568705</v>
      </c>
      <c r="BT9" s="92">
        <f t="shared" si="93"/>
        <v>6.4922262983204817</v>
      </c>
      <c r="BU9" s="92">
        <f t="shared" si="94"/>
        <v>9.7848319233360801</v>
      </c>
      <c r="BV9" s="92">
        <f t="shared" si="95"/>
        <v>18.846547378403333</v>
      </c>
      <c r="BW9" s="92" t="str">
        <f t="shared" si="96"/>
        <v/>
      </c>
      <c r="BX9" s="92" t="str">
        <f t="shared" si="97"/>
        <v/>
      </c>
      <c r="BY9" s="92" t="str">
        <f t="shared" si="98"/>
        <v/>
      </c>
      <c r="BZ9" s="92" t="str">
        <f t="shared" si="99"/>
        <v/>
      </c>
      <c r="CA9" s="92" t="str">
        <f t="shared" si="100"/>
        <v/>
      </c>
      <c r="CB9" s="92" t="str">
        <f t="shared" si="101"/>
        <v/>
      </c>
      <c r="CC9" s="92" t="str">
        <f t="shared" si="102"/>
        <v/>
      </c>
      <c r="CD9" s="92" t="str">
        <f t="shared" si="103"/>
        <v/>
      </c>
      <c r="CE9" s="92" t="str">
        <f t="shared" si="104"/>
        <v/>
      </c>
      <c r="CF9" s="92" t="str">
        <f t="shared" si="105"/>
        <v/>
      </c>
      <c r="CG9" s="92" t="str">
        <f t="shared" si="106"/>
        <v/>
      </c>
      <c r="CH9" s="92" t="str">
        <f t="shared" si="107"/>
        <v/>
      </c>
      <c r="CI9" s="92" t="str">
        <f t="shared" si="108"/>
        <v/>
      </c>
      <c r="CJ9" s="92" t="str">
        <f t="shared" si="109"/>
        <v/>
      </c>
      <c r="CK9" s="92" t="str">
        <f t="shared" si="110"/>
        <v/>
      </c>
      <c r="CL9" s="92" t="str">
        <f t="shared" si="111"/>
        <v/>
      </c>
      <c r="CM9" s="92" t="str">
        <f t="shared" si="112"/>
        <v/>
      </c>
      <c r="CN9" s="92" t="str">
        <f t="shared" si="113"/>
        <v/>
      </c>
      <c r="CO9" s="92" t="str">
        <f t="shared" si="114"/>
        <v/>
      </c>
      <c r="CP9" s="92" t="str">
        <f t="shared" si="115"/>
        <v/>
      </c>
      <c r="CQ9" s="92" t="str">
        <f t="shared" si="116"/>
        <v/>
      </c>
      <c r="CR9" s="92" t="str">
        <f t="shared" si="117"/>
        <v/>
      </c>
      <c r="CS9" s="92" t="str">
        <f t="shared" si="118"/>
        <v/>
      </c>
      <c r="CT9" s="92" t="str">
        <f t="shared" si="119"/>
        <v/>
      </c>
      <c r="CU9" s="92" t="str">
        <f t="shared" si="120"/>
        <v/>
      </c>
      <c r="CV9" s="92" t="str">
        <f t="shared" si="121"/>
        <v/>
      </c>
      <c r="CW9" s="92" t="str">
        <f t="shared" si="122"/>
        <v/>
      </c>
      <c r="CX9" s="92" t="str">
        <f t="shared" si="123"/>
        <v/>
      </c>
      <c r="CY9" s="92" t="str">
        <f t="shared" si="124"/>
        <v/>
      </c>
    </row>
    <row r="10" spans="1:103">
      <c r="A10" s="41">
        <v>961158</v>
      </c>
      <c r="B10" s="1">
        <v>24</v>
      </c>
      <c r="C10" s="29" t="str">
        <f t="shared" si="42"/>
        <v>961158-24</v>
      </c>
      <c r="D10" s="28" t="s">
        <v>26</v>
      </c>
      <c r="E10" s="37" t="s">
        <v>47</v>
      </c>
      <c r="F10" s="31">
        <v>42340</v>
      </c>
      <c r="G10" s="38">
        <v>22.3</v>
      </c>
      <c r="H10" s="31">
        <v>42350</v>
      </c>
      <c r="I10" s="38">
        <v>22.9</v>
      </c>
      <c r="J10" s="165">
        <v>0.62916666666666665</v>
      </c>
      <c r="K10" s="38">
        <v>6.8</v>
      </c>
      <c r="L10" s="38">
        <v>4.8</v>
      </c>
      <c r="M10" s="32">
        <f t="shared" si="43"/>
        <v>81.469440000000006</v>
      </c>
      <c r="N10" s="39"/>
      <c r="O10" s="38">
        <f>M10*10/3</f>
        <v>271.56480000000005</v>
      </c>
      <c r="P10" s="32">
        <f t="shared" si="44"/>
        <v>27.156480000000002</v>
      </c>
      <c r="Q10" s="38">
        <v>131</v>
      </c>
      <c r="R10" s="158">
        <f t="shared" si="45"/>
        <v>1.6079649007038712</v>
      </c>
      <c r="S10" s="160">
        <f t="shared" si="46"/>
        <v>0.4823894702111613</v>
      </c>
      <c r="T10" s="118">
        <f t="shared" si="47"/>
        <v>4.8238947021116134</v>
      </c>
      <c r="U10" s="33"/>
      <c r="V10" s="138"/>
      <c r="W10" s="87">
        <f>6.1*5*5*0.52</f>
        <v>79.3</v>
      </c>
      <c r="X10" s="93">
        <f>6.9*5.1*5.1*0.52</f>
        <v>93.323879999999988</v>
      </c>
      <c r="Y10" s="93">
        <f>6.8*4.8*4.8*0.52</f>
        <v>81.469440000000006</v>
      </c>
      <c r="Z10" s="93">
        <f>7.2*5.8*5.8*0.52</f>
        <v>125.94815999999999</v>
      </c>
      <c r="AA10" s="93">
        <f>8.2*6.2*6.2*0.52</f>
        <v>163.90815999999998</v>
      </c>
      <c r="AB10" s="93">
        <f>8*6.4*6.4*0.52</f>
        <v>170.39360000000005</v>
      </c>
      <c r="AC10" s="93">
        <f>8.2*6.6*6.6*0.52</f>
        <v>185.73983999999996</v>
      </c>
      <c r="AD10" s="93">
        <f>10.2*8.6*8.6*0.52</f>
        <v>392.28383999999994</v>
      </c>
      <c r="AE10" s="93">
        <f>10.8*8.8*8.8*0.52</f>
        <v>434.90304000000015</v>
      </c>
      <c r="AF10" s="93">
        <f>12.5*9.5*9.5*0.52</f>
        <v>586.625</v>
      </c>
      <c r="AG10" s="93">
        <f>13.8*12.3*12.3*0.52</f>
        <v>1085.6570400000001</v>
      </c>
      <c r="AH10" s="93">
        <f>15.2*13.4*13.4*0.52</f>
        <v>1419.2422400000003</v>
      </c>
      <c r="AI10" s="93">
        <f>16*14.2*14.2*0.52</f>
        <v>1677.6448</v>
      </c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2"/>
      <c r="BL10" s="92">
        <f t="shared" si="48"/>
        <v>0.97337111928104569</v>
      </c>
      <c r="BM10" s="92">
        <f t="shared" si="49"/>
        <v>1.1455078124999998</v>
      </c>
      <c r="BN10" s="92">
        <f t="shared" si="50"/>
        <v>1</v>
      </c>
      <c r="BO10" s="92">
        <f t="shared" si="88"/>
        <v>1.5459558823529409</v>
      </c>
      <c r="BP10" s="92">
        <f t="shared" si="89"/>
        <v>2.011897467320261</v>
      </c>
      <c r="BQ10" s="92">
        <f t="shared" si="90"/>
        <v>2.0915032679738568</v>
      </c>
      <c r="BR10" s="92">
        <f t="shared" si="91"/>
        <v>2.2798713235294112</v>
      </c>
      <c r="BS10" s="92">
        <f t="shared" si="92"/>
        <v>4.8151041666666652</v>
      </c>
      <c r="BT10" s="92">
        <f t="shared" si="93"/>
        <v>5.3382352941176485</v>
      </c>
      <c r="BU10" s="92">
        <f t="shared" si="94"/>
        <v>7.200552747140522</v>
      </c>
      <c r="BV10" s="92">
        <f t="shared" si="95"/>
        <v>13.325942095588236</v>
      </c>
      <c r="BW10" s="92">
        <f t="shared" si="96"/>
        <v>17.420547385620917</v>
      </c>
      <c r="BX10" s="92">
        <f t="shared" si="97"/>
        <v>20.592320261437909</v>
      </c>
      <c r="BY10" s="92" t="str">
        <f t="shared" si="98"/>
        <v/>
      </c>
      <c r="BZ10" s="92" t="str">
        <f t="shared" si="99"/>
        <v/>
      </c>
      <c r="CA10" s="92" t="str">
        <f t="shared" si="100"/>
        <v/>
      </c>
      <c r="CB10" s="92" t="str">
        <f t="shared" si="101"/>
        <v/>
      </c>
      <c r="CC10" s="92" t="str">
        <f t="shared" si="102"/>
        <v/>
      </c>
      <c r="CD10" s="92" t="str">
        <f t="shared" si="103"/>
        <v/>
      </c>
      <c r="CE10" s="92" t="str">
        <f t="shared" si="104"/>
        <v/>
      </c>
      <c r="CF10" s="92" t="str">
        <f t="shared" si="105"/>
        <v/>
      </c>
      <c r="CG10" s="92" t="str">
        <f t="shared" si="106"/>
        <v/>
      </c>
      <c r="CH10" s="92" t="str">
        <f t="shared" si="107"/>
        <v/>
      </c>
      <c r="CI10" s="92" t="str">
        <f t="shared" si="108"/>
        <v/>
      </c>
      <c r="CJ10" s="92" t="str">
        <f t="shared" si="109"/>
        <v/>
      </c>
      <c r="CK10" s="92" t="str">
        <f t="shared" si="110"/>
        <v/>
      </c>
      <c r="CL10" s="92" t="str">
        <f t="shared" si="111"/>
        <v/>
      </c>
      <c r="CM10" s="92" t="str">
        <f t="shared" si="112"/>
        <v/>
      </c>
      <c r="CN10" s="92" t="str">
        <f t="shared" si="113"/>
        <v/>
      </c>
      <c r="CO10" s="92" t="str">
        <f t="shared" si="114"/>
        <v/>
      </c>
      <c r="CP10" s="92" t="str">
        <f t="shared" si="115"/>
        <v/>
      </c>
      <c r="CQ10" s="92" t="str">
        <f t="shared" si="116"/>
        <v/>
      </c>
      <c r="CR10" s="92" t="str">
        <f t="shared" si="117"/>
        <v/>
      </c>
      <c r="CS10" s="92" t="str">
        <f t="shared" si="118"/>
        <v/>
      </c>
      <c r="CT10" s="92" t="str">
        <f t="shared" si="119"/>
        <v/>
      </c>
      <c r="CU10" s="92" t="str">
        <f t="shared" si="120"/>
        <v/>
      </c>
      <c r="CV10" s="92" t="str">
        <f t="shared" si="121"/>
        <v/>
      </c>
      <c r="CW10" s="92" t="str">
        <f t="shared" si="122"/>
        <v/>
      </c>
      <c r="CX10" s="92" t="str">
        <f t="shared" si="123"/>
        <v/>
      </c>
      <c r="CY10" s="92" t="str">
        <f t="shared" si="124"/>
        <v/>
      </c>
    </row>
    <row r="11" spans="1:103">
      <c r="A11" s="41">
        <v>961156</v>
      </c>
      <c r="B11" s="1">
        <v>31</v>
      </c>
      <c r="C11" s="29" t="str">
        <f t="shared" si="42"/>
        <v>961156-31</v>
      </c>
      <c r="D11" s="28" t="s">
        <v>26</v>
      </c>
      <c r="E11" s="37" t="s">
        <v>49</v>
      </c>
      <c r="F11" s="31">
        <v>42340</v>
      </c>
      <c r="G11" s="38">
        <v>22</v>
      </c>
      <c r="H11" s="31">
        <v>42350</v>
      </c>
      <c r="I11" s="38">
        <v>23.5</v>
      </c>
      <c r="J11" s="165">
        <v>0.65</v>
      </c>
      <c r="K11" s="38">
        <v>6.8</v>
      </c>
      <c r="L11" s="38">
        <v>5.2</v>
      </c>
      <c r="M11" s="32">
        <f t="shared" si="43"/>
        <v>95.613440000000011</v>
      </c>
      <c r="N11" s="39"/>
      <c r="O11" s="38">
        <f>M11*20/3</f>
        <v>637.42293333333339</v>
      </c>
      <c r="P11" s="32">
        <f t="shared" si="44"/>
        <v>31.871146666666672</v>
      </c>
      <c r="Q11" s="38">
        <v>550</v>
      </c>
      <c r="R11" s="158">
        <f t="shared" si="45"/>
        <v>5.7523293796353308</v>
      </c>
      <c r="S11" s="160">
        <f t="shared" si="46"/>
        <v>0.86284940694529966</v>
      </c>
      <c r="T11" s="118">
        <f t="shared" si="47"/>
        <v>17.256988138905992</v>
      </c>
      <c r="U11" s="33"/>
      <c r="V11" s="138"/>
      <c r="W11" s="87"/>
      <c r="X11" s="93">
        <f>6.1*4.8*4.8*0.52</f>
        <v>73.082879999999989</v>
      </c>
      <c r="Y11" s="93">
        <f>6.8*5.2*5.2*0.52</f>
        <v>95.613440000000011</v>
      </c>
      <c r="Z11" s="93">
        <f>6.3*5.7*5.7*0.52</f>
        <v>106.43723999999999</v>
      </c>
      <c r="AA11" s="93">
        <f>7.1*7.1*7.1*0.52</f>
        <v>186.11371999999997</v>
      </c>
      <c r="AB11" s="93">
        <f>7.2*6.5*6.5*0.52</f>
        <v>158.18400000000003</v>
      </c>
      <c r="AC11" s="93">
        <f>7.2*6.5*6.5*0.52</f>
        <v>158.18400000000003</v>
      </c>
      <c r="AD11" s="93">
        <f>7.8*6.5*6.5*0.52</f>
        <v>171.36599999999999</v>
      </c>
      <c r="AE11" s="93">
        <f>7.5*5.8*5.8*0.52</f>
        <v>131.196</v>
      </c>
      <c r="AF11" s="93">
        <f>7.2*4.9*4.9*0.52</f>
        <v>89.893440000000012</v>
      </c>
      <c r="AG11" s="93">
        <f>7.5*5.2*5.2*0.52</f>
        <v>105.456</v>
      </c>
      <c r="AH11" s="93">
        <f>8.6*6*6*0.52</f>
        <v>160.99199999999999</v>
      </c>
      <c r="AI11" s="93">
        <f>8.5*6.8*6.8*0.52</f>
        <v>204.38079999999999</v>
      </c>
      <c r="AJ11" s="93">
        <f>6.6*5.9*5.9*0.52</f>
        <v>119.46792000000001</v>
      </c>
      <c r="AK11" s="93">
        <f>9.2*7*7*0.52</f>
        <v>234.416</v>
      </c>
      <c r="AL11" s="93">
        <f>9.7*8.8*8.8*0.52</f>
        <v>390.60736000000003</v>
      </c>
      <c r="AM11" s="93">
        <f>9.3*8.8*8.8*0.52</f>
        <v>374.49984000000012</v>
      </c>
      <c r="AN11" s="93">
        <f>11.2*9.3*9.3*0.52</f>
        <v>503.71776</v>
      </c>
      <c r="AO11" s="93">
        <f>11.8*11.4*11.4*0.52</f>
        <v>797.43456000000015</v>
      </c>
      <c r="AP11" s="93">
        <f>13.3*13.2*13.2*0.52</f>
        <v>1205.04384</v>
      </c>
      <c r="AQ11" s="93">
        <f>14.8*13.4*13.4*0.52</f>
        <v>1381.8937600000002</v>
      </c>
      <c r="AR11" s="93">
        <f>16.6*15*15*0.52</f>
        <v>1942.2000000000003</v>
      </c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2"/>
      <c r="BL11" s="92" t="str">
        <f t="shared" si="48"/>
        <v/>
      </c>
      <c r="BM11" s="92">
        <f t="shared" si="49"/>
        <v>0.76435781413156956</v>
      </c>
      <c r="BN11" s="92">
        <f t="shared" si="50"/>
        <v>1</v>
      </c>
      <c r="BO11" s="92">
        <f t="shared" si="88"/>
        <v>1.1132037504350851</v>
      </c>
      <c r="BP11" s="92">
        <f t="shared" si="89"/>
        <v>1.9465225809258611</v>
      </c>
      <c r="BQ11" s="92">
        <f t="shared" si="90"/>
        <v>1.6544117647058825</v>
      </c>
      <c r="BR11" s="92">
        <f t="shared" si="91"/>
        <v>1.6544117647058825</v>
      </c>
      <c r="BS11" s="92">
        <f t="shared" si="92"/>
        <v>1.7922794117647056</v>
      </c>
      <c r="BT11" s="92">
        <f t="shared" si="93"/>
        <v>1.3721501914375216</v>
      </c>
      <c r="BU11" s="92">
        <f t="shared" si="94"/>
        <v>0.94017577445179257</v>
      </c>
      <c r="BV11" s="92">
        <f t="shared" si="95"/>
        <v>1.1029411764705881</v>
      </c>
      <c r="BW11" s="92">
        <f t="shared" si="96"/>
        <v>1.683780020884093</v>
      </c>
      <c r="BX11" s="92">
        <f t="shared" si="97"/>
        <v>2.1375739644970411</v>
      </c>
      <c r="BY11" s="92">
        <f t="shared" si="98"/>
        <v>1.2494887747998606</v>
      </c>
      <c r="BZ11" s="92">
        <f t="shared" si="99"/>
        <v>2.4517055342847196</v>
      </c>
      <c r="CA11" s="92">
        <f t="shared" si="100"/>
        <v>4.0852767142359898</v>
      </c>
      <c r="CB11" s="92">
        <f t="shared" si="101"/>
        <v>3.9168116950922389</v>
      </c>
      <c r="CC11" s="92">
        <f t="shared" si="102"/>
        <v>5.2682735816219974</v>
      </c>
      <c r="CD11" s="92">
        <f t="shared" si="103"/>
        <v>8.3401931778628615</v>
      </c>
      <c r="CE11" s="92">
        <f t="shared" si="104"/>
        <v>12.603289244691959</v>
      </c>
      <c r="CF11" s="92">
        <f t="shared" si="105"/>
        <v>14.452923773059519</v>
      </c>
      <c r="CG11" s="92">
        <f t="shared" si="106"/>
        <v>20.313043856595893</v>
      </c>
      <c r="CH11" s="92" t="str">
        <f t="shared" si="107"/>
        <v/>
      </c>
      <c r="CI11" s="92" t="str">
        <f t="shared" si="108"/>
        <v/>
      </c>
      <c r="CJ11" s="92" t="str">
        <f t="shared" si="109"/>
        <v/>
      </c>
      <c r="CK11" s="92" t="str">
        <f t="shared" si="110"/>
        <v/>
      </c>
      <c r="CL11" s="92" t="str">
        <f t="shared" si="111"/>
        <v/>
      </c>
      <c r="CM11" s="92" t="str">
        <f t="shared" si="112"/>
        <v/>
      </c>
      <c r="CN11" s="92" t="str">
        <f t="shared" si="113"/>
        <v/>
      </c>
      <c r="CO11" s="92" t="str">
        <f t="shared" si="114"/>
        <v/>
      </c>
      <c r="CP11" s="92" t="str">
        <f t="shared" si="115"/>
        <v/>
      </c>
      <c r="CQ11" s="92" t="str">
        <f t="shared" si="116"/>
        <v/>
      </c>
      <c r="CR11" s="92" t="str">
        <f t="shared" si="117"/>
        <v/>
      </c>
      <c r="CS11" s="92" t="str">
        <f t="shared" si="118"/>
        <v/>
      </c>
      <c r="CT11" s="92" t="str">
        <f t="shared" si="119"/>
        <v/>
      </c>
      <c r="CU11" s="92" t="str">
        <f t="shared" si="120"/>
        <v/>
      </c>
      <c r="CV11" s="92" t="str">
        <f t="shared" si="121"/>
        <v/>
      </c>
      <c r="CW11" s="92" t="str">
        <f t="shared" si="122"/>
        <v/>
      </c>
      <c r="CX11" s="92" t="str">
        <f t="shared" si="123"/>
        <v/>
      </c>
      <c r="CY11" s="92" t="str">
        <f t="shared" si="124"/>
        <v/>
      </c>
    </row>
    <row r="12" spans="1:103">
      <c r="A12" s="41">
        <v>961156</v>
      </c>
      <c r="B12" s="1">
        <v>34</v>
      </c>
      <c r="C12" s="29" t="str">
        <f t="shared" si="42"/>
        <v>961156-34</v>
      </c>
      <c r="D12" s="28" t="s">
        <v>26</v>
      </c>
      <c r="E12" s="37" t="s">
        <v>35</v>
      </c>
      <c r="F12" s="31">
        <v>42340</v>
      </c>
      <c r="G12" s="38">
        <v>23.2</v>
      </c>
      <c r="H12" s="31">
        <v>42350</v>
      </c>
      <c r="I12" s="38">
        <v>26.2</v>
      </c>
      <c r="J12" s="165"/>
      <c r="K12" s="38">
        <v>6.1</v>
      </c>
      <c r="L12" s="38">
        <v>6.1</v>
      </c>
      <c r="M12" s="32">
        <f t="shared" si="43"/>
        <v>118.03011999999997</v>
      </c>
      <c r="N12" s="39"/>
      <c r="O12" s="38">
        <v>0</v>
      </c>
      <c r="P12" s="32">
        <f t="shared" si="44"/>
        <v>39.343373333333325</v>
      </c>
      <c r="Q12" s="38">
        <v>0</v>
      </c>
      <c r="R12" s="158">
        <f t="shared" si="45"/>
        <v>0</v>
      </c>
      <c r="S12" s="160" t="e">
        <f t="shared" si="46"/>
        <v>#DIV/0!</v>
      </c>
      <c r="T12" s="118">
        <f t="shared" si="47"/>
        <v>0</v>
      </c>
      <c r="U12" s="33"/>
      <c r="V12" s="138"/>
      <c r="W12" s="87">
        <f>4.6*4.4*4.4*0.52</f>
        <v>46.30912</v>
      </c>
      <c r="X12" s="93">
        <f>5.7*5.1*5.1*0.52</f>
        <v>77.093640000000008</v>
      </c>
      <c r="Y12" s="93">
        <f>6.1*6.1*6.1*0.52</f>
        <v>118.03011999999997</v>
      </c>
      <c r="Z12" s="93">
        <f>7.5*6.1*6.1*0.52</f>
        <v>145.119</v>
      </c>
      <c r="AA12" s="93">
        <f>6.8*6.4*6.4*0.52</f>
        <v>144.83456000000001</v>
      </c>
      <c r="AB12" s="93">
        <f>7.2*6.3*6.3*0.52</f>
        <v>148.59935999999999</v>
      </c>
      <c r="AC12" s="93">
        <f>7.3*6.7*6.7*0.52</f>
        <v>170.40244000000001</v>
      </c>
      <c r="AD12" s="93">
        <f>11.1*8.3*8.3*0.52</f>
        <v>397.63308000000012</v>
      </c>
      <c r="AE12" s="93">
        <f>12.7*10.7*10.7*0.52</f>
        <v>756.09195999999986</v>
      </c>
      <c r="AF12" s="93">
        <f>13.7*10.9*10.9*0.52</f>
        <v>846.40243999999996</v>
      </c>
      <c r="AG12" s="93">
        <f>17.8*13.9*13.9*0.52</f>
        <v>1788.3517600000002</v>
      </c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2"/>
      <c r="BL12" s="92">
        <f t="shared" si="48"/>
        <v>0.3923500204862963</v>
      </c>
      <c r="BM12" s="92">
        <f t="shared" si="49"/>
        <v>0.65316920799538314</v>
      </c>
      <c r="BN12" s="92">
        <f t="shared" si="50"/>
        <v>1</v>
      </c>
      <c r="BO12" s="92">
        <f t="shared" si="88"/>
        <v>1.2295081967213117</v>
      </c>
      <c r="BP12" s="92">
        <f t="shared" si="89"/>
        <v>1.2270983033822218</v>
      </c>
      <c r="BQ12" s="92">
        <f t="shared" si="90"/>
        <v>1.2589952462981486</v>
      </c>
      <c r="BR12" s="92">
        <f t="shared" si="91"/>
        <v>1.4437199589392951</v>
      </c>
      <c r="BS12" s="92">
        <f t="shared" si="92"/>
        <v>3.3689119353602304</v>
      </c>
      <c r="BT12" s="92">
        <f t="shared" si="93"/>
        <v>6.4059238438459616</v>
      </c>
      <c r="BU12" s="92">
        <f t="shared" si="94"/>
        <v>7.1710715874897035</v>
      </c>
      <c r="BV12" s="92">
        <f t="shared" si="95"/>
        <v>15.151655865468921</v>
      </c>
      <c r="BW12" s="92" t="str">
        <f t="shared" si="96"/>
        <v/>
      </c>
      <c r="BX12" s="92" t="str">
        <f t="shared" si="97"/>
        <v/>
      </c>
      <c r="BY12" s="92" t="str">
        <f t="shared" si="98"/>
        <v/>
      </c>
      <c r="BZ12" s="92" t="str">
        <f t="shared" si="99"/>
        <v/>
      </c>
      <c r="CA12" s="92" t="str">
        <f t="shared" si="100"/>
        <v/>
      </c>
      <c r="CB12" s="92" t="str">
        <f t="shared" si="101"/>
        <v/>
      </c>
      <c r="CC12" s="92" t="str">
        <f t="shared" si="102"/>
        <v/>
      </c>
      <c r="CD12" s="92" t="str">
        <f t="shared" si="103"/>
        <v/>
      </c>
      <c r="CE12" s="92" t="str">
        <f t="shared" si="104"/>
        <v/>
      </c>
      <c r="CF12" s="92" t="str">
        <f t="shared" si="105"/>
        <v/>
      </c>
      <c r="CG12" s="92" t="str">
        <f t="shared" si="106"/>
        <v/>
      </c>
      <c r="CH12" s="92" t="str">
        <f t="shared" si="107"/>
        <v/>
      </c>
      <c r="CI12" s="92" t="str">
        <f t="shared" si="108"/>
        <v/>
      </c>
      <c r="CJ12" s="92" t="str">
        <f t="shared" si="109"/>
        <v/>
      </c>
      <c r="CK12" s="92" t="str">
        <f t="shared" si="110"/>
        <v/>
      </c>
      <c r="CL12" s="92" t="str">
        <f t="shared" si="111"/>
        <v/>
      </c>
      <c r="CM12" s="92" t="str">
        <f t="shared" si="112"/>
        <v/>
      </c>
      <c r="CN12" s="92" t="str">
        <f t="shared" si="113"/>
        <v/>
      </c>
      <c r="CO12" s="92" t="str">
        <f t="shared" si="114"/>
        <v/>
      </c>
      <c r="CP12" s="92" t="str">
        <f t="shared" si="115"/>
        <v/>
      </c>
      <c r="CQ12" s="92" t="str">
        <f t="shared" si="116"/>
        <v/>
      </c>
      <c r="CR12" s="92" t="str">
        <f t="shared" si="117"/>
        <v/>
      </c>
      <c r="CS12" s="92" t="str">
        <f t="shared" si="118"/>
        <v/>
      </c>
      <c r="CT12" s="92" t="str">
        <f t="shared" si="119"/>
        <v/>
      </c>
      <c r="CU12" s="92" t="str">
        <f t="shared" si="120"/>
        <v/>
      </c>
      <c r="CV12" s="92" t="str">
        <f t="shared" si="121"/>
        <v/>
      </c>
      <c r="CW12" s="92" t="str">
        <f t="shared" si="122"/>
        <v/>
      </c>
      <c r="CX12" s="92" t="str">
        <f t="shared" si="123"/>
        <v/>
      </c>
      <c r="CY12" s="92" t="str">
        <f t="shared" si="124"/>
        <v/>
      </c>
    </row>
    <row r="13" spans="1:103">
      <c r="A13" s="41">
        <v>961160</v>
      </c>
      <c r="B13" s="1">
        <v>42</v>
      </c>
      <c r="C13" s="29" t="str">
        <f t="shared" si="42"/>
        <v>961160-42</v>
      </c>
      <c r="D13" s="28" t="s">
        <v>26</v>
      </c>
      <c r="E13" s="37" t="s">
        <v>47</v>
      </c>
      <c r="F13" s="31">
        <v>42340</v>
      </c>
      <c r="G13" s="38">
        <v>22.7</v>
      </c>
      <c r="H13" s="31">
        <v>42350</v>
      </c>
      <c r="I13" s="38">
        <v>23.4</v>
      </c>
      <c r="J13" s="165">
        <v>0.63124999999999998</v>
      </c>
      <c r="K13" s="38">
        <v>7.4</v>
      </c>
      <c r="L13" s="38">
        <v>6</v>
      </c>
      <c r="M13" s="32">
        <f t="shared" si="43"/>
        <v>138.52800000000002</v>
      </c>
      <c r="N13" s="39"/>
      <c r="O13" s="38">
        <f>M13*10/3</f>
        <v>461.76000000000005</v>
      </c>
      <c r="P13" s="32">
        <f t="shared" si="44"/>
        <v>46.176000000000009</v>
      </c>
      <c r="Q13" s="38">
        <v>383</v>
      </c>
      <c r="R13" s="158">
        <f t="shared" si="45"/>
        <v>2.7647840147840146</v>
      </c>
      <c r="S13" s="160">
        <f t="shared" si="46"/>
        <v>0.82943520443520435</v>
      </c>
      <c r="T13" s="118">
        <f t="shared" si="47"/>
        <v>8.294352044352042</v>
      </c>
      <c r="U13" s="33"/>
      <c r="V13" s="138"/>
      <c r="W13" s="87"/>
      <c r="X13" s="93">
        <f>8.6*5.3*5.3*0.52</f>
        <v>125.61847999999999</v>
      </c>
      <c r="Y13" s="93">
        <f>7.4*6*6*0.52</f>
        <v>138.52800000000002</v>
      </c>
      <c r="Z13" s="93">
        <f>11.2*7.4*7.4*0.52</f>
        <v>318.92224000000004</v>
      </c>
      <c r="AA13" s="93">
        <f>11*7.4*7.4*0.52</f>
        <v>313.2272000000001</v>
      </c>
      <c r="AB13" s="93">
        <f>11.2*7.7*7.7*0.52</f>
        <v>345.30495999999999</v>
      </c>
      <c r="AC13" s="93">
        <f>11.9*7.2*7.2*0.52</f>
        <v>320.78592000000003</v>
      </c>
      <c r="AD13" s="93">
        <f>12.4*9*9*0.52</f>
        <v>522.28800000000001</v>
      </c>
      <c r="AE13" s="93">
        <f>13.4*8.5*8.5*0.52</f>
        <v>503.43800000000005</v>
      </c>
      <c r="AF13" s="93">
        <f>13.9*9.8*9.8*0.52</f>
        <v>694.17712000000017</v>
      </c>
      <c r="AG13" s="93">
        <f>14.9*11.6*11.6*0.52</f>
        <v>1042.57088</v>
      </c>
      <c r="AH13" s="93">
        <f>15.6*12.6*12.6*0.52</f>
        <v>1287.86112</v>
      </c>
      <c r="AI13" s="93">
        <f>17.7*12.8*12.8*0.52</f>
        <v>1507.9833600000002</v>
      </c>
      <c r="AJ13" s="93">
        <f>19.8*13.1*13.1*0.52</f>
        <v>1766.8965599999999</v>
      </c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2"/>
      <c r="BL13" s="92" t="str">
        <f t="shared" si="48"/>
        <v/>
      </c>
      <c r="BM13" s="92">
        <f t="shared" si="49"/>
        <v>0.90680930930930914</v>
      </c>
      <c r="BN13" s="92">
        <f t="shared" si="50"/>
        <v>1</v>
      </c>
      <c r="BO13" s="92">
        <f t="shared" si="88"/>
        <v>2.3022222222222224</v>
      </c>
      <c r="BP13" s="92">
        <f t="shared" si="89"/>
        <v>2.2611111111111115</v>
      </c>
      <c r="BQ13" s="92">
        <f t="shared" si="90"/>
        <v>2.4926726726726725</v>
      </c>
      <c r="BR13" s="92">
        <f t="shared" si="91"/>
        <v>2.3156756756756756</v>
      </c>
      <c r="BS13" s="92">
        <f t="shared" si="92"/>
        <v>3.7702702702702697</v>
      </c>
      <c r="BT13" s="92">
        <f t="shared" si="93"/>
        <v>3.6341966966966965</v>
      </c>
      <c r="BU13" s="92">
        <f t="shared" si="94"/>
        <v>5.0110960960960966</v>
      </c>
      <c r="BV13" s="92">
        <f t="shared" si="95"/>
        <v>7.5260660660660648</v>
      </c>
      <c r="BW13" s="92">
        <f t="shared" si="96"/>
        <v>9.2967567567567553</v>
      </c>
      <c r="BX13" s="92">
        <f t="shared" si="97"/>
        <v>10.885765765765765</v>
      </c>
      <c r="BY13" s="92">
        <f t="shared" si="98"/>
        <v>12.754797297297294</v>
      </c>
      <c r="BZ13" s="92" t="str">
        <f t="shared" si="99"/>
        <v/>
      </c>
      <c r="CA13" s="92" t="str">
        <f t="shared" si="100"/>
        <v/>
      </c>
      <c r="CB13" s="92" t="str">
        <f t="shared" si="101"/>
        <v/>
      </c>
      <c r="CC13" s="92" t="str">
        <f t="shared" si="102"/>
        <v/>
      </c>
      <c r="CD13" s="92" t="str">
        <f t="shared" si="103"/>
        <v/>
      </c>
      <c r="CE13" s="92" t="str">
        <f t="shared" si="104"/>
        <v/>
      </c>
      <c r="CF13" s="92" t="str">
        <f t="shared" si="105"/>
        <v/>
      </c>
      <c r="CG13" s="92" t="str">
        <f t="shared" si="106"/>
        <v/>
      </c>
      <c r="CH13" s="92" t="str">
        <f t="shared" si="107"/>
        <v/>
      </c>
      <c r="CI13" s="92" t="str">
        <f t="shared" si="108"/>
        <v/>
      </c>
      <c r="CJ13" s="92" t="str">
        <f t="shared" si="109"/>
        <v/>
      </c>
      <c r="CK13" s="92" t="str">
        <f t="shared" si="110"/>
        <v/>
      </c>
      <c r="CL13" s="92" t="str">
        <f t="shared" si="111"/>
        <v/>
      </c>
      <c r="CM13" s="92" t="str">
        <f t="shared" si="112"/>
        <v/>
      </c>
      <c r="CN13" s="92" t="str">
        <f t="shared" si="113"/>
        <v/>
      </c>
      <c r="CO13" s="92" t="str">
        <f t="shared" si="114"/>
        <v/>
      </c>
      <c r="CP13" s="92" t="str">
        <f t="shared" si="115"/>
        <v/>
      </c>
      <c r="CQ13" s="92" t="str">
        <f t="shared" si="116"/>
        <v/>
      </c>
      <c r="CR13" s="92" t="str">
        <f t="shared" si="117"/>
        <v/>
      </c>
      <c r="CS13" s="92" t="str">
        <f t="shared" si="118"/>
        <v/>
      </c>
      <c r="CT13" s="92" t="str">
        <f t="shared" si="119"/>
        <v/>
      </c>
      <c r="CU13" s="92" t="str">
        <f t="shared" si="120"/>
        <v/>
      </c>
      <c r="CV13" s="92" t="str">
        <f t="shared" si="121"/>
        <v/>
      </c>
      <c r="CW13" s="92" t="str">
        <f t="shared" si="122"/>
        <v/>
      </c>
      <c r="CX13" s="92" t="str">
        <f t="shared" si="123"/>
        <v/>
      </c>
      <c r="CY13" s="92" t="str">
        <f t="shared" si="124"/>
        <v/>
      </c>
    </row>
    <row r="14" spans="1:103">
      <c r="A14" s="41">
        <v>961160</v>
      </c>
      <c r="B14" s="1">
        <v>43</v>
      </c>
      <c r="C14" s="29" t="str">
        <f t="shared" si="42"/>
        <v>961160-43</v>
      </c>
      <c r="D14" s="28" t="s">
        <v>26</v>
      </c>
      <c r="E14" s="37" t="s">
        <v>47</v>
      </c>
      <c r="F14" s="31">
        <v>42340</v>
      </c>
      <c r="G14" s="38">
        <v>24.8</v>
      </c>
      <c r="H14" s="31">
        <v>42350</v>
      </c>
      <c r="I14" s="38">
        <v>25</v>
      </c>
      <c r="J14" s="165">
        <v>0.63263888888888886</v>
      </c>
      <c r="K14" s="38">
        <v>7.2</v>
      </c>
      <c r="L14" s="38">
        <v>6.3</v>
      </c>
      <c r="M14" s="32">
        <f t="shared" si="43"/>
        <v>148.59935999999999</v>
      </c>
      <c r="N14" s="39"/>
      <c r="O14" s="38">
        <f>M14*10/3</f>
        <v>495.33119999999991</v>
      </c>
      <c r="P14" s="32">
        <f t="shared" si="44"/>
        <v>49.533119999999997</v>
      </c>
      <c r="Q14" s="38">
        <v>396</v>
      </c>
      <c r="R14" s="158">
        <f t="shared" si="45"/>
        <v>2.6648836172645698</v>
      </c>
      <c r="S14" s="160">
        <f t="shared" si="46"/>
        <v>0.79946508517937109</v>
      </c>
      <c r="T14" s="118">
        <f t="shared" si="47"/>
        <v>7.9946508517937094</v>
      </c>
      <c r="U14" s="33"/>
      <c r="V14" s="138"/>
      <c r="W14" s="87"/>
      <c r="X14" s="93">
        <f>6*4.9*4.9*0.52</f>
        <v>74.911200000000022</v>
      </c>
      <c r="Y14" s="93">
        <f>7.2*6.3*6.3*0.52</f>
        <v>148.59935999999999</v>
      </c>
      <c r="Z14" s="93">
        <f>7.8*6.8*6.8*0.52</f>
        <v>187.54944</v>
      </c>
      <c r="AA14" s="93">
        <f>8.4*6.4*6.4*0.52</f>
        <v>178.91328000000004</v>
      </c>
      <c r="AB14" s="93">
        <f>9.8*6.1*6.1*0.52</f>
        <v>189.62215999999998</v>
      </c>
      <c r="AC14" s="93">
        <f>11*7.2*7.2*0.52</f>
        <v>296.52480000000003</v>
      </c>
      <c r="AD14" s="93">
        <f>10.2*7*7*0.52</f>
        <v>259.89599999999996</v>
      </c>
      <c r="AE14" s="93">
        <f>13.8*10.7*10.7*0.52</f>
        <v>821.58023999999989</v>
      </c>
      <c r="AF14" s="93">
        <f>12.1*9.6*9.6*0.52</f>
        <v>579.87072000000001</v>
      </c>
      <c r="AG14" s="93">
        <f>17.9*12.5*12.5*0.52</f>
        <v>1454.3749999999998</v>
      </c>
      <c r="AH14" s="93">
        <f>18.8*14.3*14.3*0.52</f>
        <v>1999.0942400000004</v>
      </c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2"/>
      <c r="BL14" s="92" t="str">
        <f t="shared" si="48"/>
        <v/>
      </c>
      <c r="BM14" s="92">
        <f t="shared" si="49"/>
        <v>0.50411522633744876</v>
      </c>
      <c r="BN14" s="92">
        <f t="shared" si="50"/>
        <v>1</v>
      </c>
      <c r="BO14" s="92">
        <f t="shared" si="88"/>
        <v>1.2621147224321829</v>
      </c>
      <c r="BP14" s="92">
        <f t="shared" si="89"/>
        <v>1.2039976484420933</v>
      </c>
      <c r="BQ14" s="92">
        <f t="shared" si="90"/>
        <v>1.2760631001371741</v>
      </c>
      <c r="BR14" s="92">
        <f t="shared" si="91"/>
        <v>1.9954648526077101</v>
      </c>
      <c r="BS14" s="92">
        <f t="shared" si="92"/>
        <v>1.7489711934156378</v>
      </c>
      <c r="BT14" s="92">
        <f t="shared" si="93"/>
        <v>5.5288275804148812</v>
      </c>
      <c r="BU14" s="92">
        <f t="shared" si="94"/>
        <v>3.902242378432855</v>
      </c>
      <c r="BV14" s="92">
        <f t="shared" si="95"/>
        <v>9.7872225021695911</v>
      </c>
      <c r="BW14" s="92">
        <f t="shared" si="96"/>
        <v>13.452912852383756</v>
      </c>
      <c r="BX14" s="92" t="str">
        <f t="shared" si="97"/>
        <v/>
      </c>
      <c r="BY14" s="92" t="str">
        <f t="shared" si="98"/>
        <v/>
      </c>
      <c r="BZ14" s="92" t="str">
        <f t="shared" si="99"/>
        <v/>
      </c>
      <c r="CA14" s="92" t="str">
        <f t="shared" si="100"/>
        <v/>
      </c>
      <c r="CB14" s="92" t="str">
        <f t="shared" si="101"/>
        <v/>
      </c>
      <c r="CC14" s="92" t="str">
        <f t="shared" si="102"/>
        <v/>
      </c>
      <c r="CD14" s="92" t="str">
        <f t="shared" si="103"/>
        <v/>
      </c>
      <c r="CE14" s="92" t="str">
        <f t="shared" si="104"/>
        <v/>
      </c>
      <c r="CF14" s="92" t="str">
        <f t="shared" si="105"/>
        <v/>
      </c>
      <c r="CG14" s="92" t="str">
        <f t="shared" si="106"/>
        <v/>
      </c>
      <c r="CH14" s="92" t="str">
        <f t="shared" si="107"/>
        <v/>
      </c>
      <c r="CI14" s="92" t="str">
        <f t="shared" si="108"/>
        <v/>
      </c>
      <c r="CJ14" s="92" t="str">
        <f t="shared" si="109"/>
        <v/>
      </c>
      <c r="CK14" s="92" t="str">
        <f t="shared" si="110"/>
        <v/>
      </c>
      <c r="CL14" s="92" t="str">
        <f t="shared" si="111"/>
        <v/>
      </c>
      <c r="CM14" s="92" t="str">
        <f t="shared" si="112"/>
        <v/>
      </c>
      <c r="CN14" s="92" t="str">
        <f t="shared" si="113"/>
        <v/>
      </c>
      <c r="CO14" s="92" t="str">
        <f t="shared" si="114"/>
        <v/>
      </c>
      <c r="CP14" s="92" t="str">
        <f t="shared" si="115"/>
        <v/>
      </c>
      <c r="CQ14" s="92" t="str">
        <f t="shared" si="116"/>
        <v/>
      </c>
      <c r="CR14" s="92" t="str">
        <f t="shared" si="117"/>
        <v/>
      </c>
      <c r="CS14" s="92" t="str">
        <f t="shared" si="118"/>
        <v/>
      </c>
      <c r="CT14" s="92" t="str">
        <f t="shared" si="119"/>
        <v/>
      </c>
      <c r="CU14" s="92" t="str">
        <f t="shared" si="120"/>
        <v/>
      </c>
      <c r="CV14" s="92" t="str">
        <f t="shared" si="121"/>
        <v/>
      </c>
      <c r="CW14" s="92" t="str">
        <f t="shared" si="122"/>
        <v/>
      </c>
      <c r="CX14" s="92" t="str">
        <f t="shared" si="123"/>
        <v/>
      </c>
      <c r="CY14" s="92" t="str">
        <f t="shared" si="124"/>
        <v/>
      </c>
    </row>
    <row r="15" spans="1:103">
      <c r="A15" s="41">
        <v>961160</v>
      </c>
      <c r="B15" s="1">
        <v>44</v>
      </c>
      <c r="C15" s="29" t="str">
        <f t="shared" si="42"/>
        <v>961160-44</v>
      </c>
      <c r="D15" s="28" t="s">
        <v>26</v>
      </c>
      <c r="E15" s="37" t="s">
        <v>52</v>
      </c>
      <c r="F15" s="31">
        <v>42340</v>
      </c>
      <c r="G15" s="38">
        <v>25.4</v>
      </c>
      <c r="H15" s="31">
        <v>42350</v>
      </c>
      <c r="I15" s="38">
        <v>25.6</v>
      </c>
      <c r="J15" s="165">
        <v>0.70763888888888893</v>
      </c>
      <c r="K15" s="38">
        <v>8.1999999999999993</v>
      </c>
      <c r="L15" s="38">
        <v>4.9000000000000004</v>
      </c>
      <c r="M15" s="32">
        <f t="shared" si="43"/>
        <v>102.37864000000002</v>
      </c>
      <c r="N15" s="39"/>
      <c r="O15" s="38">
        <f>M15*10</f>
        <v>1023.7864000000002</v>
      </c>
      <c r="P15" s="32">
        <f t="shared" si="44"/>
        <v>34.12621333333334</v>
      </c>
      <c r="Q15" s="38">
        <f>978</f>
        <v>978</v>
      </c>
      <c r="R15" s="158">
        <f t="shared" si="45"/>
        <v>9.5527738989304787</v>
      </c>
      <c r="S15" s="160">
        <f t="shared" si="46"/>
        <v>0.95527738989304778</v>
      </c>
      <c r="T15" s="118">
        <f t="shared" si="47"/>
        <v>28.658321696791436</v>
      </c>
      <c r="U15" s="33"/>
      <c r="V15" s="138"/>
      <c r="W15" s="87"/>
      <c r="X15" s="93">
        <f>6.3*4.3*4.3*0.52</f>
        <v>60.573239999999998</v>
      </c>
      <c r="Y15" s="93">
        <f>8.2*4.9*4.9*0.52</f>
        <v>102.37864</v>
      </c>
      <c r="Z15" s="93">
        <f>10.1*7.1*7.1*0.52</f>
        <v>264.75331999999997</v>
      </c>
      <c r="AA15" s="93">
        <f>7.2*6.4*6.4*0.52</f>
        <v>153.35424000000003</v>
      </c>
      <c r="AB15" s="93">
        <f>7.6*7*7*0.52</f>
        <v>193.648</v>
      </c>
      <c r="AC15" s="93">
        <f>8.9*6.4*6.4*0.52</f>
        <v>189.56288000000006</v>
      </c>
      <c r="AD15" s="93">
        <f>9.4*7*7*0.52</f>
        <v>239.512</v>
      </c>
      <c r="AE15" s="93">
        <f>7.5*4.3*4.3*0.52</f>
        <v>72.11099999999999</v>
      </c>
      <c r="AF15" s="93">
        <v>0</v>
      </c>
      <c r="AG15" s="93">
        <f>3.1*2.4*2.4*0.52</f>
        <v>9.2851199999999992</v>
      </c>
      <c r="AH15" s="93">
        <f>6.7*3.2*3.2*0.52</f>
        <v>35.676160000000003</v>
      </c>
      <c r="AI15" s="93">
        <f>8.6*6.1*6.1*0.52</f>
        <v>166.40311999999997</v>
      </c>
      <c r="AJ15" s="93">
        <f>10.2*7.1*7.1*0.52</f>
        <v>267.37463999999994</v>
      </c>
      <c r="AK15" s="93">
        <f>7.1*5.6*5.6*0.52</f>
        <v>115.78111999999999</v>
      </c>
      <c r="AL15" s="93">
        <f>13.2*9.1*9.1*0.52</f>
        <v>568.40783999999996</v>
      </c>
      <c r="AM15" s="93">
        <f>9.9*9.1*9.1*0.52</f>
        <v>426.30588</v>
      </c>
      <c r="AN15" s="93">
        <f>12.6*9.5*9.5*0.52</f>
        <v>591.3180000000001</v>
      </c>
      <c r="AO15" s="93">
        <f>13.1*10.8*10.8*0.52</f>
        <v>794.55168000000026</v>
      </c>
      <c r="AP15" s="93">
        <f>13.3*11.6*11.6*0.52</f>
        <v>930.61695999999995</v>
      </c>
      <c r="AQ15" s="93">
        <f>14.4*13.1*13.1*0.52</f>
        <v>1285.01568</v>
      </c>
      <c r="AR15" s="93">
        <f>15.8*14*14*0.52</f>
        <v>1610.3360000000002</v>
      </c>
      <c r="AS15" s="93">
        <f>16.1*14.5*14.5*0.52</f>
        <v>1760.2130000000002</v>
      </c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2"/>
      <c r="BL15" s="92" t="str">
        <f t="shared" si="48"/>
        <v/>
      </c>
      <c r="BM15" s="92">
        <f t="shared" si="49"/>
        <v>0.59165896323686251</v>
      </c>
      <c r="BN15" s="92">
        <f t="shared" si="50"/>
        <v>0.99999999999999989</v>
      </c>
      <c r="BO15" s="92">
        <f t="shared" si="88"/>
        <v>2.586021068457248</v>
      </c>
      <c r="BP15" s="92">
        <f t="shared" si="89"/>
        <v>1.4979124551761969</v>
      </c>
      <c r="BQ15" s="92">
        <f t="shared" si="90"/>
        <v>1.8914883026381279</v>
      </c>
      <c r="BR15" s="92">
        <f t="shared" si="91"/>
        <v>1.8515862293150214</v>
      </c>
      <c r="BS15" s="92">
        <f t="shared" si="92"/>
        <v>2.3394723743155796</v>
      </c>
      <c r="BT15" s="92">
        <f t="shared" si="93"/>
        <v>0.7043559086153125</v>
      </c>
      <c r="BU15" s="92">
        <f t="shared" si="94"/>
        <v>0</v>
      </c>
      <c r="BV15" s="92">
        <f t="shared" si="95"/>
        <v>9.0693918184496278E-2</v>
      </c>
      <c r="BW15" s="92">
        <f t="shared" si="96"/>
        <v>0.34847268922501801</v>
      </c>
      <c r="BX15" s="92">
        <f t="shared" si="97"/>
        <v>1.6253695106713661</v>
      </c>
      <c r="BY15" s="92">
        <f t="shared" si="98"/>
        <v>2.6116252374518738</v>
      </c>
      <c r="BZ15" s="92">
        <f t="shared" si="99"/>
        <v>1.1309109009457439</v>
      </c>
      <c r="CA15" s="92">
        <f t="shared" si="100"/>
        <v>5.5520159283225468</v>
      </c>
      <c r="CB15" s="92">
        <f t="shared" si="101"/>
        <v>4.164011946241911</v>
      </c>
      <c r="CC15" s="92">
        <f t="shared" si="102"/>
        <v>5.7757946384128562</v>
      </c>
      <c r="CD15" s="92">
        <f t="shared" si="103"/>
        <v>7.7609126278684704</v>
      </c>
      <c r="CE15" s="92">
        <f t="shared" si="104"/>
        <v>9.0899523572495173</v>
      </c>
      <c r="CF15" s="92">
        <f t="shared" si="105"/>
        <v>12.551599435194683</v>
      </c>
      <c r="CG15" s="92">
        <f t="shared" si="106"/>
        <v>15.729218516674962</v>
      </c>
      <c r="CH15" s="92">
        <f t="shared" si="107"/>
        <v>17.193166465192348</v>
      </c>
      <c r="CI15" s="92" t="str">
        <f t="shared" si="108"/>
        <v/>
      </c>
      <c r="CJ15" s="92" t="str">
        <f t="shared" si="109"/>
        <v/>
      </c>
      <c r="CK15" s="92" t="str">
        <f t="shared" si="110"/>
        <v/>
      </c>
      <c r="CL15" s="92" t="str">
        <f t="shared" si="111"/>
        <v/>
      </c>
      <c r="CM15" s="92" t="str">
        <f t="shared" si="112"/>
        <v/>
      </c>
      <c r="CN15" s="92" t="str">
        <f t="shared" si="113"/>
        <v/>
      </c>
      <c r="CO15" s="92" t="str">
        <f t="shared" si="114"/>
        <v/>
      </c>
      <c r="CP15" s="92" t="str">
        <f t="shared" si="115"/>
        <v/>
      </c>
      <c r="CQ15" s="92" t="str">
        <f t="shared" si="116"/>
        <v/>
      </c>
      <c r="CR15" s="92" t="str">
        <f t="shared" si="117"/>
        <v/>
      </c>
      <c r="CS15" s="92" t="str">
        <f t="shared" si="118"/>
        <v/>
      </c>
      <c r="CT15" s="92" t="str">
        <f t="shared" si="119"/>
        <v/>
      </c>
      <c r="CU15" s="92" t="str">
        <f t="shared" si="120"/>
        <v/>
      </c>
      <c r="CV15" s="92" t="str">
        <f t="shared" si="121"/>
        <v/>
      </c>
      <c r="CW15" s="92" t="str">
        <f t="shared" si="122"/>
        <v/>
      </c>
      <c r="CX15" s="92" t="str">
        <f t="shared" si="123"/>
        <v/>
      </c>
      <c r="CY15" s="92" t="str">
        <f t="shared" si="124"/>
        <v/>
      </c>
    </row>
    <row r="16" spans="1:103">
      <c r="A16" s="41">
        <v>961160</v>
      </c>
      <c r="B16" s="1">
        <v>45</v>
      </c>
      <c r="C16" s="29" t="str">
        <f t="shared" si="42"/>
        <v>961160-45</v>
      </c>
      <c r="D16" s="28" t="s">
        <v>26</v>
      </c>
      <c r="E16" s="30" t="s">
        <v>34</v>
      </c>
      <c r="F16" s="31">
        <v>42340</v>
      </c>
      <c r="G16" s="38">
        <v>24</v>
      </c>
      <c r="H16" s="31">
        <v>42350</v>
      </c>
      <c r="I16" s="38">
        <v>27.9</v>
      </c>
      <c r="J16" s="165"/>
      <c r="K16" s="38">
        <v>7.6</v>
      </c>
      <c r="L16" s="38">
        <v>6</v>
      </c>
      <c r="M16" s="32">
        <f t="shared" si="43"/>
        <v>142.27199999999999</v>
      </c>
      <c r="N16" s="39"/>
      <c r="O16" s="38">
        <v>0</v>
      </c>
      <c r="P16" s="32">
        <f t="shared" si="44"/>
        <v>47.423999999999999</v>
      </c>
      <c r="Q16" s="38">
        <v>0</v>
      </c>
      <c r="R16" s="158">
        <f t="shared" si="45"/>
        <v>0</v>
      </c>
      <c r="S16" s="160" t="e">
        <f t="shared" si="46"/>
        <v>#DIV/0!</v>
      </c>
      <c r="T16" s="118">
        <f t="shared" si="47"/>
        <v>0</v>
      </c>
      <c r="U16" s="33"/>
      <c r="V16" s="138"/>
      <c r="W16" s="87">
        <f>5.2*4.8*4.8*0.52</f>
        <v>62.300159999999998</v>
      </c>
      <c r="X16" s="93">
        <f>5.8*5.1*5.1*0.52</f>
        <v>78.446159999999992</v>
      </c>
      <c r="Y16" s="93">
        <f>7.6*6*6*0.52</f>
        <v>142.27199999999999</v>
      </c>
      <c r="Z16" s="93">
        <f>8.2*7.7*7.7*0.52</f>
        <v>252.81255999999999</v>
      </c>
      <c r="AA16" s="93">
        <f>9.1*6.7*6.7*0.52</f>
        <v>212.41948000000002</v>
      </c>
      <c r="AB16" s="93">
        <f>8.8*8.3*8.3*0.52</f>
        <v>315.24064000000004</v>
      </c>
      <c r="AC16" s="93">
        <f>9.8*9.8*9.8*0.52</f>
        <v>489.41984000000014</v>
      </c>
      <c r="AD16" s="93">
        <f>12.2*11.6*11.6*0.52</f>
        <v>853.64863999999989</v>
      </c>
      <c r="AE16" s="93">
        <f>13.2*13.1*13.1*0.52</f>
        <v>1177.9310399999999</v>
      </c>
      <c r="AF16" s="93">
        <f>15.3*14.4*14.4*0.52</f>
        <v>1649.7561600000001</v>
      </c>
      <c r="AG16" s="93">
        <f>18.7*18.4*18.4*0.52</f>
        <v>3292.1574399999995</v>
      </c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2"/>
      <c r="BL16" s="92">
        <f t="shared" si="48"/>
        <v>0.43789473684210528</v>
      </c>
      <c r="BM16" s="92">
        <f t="shared" si="49"/>
        <v>0.55138157894736839</v>
      </c>
      <c r="BN16" s="92">
        <f t="shared" si="50"/>
        <v>1</v>
      </c>
      <c r="BO16" s="92">
        <f t="shared" si="88"/>
        <v>1.7769663742690058</v>
      </c>
      <c r="BP16" s="92">
        <f t="shared" si="89"/>
        <v>1.4930519005847955</v>
      </c>
      <c r="BQ16" s="92">
        <f t="shared" si="90"/>
        <v>2.2157602339181293</v>
      </c>
      <c r="BR16" s="92">
        <f t="shared" si="91"/>
        <v>3.440029239766083</v>
      </c>
      <c r="BS16" s="92">
        <f t="shared" si="92"/>
        <v>6.0001169590643268</v>
      </c>
      <c r="BT16" s="92">
        <f t="shared" si="93"/>
        <v>8.2794298245614044</v>
      </c>
      <c r="BU16" s="92">
        <f t="shared" si="94"/>
        <v>11.595789473684212</v>
      </c>
      <c r="BV16" s="92">
        <f t="shared" si="95"/>
        <v>23.139883040935672</v>
      </c>
      <c r="BW16" s="92" t="str">
        <f t="shared" si="96"/>
        <v/>
      </c>
      <c r="BX16" s="92" t="str">
        <f t="shared" si="97"/>
        <v/>
      </c>
      <c r="BY16" s="92" t="str">
        <f t="shared" si="98"/>
        <v/>
      </c>
      <c r="BZ16" s="92" t="str">
        <f t="shared" si="99"/>
        <v/>
      </c>
      <c r="CA16" s="92" t="str">
        <f t="shared" si="100"/>
        <v/>
      </c>
      <c r="CB16" s="92" t="str">
        <f t="shared" si="101"/>
        <v/>
      </c>
      <c r="CC16" s="92" t="str">
        <f t="shared" si="102"/>
        <v/>
      </c>
      <c r="CD16" s="92" t="str">
        <f t="shared" si="103"/>
        <v/>
      </c>
      <c r="CE16" s="92" t="str">
        <f t="shared" si="104"/>
        <v/>
      </c>
      <c r="CF16" s="92" t="str">
        <f t="shared" si="105"/>
        <v/>
      </c>
      <c r="CG16" s="92" t="str">
        <f t="shared" si="106"/>
        <v/>
      </c>
      <c r="CH16" s="92" t="str">
        <f t="shared" si="107"/>
        <v/>
      </c>
      <c r="CI16" s="92" t="str">
        <f t="shared" si="108"/>
        <v/>
      </c>
      <c r="CJ16" s="92" t="str">
        <f t="shared" si="109"/>
        <v/>
      </c>
      <c r="CK16" s="92" t="str">
        <f t="shared" si="110"/>
        <v/>
      </c>
      <c r="CL16" s="92" t="str">
        <f t="shared" si="111"/>
        <v/>
      </c>
      <c r="CM16" s="92" t="str">
        <f t="shared" si="112"/>
        <v/>
      </c>
      <c r="CN16" s="92" t="str">
        <f t="shared" si="113"/>
        <v/>
      </c>
      <c r="CO16" s="92" t="str">
        <f t="shared" si="114"/>
        <v/>
      </c>
      <c r="CP16" s="92" t="str">
        <f t="shared" si="115"/>
        <v/>
      </c>
      <c r="CQ16" s="92" t="str">
        <f t="shared" si="116"/>
        <v/>
      </c>
      <c r="CR16" s="92" t="str">
        <f t="shared" si="117"/>
        <v/>
      </c>
      <c r="CS16" s="92" t="str">
        <f t="shared" si="118"/>
        <v/>
      </c>
      <c r="CT16" s="92" t="str">
        <f t="shared" si="119"/>
        <v/>
      </c>
      <c r="CU16" s="92" t="str">
        <f t="shared" si="120"/>
        <v/>
      </c>
      <c r="CV16" s="92" t="str">
        <f t="shared" si="121"/>
        <v/>
      </c>
      <c r="CW16" s="92" t="str">
        <f t="shared" si="122"/>
        <v/>
      </c>
      <c r="CX16" s="92" t="str">
        <f t="shared" si="123"/>
        <v/>
      </c>
      <c r="CY16" s="92" t="str">
        <f t="shared" si="124"/>
        <v/>
      </c>
    </row>
    <row r="17" spans="1:103">
      <c r="A17" s="41">
        <v>961147</v>
      </c>
      <c r="B17" s="1">
        <v>51</v>
      </c>
      <c r="C17" s="29" t="str">
        <f t="shared" si="42"/>
        <v>961147-51</v>
      </c>
      <c r="D17" s="28" t="s">
        <v>26</v>
      </c>
      <c r="E17" s="30" t="s">
        <v>51</v>
      </c>
      <c r="F17" s="31">
        <v>42340</v>
      </c>
      <c r="G17" s="38">
        <v>25.2</v>
      </c>
      <c r="H17" s="31">
        <v>42350</v>
      </c>
      <c r="I17" s="38">
        <v>25.2</v>
      </c>
      <c r="J17" s="165">
        <v>0.60069444444444442</v>
      </c>
      <c r="K17" s="38">
        <v>8.9</v>
      </c>
      <c r="L17" s="38">
        <v>6.2</v>
      </c>
      <c r="M17" s="38">
        <f t="shared" si="43"/>
        <v>177.90032000000002</v>
      </c>
      <c r="N17" s="39"/>
      <c r="O17" s="38">
        <f>M17*10</f>
        <v>1779.0032000000001</v>
      </c>
      <c r="P17" s="32">
        <f t="shared" si="44"/>
        <v>59.300106666666672</v>
      </c>
      <c r="Q17" s="38">
        <f>1247+55</f>
        <v>1302</v>
      </c>
      <c r="R17" s="158">
        <f t="shared" si="45"/>
        <v>7.3187052164942692</v>
      </c>
      <c r="S17" s="160">
        <f t="shared" si="46"/>
        <v>0.73187052164942701</v>
      </c>
      <c r="T17" s="118">
        <f t="shared" si="47"/>
        <v>21.956115649482811</v>
      </c>
      <c r="U17" s="33"/>
      <c r="V17" s="138"/>
      <c r="W17" s="87">
        <f>7.7*4.5*4.5*0.52</f>
        <v>81.080999999999989</v>
      </c>
      <c r="X17" s="93">
        <f>8.1*5.2*5.2*0.52</f>
        <v>113.89248000000001</v>
      </c>
      <c r="Y17" s="93">
        <f>8.9*6.2*6.2*0.52</f>
        <v>177.90032000000002</v>
      </c>
      <c r="Z17" s="93">
        <f>8.3*6.2*6.2*0.52</f>
        <v>165.90704000000005</v>
      </c>
      <c r="AA17" s="93">
        <f>7.5*6*6*0.52</f>
        <v>140.4</v>
      </c>
      <c r="AB17" s="93">
        <f>6.8*6.1*6.1*0.52</f>
        <v>131.57455999999999</v>
      </c>
      <c r="AC17" s="93">
        <f>10.9*6.9*6.9*0.52</f>
        <v>269.85348000000005</v>
      </c>
      <c r="AD17" s="93">
        <f>10*6.6*6.6*0.52</f>
        <v>226.512</v>
      </c>
      <c r="AE17" s="93">
        <f>12.5*8.1*8.1*0.52</f>
        <v>426.46500000000003</v>
      </c>
      <c r="AF17" s="93">
        <f>12.6*8.4*8.4*0.52</f>
        <v>462.30912000000006</v>
      </c>
      <c r="AG17" s="93">
        <f>12.4*12*12*0.52</f>
        <v>928.51200000000006</v>
      </c>
      <c r="AH17" s="93">
        <f>13.9*12.4*12.4*0.52</f>
        <v>1111.3772800000002</v>
      </c>
      <c r="AI17" s="93">
        <f>14*13.7*13.7*0.52</f>
        <v>1366.3832</v>
      </c>
      <c r="AJ17" s="93">
        <f>15.5*14*14*0.52</f>
        <v>1579.76</v>
      </c>
      <c r="AK17" s="93">
        <f>15*14.1*14.1*0.52</f>
        <v>1550.7180000000001</v>
      </c>
      <c r="AL17" s="93">
        <f>16.4*15.1*15.1*0.52</f>
        <v>1944.4692799999998</v>
      </c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2"/>
      <c r="BL17" s="92">
        <f t="shared" si="48"/>
        <v>0.45576646517555436</v>
      </c>
      <c r="BM17" s="92">
        <f t="shared" si="49"/>
        <v>0.64020390744659705</v>
      </c>
      <c r="BN17" s="92">
        <f t="shared" si="50"/>
        <v>1</v>
      </c>
      <c r="BO17" s="92">
        <f t="shared" si="88"/>
        <v>0.93258426966292152</v>
      </c>
      <c r="BP17" s="92">
        <f t="shared" si="89"/>
        <v>0.78920600030399035</v>
      </c>
      <c r="BQ17" s="92">
        <f t="shared" si="90"/>
        <v>0.73959709572191878</v>
      </c>
      <c r="BR17" s="92">
        <f t="shared" si="91"/>
        <v>1.5168802394509466</v>
      </c>
      <c r="BS17" s="92">
        <f t="shared" si="92"/>
        <v>1.2732523471571044</v>
      </c>
      <c r="BT17" s="92">
        <f t="shared" si="93"/>
        <v>2.3972132259233709</v>
      </c>
      <c r="BU17" s="92">
        <f t="shared" si="94"/>
        <v>2.5986975178009799</v>
      </c>
      <c r="BV17" s="92">
        <f t="shared" si="95"/>
        <v>5.2192823486770568</v>
      </c>
      <c r="BW17" s="92">
        <f t="shared" si="96"/>
        <v>6.2471910112359552</v>
      </c>
      <c r="BX17" s="92">
        <f t="shared" si="97"/>
        <v>7.6806112546621605</v>
      </c>
      <c r="BY17" s="92">
        <f t="shared" si="98"/>
        <v>8.8800289960130474</v>
      </c>
      <c r="BZ17" s="92">
        <f t="shared" si="99"/>
        <v>8.7167802733575748</v>
      </c>
      <c r="CA17" s="92">
        <f t="shared" si="100"/>
        <v>10.930105578224927</v>
      </c>
      <c r="CB17" s="92" t="str">
        <f t="shared" si="101"/>
        <v/>
      </c>
      <c r="CC17" s="92" t="str">
        <f t="shared" si="102"/>
        <v/>
      </c>
      <c r="CD17" s="92" t="str">
        <f t="shared" si="103"/>
        <v/>
      </c>
      <c r="CE17" s="92" t="str">
        <f t="shared" si="104"/>
        <v/>
      </c>
      <c r="CF17" s="92" t="str">
        <f t="shared" si="105"/>
        <v/>
      </c>
      <c r="CG17" s="92" t="str">
        <f t="shared" si="106"/>
        <v/>
      </c>
      <c r="CH17" s="92" t="str">
        <f t="shared" si="107"/>
        <v/>
      </c>
      <c r="CI17" s="92" t="str">
        <f t="shared" si="108"/>
        <v/>
      </c>
      <c r="CJ17" s="92" t="str">
        <f t="shared" si="109"/>
        <v/>
      </c>
      <c r="CK17" s="92" t="str">
        <f t="shared" si="110"/>
        <v/>
      </c>
      <c r="CL17" s="92" t="str">
        <f t="shared" si="111"/>
        <v/>
      </c>
      <c r="CM17" s="92" t="str">
        <f t="shared" si="112"/>
        <v/>
      </c>
      <c r="CN17" s="92" t="str">
        <f t="shared" si="113"/>
        <v/>
      </c>
      <c r="CO17" s="92" t="str">
        <f t="shared" si="114"/>
        <v/>
      </c>
      <c r="CP17" s="92" t="str">
        <f t="shared" si="115"/>
        <v/>
      </c>
      <c r="CQ17" s="92" t="str">
        <f t="shared" si="116"/>
        <v/>
      </c>
      <c r="CR17" s="92" t="str">
        <f t="shared" si="117"/>
        <v/>
      </c>
      <c r="CS17" s="92" t="str">
        <f t="shared" si="118"/>
        <v/>
      </c>
      <c r="CT17" s="92" t="str">
        <f t="shared" si="119"/>
        <v/>
      </c>
      <c r="CU17" s="92" t="str">
        <f t="shared" si="120"/>
        <v/>
      </c>
      <c r="CV17" s="92" t="str">
        <f t="shared" si="121"/>
        <v/>
      </c>
      <c r="CW17" s="92" t="str">
        <f t="shared" si="122"/>
        <v/>
      </c>
      <c r="CX17" s="92" t="str">
        <f t="shared" si="123"/>
        <v/>
      </c>
      <c r="CY17" s="92" t="str">
        <f t="shared" si="124"/>
        <v/>
      </c>
    </row>
    <row r="18" spans="1:103">
      <c r="A18" s="41">
        <v>961147</v>
      </c>
      <c r="B18" s="1">
        <v>52</v>
      </c>
      <c r="C18" s="29" t="str">
        <f t="shared" si="42"/>
        <v>961147-52</v>
      </c>
      <c r="D18" s="28" t="s">
        <v>26</v>
      </c>
      <c r="E18" s="37" t="s">
        <v>47</v>
      </c>
      <c r="F18" s="31">
        <v>42340</v>
      </c>
      <c r="G18" s="38">
        <v>24.5</v>
      </c>
      <c r="H18" s="31">
        <v>42350</v>
      </c>
      <c r="I18" s="38">
        <v>26.1</v>
      </c>
      <c r="J18" s="165">
        <v>0.61041666666666672</v>
      </c>
      <c r="K18" s="38">
        <v>6.6</v>
      </c>
      <c r="L18" s="38">
        <v>5.7</v>
      </c>
      <c r="M18" s="38">
        <f t="shared" si="43"/>
        <v>111.50568</v>
      </c>
      <c r="N18" s="39"/>
      <c r="O18" s="38">
        <f>M18*10</f>
        <v>1115.0568000000001</v>
      </c>
      <c r="P18" s="32">
        <f t="shared" si="44"/>
        <v>37.168559999999999</v>
      </c>
      <c r="Q18" s="38">
        <f>149+55</f>
        <v>204</v>
      </c>
      <c r="R18" s="158">
        <f t="shared" si="45"/>
        <v>1.8295032145447658</v>
      </c>
      <c r="S18" s="160">
        <f t="shared" si="46"/>
        <v>0.18295032145447657</v>
      </c>
      <c r="T18" s="118">
        <f t="shared" si="47"/>
        <v>5.4885096436342975</v>
      </c>
      <c r="U18" s="33"/>
      <c r="V18" s="138"/>
      <c r="W18" s="87">
        <f>5.2*3.1*3.1*0.52</f>
        <v>25.985440000000001</v>
      </c>
      <c r="X18" s="93">
        <f>5.5*5*5*0.52</f>
        <v>71.5</v>
      </c>
      <c r="Y18" s="93">
        <f>6.6*5.7*5.7*0.52</f>
        <v>111.50568</v>
      </c>
      <c r="Z18" s="93">
        <f>7.3*5.2*5.2*0.52</f>
        <v>102.64384000000001</v>
      </c>
      <c r="AA18" s="93">
        <f>7.6*6*6*0.52</f>
        <v>142.27199999999999</v>
      </c>
      <c r="AB18" s="93">
        <f>8.1*6.2*6.2*0.52</f>
        <v>161.90928</v>
      </c>
      <c r="AC18" s="93">
        <f>7.6*6.3*6.3*0.52</f>
        <v>156.85487999999998</v>
      </c>
      <c r="AD18" s="93">
        <f>12.1*8*8*0.52</f>
        <v>402.68799999999999</v>
      </c>
      <c r="AE18" s="93">
        <f>12.5*8.3*8.3*0.52</f>
        <v>447.78500000000014</v>
      </c>
      <c r="AF18" s="93">
        <f>14.5*8.8*8.8*0.52</f>
        <v>583.89760000000012</v>
      </c>
      <c r="AG18" s="93">
        <f>16.9*11.6*11.6*0.52</f>
        <v>1182.5132799999997</v>
      </c>
      <c r="AH18" s="93">
        <f>17.3*12.1*12.1*0.52</f>
        <v>1317.10436</v>
      </c>
      <c r="AI18" s="93">
        <f>18.2*12.6*12.6*0.52</f>
        <v>1502.5046399999999</v>
      </c>
      <c r="AJ18" s="93">
        <f>17.9*13.7*13.7*0.52</f>
        <v>1747.0185199999999</v>
      </c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2"/>
      <c r="BL18" s="92">
        <f t="shared" si="48"/>
        <v>0.23304140201647128</v>
      </c>
      <c r="BM18" s="92">
        <f t="shared" si="49"/>
        <v>0.64122294039191552</v>
      </c>
      <c r="BN18" s="92">
        <f t="shared" si="50"/>
        <v>1</v>
      </c>
      <c r="BO18" s="92">
        <f t="shared" si="88"/>
        <v>0.92052566290793447</v>
      </c>
      <c r="BP18" s="92">
        <f t="shared" si="89"/>
        <v>1.2759170653907494</v>
      </c>
      <c r="BQ18" s="92">
        <f t="shared" si="90"/>
        <v>1.4520271971795518</v>
      </c>
      <c r="BR18" s="92">
        <f t="shared" si="91"/>
        <v>1.4066985645933012</v>
      </c>
      <c r="BS18" s="92">
        <f t="shared" si="92"/>
        <v>3.6113676002872679</v>
      </c>
      <c r="BT18" s="92">
        <f t="shared" si="93"/>
        <v>4.0158043966908243</v>
      </c>
      <c r="BU18" s="92">
        <f t="shared" si="94"/>
        <v>5.2364830204165393</v>
      </c>
      <c r="BV18" s="92">
        <f t="shared" si="95"/>
        <v>10.604960034322913</v>
      </c>
      <c r="BW18" s="92">
        <f t="shared" si="96"/>
        <v>11.811993433877092</v>
      </c>
      <c r="BX18" s="92">
        <f t="shared" si="97"/>
        <v>13.474691513472676</v>
      </c>
      <c r="BY18" s="92">
        <f t="shared" si="98"/>
        <v>15.667529402986466</v>
      </c>
      <c r="BZ18" s="92" t="str">
        <f t="shared" si="99"/>
        <v/>
      </c>
      <c r="CA18" s="92" t="str">
        <f t="shared" si="100"/>
        <v/>
      </c>
      <c r="CB18" s="92" t="str">
        <f t="shared" si="101"/>
        <v/>
      </c>
      <c r="CC18" s="92" t="str">
        <f t="shared" si="102"/>
        <v/>
      </c>
      <c r="CD18" s="92" t="str">
        <f t="shared" si="103"/>
        <v/>
      </c>
      <c r="CE18" s="92" t="str">
        <f t="shared" si="104"/>
        <v/>
      </c>
      <c r="CF18" s="92" t="str">
        <f t="shared" si="105"/>
        <v/>
      </c>
      <c r="CG18" s="92" t="str">
        <f t="shared" si="106"/>
        <v/>
      </c>
      <c r="CH18" s="92" t="str">
        <f t="shared" si="107"/>
        <v/>
      </c>
      <c r="CI18" s="92" t="str">
        <f t="shared" si="108"/>
        <v/>
      </c>
      <c r="CJ18" s="92" t="str">
        <f t="shared" si="109"/>
        <v/>
      </c>
      <c r="CK18" s="92" t="str">
        <f t="shared" si="110"/>
        <v/>
      </c>
      <c r="CL18" s="92" t="str">
        <f t="shared" si="111"/>
        <v/>
      </c>
      <c r="CM18" s="92" t="str">
        <f t="shared" si="112"/>
        <v/>
      </c>
      <c r="CN18" s="92" t="str">
        <f t="shared" si="113"/>
        <v/>
      </c>
      <c r="CO18" s="92" t="str">
        <f t="shared" si="114"/>
        <v/>
      </c>
      <c r="CP18" s="92" t="str">
        <f t="shared" si="115"/>
        <v/>
      </c>
      <c r="CQ18" s="92" t="str">
        <f t="shared" si="116"/>
        <v/>
      </c>
      <c r="CR18" s="92" t="str">
        <f t="shared" si="117"/>
        <v/>
      </c>
      <c r="CS18" s="92" t="str">
        <f t="shared" si="118"/>
        <v/>
      </c>
      <c r="CT18" s="92" t="str">
        <f t="shared" si="119"/>
        <v/>
      </c>
      <c r="CU18" s="92" t="str">
        <f t="shared" si="120"/>
        <v/>
      </c>
      <c r="CV18" s="92" t="str">
        <f t="shared" si="121"/>
        <v/>
      </c>
      <c r="CW18" s="92" t="str">
        <f t="shared" si="122"/>
        <v/>
      </c>
      <c r="CX18" s="92" t="str">
        <f t="shared" si="123"/>
        <v/>
      </c>
      <c r="CY18" s="92" t="str">
        <f t="shared" si="124"/>
        <v/>
      </c>
    </row>
    <row r="19" spans="1:103">
      <c r="A19" s="41">
        <v>961147</v>
      </c>
      <c r="B19" s="1">
        <v>53</v>
      </c>
      <c r="C19" s="29" t="str">
        <f t="shared" si="42"/>
        <v>961147-53</v>
      </c>
      <c r="D19" s="28" t="s">
        <v>26</v>
      </c>
      <c r="E19" s="37" t="s">
        <v>51</v>
      </c>
      <c r="F19" s="31">
        <v>42340</v>
      </c>
      <c r="G19" s="38">
        <v>25.7</v>
      </c>
      <c r="H19" s="31">
        <v>42350</v>
      </c>
      <c r="I19" s="38">
        <v>26.6</v>
      </c>
      <c r="J19" s="165">
        <v>0.60625000000000007</v>
      </c>
      <c r="K19" s="38">
        <v>7</v>
      </c>
      <c r="L19" s="38">
        <v>6.4</v>
      </c>
      <c r="M19" s="38">
        <f t="shared" si="43"/>
        <v>149.09440000000001</v>
      </c>
      <c r="N19" s="39"/>
      <c r="O19" s="38">
        <f>M19*10</f>
        <v>1490.944</v>
      </c>
      <c r="P19" s="32">
        <f t="shared" si="44"/>
        <v>49.698133333333338</v>
      </c>
      <c r="Q19" s="38">
        <f>1413+55</f>
        <v>1468</v>
      </c>
      <c r="R19" s="158">
        <f t="shared" si="45"/>
        <v>9.8461109203296697</v>
      </c>
      <c r="S19" s="160">
        <f t="shared" si="46"/>
        <v>0.98461109203296704</v>
      </c>
      <c r="T19" s="118">
        <f t="shared" si="47"/>
        <v>29.538332760989007</v>
      </c>
      <c r="U19" s="33"/>
      <c r="V19" s="138"/>
      <c r="W19" s="87">
        <f>4.6*4.5*4.5*0.52</f>
        <v>48.437999999999995</v>
      </c>
      <c r="X19" s="93">
        <f>5.7*5.7*5.7*0.52</f>
        <v>96.300360000000012</v>
      </c>
      <c r="Y19" s="93">
        <f>7*6.4*6.4*0.52</f>
        <v>149.09440000000001</v>
      </c>
      <c r="Z19" s="93">
        <f>8*7.4*7.4*0.52</f>
        <v>227.80160000000004</v>
      </c>
      <c r="AA19" s="93">
        <f>7.6*7.1*7.1*0.52</f>
        <v>199.22031999999996</v>
      </c>
      <c r="AB19" s="93">
        <f>7.3*7.2*7.2*0.52</f>
        <v>196.78464000000002</v>
      </c>
      <c r="AC19" s="93">
        <f>8*8*8*0.52</f>
        <v>266.24</v>
      </c>
      <c r="AD19" s="93">
        <f>6.3*5.6*5.6*0.52</f>
        <v>102.73535999999999</v>
      </c>
      <c r="AE19" s="93">
        <f>8*6.9*6.9*0.52</f>
        <v>198.05760000000004</v>
      </c>
      <c r="AF19" s="93">
        <v>0</v>
      </c>
      <c r="AG19" s="93">
        <v>0</v>
      </c>
      <c r="AH19" s="93">
        <f>0</f>
        <v>0</v>
      </c>
      <c r="AI19" s="93">
        <f>5*4.1*4.1*0.52</f>
        <v>43.706000000000003</v>
      </c>
      <c r="AJ19" s="93">
        <f>6.5*5*5*0.52</f>
        <v>84.5</v>
      </c>
      <c r="AK19" s="93">
        <f>12.8*8*8*0.52</f>
        <v>425.98400000000004</v>
      </c>
      <c r="AL19" s="93">
        <f>12.6*8.8*8.8*0.52</f>
        <v>507.38688000000008</v>
      </c>
      <c r="AM19" s="93">
        <f>16.3*9.5*9.5*0.52</f>
        <v>764.95900000000006</v>
      </c>
      <c r="AN19" s="93">
        <f>19*9.7*9.7*0.52</f>
        <v>929.60919999999999</v>
      </c>
      <c r="AO19" s="93">
        <f>18.7*10.5*10.5*0.52</f>
        <v>1072.0709999999999</v>
      </c>
      <c r="AP19" s="93">
        <f>19.8*12*12*0.52</f>
        <v>1482.6240000000003</v>
      </c>
      <c r="AQ19" s="93">
        <f>18.4*12.8*12.8*0.52</f>
        <v>1567.62112</v>
      </c>
      <c r="AR19" s="93">
        <f>19.1*13.6*13.6*0.52</f>
        <v>1837.0227199999999</v>
      </c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2"/>
      <c r="BL19" s="92">
        <f t="shared" si="48"/>
        <v>0.32488141741071425</v>
      </c>
      <c r="BM19" s="92">
        <f t="shared" si="49"/>
        <v>0.64590192522321432</v>
      </c>
      <c r="BN19" s="92">
        <f t="shared" si="50"/>
        <v>1</v>
      </c>
      <c r="BO19" s="92">
        <f t="shared" si="88"/>
        <v>1.5279017857142858</v>
      </c>
      <c r="BP19" s="92">
        <f t="shared" si="89"/>
        <v>1.3362025669642854</v>
      </c>
      <c r="BQ19" s="92">
        <f t="shared" si="90"/>
        <v>1.3198660714285715</v>
      </c>
      <c r="BR19" s="92">
        <f t="shared" si="91"/>
        <v>1.7857142857142856</v>
      </c>
      <c r="BS19" s="92">
        <f t="shared" si="92"/>
        <v>0.68906249999999991</v>
      </c>
      <c r="BT19" s="92">
        <f t="shared" si="93"/>
        <v>1.328404017857143</v>
      </c>
      <c r="BU19" s="92">
        <f t="shared" si="94"/>
        <v>0</v>
      </c>
      <c r="BV19" s="92">
        <f t="shared" si="95"/>
        <v>0</v>
      </c>
      <c r="BW19" s="92">
        <f t="shared" si="96"/>
        <v>0</v>
      </c>
      <c r="BX19" s="92">
        <f t="shared" si="97"/>
        <v>0.2931431361607143</v>
      </c>
      <c r="BY19" s="92">
        <f t="shared" si="98"/>
        <v>0.56675502232142849</v>
      </c>
      <c r="BZ19" s="92">
        <f t="shared" si="99"/>
        <v>2.8571428571428572</v>
      </c>
      <c r="CA19" s="92">
        <f t="shared" si="100"/>
        <v>3.4031250000000002</v>
      </c>
      <c r="CB19" s="92">
        <f t="shared" si="101"/>
        <v>5.1307024274553577</v>
      </c>
      <c r="CC19" s="92">
        <f t="shared" si="102"/>
        <v>6.2350376674107135</v>
      </c>
      <c r="CD19" s="92">
        <f t="shared" si="103"/>
        <v>7.1905517578124991</v>
      </c>
      <c r="CE19" s="92">
        <f t="shared" si="104"/>
        <v>9.9441964285714306</v>
      </c>
      <c r="CF19" s="92">
        <f t="shared" si="105"/>
        <v>10.514285714285714</v>
      </c>
      <c r="CG19" s="92">
        <f t="shared" si="106"/>
        <v>12.321205357142857</v>
      </c>
      <c r="CH19" s="92" t="str">
        <f t="shared" si="107"/>
        <v/>
      </c>
      <c r="CI19" s="92" t="str">
        <f t="shared" si="108"/>
        <v/>
      </c>
      <c r="CJ19" s="92" t="str">
        <f t="shared" si="109"/>
        <v/>
      </c>
      <c r="CK19" s="92" t="str">
        <f t="shared" si="110"/>
        <v/>
      </c>
      <c r="CL19" s="92" t="str">
        <f t="shared" si="111"/>
        <v/>
      </c>
      <c r="CM19" s="92" t="str">
        <f t="shared" si="112"/>
        <v/>
      </c>
      <c r="CN19" s="92" t="str">
        <f t="shared" si="113"/>
        <v/>
      </c>
      <c r="CO19" s="92" t="str">
        <f t="shared" si="114"/>
        <v/>
      </c>
      <c r="CP19" s="92" t="str">
        <f t="shared" si="115"/>
        <v/>
      </c>
      <c r="CQ19" s="92" t="str">
        <f t="shared" si="116"/>
        <v/>
      </c>
      <c r="CR19" s="92" t="str">
        <f t="shared" si="117"/>
        <v/>
      </c>
      <c r="CS19" s="92" t="str">
        <f t="shared" si="118"/>
        <v/>
      </c>
      <c r="CT19" s="92" t="str">
        <f t="shared" si="119"/>
        <v/>
      </c>
      <c r="CU19" s="92" t="str">
        <f t="shared" si="120"/>
        <v/>
      </c>
      <c r="CV19" s="92" t="str">
        <f t="shared" si="121"/>
        <v/>
      </c>
      <c r="CW19" s="92" t="str">
        <f t="shared" si="122"/>
        <v/>
      </c>
      <c r="CX19" s="92" t="str">
        <f t="shared" si="123"/>
        <v/>
      </c>
      <c r="CY19" s="92" t="str">
        <f t="shared" si="124"/>
        <v/>
      </c>
    </row>
    <row r="20" spans="1:103">
      <c r="A20" s="41">
        <v>961147</v>
      </c>
      <c r="B20" s="1">
        <v>54</v>
      </c>
      <c r="C20" s="29" t="str">
        <f t="shared" si="42"/>
        <v>961147-54</v>
      </c>
      <c r="D20" s="28" t="s">
        <v>26</v>
      </c>
      <c r="E20" s="37" t="s">
        <v>48</v>
      </c>
      <c r="F20" s="31">
        <v>42340</v>
      </c>
      <c r="G20" s="38">
        <v>23.6</v>
      </c>
      <c r="H20" s="31">
        <v>42350</v>
      </c>
      <c r="I20" s="38">
        <v>28.6</v>
      </c>
      <c r="J20" s="165">
        <v>0.62083333333333335</v>
      </c>
      <c r="K20" s="38">
        <v>6.1</v>
      </c>
      <c r="L20" s="38">
        <v>6</v>
      </c>
      <c r="M20" s="38">
        <f t="shared" si="43"/>
        <v>114.19200000000001</v>
      </c>
      <c r="N20" s="39"/>
      <c r="O20" s="38">
        <f>M20*10/3</f>
        <v>380.64000000000004</v>
      </c>
      <c r="P20" s="32">
        <f t="shared" si="44"/>
        <v>38.064</v>
      </c>
      <c r="Q20" s="38">
        <v>254</v>
      </c>
      <c r="R20" s="158">
        <f t="shared" si="45"/>
        <v>2.2243239456354207</v>
      </c>
      <c r="S20" s="160">
        <f t="shared" si="46"/>
        <v>0.66729718369062618</v>
      </c>
      <c r="T20" s="118">
        <f t="shared" si="47"/>
        <v>6.6729718369062629</v>
      </c>
      <c r="U20" s="33"/>
      <c r="V20" s="138"/>
      <c r="W20" s="87">
        <f>5.6*3.9*3.9*0.52</f>
        <v>44.291520000000006</v>
      </c>
      <c r="X20" s="93">
        <f>5.7*5*5*0.52</f>
        <v>74.100000000000009</v>
      </c>
      <c r="Y20" s="93">
        <f>6.1*6*6*0.52</f>
        <v>114.19199999999999</v>
      </c>
      <c r="Z20" s="93">
        <f>7.7*6.4*6.4*0.52</f>
        <v>164.00384000000003</v>
      </c>
      <c r="AA20" s="93">
        <f>6.8*5.8*5.8*0.52</f>
        <v>118.95103999999999</v>
      </c>
      <c r="AB20" s="93">
        <f>6.4*6.2*6.2*0.52</f>
        <v>127.92832000000003</v>
      </c>
      <c r="AC20" s="93">
        <f>5.9*5.8*5.8*0.52</f>
        <v>103.20752</v>
      </c>
      <c r="AD20" s="93">
        <f>5*3.4*3.4*0.52</f>
        <v>30.056000000000001</v>
      </c>
      <c r="AE20" s="93">
        <f>7.7*6.6*6.6*0.52</f>
        <v>174.41424000000001</v>
      </c>
      <c r="AF20" s="93">
        <f>6.2*4.1*4.1*0.52</f>
        <v>54.195439999999991</v>
      </c>
      <c r="AG20" s="93">
        <f>5.7*3.7*3.7*0.52</f>
        <v>40.577160000000006</v>
      </c>
      <c r="AH20" s="93">
        <f>6.2*4.6*4.6*0.52</f>
        <v>68.219839999999991</v>
      </c>
      <c r="AI20" s="93">
        <f>5.6*4*4*0.52</f>
        <v>46.591999999999999</v>
      </c>
      <c r="AJ20" s="93">
        <f>6.6*5*5*0.52</f>
        <v>85.8</v>
      </c>
      <c r="AK20" s="93">
        <v>0</v>
      </c>
      <c r="AL20" s="93">
        <f>6.8*4.3*4.3*0.52</f>
        <v>65.38064</v>
      </c>
      <c r="AM20" s="93">
        <f>8.3*6.5*6.5*0.52</f>
        <v>182.351</v>
      </c>
      <c r="AN20" s="93">
        <f>9.9*7*7*0.52</f>
        <v>252.25199999999998</v>
      </c>
      <c r="AO20" s="93">
        <f>10.1*7.2*7.2*0.52</f>
        <v>272.26368000000002</v>
      </c>
      <c r="AP20" s="93">
        <f>12.7*7.8*7.8*0.52</f>
        <v>401.78735999999998</v>
      </c>
      <c r="AQ20" s="93">
        <f>14.6*7.8*7.8*0.52</f>
        <v>461.89727999999997</v>
      </c>
      <c r="AR20" s="93">
        <f>16.4*10.7*10.7*0.52</f>
        <v>976.37071999999978</v>
      </c>
      <c r="AS20" s="93">
        <f>15.1*10.6*10.6*0.52</f>
        <v>882.25072</v>
      </c>
      <c r="AT20" s="93">
        <f>16.6*11.3*11.3*0.52</f>
        <v>1102.2200800000003</v>
      </c>
      <c r="AU20" s="93">
        <f>16.8*13.5*13.5*0.52</f>
        <v>1592.1360000000002</v>
      </c>
      <c r="AV20" s="93">
        <f>16.9*13.7*13.7*0.52</f>
        <v>1649.4197199999996</v>
      </c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2"/>
      <c r="BL20" s="92">
        <f t="shared" si="48"/>
        <v>0.38786885245901642</v>
      </c>
      <c r="BM20" s="92">
        <f t="shared" si="49"/>
        <v>0.64890710382513661</v>
      </c>
      <c r="BN20" s="92">
        <f t="shared" si="50"/>
        <v>0.99999999999999989</v>
      </c>
      <c r="BO20" s="92">
        <f t="shared" si="88"/>
        <v>1.4362112932604738</v>
      </c>
      <c r="BP20" s="92">
        <f t="shared" si="89"/>
        <v>1.0416757741347904</v>
      </c>
      <c r="BQ20" s="92">
        <f t="shared" si="90"/>
        <v>1.1202914389799636</v>
      </c>
      <c r="BR20" s="92">
        <f t="shared" si="91"/>
        <v>0.90380692167577414</v>
      </c>
      <c r="BS20" s="92">
        <f t="shared" si="92"/>
        <v>0.26320582877959925</v>
      </c>
      <c r="BT20" s="92">
        <f t="shared" si="93"/>
        <v>1.5273770491803278</v>
      </c>
      <c r="BU20" s="92">
        <f t="shared" si="94"/>
        <v>0.47459927140254998</v>
      </c>
      <c r="BV20" s="92">
        <f t="shared" si="95"/>
        <v>0.35534153005464486</v>
      </c>
      <c r="BW20" s="92">
        <f t="shared" si="96"/>
        <v>0.59741347905282316</v>
      </c>
      <c r="BX20" s="92">
        <f t="shared" si="97"/>
        <v>0.40801457194899815</v>
      </c>
      <c r="BY20" s="92">
        <f t="shared" si="98"/>
        <v>0.75136612021857918</v>
      </c>
      <c r="BZ20" s="92">
        <f t="shared" si="99"/>
        <v>0</v>
      </c>
      <c r="CA20" s="92">
        <f t="shared" si="100"/>
        <v>0.57255009107468124</v>
      </c>
      <c r="CB20" s="92">
        <f t="shared" si="101"/>
        <v>1.5968806921675773</v>
      </c>
      <c r="CC20" s="92">
        <f t="shared" si="102"/>
        <v>2.2090163934426226</v>
      </c>
      <c r="CD20" s="92">
        <f t="shared" si="103"/>
        <v>2.3842622950819674</v>
      </c>
      <c r="CE20" s="92">
        <f t="shared" si="104"/>
        <v>3.5185245901639339</v>
      </c>
      <c r="CF20" s="92">
        <f t="shared" si="105"/>
        <v>4.0449180327868843</v>
      </c>
      <c r="CG20" s="92">
        <f t="shared" si="106"/>
        <v>8.5502550091074649</v>
      </c>
      <c r="CH20" s="92">
        <f t="shared" si="107"/>
        <v>7.7260291438979962</v>
      </c>
      <c r="CI20" s="92">
        <f t="shared" si="108"/>
        <v>9.652340619307834</v>
      </c>
      <c r="CJ20" s="92">
        <f t="shared" si="109"/>
        <v>13.942622950819674</v>
      </c>
      <c r="CK20" s="92">
        <f t="shared" si="110"/>
        <v>14.444266848816024</v>
      </c>
      <c r="CL20" s="92" t="str">
        <f t="shared" si="111"/>
        <v/>
      </c>
      <c r="CM20" s="92" t="str">
        <f t="shared" si="112"/>
        <v/>
      </c>
      <c r="CN20" s="92" t="str">
        <f t="shared" si="113"/>
        <v/>
      </c>
      <c r="CO20" s="92" t="str">
        <f t="shared" si="114"/>
        <v/>
      </c>
      <c r="CP20" s="92" t="str">
        <f t="shared" si="115"/>
        <v/>
      </c>
      <c r="CQ20" s="92" t="str">
        <f t="shared" si="116"/>
        <v/>
      </c>
      <c r="CR20" s="92" t="str">
        <f t="shared" si="117"/>
        <v/>
      </c>
      <c r="CS20" s="92" t="str">
        <f t="shared" si="118"/>
        <v/>
      </c>
      <c r="CT20" s="92" t="str">
        <f t="shared" si="119"/>
        <v/>
      </c>
      <c r="CU20" s="92" t="str">
        <f t="shared" si="120"/>
        <v/>
      </c>
      <c r="CV20" s="92" t="str">
        <f t="shared" si="121"/>
        <v/>
      </c>
      <c r="CW20" s="92" t="str">
        <f t="shared" si="122"/>
        <v/>
      </c>
      <c r="CX20" s="92" t="str">
        <f t="shared" si="123"/>
        <v/>
      </c>
      <c r="CY20" s="92" t="str">
        <f t="shared" si="124"/>
        <v/>
      </c>
    </row>
    <row r="21" spans="1:103">
      <c r="A21" s="41">
        <v>961147</v>
      </c>
      <c r="B21" s="1">
        <v>55</v>
      </c>
      <c r="C21" s="29" t="str">
        <f t="shared" si="42"/>
        <v>961147-55</v>
      </c>
      <c r="D21" s="28" t="s">
        <v>26</v>
      </c>
      <c r="E21" s="37" t="s">
        <v>52</v>
      </c>
      <c r="F21" s="31">
        <v>42340</v>
      </c>
      <c r="G21" s="38">
        <v>27.8</v>
      </c>
      <c r="H21" s="31">
        <v>42350</v>
      </c>
      <c r="I21" s="38">
        <v>24.2</v>
      </c>
      <c r="J21" s="165">
        <v>0.59097222222222223</v>
      </c>
      <c r="K21" s="38">
        <v>7.1</v>
      </c>
      <c r="L21" s="38">
        <v>6</v>
      </c>
      <c r="M21" s="38">
        <f t="shared" si="43"/>
        <v>132.91200000000001</v>
      </c>
      <c r="N21" s="39"/>
      <c r="O21" s="38">
        <f>M21*10</f>
        <v>1329.1200000000001</v>
      </c>
      <c r="P21" s="32">
        <f t="shared" si="44"/>
        <v>44.304000000000002</v>
      </c>
      <c r="Q21" s="38">
        <v>1164</v>
      </c>
      <c r="R21" s="158">
        <f t="shared" si="45"/>
        <v>8.7576742506319967</v>
      </c>
      <c r="S21" s="160">
        <f t="shared" si="46"/>
        <v>0.8757674250631996</v>
      </c>
      <c r="T21" s="118">
        <f t="shared" si="47"/>
        <v>26.27302275189599</v>
      </c>
      <c r="U21" s="33"/>
      <c r="V21" s="138"/>
      <c r="W21" s="87">
        <f>6.4*5.4*5.4*0.52</f>
        <v>97.044480000000021</v>
      </c>
      <c r="X21" s="93">
        <f>6.3*5.8*5.8*0.52</f>
        <v>110.20464</v>
      </c>
      <c r="Y21" s="93">
        <f>7.1*6*6*0.52</f>
        <v>132.91199999999998</v>
      </c>
      <c r="Z21" s="93">
        <f>7.8*6.6*6.6*0.52</f>
        <v>176.67936</v>
      </c>
      <c r="AA21" s="93">
        <f>8.2*6.5*6.5*0.52</f>
        <v>180.154</v>
      </c>
      <c r="AB21" s="93">
        <f>6.8*5.4*5.4*0.52</f>
        <v>103.10976000000001</v>
      </c>
      <c r="AC21" s="93">
        <f>6.9*5.5*5.5*0.52</f>
        <v>108.53700000000002</v>
      </c>
      <c r="AD21" s="93">
        <f>6.3*4.3*4.3*0.52</f>
        <v>60.573239999999998</v>
      </c>
      <c r="AE21" s="93">
        <f>7.3*5.4*5.4*0.52</f>
        <v>110.69136000000002</v>
      </c>
      <c r="AF21" s="93">
        <f>4.5*2.8*2.8*0.52</f>
        <v>18.345599999999997</v>
      </c>
      <c r="AG21" s="93">
        <f>3.8*3.7*3.7*0.52</f>
        <v>27.051440000000003</v>
      </c>
      <c r="AH21" s="93">
        <f>4.2*2.9*2.9*0.52</f>
        <v>18.367439999999998</v>
      </c>
      <c r="AI21" s="93">
        <f>0</f>
        <v>0</v>
      </c>
      <c r="AJ21" s="93">
        <f>0</f>
        <v>0</v>
      </c>
      <c r="AK21" s="93">
        <v>0</v>
      </c>
      <c r="AL21" s="93">
        <f>0</f>
        <v>0</v>
      </c>
      <c r="AM21" s="93">
        <v>0</v>
      </c>
      <c r="AN21" s="93">
        <f>0</f>
        <v>0</v>
      </c>
      <c r="AO21" s="93">
        <f>0</f>
        <v>0</v>
      </c>
      <c r="AP21" s="93">
        <f>0</f>
        <v>0</v>
      </c>
      <c r="AQ21" s="93">
        <f>0</f>
        <v>0</v>
      </c>
      <c r="AR21" s="93">
        <f>4.9*3*3*0.52</f>
        <v>22.932000000000002</v>
      </c>
      <c r="AS21" s="93">
        <f>4.8*3.7*3.7*0.52</f>
        <v>34.17024</v>
      </c>
      <c r="AT21" s="93">
        <f>6.1*5.9*5.9*0.52</f>
        <v>110.41732000000002</v>
      </c>
      <c r="AU21" s="93">
        <f>6.6*6.2*6.2*0.52</f>
        <v>131.92608000000001</v>
      </c>
      <c r="AV21" s="93">
        <f>8*7.4*7.4*0.52</f>
        <v>227.80160000000004</v>
      </c>
      <c r="AW21" s="93">
        <f>9*8.9*8.9*0.52</f>
        <v>370.70280000000008</v>
      </c>
      <c r="AX21" s="93">
        <f>11.2*9.3*9.3*0.52</f>
        <v>503.71776</v>
      </c>
      <c r="AY21" s="93">
        <f>10.8*9.7*9.7*0.52</f>
        <v>528.40944000000002</v>
      </c>
      <c r="AZ21" s="93">
        <f>12.6*10.7*10.7*0.52</f>
        <v>750.13847999999996</v>
      </c>
      <c r="BA21" s="93">
        <f>13.8*11.6*11.6*0.52</f>
        <v>965.60256000000004</v>
      </c>
      <c r="BB21" s="93">
        <f>14.8*14.3*14.3*0.52</f>
        <v>1573.7550400000002</v>
      </c>
      <c r="BC21" s="93">
        <f>15.4*15*15*0.52</f>
        <v>1801.8</v>
      </c>
      <c r="BD21" s="93"/>
      <c r="BE21" s="93"/>
      <c r="BF21" s="93"/>
      <c r="BG21" s="93"/>
      <c r="BH21" s="93"/>
      <c r="BI21" s="93"/>
      <c r="BJ21" s="93"/>
      <c r="BK21" s="2"/>
      <c r="BL21" s="92">
        <f t="shared" si="48"/>
        <v>0.73014084507042265</v>
      </c>
      <c r="BM21" s="92">
        <f t="shared" si="49"/>
        <v>0.82915492957746473</v>
      </c>
      <c r="BN21" s="92">
        <f t="shared" si="50"/>
        <v>0.99999999999999978</v>
      </c>
      <c r="BO21" s="92">
        <f t="shared" si="88"/>
        <v>1.3292957746478873</v>
      </c>
      <c r="BP21" s="92">
        <f t="shared" si="89"/>
        <v>1.3554381846635366</v>
      </c>
      <c r="BQ21" s="92">
        <f t="shared" si="90"/>
        <v>0.77577464788732398</v>
      </c>
      <c r="BR21" s="92">
        <f t="shared" si="91"/>
        <v>0.81660798122065736</v>
      </c>
      <c r="BS21" s="92">
        <f t="shared" si="92"/>
        <v>0.45573943661971827</v>
      </c>
      <c r="BT21" s="92">
        <f t="shared" si="93"/>
        <v>0.83281690140845077</v>
      </c>
      <c r="BU21" s="92">
        <f t="shared" si="94"/>
        <v>0.13802816901408449</v>
      </c>
      <c r="BV21" s="92">
        <f t="shared" si="95"/>
        <v>0.20352895148669797</v>
      </c>
      <c r="BW21" s="92">
        <f t="shared" si="96"/>
        <v>0.13819248826291078</v>
      </c>
      <c r="BX21" s="92">
        <f t="shared" si="97"/>
        <v>0</v>
      </c>
      <c r="BY21" s="92">
        <f t="shared" si="98"/>
        <v>0</v>
      </c>
      <c r="BZ21" s="92">
        <f t="shared" si="99"/>
        <v>0</v>
      </c>
      <c r="CA21" s="92">
        <f t="shared" si="100"/>
        <v>0</v>
      </c>
      <c r="CB21" s="92">
        <f t="shared" si="101"/>
        <v>0</v>
      </c>
      <c r="CC21" s="92">
        <f t="shared" si="102"/>
        <v>0</v>
      </c>
      <c r="CD21" s="92">
        <f t="shared" si="103"/>
        <v>0</v>
      </c>
      <c r="CE21" s="92">
        <f t="shared" si="104"/>
        <v>0</v>
      </c>
      <c r="CF21" s="92">
        <f t="shared" si="105"/>
        <v>0</v>
      </c>
      <c r="CG21" s="92">
        <f t="shared" si="106"/>
        <v>0.17253521126760565</v>
      </c>
      <c r="CH21" s="92">
        <f t="shared" si="107"/>
        <v>0.25708920187793427</v>
      </c>
      <c r="CI21" s="92">
        <f t="shared" si="108"/>
        <v>0.83075508607198756</v>
      </c>
      <c r="CJ21" s="92">
        <f t="shared" si="109"/>
        <v>0.99258215962441321</v>
      </c>
      <c r="CK21" s="92">
        <f t="shared" si="110"/>
        <v>1.7139280125195619</v>
      </c>
      <c r="CL21" s="92">
        <f t="shared" si="111"/>
        <v>2.7890845070422539</v>
      </c>
      <c r="CM21" s="92">
        <f t="shared" si="112"/>
        <v>3.7898591549295775</v>
      </c>
      <c r="CN21" s="92">
        <f t="shared" si="113"/>
        <v>3.9756338028169012</v>
      </c>
      <c r="CO21" s="92">
        <f t="shared" si="114"/>
        <v>5.6438732394366191</v>
      </c>
      <c r="CP21" s="92">
        <f t="shared" si="115"/>
        <v>7.2649765258215959</v>
      </c>
      <c r="CQ21" s="92">
        <f t="shared" si="116"/>
        <v>11.840579029733961</v>
      </c>
      <c r="CR21" s="92">
        <f t="shared" si="117"/>
        <v>13.556338028169012</v>
      </c>
      <c r="CS21" s="92" t="str">
        <f t="shared" si="118"/>
        <v/>
      </c>
      <c r="CT21" s="92" t="str">
        <f t="shared" si="119"/>
        <v/>
      </c>
      <c r="CU21" s="92" t="str">
        <f t="shared" si="120"/>
        <v/>
      </c>
      <c r="CV21" s="92" t="str">
        <f t="shared" si="121"/>
        <v/>
      </c>
      <c r="CW21" s="92" t="str">
        <f t="shared" si="122"/>
        <v/>
      </c>
      <c r="CX21" s="92" t="str">
        <f t="shared" si="123"/>
        <v/>
      </c>
      <c r="CY21" s="92" t="str">
        <f t="shared" si="124"/>
        <v/>
      </c>
    </row>
    <row r="22" spans="1:103">
      <c r="A22" s="41">
        <v>961146</v>
      </c>
      <c r="B22" s="1">
        <v>63</v>
      </c>
      <c r="C22" s="29" t="str">
        <f t="shared" si="42"/>
        <v>961146-63</v>
      </c>
      <c r="D22" s="28" t="s">
        <v>26</v>
      </c>
      <c r="E22" s="37" t="s">
        <v>47</v>
      </c>
      <c r="F22" s="31">
        <v>42340</v>
      </c>
      <c r="G22" s="38">
        <v>24.3</v>
      </c>
      <c r="H22" s="31">
        <v>42350</v>
      </c>
      <c r="I22" s="38">
        <v>23.6</v>
      </c>
      <c r="J22" s="165">
        <v>0.63541666666666663</v>
      </c>
      <c r="K22" s="38">
        <v>6.4</v>
      </c>
      <c r="L22" s="38">
        <v>5.8</v>
      </c>
      <c r="M22" s="38">
        <f t="shared" si="43"/>
        <v>111.95392000000001</v>
      </c>
      <c r="N22" s="39"/>
      <c r="O22" s="38">
        <f>M22*10/3</f>
        <v>373.17973333333339</v>
      </c>
      <c r="P22" s="32">
        <f t="shared" si="44"/>
        <v>37.317973333333335</v>
      </c>
      <c r="Q22" s="38">
        <v>294</v>
      </c>
      <c r="R22" s="158">
        <f t="shared" si="45"/>
        <v>2.6260804445257473</v>
      </c>
      <c r="S22" s="160">
        <f t="shared" si="46"/>
        <v>0.78782413335772417</v>
      </c>
      <c r="T22" s="118">
        <f t="shared" si="47"/>
        <v>7.8782413335772432</v>
      </c>
      <c r="U22" s="33"/>
      <c r="V22" s="138"/>
      <c r="W22" s="87">
        <f>6.9*5.1*5.1*0.52</f>
        <v>93.323879999999988</v>
      </c>
      <c r="X22" s="93">
        <f>6.9*6.1*6.1*0.52</f>
        <v>133.50948</v>
      </c>
      <c r="Y22" s="93">
        <f>6.4*5.8*5.8*0.52</f>
        <v>111.95392</v>
      </c>
      <c r="Z22" s="93">
        <f>8.8*7.1*7.1*0.52</f>
        <v>230.67616000000001</v>
      </c>
      <c r="AA22" s="93">
        <f>7.2*6.7*6.7*0.52</f>
        <v>168.06816000000001</v>
      </c>
      <c r="AB22" s="93">
        <f>8.6*6.9*6.9*0.52</f>
        <v>212.91192000000001</v>
      </c>
      <c r="AC22" s="93">
        <f>9.5*7.3*7.3*0.52</f>
        <v>263.25259999999997</v>
      </c>
      <c r="AD22" s="93">
        <f>10.4*7.5*7.5*0.52</f>
        <v>304.2</v>
      </c>
      <c r="AE22" s="93">
        <f>8.2*7.7*7.7*0.52</f>
        <v>252.81255999999999</v>
      </c>
      <c r="AF22" s="93">
        <f>10.3*8.8*8.8*0.52</f>
        <v>414.76864000000012</v>
      </c>
      <c r="AG22" s="93">
        <f>13.1*11.9*11.9*0.52</f>
        <v>964.64731999999992</v>
      </c>
      <c r="AH22" s="93">
        <f>12.5*11.9*11.9*0.52</f>
        <v>920.46500000000003</v>
      </c>
      <c r="AI22" s="93">
        <f>14.6*13*13*0.52</f>
        <v>1283.0479999999998</v>
      </c>
      <c r="AJ22" s="93">
        <f>14.5*12.3*12.3*0.52</f>
        <v>1140.7266000000002</v>
      </c>
      <c r="AK22" s="93">
        <f>13.6*12.3*12.3*0.52</f>
        <v>1069.9228800000003</v>
      </c>
      <c r="AL22" s="93">
        <f>16.3*15.4*15.4*0.52</f>
        <v>2010.1681600000002</v>
      </c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2"/>
      <c r="BL22" s="92">
        <f t="shared" si="48"/>
        <v>0.83359189209274653</v>
      </c>
      <c r="BM22" s="92">
        <f t="shared" si="49"/>
        <v>1.1925395734244946</v>
      </c>
      <c r="BN22" s="92">
        <f t="shared" si="50"/>
        <v>0.99999999999999989</v>
      </c>
      <c r="BO22" s="92">
        <f t="shared" si="88"/>
        <v>2.0604563020214028</v>
      </c>
      <c r="BP22" s="92">
        <f t="shared" si="89"/>
        <v>1.5012262187871581</v>
      </c>
      <c r="BQ22" s="92">
        <f t="shared" si="90"/>
        <v>1.9017817330558857</v>
      </c>
      <c r="BR22" s="92">
        <f t="shared" si="91"/>
        <v>2.3514370912604039</v>
      </c>
      <c r="BS22" s="92">
        <f t="shared" si="92"/>
        <v>2.717189357907253</v>
      </c>
      <c r="BT22" s="92">
        <f t="shared" si="93"/>
        <v>2.2581840814506537</v>
      </c>
      <c r="BU22" s="92">
        <f t="shared" si="94"/>
        <v>3.7048156956004763</v>
      </c>
      <c r="BV22" s="92">
        <f t="shared" si="95"/>
        <v>8.6164675609393555</v>
      </c>
      <c r="BW22" s="92">
        <f t="shared" si="96"/>
        <v>8.2218201917360272</v>
      </c>
      <c r="BX22" s="92">
        <f t="shared" si="97"/>
        <v>11.460500891795478</v>
      </c>
      <c r="BY22" s="92">
        <f t="shared" si="98"/>
        <v>10.189251077586208</v>
      </c>
      <c r="BZ22" s="92">
        <f t="shared" si="99"/>
        <v>9.5568148038049952</v>
      </c>
      <c r="CA22" s="92">
        <f t="shared" si="100"/>
        <v>17.955317330558859</v>
      </c>
      <c r="CB22" s="92" t="str">
        <f t="shared" si="101"/>
        <v/>
      </c>
      <c r="CC22" s="92" t="str">
        <f t="shared" si="102"/>
        <v/>
      </c>
      <c r="CD22" s="92" t="str">
        <f t="shared" si="103"/>
        <v/>
      </c>
      <c r="CE22" s="92" t="str">
        <f t="shared" si="104"/>
        <v/>
      </c>
      <c r="CF22" s="92" t="str">
        <f t="shared" si="105"/>
        <v/>
      </c>
      <c r="CG22" s="92" t="str">
        <f t="shared" si="106"/>
        <v/>
      </c>
      <c r="CH22" s="92" t="str">
        <f t="shared" si="107"/>
        <v/>
      </c>
      <c r="CI22" s="92" t="str">
        <f t="shared" si="108"/>
        <v/>
      </c>
      <c r="CJ22" s="92" t="str">
        <f t="shared" si="109"/>
        <v/>
      </c>
      <c r="CK22" s="92" t="str">
        <f t="shared" si="110"/>
        <v/>
      </c>
      <c r="CL22" s="92" t="str">
        <f t="shared" si="111"/>
        <v/>
      </c>
      <c r="CM22" s="92" t="str">
        <f t="shared" si="112"/>
        <v/>
      </c>
      <c r="CN22" s="92" t="str">
        <f t="shared" si="113"/>
        <v/>
      </c>
      <c r="CO22" s="92" t="str">
        <f t="shared" si="114"/>
        <v/>
      </c>
      <c r="CP22" s="92" t="str">
        <f t="shared" si="115"/>
        <v/>
      </c>
      <c r="CQ22" s="92" t="str">
        <f t="shared" si="116"/>
        <v/>
      </c>
      <c r="CR22" s="92" t="str">
        <f t="shared" si="117"/>
        <v/>
      </c>
      <c r="CS22" s="92" t="str">
        <f t="shared" si="118"/>
        <v/>
      </c>
      <c r="CT22" s="92" t="str">
        <f t="shared" si="119"/>
        <v/>
      </c>
      <c r="CU22" s="92" t="str">
        <f t="shared" si="120"/>
        <v/>
      </c>
      <c r="CV22" s="92" t="str">
        <f t="shared" si="121"/>
        <v/>
      </c>
      <c r="CW22" s="92" t="str">
        <f t="shared" si="122"/>
        <v/>
      </c>
      <c r="CX22" s="92" t="str">
        <f t="shared" si="123"/>
        <v/>
      </c>
      <c r="CY22" s="92" t="str">
        <f t="shared" si="124"/>
        <v/>
      </c>
    </row>
    <row r="23" spans="1:103">
      <c r="A23" s="41">
        <v>961146</v>
      </c>
      <c r="B23" s="1">
        <v>65</v>
      </c>
      <c r="C23" s="29" t="str">
        <f t="shared" si="42"/>
        <v>961146-65</v>
      </c>
      <c r="D23" s="28" t="s">
        <v>26</v>
      </c>
      <c r="E23" s="37" t="s">
        <v>51</v>
      </c>
      <c r="F23" s="31">
        <v>42340</v>
      </c>
      <c r="G23" s="38">
        <v>24.8</v>
      </c>
      <c r="H23" s="31">
        <v>42350</v>
      </c>
      <c r="I23" s="38">
        <v>24.5</v>
      </c>
      <c r="J23" s="165">
        <v>0.60902777777777783</v>
      </c>
      <c r="K23" s="38">
        <v>8.5</v>
      </c>
      <c r="L23" s="38">
        <v>6.4</v>
      </c>
      <c r="M23" s="38">
        <f t="shared" si="43"/>
        <v>181.04320000000004</v>
      </c>
      <c r="N23" s="39"/>
      <c r="O23" s="38">
        <f>M23*10</f>
        <v>1810.4320000000005</v>
      </c>
      <c r="P23" s="32">
        <f t="shared" si="44"/>
        <v>60.347733333333345</v>
      </c>
      <c r="Q23" s="38">
        <f>1217+55</f>
        <v>1272</v>
      </c>
      <c r="R23" s="158">
        <f t="shared" si="45"/>
        <v>7.025947398190044</v>
      </c>
      <c r="S23" s="160">
        <f t="shared" si="46"/>
        <v>0.70259473981900433</v>
      </c>
      <c r="T23" s="118">
        <f t="shared" si="47"/>
        <v>21.077842194570131</v>
      </c>
      <c r="U23" s="33"/>
      <c r="V23" s="138"/>
      <c r="W23" s="87">
        <f>5.8*3.5*3.5*0.52</f>
        <v>36.945999999999998</v>
      </c>
      <c r="X23" s="93">
        <f>7.8*5.9*5.9*0.52</f>
        <v>141.18936000000002</v>
      </c>
      <c r="Y23" s="93">
        <f>8.5*6.4*6.4*0.52</f>
        <v>181.04320000000004</v>
      </c>
      <c r="Z23" s="93">
        <f>10.8*6.7*6.7*0.52</f>
        <v>252.10224000000008</v>
      </c>
      <c r="AA23" s="93">
        <f>11.3*7.1*7.1*0.52</f>
        <v>296.20916000000005</v>
      </c>
      <c r="AB23" s="93">
        <f>11.4*6.3*6.3*0.52</f>
        <v>235.28231999999997</v>
      </c>
      <c r="AC23" s="93">
        <f>12.1*6.9*6.9*0.52</f>
        <v>299.56211999999999</v>
      </c>
      <c r="AD23" s="93">
        <f>12.9*8.8*8.8*0.52</f>
        <v>519.46752000000015</v>
      </c>
      <c r="AE23" s="93">
        <f>11.8*9.3*9.3*0.52</f>
        <v>530.70264000000009</v>
      </c>
      <c r="AF23" s="93">
        <f>12.9*9.7*9.7*0.52</f>
        <v>631.15571999999997</v>
      </c>
      <c r="AG23" s="93">
        <f>13.2*13.1*13.1*0.52</f>
        <v>1177.9310399999999</v>
      </c>
      <c r="AH23" s="93">
        <f>14*13.3*13.3*0.52</f>
        <v>1287.7592000000002</v>
      </c>
      <c r="AI23" s="93">
        <f>15.5*14.2*14.2*0.52</f>
        <v>1625.2183999999997</v>
      </c>
      <c r="AJ23" s="93">
        <f>14.8*14.8*14.9*0.52</f>
        <v>1697.1219200000003</v>
      </c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2"/>
      <c r="BL23" s="92">
        <f t="shared" si="48"/>
        <v>0.20407284007352935</v>
      </c>
      <c r="BM23" s="92">
        <f t="shared" si="49"/>
        <v>0.77986557904411757</v>
      </c>
      <c r="BN23" s="92">
        <f t="shared" si="50"/>
        <v>1</v>
      </c>
      <c r="BO23" s="92">
        <f t="shared" si="88"/>
        <v>1.3924977022058824</v>
      </c>
      <c r="BP23" s="92">
        <f t="shared" si="89"/>
        <v>1.6361241957720587</v>
      </c>
      <c r="BQ23" s="92">
        <f t="shared" si="90"/>
        <v>1.2995921415441172</v>
      </c>
      <c r="BR23" s="92">
        <f t="shared" si="91"/>
        <v>1.6546444163602938</v>
      </c>
      <c r="BS23" s="92">
        <f t="shared" si="92"/>
        <v>2.8693014705882356</v>
      </c>
      <c r="BT23" s="92">
        <f t="shared" si="93"/>
        <v>2.931359145220588</v>
      </c>
      <c r="BU23" s="92">
        <f t="shared" si="94"/>
        <v>3.4862161075367637</v>
      </c>
      <c r="BV23" s="92">
        <f t="shared" si="95"/>
        <v>6.5063534007352919</v>
      </c>
      <c r="BW23" s="92">
        <f t="shared" si="96"/>
        <v>7.1129940257352935</v>
      </c>
      <c r="BX23" s="92">
        <f t="shared" si="97"/>
        <v>8.9769646139705852</v>
      </c>
      <c r="BY23" s="92">
        <f t="shared" si="98"/>
        <v>9.3741268382352931</v>
      </c>
      <c r="BZ23" s="92" t="str">
        <f t="shared" si="99"/>
        <v/>
      </c>
      <c r="CA23" s="92" t="str">
        <f t="shared" si="100"/>
        <v/>
      </c>
      <c r="CB23" s="92" t="str">
        <f t="shared" si="101"/>
        <v/>
      </c>
      <c r="CC23" s="92" t="str">
        <f t="shared" si="102"/>
        <v/>
      </c>
      <c r="CD23" s="92" t="str">
        <f t="shared" si="103"/>
        <v/>
      </c>
      <c r="CE23" s="92" t="str">
        <f t="shared" si="104"/>
        <v/>
      </c>
      <c r="CF23" s="92" t="str">
        <f t="shared" si="105"/>
        <v/>
      </c>
      <c r="CG23" s="92" t="str">
        <f t="shared" si="106"/>
        <v/>
      </c>
      <c r="CH23" s="92" t="str">
        <f t="shared" si="107"/>
        <v/>
      </c>
      <c r="CI23" s="92" t="str">
        <f t="shared" si="108"/>
        <v/>
      </c>
      <c r="CJ23" s="92" t="str">
        <f t="shared" si="109"/>
        <v/>
      </c>
      <c r="CK23" s="92" t="str">
        <f t="shared" si="110"/>
        <v/>
      </c>
      <c r="CL23" s="92" t="str">
        <f t="shared" si="111"/>
        <v/>
      </c>
      <c r="CM23" s="92" t="str">
        <f t="shared" si="112"/>
        <v/>
      </c>
      <c r="CN23" s="92" t="str">
        <f t="shared" si="113"/>
        <v/>
      </c>
      <c r="CO23" s="92" t="str">
        <f t="shared" si="114"/>
        <v/>
      </c>
      <c r="CP23" s="92" t="str">
        <f t="shared" si="115"/>
        <v/>
      </c>
      <c r="CQ23" s="92" t="str">
        <f t="shared" si="116"/>
        <v/>
      </c>
      <c r="CR23" s="92" t="str">
        <f t="shared" si="117"/>
        <v/>
      </c>
      <c r="CS23" s="92" t="str">
        <f t="shared" si="118"/>
        <v/>
      </c>
      <c r="CT23" s="92" t="str">
        <f t="shared" si="119"/>
        <v/>
      </c>
      <c r="CU23" s="92" t="str">
        <f t="shared" si="120"/>
        <v/>
      </c>
      <c r="CV23" s="92" t="str">
        <f t="shared" si="121"/>
        <v/>
      </c>
      <c r="CW23" s="92" t="str">
        <f t="shared" si="122"/>
        <v/>
      </c>
      <c r="CX23" s="92" t="str">
        <f t="shared" si="123"/>
        <v/>
      </c>
      <c r="CY23" s="92" t="str">
        <f t="shared" si="124"/>
        <v/>
      </c>
    </row>
    <row r="24" spans="1:103">
      <c r="A24" s="41">
        <v>961159</v>
      </c>
      <c r="B24" s="1">
        <v>71</v>
      </c>
      <c r="C24" s="29" t="str">
        <f t="shared" si="42"/>
        <v>961159-71</v>
      </c>
      <c r="D24" s="28" t="s">
        <v>26</v>
      </c>
      <c r="E24" s="37" t="s">
        <v>50</v>
      </c>
      <c r="F24" s="31">
        <v>42340</v>
      </c>
      <c r="G24" s="38">
        <v>26.4</v>
      </c>
      <c r="H24" s="31">
        <v>42350</v>
      </c>
      <c r="I24" s="38">
        <v>28.8</v>
      </c>
      <c r="J24" s="165">
        <v>0.64513888888888882</v>
      </c>
      <c r="K24" s="38">
        <v>9.1999999999999993</v>
      </c>
      <c r="L24" s="38">
        <v>6.7</v>
      </c>
      <c r="M24" s="38">
        <f t="shared" si="43"/>
        <v>214.75376</v>
      </c>
      <c r="N24" s="39"/>
      <c r="O24" s="38">
        <f>M24*20/3</f>
        <v>1431.6917333333333</v>
      </c>
      <c r="P24" s="32">
        <f t="shared" si="44"/>
        <v>71.584586666666667</v>
      </c>
      <c r="Q24" s="38">
        <v>1298</v>
      </c>
      <c r="R24" s="158">
        <f t="shared" si="45"/>
        <v>6.0441316603723259</v>
      </c>
      <c r="S24" s="160">
        <f t="shared" si="46"/>
        <v>0.90661974905584886</v>
      </c>
      <c r="T24" s="118">
        <f t="shared" si="47"/>
        <v>18.132394981116978</v>
      </c>
      <c r="U24" s="33"/>
      <c r="V24" s="138"/>
      <c r="W24" s="87">
        <f>7.6*5.9*5.9*0.52</f>
        <v>137.56912000000003</v>
      </c>
      <c r="X24" s="93">
        <f>5.9*5.6*5.6*0.52</f>
        <v>96.212479999999985</v>
      </c>
      <c r="Y24" s="93">
        <f>9.2*6.7*6.7*0.52</f>
        <v>214.75375999999997</v>
      </c>
      <c r="Z24" s="93">
        <f>9.7*6.1*6.1*0.52</f>
        <v>187.68723999999997</v>
      </c>
      <c r="AA24" s="93">
        <f>7.5*6.5*6.5*0.52</f>
        <v>164.77500000000001</v>
      </c>
      <c r="AB24" s="93">
        <f>12.7*7.3*7.3*0.52</f>
        <v>351.92715999999996</v>
      </c>
      <c r="AC24" s="93">
        <f>11.4*8.1*8.1*0.52</f>
        <v>388.93608</v>
      </c>
      <c r="AD24" s="93">
        <f>12*7.5*7.5*0.52</f>
        <v>351</v>
      </c>
      <c r="AE24" s="93">
        <f>10.6*6.1*6.1*0.52</f>
        <v>205.10151999999997</v>
      </c>
      <c r="AF24" s="93">
        <v>0</v>
      </c>
      <c r="AG24" s="93">
        <f>10.4*6.2*6.2*0.52</f>
        <v>207.88352</v>
      </c>
      <c r="AH24" s="93">
        <f>10.6*5.5*5.5*0.52</f>
        <v>166.738</v>
      </c>
      <c r="AI24" s="93">
        <f>13.1*7.3*7.3*0.52</f>
        <v>363.01147999999995</v>
      </c>
      <c r="AJ24" s="93">
        <f>13.6*7*7*0.52</f>
        <v>346.52800000000002</v>
      </c>
      <c r="AK24" s="93">
        <f>12.8*8.4*8.4*0.52</f>
        <v>469.64736000000011</v>
      </c>
      <c r="AL24" s="93">
        <f>9.7*9.4*9.4*0.52</f>
        <v>445.68783999999999</v>
      </c>
      <c r="AM24" s="93">
        <f>10.5*9.7*9.7*0.52</f>
        <v>513.73139999999989</v>
      </c>
      <c r="AN24" s="93">
        <f>17.1*12.5*12.5*0.52</f>
        <v>1389.3750000000002</v>
      </c>
      <c r="AO24" s="93">
        <f>18.5*13.3*13.3*0.52</f>
        <v>1701.6818000000001</v>
      </c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2"/>
      <c r="BL24" s="92">
        <f t="shared" si="48"/>
        <v>0.64059004135713393</v>
      </c>
      <c r="BM24" s="92">
        <f t="shared" si="49"/>
        <v>0.44801301732737991</v>
      </c>
      <c r="BN24" s="92">
        <f t="shared" si="50"/>
        <v>0.99999999999999989</v>
      </c>
      <c r="BO24" s="92">
        <f t="shared" si="88"/>
        <v>0.87396486096448311</v>
      </c>
      <c r="BP24" s="92">
        <f t="shared" si="89"/>
        <v>0.7672741096593606</v>
      </c>
      <c r="BQ24" s="92">
        <f t="shared" si="90"/>
        <v>1.6387473728050208</v>
      </c>
      <c r="BR24" s="92">
        <f t="shared" si="91"/>
        <v>1.8110792565401417</v>
      </c>
      <c r="BS24" s="92">
        <f t="shared" si="92"/>
        <v>1.6344300560791112</v>
      </c>
      <c r="BT24" s="92">
        <f t="shared" si="93"/>
        <v>0.9550543841467547</v>
      </c>
      <c r="BU24" s="92">
        <f t="shared" si="94"/>
        <v>0</v>
      </c>
      <c r="BV24" s="92">
        <f t="shared" si="95"/>
        <v>0.9680087557023449</v>
      </c>
      <c r="BW24" s="92">
        <f t="shared" si="96"/>
        <v>0.77641481108409927</v>
      </c>
      <c r="BX24" s="92">
        <f t="shared" si="97"/>
        <v>1.6903614632870687</v>
      </c>
      <c r="BY24" s="92">
        <f t="shared" si="98"/>
        <v>1.6136062064757331</v>
      </c>
      <c r="BZ24" s="92">
        <f t="shared" si="99"/>
        <v>2.1869109998353466</v>
      </c>
      <c r="CA24" s="92">
        <f t="shared" si="100"/>
        <v>2.0753435935184559</v>
      </c>
      <c r="CB24" s="92">
        <f t="shared" si="101"/>
        <v>2.3921881507452998</v>
      </c>
      <c r="CC24" s="92">
        <f t="shared" si="102"/>
        <v>6.4696189719798163</v>
      </c>
      <c r="CD24" s="92">
        <f t="shared" si="103"/>
        <v>7.9238743014324875</v>
      </c>
      <c r="CE24" s="92" t="str">
        <f t="shared" si="104"/>
        <v/>
      </c>
      <c r="CF24" s="92" t="str">
        <f t="shared" si="105"/>
        <v/>
      </c>
      <c r="CG24" s="92" t="str">
        <f t="shared" si="106"/>
        <v/>
      </c>
      <c r="CH24" s="92" t="str">
        <f t="shared" si="107"/>
        <v/>
      </c>
      <c r="CI24" s="92" t="str">
        <f t="shared" si="108"/>
        <v/>
      </c>
      <c r="CJ24" s="92" t="str">
        <f t="shared" si="109"/>
        <v/>
      </c>
      <c r="CK24" s="92" t="str">
        <f t="shared" si="110"/>
        <v/>
      </c>
      <c r="CL24" s="92" t="str">
        <f t="shared" si="111"/>
        <v/>
      </c>
      <c r="CM24" s="92" t="str">
        <f t="shared" si="112"/>
        <v/>
      </c>
      <c r="CN24" s="92" t="str">
        <f t="shared" si="113"/>
        <v/>
      </c>
      <c r="CO24" s="92" t="str">
        <f t="shared" si="114"/>
        <v/>
      </c>
      <c r="CP24" s="92" t="str">
        <f t="shared" si="115"/>
        <v/>
      </c>
      <c r="CQ24" s="92" t="str">
        <f t="shared" si="116"/>
        <v/>
      </c>
      <c r="CR24" s="92" t="str">
        <f t="shared" si="117"/>
        <v/>
      </c>
      <c r="CS24" s="92" t="str">
        <f t="shared" si="118"/>
        <v/>
      </c>
      <c r="CT24" s="92" t="str">
        <f t="shared" si="119"/>
        <v/>
      </c>
      <c r="CU24" s="92" t="str">
        <f t="shared" si="120"/>
        <v/>
      </c>
      <c r="CV24" s="92" t="str">
        <f t="shared" si="121"/>
        <v/>
      </c>
      <c r="CW24" s="92" t="str">
        <f t="shared" si="122"/>
        <v/>
      </c>
      <c r="CX24" s="92" t="str">
        <f t="shared" si="123"/>
        <v/>
      </c>
      <c r="CY24" s="92" t="str">
        <f t="shared" si="124"/>
        <v/>
      </c>
    </row>
    <row r="25" spans="1:103">
      <c r="A25" s="41">
        <v>961159</v>
      </c>
      <c r="B25" s="1">
        <v>72</v>
      </c>
      <c r="C25" s="29" t="str">
        <f t="shared" si="42"/>
        <v>961159-72</v>
      </c>
      <c r="D25" s="28" t="s">
        <v>26</v>
      </c>
      <c r="E25" s="37" t="s">
        <v>35</v>
      </c>
      <c r="F25" s="31">
        <v>42340</v>
      </c>
      <c r="G25" s="38">
        <v>22.5</v>
      </c>
      <c r="H25" s="31">
        <v>42350</v>
      </c>
      <c r="I25" s="38">
        <v>24</v>
      </c>
      <c r="J25" s="165"/>
      <c r="K25" s="38">
        <v>6.8</v>
      </c>
      <c r="L25" s="38">
        <v>6</v>
      </c>
      <c r="M25" s="38">
        <f t="shared" si="43"/>
        <v>127.29599999999999</v>
      </c>
      <c r="N25" s="39"/>
      <c r="O25" s="38">
        <v>0</v>
      </c>
      <c r="P25" s="32">
        <f t="shared" si="44"/>
        <v>42.431999999999995</v>
      </c>
      <c r="Q25" s="38">
        <v>0</v>
      </c>
      <c r="R25" s="158">
        <f t="shared" si="45"/>
        <v>0</v>
      </c>
      <c r="S25" s="160" t="e">
        <f t="shared" si="46"/>
        <v>#DIV/0!</v>
      </c>
      <c r="T25" s="118">
        <f t="shared" si="47"/>
        <v>0</v>
      </c>
      <c r="U25" s="33"/>
      <c r="V25" s="138"/>
      <c r="W25" s="87">
        <f>5.9*4.9*4.9*0.52</f>
        <v>73.662680000000009</v>
      </c>
      <c r="X25" s="93">
        <f>6.5*6.1*6.1*0.52</f>
        <v>125.76979999999999</v>
      </c>
      <c r="Y25" s="93">
        <f>6.8*6*6*0.52</f>
        <v>127.29599999999999</v>
      </c>
      <c r="Z25" s="93">
        <f>7.6*5.9*5.9*0.52</f>
        <v>137.56912000000003</v>
      </c>
      <c r="AA25" s="93">
        <f>8.4*6*6*0.52</f>
        <v>157.24800000000002</v>
      </c>
      <c r="AB25" s="93">
        <f>8.5*6*6*0.52</f>
        <v>159.12</v>
      </c>
      <c r="AC25" s="93">
        <f>11.4*6.4*6.4*0.52</f>
        <v>242.81088000000005</v>
      </c>
      <c r="AD25" s="93">
        <f>12.9*6.9*6.9*0.52</f>
        <v>319.36788000000007</v>
      </c>
      <c r="AE25" s="93">
        <f>13.7*8.2*8.2*0.52</f>
        <v>479.01775999999995</v>
      </c>
      <c r="AF25" s="93">
        <f>15*10.4*10.4*0.52</f>
        <v>843.64800000000002</v>
      </c>
      <c r="AG25" s="93">
        <f>17.3*14.1*14.1*0.52</f>
        <v>1788.49476</v>
      </c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2"/>
      <c r="BL25" s="92">
        <f t="shared" si="48"/>
        <v>0.57867238562091516</v>
      </c>
      <c r="BM25" s="92">
        <f t="shared" si="49"/>
        <v>0.98801062091503267</v>
      </c>
      <c r="BN25" s="92">
        <f t="shared" si="50"/>
        <v>1</v>
      </c>
      <c r="BO25" s="92">
        <f t="shared" si="88"/>
        <v>1.0807026143790852</v>
      </c>
      <c r="BP25" s="92">
        <f t="shared" si="89"/>
        <v>1.2352941176470591</v>
      </c>
      <c r="BQ25" s="92">
        <f t="shared" si="90"/>
        <v>1.2500000000000002</v>
      </c>
      <c r="BR25" s="92">
        <f t="shared" si="91"/>
        <v>1.9074509803921573</v>
      </c>
      <c r="BS25" s="92">
        <f t="shared" si="92"/>
        <v>2.5088602941176479</v>
      </c>
      <c r="BT25" s="92">
        <f t="shared" si="93"/>
        <v>3.7630228758169935</v>
      </c>
      <c r="BU25" s="92">
        <f t="shared" si="94"/>
        <v>6.6274509803921573</v>
      </c>
      <c r="BV25" s="92">
        <f t="shared" si="95"/>
        <v>14.049889705882354</v>
      </c>
      <c r="BW25" s="92" t="str">
        <f t="shared" si="96"/>
        <v/>
      </c>
      <c r="BX25" s="92" t="str">
        <f t="shared" si="97"/>
        <v/>
      </c>
      <c r="BY25" s="92" t="str">
        <f t="shared" si="98"/>
        <v/>
      </c>
      <c r="BZ25" s="92" t="str">
        <f t="shared" si="99"/>
        <v/>
      </c>
      <c r="CA25" s="92" t="str">
        <f t="shared" si="100"/>
        <v/>
      </c>
      <c r="CB25" s="92" t="str">
        <f t="shared" si="101"/>
        <v/>
      </c>
      <c r="CC25" s="92" t="str">
        <f t="shared" si="102"/>
        <v/>
      </c>
      <c r="CD25" s="92" t="str">
        <f t="shared" si="103"/>
        <v/>
      </c>
      <c r="CE25" s="92" t="str">
        <f t="shared" si="104"/>
        <v/>
      </c>
      <c r="CF25" s="92" t="str">
        <f t="shared" si="105"/>
        <v/>
      </c>
      <c r="CG25" s="92" t="str">
        <f t="shared" si="106"/>
        <v/>
      </c>
      <c r="CH25" s="92" t="str">
        <f t="shared" si="107"/>
        <v/>
      </c>
      <c r="CI25" s="92" t="str">
        <f t="shared" si="108"/>
        <v/>
      </c>
      <c r="CJ25" s="92" t="str">
        <f t="shared" si="109"/>
        <v/>
      </c>
      <c r="CK25" s="92" t="str">
        <f t="shared" si="110"/>
        <v/>
      </c>
      <c r="CL25" s="92" t="str">
        <f t="shared" si="111"/>
        <v/>
      </c>
      <c r="CM25" s="92" t="str">
        <f t="shared" si="112"/>
        <v/>
      </c>
      <c r="CN25" s="92" t="str">
        <f t="shared" si="113"/>
        <v/>
      </c>
      <c r="CO25" s="92" t="str">
        <f t="shared" si="114"/>
        <v/>
      </c>
      <c r="CP25" s="92" t="str">
        <f t="shared" si="115"/>
        <v/>
      </c>
      <c r="CQ25" s="92" t="str">
        <f t="shared" si="116"/>
        <v/>
      </c>
      <c r="CR25" s="92" t="str">
        <f t="shared" si="117"/>
        <v/>
      </c>
      <c r="CS25" s="92" t="str">
        <f t="shared" si="118"/>
        <v/>
      </c>
      <c r="CT25" s="92" t="str">
        <f t="shared" si="119"/>
        <v/>
      </c>
      <c r="CU25" s="92" t="str">
        <f t="shared" si="120"/>
        <v/>
      </c>
      <c r="CV25" s="92" t="str">
        <f t="shared" si="121"/>
        <v/>
      </c>
      <c r="CW25" s="92" t="str">
        <f t="shared" si="122"/>
        <v/>
      </c>
      <c r="CX25" s="92" t="str">
        <f t="shared" si="123"/>
        <v/>
      </c>
      <c r="CY25" s="92" t="str">
        <f t="shared" si="124"/>
        <v/>
      </c>
    </row>
    <row r="26" spans="1:103">
      <c r="A26" s="41">
        <v>961159</v>
      </c>
      <c r="B26" s="1">
        <v>73</v>
      </c>
      <c r="C26" s="29" t="str">
        <f t="shared" ref="C26:C41" si="125">CONCATENATE(A26,"-",B26)</f>
        <v>961159-73</v>
      </c>
      <c r="D26" s="28" t="s">
        <v>26</v>
      </c>
      <c r="E26" s="37" t="s">
        <v>51</v>
      </c>
      <c r="F26" s="31">
        <v>42340</v>
      </c>
      <c r="G26" s="38">
        <v>21.7</v>
      </c>
      <c r="H26" s="31">
        <v>42350</v>
      </c>
      <c r="I26" s="38">
        <v>24</v>
      </c>
      <c r="J26" s="165">
        <v>0.69930555555555562</v>
      </c>
      <c r="K26" s="38">
        <v>7</v>
      </c>
      <c r="L26" s="38">
        <v>5.6</v>
      </c>
      <c r="M26" s="38">
        <f t="shared" ref="M26:M41" si="126">K26*L26^2*0.52</f>
        <v>114.15039999999999</v>
      </c>
      <c r="N26" s="39"/>
      <c r="O26" s="38">
        <f>M26*10</f>
        <v>1141.5039999999999</v>
      </c>
      <c r="P26" s="32">
        <f t="shared" ref="P26:P41" si="127">M26/3</f>
        <v>38.050133333333328</v>
      </c>
      <c r="Q26" s="38">
        <v>853</v>
      </c>
      <c r="R26" s="158">
        <f t="shared" ref="R26:R41" si="128">Q26/M26</f>
        <v>7.4725975555057191</v>
      </c>
      <c r="S26" s="160">
        <f t="shared" ref="S26:S41" si="129">Q26/O26</f>
        <v>0.74725975555057189</v>
      </c>
      <c r="T26" s="118">
        <f t="shared" ref="T26:T41" si="130">Q26/P26</f>
        <v>22.417792666517158</v>
      </c>
      <c r="U26" s="33"/>
      <c r="V26" s="138"/>
      <c r="W26" s="87">
        <f>5.8*5.2*5.2*0.52</f>
        <v>81.552639999999997</v>
      </c>
      <c r="X26" s="93">
        <f>6.6*5.5*5.5*0.52</f>
        <v>103.818</v>
      </c>
      <c r="Y26" s="93">
        <f>7*5.6*5.6*0.52</f>
        <v>114.15039999999998</v>
      </c>
      <c r="Z26" s="93">
        <f>7.2*5.3*5.3*0.52</f>
        <v>105.16895999999998</v>
      </c>
      <c r="AA26" s="93">
        <f>8.2*5.6*5.6*0.52</f>
        <v>133.71903999999998</v>
      </c>
      <c r="AB26" s="93">
        <f>7.8*5.8*5.8*0.52</f>
        <v>136.44383999999997</v>
      </c>
      <c r="AC26" s="93">
        <f>8.9*6.6*6.6*0.52</f>
        <v>201.59567999999999</v>
      </c>
      <c r="AD26" s="93">
        <f>9.1*5.6*5.6*0.52</f>
        <v>148.39551999999998</v>
      </c>
      <c r="AE26" s="93">
        <f>9.3*6.8*6.8*0.52</f>
        <v>223.61663999999999</v>
      </c>
      <c r="AF26" s="93">
        <f>9.8*6.6*6.6*0.52</f>
        <v>221.98176000000004</v>
      </c>
      <c r="AG26" s="93">
        <f>11.8*8.4*8.4*0.52</f>
        <v>432.95616000000007</v>
      </c>
      <c r="AH26" s="93">
        <f>10.6*10.3*10.3*0.52</f>
        <v>584.76808000000005</v>
      </c>
      <c r="AI26" s="93">
        <f>13.4*10.4*10.4*0.52</f>
        <v>753.65888000000018</v>
      </c>
      <c r="AJ26" s="93">
        <f>12.8*10.3*10.3*0.52</f>
        <v>706.13504000000012</v>
      </c>
      <c r="AK26" s="93">
        <f>11.9*11.7*11.7*0.52</f>
        <v>847.07531999999992</v>
      </c>
      <c r="AL26" s="93">
        <f>13.1*11.8*11.8*0.52</f>
        <v>948.50288000000023</v>
      </c>
      <c r="AM26" s="93">
        <f>14*13.2*13.2*0.52</f>
        <v>1268.4671999999998</v>
      </c>
      <c r="AN26" s="93">
        <f>12.8*12.8*12.8*0.52</f>
        <v>1090.5190400000004</v>
      </c>
      <c r="AO26" s="93">
        <f>15.6*13.2*13.2*0.52</f>
        <v>1413.43488</v>
      </c>
      <c r="AP26" s="93">
        <f>16.2*14.3*14.3*0.52</f>
        <v>1722.6237600000002</v>
      </c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2"/>
      <c r="BL26" s="92">
        <f t="shared" ref="BL26:BL41" si="131">IF(OR(ISERROR(W26/$M26)=TRUE,ISBLANK(W26)=TRUE),"",W26/$M26)</f>
        <v>0.71443148688046654</v>
      </c>
      <c r="BM26" s="92">
        <f t="shared" ref="BM26:BM41" si="132">IF(OR(ISERROR(X26/$M26)=TRUE,ISBLANK(X26)=TRUE),"",X26/$M26)</f>
        <v>0.90948432944606417</v>
      </c>
      <c r="BN26" s="92">
        <f t="shared" ref="BN26:BN41" si="133">IF(OR(ISERROR(Y26/$M26)=TRUE,ISBLANK(Y26)=TRUE),"",Y26/$M26)</f>
        <v>0.99999999999999989</v>
      </c>
      <c r="BO26" s="92">
        <f t="shared" si="88"/>
        <v>0.92131924198250725</v>
      </c>
      <c r="BP26" s="92">
        <f t="shared" si="89"/>
        <v>1.1714285714285713</v>
      </c>
      <c r="BQ26" s="92">
        <f t="shared" si="90"/>
        <v>1.1952988338192418</v>
      </c>
      <c r="BR26" s="92">
        <f t="shared" si="91"/>
        <v>1.7660532069970847</v>
      </c>
      <c r="BS26" s="92">
        <f t="shared" si="92"/>
        <v>1.2999999999999998</v>
      </c>
      <c r="BT26" s="92">
        <f t="shared" si="93"/>
        <v>1.9589650145772595</v>
      </c>
      <c r="BU26" s="92">
        <f t="shared" si="94"/>
        <v>1.9446428571428576</v>
      </c>
      <c r="BV26" s="92">
        <f t="shared" si="95"/>
        <v>3.7928571428571436</v>
      </c>
      <c r="BW26" s="92">
        <f t="shared" si="96"/>
        <v>5.1227860787172022</v>
      </c>
      <c r="BX26" s="92">
        <f t="shared" si="97"/>
        <v>6.6023323615160372</v>
      </c>
      <c r="BY26" s="92">
        <f t="shared" si="98"/>
        <v>6.1860058309037917</v>
      </c>
      <c r="BZ26" s="92">
        <f t="shared" si="99"/>
        <v>7.4206951530612244</v>
      </c>
      <c r="CA26" s="92">
        <f t="shared" si="100"/>
        <v>8.3092383381924222</v>
      </c>
      <c r="CB26" s="92">
        <f t="shared" si="101"/>
        <v>11.112244897959183</v>
      </c>
      <c r="CC26" s="92">
        <f t="shared" ref="CC26:CC41" si="134">IF(OR(ISERROR(AN26/$M26)=TRUE,ISBLANK(AN26)=TRUE),"",AN26/$M26)</f>
        <v>9.5533527696793037</v>
      </c>
      <c r="CD26" s="92">
        <f t="shared" si="103"/>
        <v>12.382215743440234</v>
      </c>
      <c r="CE26" s="92">
        <f t="shared" si="104"/>
        <v>15.090825437317788</v>
      </c>
      <c r="CF26" s="92" t="str">
        <f t="shared" si="105"/>
        <v/>
      </c>
      <c r="CG26" s="92" t="str">
        <f t="shared" si="106"/>
        <v/>
      </c>
      <c r="CH26" s="92" t="str">
        <f t="shared" si="107"/>
        <v/>
      </c>
      <c r="CI26" s="92" t="str">
        <f t="shared" si="108"/>
        <v/>
      </c>
      <c r="CJ26" s="92" t="str">
        <f t="shared" si="109"/>
        <v/>
      </c>
      <c r="CK26" s="92" t="str">
        <f t="shared" si="110"/>
        <v/>
      </c>
      <c r="CL26" s="92" t="str">
        <f t="shared" si="111"/>
        <v/>
      </c>
      <c r="CM26" s="92" t="str">
        <f t="shared" si="112"/>
        <v/>
      </c>
      <c r="CN26" s="92" t="str">
        <f t="shared" si="113"/>
        <v/>
      </c>
      <c r="CO26" s="92" t="str">
        <f t="shared" si="114"/>
        <v/>
      </c>
      <c r="CP26" s="92" t="str">
        <f t="shared" si="115"/>
        <v/>
      </c>
      <c r="CQ26" s="92" t="str">
        <f t="shared" si="116"/>
        <v/>
      </c>
      <c r="CR26" s="92" t="str">
        <f t="shared" si="117"/>
        <v/>
      </c>
      <c r="CS26" s="92" t="str">
        <f t="shared" si="118"/>
        <v/>
      </c>
      <c r="CT26" s="92" t="str">
        <f t="shared" si="119"/>
        <v/>
      </c>
      <c r="CU26" s="92" t="str">
        <f t="shared" si="120"/>
        <v/>
      </c>
      <c r="CV26" s="92" t="str">
        <f t="shared" si="121"/>
        <v/>
      </c>
      <c r="CW26" s="92" t="str">
        <f t="shared" si="122"/>
        <v/>
      </c>
      <c r="CX26" s="92" t="str">
        <f t="shared" si="123"/>
        <v/>
      </c>
      <c r="CY26" s="92" t="str">
        <f t="shared" si="124"/>
        <v/>
      </c>
    </row>
    <row r="27" spans="1:103">
      <c r="A27" s="41">
        <v>961159</v>
      </c>
      <c r="B27" s="1">
        <v>74</v>
      </c>
      <c r="C27" s="29" t="str">
        <f t="shared" si="125"/>
        <v>961159-74</v>
      </c>
      <c r="D27" s="28" t="s">
        <v>26</v>
      </c>
      <c r="E27" s="37" t="s">
        <v>50</v>
      </c>
      <c r="F27" s="31">
        <v>42340</v>
      </c>
      <c r="G27" s="38">
        <v>19.5</v>
      </c>
      <c r="H27" s="31">
        <v>42350</v>
      </c>
      <c r="I27" s="38">
        <v>22.9</v>
      </c>
      <c r="J27" s="165">
        <v>0.58680555555555558</v>
      </c>
      <c r="K27" s="38">
        <v>5.9</v>
      </c>
      <c r="L27" s="38">
        <v>5.7</v>
      </c>
      <c r="M27" s="38">
        <f t="shared" si="126"/>
        <v>99.679320000000018</v>
      </c>
      <c r="N27" s="39"/>
      <c r="O27" s="38">
        <f>M27*10</f>
        <v>996.79320000000018</v>
      </c>
      <c r="P27" s="32">
        <f t="shared" si="127"/>
        <v>33.226440000000004</v>
      </c>
      <c r="Q27" s="38">
        <f>580+55</f>
        <v>635</v>
      </c>
      <c r="R27" s="158">
        <f t="shared" si="128"/>
        <v>6.3704286907254168</v>
      </c>
      <c r="S27" s="160">
        <f t="shared" si="129"/>
        <v>0.63704286907254171</v>
      </c>
      <c r="T27" s="118">
        <f t="shared" si="130"/>
        <v>19.111286072176252</v>
      </c>
      <c r="U27" s="33"/>
      <c r="V27" s="138"/>
      <c r="W27" s="87">
        <f>5.4*4.3*4.3*0.52</f>
        <v>51.919919999999998</v>
      </c>
      <c r="X27" s="93">
        <f>5.5*4.9*4.9*0.52</f>
        <v>68.668600000000026</v>
      </c>
      <c r="Y27" s="93">
        <f>5.9*5.7*5.7*0.52</f>
        <v>99.679320000000018</v>
      </c>
      <c r="Z27" s="93">
        <f>6.2*6.1*6.1*0.52</f>
        <v>119.96504</v>
      </c>
      <c r="AA27" s="93">
        <f>6.8*6.1*6.1*0.52</f>
        <v>131.57455999999999</v>
      </c>
      <c r="AB27" s="93">
        <f>5.6*5.5*5.5*0.52</f>
        <v>88.087999999999994</v>
      </c>
      <c r="AC27" s="93">
        <f>7*6*6*0.52</f>
        <v>131.04</v>
      </c>
      <c r="AD27" s="93">
        <f>5.3*4*4*0.52</f>
        <v>44.095999999999997</v>
      </c>
      <c r="AE27" s="93">
        <f>5.6*4.9*4.9*0.52</f>
        <v>69.917120000000011</v>
      </c>
      <c r="AF27" s="93">
        <f>6.2*2.6*2.6*0.52</f>
        <v>21.794240000000006</v>
      </c>
      <c r="AG27" s="93">
        <f>5.1*4.9*4.9*0.52</f>
        <v>63.674520000000008</v>
      </c>
      <c r="AH27" s="93">
        <f>5.6*5.2*5.2*0.52</f>
        <v>78.740479999999991</v>
      </c>
      <c r="AI27" s="93">
        <v>0</v>
      </c>
      <c r="AJ27" s="93">
        <f>7.9*5.1*5.1*0.52</f>
        <v>106.84908</v>
      </c>
      <c r="AK27" s="93">
        <f>7.7*4.7*4.7*0.52</f>
        <v>88.448360000000008</v>
      </c>
      <c r="AL27" s="93">
        <f>10*8*8*0.52</f>
        <v>332.8</v>
      </c>
      <c r="AM27" s="93">
        <f>9.9*8.1*8.1*0.52</f>
        <v>337.76028000000002</v>
      </c>
      <c r="AN27" s="93">
        <f>10.2*7.1*7.1*0.52</f>
        <v>267.37463999999994</v>
      </c>
      <c r="AO27" s="93">
        <f>10.8*7.8*7.8*0.52</f>
        <v>341.67743999999999</v>
      </c>
      <c r="AP27" s="93">
        <f>12.2*9.2*9.2*0.52</f>
        <v>536.95615999999984</v>
      </c>
      <c r="AQ27" s="93">
        <f>12.9*11*11*0.52</f>
        <v>811.66800000000012</v>
      </c>
      <c r="AR27" s="93">
        <f>15.6*10.8*10.8*0.52</f>
        <v>946.18368000000021</v>
      </c>
      <c r="AS27" s="93">
        <f>14.4*11.3*11.3*0.52</f>
        <v>956.14272000000017</v>
      </c>
      <c r="AT27" s="93">
        <f>16.1*11.1*11.1*0.52</f>
        <v>1031.51412</v>
      </c>
      <c r="AU27" s="93">
        <f>17.1*13.4*13.4*0.52</f>
        <v>1596.6475200000002</v>
      </c>
      <c r="AV27" s="93">
        <f>17.7*13.5*13.5*0.52</f>
        <v>1677.4289999999999</v>
      </c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2"/>
      <c r="BL27" s="92">
        <f t="shared" si="131"/>
        <v>0.52086952439081635</v>
      </c>
      <c r="BM27" s="92">
        <f t="shared" si="132"/>
        <v>0.68889514896369697</v>
      </c>
      <c r="BN27" s="92">
        <f t="shared" si="133"/>
        <v>1</v>
      </c>
      <c r="BO27" s="92">
        <f t="shared" si="88"/>
        <v>1.2035098152756256</v>
      </c>
      <c r="BP27" s="92">
        <f t="shared" si="89"/>
        <v>1.3199785070764927</v>
      </c>
      <c r="BQ27" s="92">
        <f t="shared" si="90"/>
        <v>0.88371389371436304</v>
      </c>
      <c r="BR27" s="92">
        <f t="shared" si="91"/>
        <v>1.31461570965773</v>
      </c>
      <c r="BS27" s="92">
        <f t="shared" si="92"/>
        <v>0.44237861975783932</v>
      </c>
      <c r="BT27" s="92">
        <f t="shared" si="93"/>
        <v>0.70142051530849125</v>
      </c>
      <c r="BU27" s="92">
        <f t="shared" si="94"/>
        <v>0.21864354612370954</v>
      </c>
      <c r="BV27" s="92">
        <f t="shared" si="95"/>
        <v>0.63879368358451882</v>
      </c>
      <c r="BW27" s="92">
        <f t="shared" si="96"/>
        <v>0.78993797309211156</v>
      </c>
      <c r="BX27" s="92">
        <f t="shared" si="97"/>
        <v>0</v>
      </c>
      <c r="BY27" s="92">
        <f t="shared" si="98"/>
        <v>1.0719282595427013</v>
      </c>
      <c r="BZ27" s="92">
        <f t="shared" si="99"/>
        <v>0.88732908691592194</v>
      </c>
      <c r="CA27" s="92">
        <f t="shared" si="100"/>
        <v>3.3387065642101086</v>
      </c>
      <c r="CB27" s="92">
        <f t="shared" si="101"/>
        <v>3.388468942203859</v>
      </c>
      <c r="CC27" s="92">
        <f t="shared" si="134"/>
        <v>2.6823481540604401</v>
      </c>
      <c r="CD27" s="92">
        <f t="shared" si="103"/>
        <v>3.4277665618104129</v>
      </c>
      <c r="CE27" s="92">
        <f t="shared" si="104"/>
        <v>5.3868361060247976</v>
      </c>
      <c r="CF27" s="92">
        <f t="shared" si="105"/>
        <v>8.1427923063680616</v>
      </c>
      <c r="CG27" s="92">
        <f t="shared" si="106"/>
        <v>9.4922766327057619</v>
      </c>
      <c r="CH27" s="92">
        <f t="shared" si="107"/>
        <v>9.5921874266397484</v>
      </c>
      <c r="CI27" s="92">
        <f t="shared" si="108"/>
        <v>10.348326212498238</v>
      </c>
      <c r="CJ27" s="92">
        <f t="shared" si="109"/>
        <v>16.017841213202498</v>
      </c>
      <c r="CK27" s="92">
        <f t="shared" si="110"/>
        <v>16.828254847645425</v>
      </c>
      <c r="CL27" s="92" t="str">
        <f t="shared" si="111"/>
        <v/>
      </c>
      <c r="CM27" s="92" t="str">
        <f t="shared" si="112"/>
        <v/>
      </c>
      <c r="CN27" s="92" t="str">
        <f t="shared" si="113"/>
        <v/>
      </c>
      <c r="CO27" s="92" t="str">
        <f t="shared" si="114"/>
        <v/>
      </c>
      <c r="CP27" s="92" t="str">
        <f t="shared" si="115"/>
        <v/>
      </c>
      <c r="CQ27" s="92" t="str">
        <f t="shared" si="116"/>
        <v/>
      </c>
      <c r="CR27" s="92" t="str">
        <f t="shared" si="117"/>
        <v/>
      </c>
      <c r="CS27" s="92" t="str">
        <f t="shared" si="118"/>
        <v/>
      </c>
      <c r="CT27" s="92" t="str">
        <f t="shared" si="119"/>
        <v/>
      </c>
      <c r="CU27" s="92" t="str">
        <f t="shared" si="120"/>
        <v/>
      </c>
      <c r="CV27" s="92" t="str">
        <f t="shared" si="121"/>
        <v/>
      </c>
      <c r="CW27" s="92" t="str">
        <f t="shared" si="122"/>
        <v/>
      </c>
      <c r="CX27" s="92" t="str">
        <f t="shared" si="123"/>
        <v/>
      </c>
      <c r="CY27" s="92" t="str">
        <f t="shared" si="124"/>
        <v/>
      </c>
    </row>
    <row r="28" spans="1:103">
      <c r="A28" s="41">
        <v>961161</v>
      </c>
      <c r="B28" s="1">
        <v>81</v>
      </c>
      <c r="C28" s="29" t="str">
        <f t="shared" si="125"/>
        <v>961161-81</v>
      </c>
      <c r="D28" s="28" t="s">
        <v>26</v>
      </c>
      <c r="E28" s="37" t="s">
        <v>52</v>
      </c>
      <c r="F28" s="31">
        <v>42340</v>
      </c>
      <c r="G28" s="38">
        <v>21.1</v>
      </c>
      <c r="H28" s="31">
        <v>42350</v>
      </c>
      <c r="I28" s="38">
        <v>22.4</v>
      </c>
      <c r="J28" s="165">
        <v>0.61458333333333337</v>
      </c>
      <c r="K28" s="38">
        <v>6.8</v>
      </c>
      <c r="L28" s="38">
        <v>6.8</v>
      </c>
      <c r="M28" s="38">
        <f t="shared" si="126"/>
        <v>163.50463999999999</v>
      </c>
      <c r="N28" s="39"/>
      <c r="O28" s="38">
        <f>M28*10</f>
        <v>1635.0463999999999</v>
      </c>
      <c r="P28" s="32">
        <f t="shared" si="127"/>
        <v>54.501546666666663</v>
      </c>
      <c r="Q28" s="38">
        <f>1528+55</f>
        <v>1583</v>
      </c>
      <c r="R28" s="158">
        <f t="shared" si="128"/>
        <v>9.6816824280950069</v>
      </c>
      <c r="S28" s="160">
        <f t="shared" si="129"/>
        <v>0.96816824280950076</v>
      </c>
      <c r="T28" s="118">
        <f t="shared" si="130"/>
        <v>29.045047284285022</v>
      </c>
      <c r="U28" s="33"/>
      <c r="V28" s="138"/>
      <c r="W28" s="87"/>
      <c r="X28" s="93"/>
      <c r="Y28" s="93">
        <f>6.8*6.8*6.8*0.52</f>
        <v>163.50463999999999</v>
      </c>
      <c r="Z28" s="93">
        <f>6.6*5*5*0.52</f>
        <v>85.8</v>
      </c>
      <c r="AA28" s="93">
        <f>10.9*6.7*6.7*0.52</f>
        <v>254.43652000000003</v>
      </c>
      <c r="AB28" s="93">
        <f>12*7.2*7.2*0.52</f>
        <v>323.48160000000001</v>
      </c>
      <c r="AC28" s="93">
        <f>10.3*6.3*6.3*0.52</f>
        <v>212.57964000000001</v>
      </c>
      <c r="AD28" s="93">
        <f>3.4*3*3*0.52</f>
        <v>15.911999999999999</v>
      </c>
      <c r="AE28" s="93">
        <f>6.9*3.3*3.3*0.52</f>
        <v>39.073319999999995</v>
      </c>
      <c r="AF28" s="93">
        <v>0</v>
      </c>
      <c r="AG28" s="93">
        <v>0</v>
      </c>
      <c r="AH28" s="93">
        <f>3*2.6*2.6*0.52</f>
        <v>10.5456</v>
      </c>
      <c r="AI28" s="93">
        <f>3.3*2.2*2.2*0.52</f>
        <v>8.3054400000000008</v>
      </c>
      <c r="AJ28" s="93">
        <f>0</f>
        <v>0</v>
      </c>
      <c r="AK28" s="93">
        <v>0</v>
      </c>
      <c r="AL28" s="93">
        <v>0</v>
      </c>
      <c r="AM28" s="93">
        <f>0</f>
        <v>0</v>
      </c>
      <c r="AN28" s="93">
        <f>2.6*2.3*2.3*0.52</f>
        <v>7.1520799999999989</v>
      </c>
      <c r="AO28" s="93">
        <f>2.5*1.8*1.8*0.52</f>
        <v>4.2119999999999997</v>
      </c>
      <c r="AP28" s="93">
        <f>2.9*2.2*2.2*0.52</f>
        <v>7.2987200000000012</v>
      </c>
      <c r="AQ28" s="93">
        <f>0</f>
        <v>0</v>
      </c>
      <c r="AR28" s="93">
        <f>3.4*2.9*2.9*0.52</f>
        <v>14.868879999999999</v>
      </c>
      <c r="AS28" s="93">
        <f>3.1*2.9*2.9*0.52</f>
        <v>13.556920000000002</v>
      </c>
      <c r="AT28" s="93">
        <f>3.1*3*3*0.52</f>
        <v>14.508000000000001</v>
      </c>
      <c r="AU28" s="93">
        <f>4.8*4.4*4.4*0.52</f>
        <v>48.32256000000001</v>
      </c>
      <c r="AV28" s="93">
        <f>5.7*4.9*4.9*0.52</f>
        <v>71.16564000000001</v>
      </c>
      <c r="AW28" s="93">
        <f>6.7*5.8*5.8*0.52</f>
        <v>117.20175999999999</v>
      </c>
      <c r="AX28" s="93">
        <f>9*6.7*6.7*0.52</f>
        <v>210.08520000000004</v>
      </c>
      <c r="AY28" s="93">
        <f>8.9*6.5*6.5*0.52</f>
        <v>195.53300000000002</v>
      </c>
      <c r="AZ28" s="93">
        <f>7.8*7.2*7.2*0.52</f>
        <v>210.26303999999999</v>
      </c>
      <c r="BA28" s="93">
        <f>10*7.9*7.9*0.52</f>
        <v>324.53200000000004</v>
      </c>
      <c r="BB28" s="93">
        <f>10.2*9.5*9.5*0.52</f>
        <v>478.68599999999998</v>
      </c>
      <c r="BC28" s="93">
        <f>9.3*8.6*8.6*0.52</f>
        <v>357.67056000000002</v>
      </c>
      <c r="BD28" s="93">
        <f>10.4*10.4*0.52*15.3</f>
        <v>860.52096000000017</v>
      </c>
      <c r="BE28" s="93">
        <f>14.7*11.2*11.2*0.52</f>
        <v>958.86335999999983</v>
      </c>
      <c r="BF28" s="93">
        <f>15.8*13*13*0.52</f>
        <v>1388.5040000000001</v>
      </c>
      <c r="BG28" s="93">
        <f>16.2*13.5*13.5*0.52</f>
        <v>1535.2739999999999</v>
      </c>
      <c r="BH28" s="93">
        <f>17.2*13.8*13.8*0.52</f>
        <v>1703.2953600000001</v>
      </c>
      <c r="BI28" s="93"/>
      <c r="BJ28" s="93"/>
      <c r="BK28" s="2"/>
      <c r="BL28" s="92" t="str">
        <f t="shared" si="131"/>
        <v/>
      </c>
      <c r="BM28" s="92" t="str">
        <f t="shared" si="132"/>
        <v/>
      </c>
      <c r="BN28" s="92">
        <f t="shared" si="133"/>
        <v>1</v>
      </c>
      <c r="BO28" s="92">
        <f t="shared" si="88"/>
        <v>0.52475575005088537</v>
      </c>
      <c r="BP28" s="92">
        <f t="shared" si="89"/>
        <v>1.5561425045796868</v>
      </c>
      <c r="BQ28" s="92">
        <f t="shared" si="90"/>
        <v>1.978424587828211</v>
      </c>
      <c r="BR28" s="92">
        <f t="shared" si="91"/>
        <v>1.3001443873397112</v>
      </c>
      <c r="BS28" s="92">
        <f t="shared" si="92"/>
        <v>9.7318339100346013E-2</v>
      </c>
      <c r="BT28" s="92">
        <f t="shared" si="93"/>
        <v>0.23897376857317321</v>
      </c>
      <c r="BU28" s="92">
        <f t="shared" si="94"/>
        <v>0</v>
      </c>
      <c r="BV28" s="92">
        <f t="shared" si="95"/>
        <v>0</v>
      </c>
      <c r="BW28" s="92">
        <f t="shared" si="96"/>
        <v>6.4497252188072465E-2</v>
      </c>
      <c r="BX28" s="92">
        <f t="shared" si="97"/>
        <v>5.0796356604925715E-2</v>
      </c>
      <c r="BY28" s="92">
        <f t="shared" si="98"/>
        <v>0</v>
      </c>
      <c r="BZ28" s="92">
        <f t="shared" si="99"/>
        <v>0</v>
      </c>
      <c r="CA28" s="92">
        <f t="shared" si="100"/>
        <v>0</v>
      </c>
      <c r="CB28" s="92">
        <f t="shared" si="101"/>
        <v>0</v>
      </c>
      <c r="CC28" s="92">
        <f t="shared" si="134"/>
        <v>4.3742367189090164E-2</v>
      </c>
      <c r="CD28" s="92">
        <f t="shared" si="103"/>
        <v>2.5760736820679829E-2</v>
      </c>
      <c r="CE28" s="92">
        <f t="shared" si="104"/>
        <v>4.4639222470995325E-2</v>
      </c>
      <c r="CF28" s="92">
        <f t="shared" si="105"/>
        <v>0</v>
      </c>
      <c r="CG28" s="92">
        <f t="shared" si="106"/>
        <v>9.0938581314878891E-2</v>
      </c>
      <c r="CH28" s="92">
        <f t="shared" si="107"/>
        <v>8.2914588845918999E-2</v>
      </c>
      <c r="CI28" s="92">
        <f t="shared" si="108"/>
        <v>8.8731426826786086E-2</v>
      </c>
      <c r="CJ28" s="92">
        <f t="shared" si="109"/>
        <v>0.29554243842865874</v>
      </c>
      <c r="CK28" s="92">
        <f t="shared" si="110"/>
        <v>0.43525150111947902</v>
      </c>
      <c r="CL28" s="92">
        <f t="shared" si="111"/>
        <v>0.71680999389375122</v>
      </c>
      <c r="CM28" s="92">
        <f t="shared" si="112"/>
        <v>1.2848883065336865</v>
      </c>
      <c r="CN28" s="92">
        <f t="shared" si="113"/>
        <v>1.195886550987177</v>
      </c>
      <c r="CO28" s="92">
        <f t="shared" si="114"/>
        <v>1.285975982088337</v>
      </c>
      <c r="CP28" s="92">
        <f t="shared" si="115"/>
        <v>1.9848488703439857</v>
      </c>
      <c r="CQ28" s="92">
        <f t="shared" si="116"/>
        <v>2.9276600346020762</v>
      </c>
      <c r="CR28" s="92">
        <f t="shared" si="117"/>
        <v>2.1875254427030328</v>
      </c>
      <c r="CS28" s="92">
        <f t="shared" si="118"/>
        <v>5.2629757785467142</v>
      </c>
      <c r="CT28" s="92">
        <f t="shared" si="119"/>
        <v>5.8644412782413999</v>
      </c>
      <c r="CU28" s="92">
        <f t="shared" si="120"/>
        <v>8.4921382047628757</v>
      </c>
      <c r="CV28" s="92">
        <f t="shared" si="121"/>
        <v>9.3897885711377977</v>
      </c>
      <c r="CW28" s="92">
        <f t="shared" si="122"/>
        <v>10.417412985955629</v>
      </c>
      <c r="CX28" s="92" t="str">
        <f t="shared" si="123"/>
        <v/>
      </c>
      <c r="CY28" s="92" t="str">
        <f t="shared" si="124"/>
        <v/>
      </c>
    </row>
    <row r="29" spans="1:103">
      <c r="A29" s="41">
        <v>961161</v>
      </c>
      <c r="B29" s="1">
        <v>82</v>
      </c>
      <c r="C29" s="29" t="str">
        <f t="shared" si="125"/>
        <v>961161-82</v>
      </c>
      <c r="D29" s="28" t="s">
        <v>26</v>
      </c>
      <c r="E29" s="37" t="s">
        <v>34</v>
      </c>
      <c r="F29" s="31">
        <v>42340</v>
      </c>
      <c r="G29" s="38">
        <v>18.7</v>
      </c>
      <c r="H29" s="31">
        <v>42350</v>
      </c>
      <c r="I29" s="38">
        <v>26.5</v>
      </c>
      <c r="J29" s="165"/>
      <c r="K29" s="38">
        <v>7.7</v>
      </c>
      <c r="L29" s="38">
        <v>6.2</v>
      </c>
      <c r="M29" s="38">
        <f t="shared" si="126"/>
        <v>153.91376000000002</v>
      </c>
      <c r="N29" s="39"/>
      <c r="O29" s="38">
        <v>0</v>
      </c>
      <c r="P29" s="32">
        <f t="shared" si="127"/>
        <v>51.304586666666673</v>
      </c>
      <c r="Q29" s="38">
        <v>0</v>
      </c>
      <c r="R29" s="158">
        <f t="shared" si="128"/>
        <v>0</v>
      </c>
      <c r="S29" s="160" t="e">
        <f t="shared" si="129"/>
        <v>#DIV/0!</v>
      </c>
      <c r="T29" s="118">
        <f t="shared" si="130"/>
        <v>0</v>
      </c>
      <c r="U29" s="33"/>
      <c r="V29" s="138"/>
      <c r="W29" s="87">
        <f>6.9*5.3*5.3*0.52</f>
        <v>100.78692000000001</v>
      </c>
      <c r="X29" s="93">
        <f>7.1*6*6*0.52</f>
        <v>132.91199999999998</v>
      </c>
      <c r="Y29" s="93">
        <f>7.7*6.2*6.2*0.52</f>
        <v>153.91376</v>
      </c>
      <c r="Z29" s="93">
        <f>7.3*6.3*6.3*0.52</f>
        <v>150.66324</v>
      </c>
      <c r="AA29" s="93">
        <f>7.3*6.1*6.1*0.52</f>
        <v>141.24915999999996</v>
      </c>
      <c r="AB29" s="93">
        <f>8.1*6.5*6.5*0.52</f>
        <v>177.95699999999999</v>
      </c>
      <c r="AC29" s="93">
        <f>9.3*6.2*6.2*0.52</f>
        <v>185.89584000000002</v>
      </c>
      <c r="AD29" s="93">
        <f>10.7*7.9*7.9*0.52</f>
        <v>347.24924000000004</v>
      </c>
      <c r="AE29" s="93">
        <f>11.2*8.6*8.6*0.52</f>
        <v>430.74303999999995</v>
      </c>
      <c r="AF29" s="93">
        <f>16.9*10.8*10.8*0.52</f>
        <v>1025.0323200000003</v>
      </c>
      <c r="AG29" s="93">
        <f>18.1*15.7*15.7*0.52</f>
        <v>2319.9638800000002</v>
      </c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2"/>
      <c r="BL29" s="92">
        <f t="shared" si="131"/>
        <v>0.65482722272524552</v>
      </c>
      <c r="BM29" s="92">
        <f t="shared" si="132"/>
        <v>0.86354852223738776</v>
      </c>
      <c r="BN29" s="92">
        <f t="shared" si="133"/>
        <v>0.99999999999999978</v>
      </c>
      <c r="BO29" s="92">
        <f t="shared" si="88"/>
        <v>0.97888090057705024</v>
      </c>
      <c r="BP29" s="92">
        <f t="shared" si="89"/>
        <v>0.91771625876724694</v>
      </c>
      <c r="BQ29" s="92">
        <f t="shared" si="90"/>
        <v>1.1562124140167842</v>
      </c>
      <c r="BR29" s="92">
        <f t="shared" si="91"/>
        <v>1.2077922077922076</v>
      </c>
      <c r="BS29" s="92">
        <f t="shared" si="92"/>
        <v>2.2561286268362228</v>
      </c>
      <c r="BT29" s="92">
        <f t="shared" si="93"/>
        <v>2.7985999432409416</v>
      </c>
      <c r="BU29" s="92">
        <f t="shared" si="94"/>
        <v>6.6597835047366791</v>
      </c>
      <c r="BV29" s="92">
        <f t="shared" si="95"/>
        <v>15.073141478708596</v>
      </c>
      <c r="BW29" s="92" t="str">
        <f t="shared" si="96"/>
        <v/>
      </c>
      <c r="BX29" s="92" t="str">
        <f t="shared" si="97"/>
        <v/>
      </c>
      <c r="BY29" s="92" t="str">
        <f t="shared" si="98"/>
        <v/>
      </c>
      <c r="BZ29" s="92" t="str">
        <f t="shared" si="99"/>
        <v/>
      </c>
      <c r="CA29" s="92" t="str">
        <f t="shared" si="100"/>
        <v/>
      </c>
      <c r="CB29" s="92" t="str">
        <f t="shared" si="101"/>
        <v/>
      </c>
      <c r="CC29" s="92" t="str">
        <f t="shared" si="134"/>
        <v/>
      </c>
      <c r="CD29" s="92" t="str">
        <f t="shared" si="103"/>
        <v/>
      </c>
      <c r="CE29" s="92" t="str">
        <f t="shared" si="104"/>
        <v/>
      </c>
      <c r="CF29" s="92" t="str">
        <f t="shared" si="105"/>
        <v/>
      </c>
      <c r="CG29" s="92" t="str">
        <f t="shared" si="106"/>
        <v/>
      </c>
      <c r="CH29" s="92" t="str">
        <f t="shared" si="107"/>
        <v/>
      </c>
      <c r="CI29" s="92" t="str">
        <f t="shared" si="108"/>
        <v/>
      </c>
      <c r="CJ29" s="92" t="str">
        <f t="shared" si="109"/>
        <v/>
      </c>
      <c r="CK29" s="92" t="str">
        <f t="shared" si="110"/>
        <v/>
      </c>
      <c r="CL29" s="92" t="str">
        <f t="shared" si="111"/>
        <v/>
      </c>
      <c r="CM29" s="92" t="str">
        <f t="shared" si="112"/>
        <v/>
      </c>
      <c r="CN29" s="92" t="str">
        <f t="shared" si="113"/>
        <v/>
      </c>
      <c r="CO29" s="92" t="str">
        <f t="shared" si="114"/>
        <v/>
      </c>
      <c r="CP29" s="92" t="str">
        <f t="shared" si="115"/>
        <v/>
      </c>
      <c r="CQ29" s="92" t="str">
        <f t="shared" si="116"/>
        <v/>
      </c>
      <c r="CR29" s="92" t="str">
        <f t="shared" si="117"/>
        <v/>
      </c>
      <c r="CS29" s="92" t="str">
        <f t="shared" si="118"/>
        <v/>
      </c>
      <c r="CT29" s="92" t="str">
        <f t="shared" si="119"/>
        <v/>
      </c>
      <c r="CU29" s="92" t="str">
        <f t="shared" si="120"/>
        <v/>
      </c>
      <c r="CV29" s="92" t="str">
        <f t="shared" si="121"/>
        <v/>
      </c>
      <c r="CW29" s="92" t="str">
        <f t="shared" si="122"/>
        <v/>
      </c>
      <c r="CX29" s="92" t="str">
        <f t="shared" si="123"/>
        <v/>
      </c>
      <c r="CY29" s="92" t="str">
        <f t="shared" si="124"/>
        <v/>
      </c>
    </row>
    <row r="30" spans="1:103">
      <c r="A30" s="41">
        <v>961161</v>
      </c>
      <c r="B30" s="1">
        <v>83</v>
      </c>
      <c r="C30" s="29" t="str">
        <f t="shared" si="125"/>
        <v>961161-83</v>
      </c>
      <c r="D30" s="28" t="s">
        <v>26</v>
      </c>
      <c r="E30" s="37" t="s">
        <v>49</v>
      </c>
      <c r="F30" s="31">
        <v>42340</v>
      </c>
      <c r="G30" s="38">
        <v>22.2</v>
      </c>
      <c r="H30" s="31">
        <v>42350</v>
      </c>
      <c r="I30" s="38">
        <v>23.9</v>
      </c>
      <c r="J30" s="165">
        <v>0.65625</v>
      </c>
      <c r="K30" s="38">
        <v>7.6</v>
      </c>
      <c r="L30" s="38">
        <v>6.6</v>
      </c>
      <c r="M30" s="38">
        <f t="shared" si="126"/>
        <v>172.14911999999995</v>
      </c>
      <c r="N30" s="39"/>
      <c r="O30" s="38">
        <f>M30*20/3</f>
        <v>1147.6607999999997</v>
      </c>
      <c r="P30" s="32">
        <f t="shared" si="127"/>
        <v>57.383039999999987</v>
      </c>
      <c r="Q30" s="38">
        <v>911</v>
      </c>
      <c r="R30" s="158">
        <f t="shared" si="128"/>
        <v>5.2919236531676734</v>
      </c>
      <c r="S30" s="160">
        <f t="shared" si="129"/>
        <v>0.79378854797515108</v>
      </c>
      <c r="T30" s="118">
        <f t="shared" si="130"/>
        <v>15.87577095950302</v>
      </c>
      <c r="U30" s="33"/>
      <c r="V30" s="138"/>
      <c r="W30" s="87">
        <f>6.6*5.9*5.9*0.52</f>
        <v>119.46792000000001</v>
      </c>
      <c r="X30" s="93">
        <f>7.1*6.1*6.1*0.52</f>
        <v>137.37931999999998</v>
      </c>
      <c r="Y30" s="93">
        <f>7.6*6.6*6.6*0.52</f>
        <v>172.14912000000001</v>
      </c>
      <c r="Z30" s="93">
        <f>7.4*6.4*6.4*0.52</f>
        <v>157.61408000000003</v>
      </c>
      <c r="AA30" s="93">
        <f>8.5*6.3*6.3*0.52</f>
        <v>175.42979999999997</v>
      </c>
      <c r="AB30" s="93">
        <f>8.4*7.1*7.1*0.52</f>
        <v>220.19087999999999</v>
      </c>
      <c r="AC30" s="93">
        <f>8.4*7.7*7.7*0.52</f>
        <v>258.97872000000007</v>
      </c>
      <c r="AD30" s="93">
        <f>8*7.6*7.6*0.52</f>
        <v>240.2816</v>
      </c>
      <c r="AE30" s="93">
        <f>9.4*8.3*8.3*0.52</f>
        <v>336.73432000000008</v>
      </c>
      <c r="AF30" s="93">
        <f>8.6*7.2*7.2*0.52</f>
        <v>231.82848000000001</v>
      </c>
      <c r="AG30" s="93">
        <f>10*8.6*8.6*0.52</f>
        <v>384.59200000000004</v>
      </c>
      <c r="AH30" s="93">
        <f>10.9*8.9*8.9*0.52</f>
        <v>448.96228000000008</v>
      </c>
      <c r="AI30" s="93">
        <f>12*9.5*9.5*0.52</f>
        <v>563.16</v>
      </c>
      <c r="AJ30" s="93">
        <f>10.4*10.4*10.4*0.52</f>
        <v>584.92928000000018</v>
      </c>
      <c r="AK30" s="93">
        <f>11.9*10.3*10.3*0.52</f>
        <v>656.4849200000001</v>
      </c>
      <c r="AL30" s="93">
        <f>13.6*12.5*12.5*0.52</f>
        <v>1105</v>
      </c>
      <c r="AM30" s="93">
        <f>13.5*11.8*11.8*0.52</f>
        <v>977.4648000000002</v>
      </c>
      <c r="AN30" s="93">
        <f>14.3*12.3*12.3*0.52</f>
        <v>1124.99244</v>
      </c>
      <c r="AO30" s="93">
        <f>15.4*13.4*13.4*0.52</f>
        <v>1437.9164800000001</v>
      </c>
      <c r="AP30" s="93">
        <f>16.2*13.3*13.3*0.52</f>
        <v>1490.1213600000003</v>
      </c>
      <c r="AQ30" s="93">
        <f>16.5*14.2*14.2*0.52</f>
        <v>1730.0711999999999</v>
      </c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2"/>
      <c r="BL30" s="92">
        <f t="shared" si="131"/>
        <v>0.69397926634768758</v>
      </c>
      <c r="BM30" s="92">
        <f t="shared" si="132"/>
        <v>0.79802510753467704</v>
      </c>
      <c r="BN30" s="92">
        <f t="shared" si="133"/>
        <v>1.0000000000000002</v>
      </c>
      <c r="BO30" s="92">
        <f t="shared" si="88"/>
        <v>0.915567154801605</v>
      </c>
      <c r="BP30" s="92">
        <f t="shared" si="89"/>
        <v>1.0190571987820793</v>
      </c>
      <c r="BQ30" s="92">
        <f t="shared" si="90"/>
        <v>1.2790706104103235</v>
      </c>
      <c r="BR30" s="92">
        <f t="shared" si="91"/>
        <v>1.5043859649122815</v>
      </c>
      <c r="BS30" s="92">
        <f t="shared" si="92"/>
        <v>1.3957759412304871</v>
      </c>
      <c r="BT30" s="92">
        <f t="shared" si="93"/>
        <v>1.9560618143154038</v>
      </c>
      <c r="BU30" s="92">
        <f t="shared" si="94"/>
        <v>1.3466724662896916</v>
      </c>
      <c r="BV30" s="92">
        <f t="shared" si="95"/>
        <v>2.234063119230584</v>
      </c>
      <c r="BW30" s="92">
        <f t="shared" si="96"/>
        <v>2.6079847518244659</v>
      </c>
      <c r="BX30" s="92">
        <f t="shared" si="97"/>
        <v>3.2713498622589539</v>
      </c>
      <c r="BY30" s="92">
        <f t="shared" si="98"/>
        <v>3.3978058092890646</v>
      </c>
      <c r="BZ30" s="92">
        <f t="shared" si="99"/>
        <v>3.8134666038374188</v>
      </c>
      <c r="CA30" s="92">
        <f t="shared" si="100"/>
        <v>6.418853607848825</v>
      </c>
      <c r="CB30" s="92">
        <f t="shared" si="101"/>
        <v>5.6780121792083538</v>
      </c>
      <c r="CC30" s="92">
        <f t="shared" si="134"/>
        <v>6.5349880382775138</v>
      </c>
      <c r="CD30" s="92">
        <f t="shared" si="103"/>
        <v>8.3527379053694872</v>
      </c>
      <c r="CE30" s="92">
        <f t="shared" si="104"/>
        <v>8.655991735537194</v>
      </c>
      <c r="CF30" s="92">
        <f t="shared" si="105"/>
        <v>10.049840510366828</v>
      </c>
      <c r="CG30" s="92" t="str">
        <f t="shared" si="106"/>
        <v/>
      </c>
      <c r="CH30" s="92" t="str">
        <f t="shared" si="107"/>
        <v/>
      </c>
      <c r="CI30" s="92" t="str">
        <f t="shared" si="108"/>
        <v/>
      </c>
      <c r="CJ30" s="92" t="str">
        <f t="shared" si="109"/>
        <v/>
      </c>
      <c r="CK30" s="92" t="str">
        <f t="shared" si="110"/>
        <v/>
      </c>
      <c r="CL30" s="92" t="str">
        <f t="shared" si="111"/>
        <v/>
      </c>
      <c r="CM30" s="92" t="str">
        <f t="shared" si="112"/>
        <v/>
      </c>
      <c r="CN30" s="92" t="str">
        <f t="shared" si="113"/>
        <v/>
      </c>
      <c r="CO30" s="92" t="str">
        <f t="shared" si="114"/>
        <v/>
      </c>
      <c r="CP30" s="92" t="str">
        <f t="shared" si="115"/>
        <v/>
      </c>
      <c r="CQ30" s="92" t="str">
        <f t="shared" si="116"/>
        <v/>
      </c>
      <c r="CR30" s="92" t="str">
        <f t="shared" si="117"/>
        <v/>
      </c>
      <c r="CS30" s="92" t="str">
        <f t="shared" si="118"/>
        <v/>
      </c>
      <c r="CT30" s="92" t="str">
        <f t="shared" si="119"/>
        <v/>
      </c>
      <c r="CU30" s="92" t="str">
        <f t="shared" si="120"/>
        <v/>
      </c>
      <c r="CV30" s="92" t="str">
        <f t="shared" si="121"/>
        <v/>
      </c>
      <c r="CW30" s="92" t="str">
        <f t="shared" si="122"/>
        <v/>
      </c>
      <c r="CX30" s="92" t="str">
        <f t="shared" si="123"/>
        <v/>
      </c>
      <c r="CY30" s="92" t="str">
        <f t="shared" si="124"/>
        <v/>
      </c>
    </row>
    <row r="31" spans="1:103">
      <c r="A31" s="41">
        <v>961161</v>
      </c>
      <c r="B31" s="1">
        <v>84</v>
      </c>
      <c r="C31" s="29" t="str">
        <f t="shared" si="125"/>
        <v>961161-84</v>
      </c>
      <c r="D31" s="28" t="s">
        <v>26</v>
      </c>
      <c r="E31" s="37" t="s">
        <v>34</v>
      </c>
      <c r="F31" s="31">
        <v>42340</v>
      </c>
      <c r="G31" s="38">
        <v>25.3</v>
      </c>
      <c r="H31" s="31">
        <v>42350</v>
      </c>
      <c r="I31" s="38">
        <v>23.6</v>
      </c>
      <c r="J31" s="165"/>
      <c r="K31" s="38">
        <v>7.5</v>
      </c>
      <c r="L31" s="38">
        <v>5.5</v>
      </c>
      <c r="M31" s="38">
        <f t="shared" si="126"/>
        <v>117.97500000000001</v>
      </c>
      <c r="N31" s="39"/>
      <c r="O31" s="38">
        <v>0</v>
      </c>
      <c r="P31" s="32">
        <f t="shared" si="127"/>
        <v>39.325000000000003</v>
      </c>
      <c r="Q31" s="38">
        <v>0</v>
      </c>
      <c r="R31" s="158">
        <f t="shared" si="128"/>
        <v>0</v>
      </c>
      <c r="S31" s="160" t="e">
        <f t="shared" si="129"/>
        <v>#DIV/0!</v>
      </c>
      <c r="T31" s="118">
        <f t="shared" si="130"/>
        <v>0</v>
      </c>
      <c r="U31" s="33"/>
      <c r="V31" s="138"/>
      <c r="W31" s="87"/>
      <c r="X31" s="93">
        <f>7.4*4.5*4.5*0.52</f>
        <v>77.922000000000011</v>
      </c>
      <c r="Y31" s="93">
        <f>7.5*5.5*5.5*0.52</f>
        <v>117.97500000000001</v>
      </c>
      <c r="Z31" s="93">
        <f>7.7*6.4*6.4*0.52</f>
        <v>164.00384000000003</v>
      </c>
      <c r="AA31" s="93">
        <f>9.4*6.1*6.1*0.52</f>
        <v>181.88247999999999</v>
      </c>
      <c r="AB31" s="93">
        <f>10.4*7*7*0.52</f>
        <v>264.99200000000002</v>
      </c>
      <c r="AC31" s="93">
        <f>11.2*7.4*7.4*0.52</f>
        <v>318.92224000000004</v>
      </c>
      <c r="AD31" s="93">
        <f>12.8*8.8*8.8*0.52</f>
        <v>515.44064000000014</v>
      </c>
      <c r="AE31" s="93">
        <f>13.1*9.3*9.3*0.52</f>
        <v>589.16988000000015</v>
      </c>
      <c r="AF31" s="93">
        <f>16*9.8*9.8*0.52</f>
        <v>799.05280000000016</v>
      </c>
      <c r="AG31" s="93">
        <f>18.2*12.1*12.1*0.52</f>
        <v>1385.6242399999999</v>
      </c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2"/>
      <c r="BL31" s="92" t="str">
        <f t="shared" si="131"/>
        <v/>
      </c>
      <c r="BM31" s="92">
        <f t="shared" si="132"/>
        <v>0.66049586776859504</v>
      </c>
      <c r="BN31" s="92">
        <f t="shared" si="133"/>
        <v>1</v>
      </c>
      <c r="BO31" s="92">
        <f t="shared" si="88"/>
        <v>1.3901575757575759</v>
      </c>
      <c r="BP31" s="92">
        <f t="shared" si="89"/>
        <v>1.5417035812672175</v>
      </c>
      <c r="BQ31" s="92">
        <f t="shared" si="90"/>
        <v>2.2461707988980715</v>
      </c>
      <c r="BR31" s="92">
        <f t="shared" si="91"/>
        <v>2.7033035812672179</v>
      </c>
      <c r="BS31" s="92">
        <f t="shared" si="92"/>
        <v>4.3690666666666678</v>
      </c>
      <c r="BT31" s="92">
        <f t="shared" si="93"/>
        <v>4.9940231404958686</v>
      </c>
      <c r="BU31" s="92">
        <f t="shared" si="94"/>
        <v>6.7730688705234172</v>
      </c>
      <c r="BV31" s="92">
        <f t="shared" si="95"/>
        <v>11.745066666666665</v>
      </c>
      <c r="BW31" s="92" t="str">
        <f t="shared" si="96"/>
        <v/>
      </c>
      <c r="BX31" s="92" t="str">
        <f t="shared" si="97"/>
        <v/>
      </c>
      <c r="BY31" s="92" t="str">
        <f t="shared" si="98"/>
        <v/>
      </c>
      <c r="BZ31" s="92" t="str">
        <f t="shared" si="99"/>
        <v/>
      </c>
      <c r="CA31" s="92" t="str">
        <f t="shared" si="100"/>
        <v/>
      </c>
      <c r="CB31" s="92" t="str">
        <f t="shared" si="101"/>
        <v/>
      </c>
      <c r="CC31" s="92" t="str">
        <f t="shared" si="134"/>
        <v/>
      </c>
      <c r="CD31" s="92" t="str">
        <f t="shared" si="103"/>
        <v/>
      </c>
      <c r="CE31" s="92" t="str">
        <f t="shared" si="104"/>
        <v/>
      </c>
      <c r="CF31" s="92" t="str">
        <f t="shared" si="105"/>
        <v/>
      </c>
      <c r="CG31" s="92" t="str">
        <f t="shared" si="106"/>
        <v/>
      </c>
      <c r="CH31" s="92" t="str">
        <f t="shared" si="107"/>
        <v/>
      </c>
      <c r="CI31" s="92" t="str">
        <f t="shared" si="108"/>
        <v/>
      </c>
      <c r="CJ31" s="92" t="str">
        <f t="shared" si="109"/>
        <v/>
      </c>
      <c r="CK31" s="92" t="str">
        <f t="shared" si="110"/>
        <v/>
      </c>
      <c r="CL31" s="92" t="str">
        <f t="shared" si="111"/>
        <v/>
      </c>
      <c r="CM31" s="92" t="str">
        <f t="shared" si="112"/>
        <v/>
      </c>
      <c r="CN31" s="92" t="str">
        <f t="shared" si="113"/>
        <v/>
      </c>
      <c r="CO31" s="92" t="str">
        <f t="shared" si="114"/>
        <v/>
      </c>
      <c r="CP31" s="92" t="str">
        <f t="shared" si="115"/>
        <v/>
      </c>
      <c r="CQ31" s="92" t="str">
        <f t="shared" si="116"/>
        <v/>
      </c>
      <c r="CR31" s="92" t="str">
        <f t="shared" si="117"/>
        <v/>
      </c>
      <c r="CS31" s="92" t="str">
        <f t="shared" si="118"/>
        <v/>
      </c>
      <c r="CT31" s="92" t="str">
        <f t="shared" si="119"/>
        <v/>
      </c>
      <c r="CU31" s="92" t="str">
        <f t="shared" si="120"/>
        <v/>
      </c>
      <c r="CV31" s="92" t="str">
        <f t="shared" si="121"/>
        <v/>
      </c>
      <c r="CW31" s="92" t="str">
        <f t="shared" si="122"/>
        <v/>
      </c>
      <c r="CX31" s="92" t="str">
        <f t="shared" si="123"/>
        <v/>
      </c>
      <c r="CY31" s="92" t="str">
        <f t="shared" si="124"/>
        <v/>
      </c>
    </row>
    <row r="32" spans="1:103">
      <c r="A32" s="41">
        <v>961161</v>
      </c>
      <c r="B32" s="1">
        <v>85</v>
      </c>
      <c r="C32" s="29" t="str">
        <f t="shared" si="125"/>
        <v>961161-85</v>
      </c>
      <c r="D32" s="28" t="s">
        <v>26</v>
      </c>
      <c r="E32" s="30" t="s">
        <v>52</v>
      </c>
      <c r="F32" s="31">
        <v>42340</v>
      </c>
      <c r="G32" s="38">
        <v>22.3</v>
      </c>
      <c r="H32" s="31">
        <v>42350</v>
      </c>
      <c r="I32" s="38">
        <v>20.2</v>
      </c>
      <c r="J32" s="165">
        <v>0.58888888888888891</v>
      </c>
      <c r="K32" s="38">
        <v>7</v>
      </c>
      <c r="L32" s="38">
        <v>6.2</v>
      </c>
      <c r="M32" s="38">
        <f t="shared" si="126"/>
        <v>139.92160000000001</v>
      </c>
      <c r="N32" s="39"/>
      <c r="O32" s="38">
        <f>M32*10</f>
        <v>1399.2160000000001</v>
      </c>
      <c r="P32" s="32">
        <f t="shared" si="127"/>
        <v>46.640533333333337</v>
      </c>
      <c r="Q32" s="38">
        <f>1206+55</f>
        <v>1261</v>
      </c>
      <c r="R32" s="158">
        <f t="shared" si="128"/>
        <v>9.0121896833655413</v>
      </c>
      <c r="S32" s="160">
        <f t="shared" si="129"/>
        <v>0.90121896833655413</v>
      </c>
      <c r="T32" s="118">
        <f t="shared" si="130"/>
        <v>27.036569050096624</v>
      </c>
      <c r="U32" s="33"/>
      <c r="V32" s="138"/>
      <c r="W32" s="87">
        <f>5.2*4.5*4.5*0.52</f>
        <v>54.756000000000007</v>
      </c>
      <c r="X32" s="93">
        <f>6.6*6.5*6.5*0.52</f>
        <v>145.00199999999998</v>
      </c>
      <c r="Y32" s="93">
        <f>7*6.2*6.2*0.52</f>
        <v>139.92159999999998</v>
      </c>
      <c r="Z32" s="93">
        <f>7.4*5.8*5.8*0.52</f>
        <v>129.44672</v>
      </c>
      <c r="AA32" s="93">
        <f>6.9*6.3*6.3*0.52</f>
        <v>142.40772000000001</v>
      </c>
      <c r="AB32" s="93">
        <f>7.3*5.5*5.5*0.52</f>
        <v>114.82899999999999</v>
      </c>
      <c r="AC32" s="93">
        <f>7.6*6.2*6.2*0.52</f>
        <v>151.91488000000001</v>
      </c>
      <c r="AD32" s="93">
        <f>6.8*5.3*5.3*0.52</f>
        <v>99.326239999999999</v>
      </c>
      <c r="AE32" s="93">
        <f>6.4*5.5*5.5*0.52</f>
        <v>100.67200000000001</v>
      </c>
      <c r="AF32" s="93">
        <v>0</v>
      </c>
      <c r="AG32" s="93">
        <v>0</v>
      </c>
      <c r="AH32" s="93">
        <f>8.2*5.6*5.6*0.52</f>
        <v>133.71903999999998</v>
      </c>
      <c r="AI32" s="93">
        <f>7.6*5.5*5.5*0.52</f>
        <v>119.54799999999999</v>
      </c>
      <c r="AJ32" s="93">
        <f>10.8*5.7*5.7*0.52</f>
        <v>182.46384000000003</v>
      </c>
      <c r="AK32" s="93">
        <f>6.9*5.6*5.6*0.52</f>
        <v>112.51967999999999</v>
      </c>
      <c r="AL32" s="93">
        <f>10.9*7.9*7.9*0.52</f>
        <v>353.73988000000008</v>
      </c>
      <c r="AM32" s="93">
        <f>11.6*9.2*9.2*0.52</f>
        <v>510.54847999999987</v>
      </c>
      <c r="AN32" s="93">
        <f>11.8*9.5*9.5*0.52</f>
        <v>553.774</v>
      </c>
      <c r="AO32" s="93">
        <f>12.6*11.2*11.2*0.52</f>
        <v>821.88287999999989</v>
      </c>
      <c r="AP32" s="93">
        <f>13*10.9*10.9*0.52</f>
        <v>803.15560000000016</v>
      </c>
      <c r="AQ32" s="93">
        <f>13.1*10.7*10.7*0.52</f>
        <v>779.90587999999991</v>
      </c>
      <c r="AR32" s="93">
        <f>13.3*11.1*11.1*0.52</f>
        <v>852.12036000000001</v>
      </c>
      <c r="AS32" s="93">
        <f>13.8*11.8*11.8*0.52</f>
        <v>999.18624000000023</v>
      </c>
      <c r="AT32" s="93">
        <f>13.9*12.7*12.7*0.52</f>
        <v>1165.80412</v>
      </c>
      <c r="AU32" s="93">
        <f>14.9*12.1*12.1*0.52</f>
        <v>1134.3846800000001</v>
      </c>
      <c r="AV32" s="93">
        <f>15.6*11.9*11.9*0.52</f>
        <v>1148.7403200000003</v>
      </c>
      <c r="AW32" s="93">
        <f>15.6*13.3*13.3*0.52</f>
        <v>1434.9316800000001</v>
      </c>
      <c r="AX32" s="93">
        <f>15*14.4*14.4*0.52</f>
        <v>1617.4080000000001</v>
      </c>
      <c r="AY32" s="93">
        <f>16.8*14.4*14.4*0.52</f>
        <v>1811.4969600000002</v>
      </c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2"/>
      <c r="BL32" s="92">
        <f t="shared" si="131"/>
        <v>0.39133343243645013</v>
      </c>
      <c r="BM32" s="92">
        <f t="shared" si="132"/>
        <v>1.0363089044150435</v>
      </c>
      <c r="BN32" s="92">
        <f t="shared" si="133"/>
        <v>0.99999999999999978</v>
      </c>
      <c r="BO32" s="92">
        <f t="shared" si="88"/>
        <v>0.92513750557455021</v>
      </c>
      <c r="BP32" s="92">
        <f t="shared" si="89"/>
        <v>1.0177679500520291</v>
      </c>
      <c r="BQ32" s="92">
        <f t="shared" si="90"/>
        <v>0.82066671621822496</v>
      </c>
      <c r="BR32" s="92">
        <f t="shared" si="91"/>
        <v>1.0857142857142856</v>
      </c>
      <c r="BS32" s="92">
        <f t="shared" si="92"/>
        <v>0.709870670432585</v>
      </c>
      <c r="BT32" s="92">
        <f t="shared" si="93"/>
        <v>0.71948862791734802</v>
      </c>
      <c r="BU32" s="92">
        <f t="shared" si="94"/>
        <v>0</v>
      </c>
      <c r="BV32" s="92">
        <f t="shared" si="95"/>
        <v>0</v>
      </c>
      <c r="BW32" s="92">
        <f t="shared" si="96"/>
        <v>0.95567117585848049</v>
      </c>
      <c r="BX32" s="92">
        <f t="shared" si="97"/>
        <v>0.85439274565185064</v>
      </c>
      <c r="BY32" s="92">
        <f t="shared" si="98"/>
        <v>1.3040434071651554</v>
      </c>
      <c r="BZ32" s="92">
        <f t="shared" si="99"/>
        <v>0.80416233090530687</v>
      </c>
      <c r="CA32" s="92">
        <f t="shared" si="100"/>
        <v>2.5281291809127402</v>
      </c>
      <c r="CB32" s="92">
        <f t="shared" si="101"/>
        <v>3.6488181953322418</v>
      </c>
      <c r="CC32" s="92">
        <f t="shared" si="134"/>
        <v>3.9577449085773746</v>
      </c>
      <c r="CD32" s="92">
        <f t="shared" si="103"/>
        <v>5.8738813735691977</v>
      </c>
      <c r="CE32" s="92">
        <f t="shared" si="104"/>
        <v>5.7400401367623015</v>
      </c>
      <c r="CF32" s="92">
        <f t="shared" si="105"/>
        <v>5.5738776572023179</v>
      </c>
      <c r="CG32" s="92">
        <f t="shared" si="106"/>
        <v>6.0899843912591045</v>
      </c>
      <c r="CH32" s="92">
        <f t="shared" si="107"/>
        <v>7.1410435558198317</v>
      </c>
      <c r="CI32" s="92">
        <f t="shared" si="108"/>
        <v>8.3318381150587175</v>
      </c>
      <c r="CJ32" s="92">
        <f t="shared" si="109"/>
        <v>8.1072877954511675</v>
      </c>
      <c r="CK32" s="92">
        <f t="shared" si="110"/>
        <v>8.2098855359001064</v>
      </c>
      <c r="CL32" s="92">
        <f t="shared" si="111"/>
        <v>10.25525494276795</v>
      </c>
      <c r="CM32" s="92">
        <f t="shared" si="112"/>
        <v>11.55938754273822</v>
      </c>
      <c r="CN32" s="92">
        <f t="shared" si="113"/>
        <v>12.946514047866806</v>
      </c>
      <c r="CO32" s="92" t="str">
        <f t="shared" si="114"/>
        <v/>
      </c>
      <c r="CP32" s="92" t="str">
        <f t="shared" si="115"/>
        <v/>
      </c>
      <c r="CQ32" s="92" t="str">
        <f t="shared" si="116"/>
        <v/>
      </c>
      <c r="CR32" s="92" t="str">
        <f t="shared" si="117"/>
        <v/>
      </c>
      <c r="CS32" s="92" t="str">
        <f t="shared" si="118"/>
        <v/>
      </c>
      <c r="CT32" s="92" t="str">
        <f t="shared" si="119"/>
        <v/>
      </c>
      <c r="CU32" s="92" t="str">
        <f t="shared" si="120"/>
        <v/>
      </c>
      <c r="CV32" s="92" t="str">
        <f t="shared" si="121"/>
        <v/>
      </c>
      <c r="CW32" s="92" t="str">
        <f t="shared" si="122"/>
        <v/>
      </c>
      <c r="CX32" s="92" t="str">
        <f t="shared" si="123"/>
        <v/>
      </c>
      <c r="CY32" s="92" t="str">
        <f t="shared" si="124"/>
        <v/>
      </c>
    </row>
    <row r="33" spans="1:111">
      <c r="A33" s="41">
        <v>961162</v>
      </c>
      <c r="B33" s="1">
        <v>91</v>
      </c>
      <c r="C33" s="29" t="str">
        <f t="shared" si="125"/>
        <v>961162-91</v>
      </c>
      <c r="D33" s="28" t="s">
        <v>26</v>
      </c>
      <c r="E33" s="37" t="s">
        <v>49</v>
      </c>
      <c r="F33" s="31">
        <v>42340</v>
      </c>
      <c r="G33" s="38">
        <v>23</v>
      </c>
      <c r="H33" s="31">
        <v>42350</v>
      </c>
      <c r="I33" s="38">
        <v>27.2</v>
      </c>
      <c r="J33" s="165">
        <v>0.65138888888888891</v>
      </c>
      <c r="K33" s="38">
        <v>6.8</v>
      </c>
      <c r="L33" s="38">
        <v>6.1</v>
      </c>
      <c r="M33" s="38">
        <f t="shared" si="126"/>
        <v>131.57455999999999</v>
      </c>
      <c r="N33" s="39"/>
      <c r="O33" s="38">
        <f>M33*20/3</f>
        <v>877.16373333333331</v>
      </c>
      <c r="P33" s="32">
        <f t="shared" si="127"/>
        <v>43.858186666666661</v>
      </c>
      <c r="Q33" s="38">
        <v>803</v>
      </c>
      <c r="R33" s="158">
        <f t="shared" si="128"/>
        <v>6.1030034985486559</v>
      </c>
      <c r="S33" s="160">
        <f t="shared" si="129"/>
        <v>0.91545052478229838</v>
      </c>
      <c r="T33" s="118">
        <f t="shared" si="130"/>
        <v>18.309010495645968</v>
      </c>
      <c r="U33" s="33"/>
      <c r="V33" s="138"/>
      <c r="W33" s="87">
        <f>4.8*3.3*3.3*0.52</f>
        <v>27.181439999999995</v>
      </c>
      <c r="X33" s="93">
        <f>5.9*5.6*5.6*0.52</f>
        <v>96.212479999999985</v>
      </c>
      <c r="Y33" s="93">
        <f>6.8*6.1*6.1*0.52</f>
        <v>131.57455999999999</v>
      </c>
      <c r="Z33" s="93">
        <f>8.2*7.2*7.2*0.52</f>
        <v>221.04576000000003</v>
      </c>
      <c r="AA33" s="93">
        <f>8.3*6.7*6.7*0.52</f>
        <v>193.74524000000002</v>
      </c>
      <c r="AB33" s="93">
        <f>7.4*6.7*6.7*0.52</f>
        <v>172.73672000000002</v>
      </c>
      <c r="AC33" s="93">
        <f>7.7*7.6*7.6*0.52</f>
        <v>231.27103999999997</v>
      </c>
      <c r="AD33" s="93">
        <f>9.7*7.2*7.2*0.52</f>
        <v>261.48096000000004</v>
      </c>
      <c r="AE33" s="93">
        <f>10.7*7.6*7.6*0.52</f>
        <v>321.37663999999995</v>
      </c>
      <c r="AF33" s="93">
        <f>10.5*7.3*7.3*0.52</f>
        <v>290.96339999999998</v>
      </c>
      <c r="AG33" s="93">
        <f>13.6*11*11*0.52</f>
        <v>855.71199999999999</v>
      </c>
      <c r="AH33" s="93">
        <f>14.2*12*12*0.52</f>
        <v>1063.2959999999998</v>
      </c>
      <c r="AI33" s="93">
        <f>14.1*11.4*11.4*0.52</f>
        <v>952.8667200000001</v>
      </c>
      <c r="AJ33" s="93">
        <f>14.4*11*11*0.52</f>
        <v>906.04800000000012</v>
      </c>
      <c r="AK33" s="93">
        <f>15.9*12.2*12.2*0.52</f>
        <v>1230.6091199999998</v>
      </c>
      <c r="AL33" s="93">
        <f>16.6*13.4*13.4*0.52</f>
        <v>1549.9619200000002</v>
      </c>
      <c r="AM33" s="93">
        <f>17.6*13.1*13.1*0.52</f>
        <v>1570.5747199999998</v>
      </c>
      <c r="AN33" s="93">
        <f>18.4*13.4*13.4*0.52</f>
        <v>1718.0300799999998</v>
      </c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2"/>
      <c r="BL33" s="92">
        <f t="shared" si="131"/>
        <v>0.20658583239799547</v>
      </c>
      <c r="BM33" s="92">
        <f t="shared" si="132"/>
        <v>0.73123923044089978</v>
      </c>
      <c r="BN33" s="92">
        <f t="shared" si="133"/>
        <v>1</v>
      </c>
      <c r="BO33" s="92">
        <f t="shared" si="88"/>
        <v>1.6800037940465091</v>
      </c>
      <c r="BP33" s="92">
        <f t="shared" si="89"/>
        <v>1.4725129234709204</v>
      </c>
      <c r="BQ33" s="92">
        <f t="shared" si="90"/>
        <v>1.3128428474319049</v>
      </c>
      <c r="BR33" s="92">
        <f t="shared" si="91"/>
        <v>1.7577185133661095</v>
      </c>
      <c r="BS33" s="92">
        <f t="shared" si="92"/>
        <v>1.9873215612501387</v>
      </c>
      <c r="BT33" s="92">
        <f t="shared" si="93"/>
        <v>2.4425439081840743</v>
      </c>
      <c r="BU33" s="92">
        <f t="shared" si="94"/>
        <v>2.211395576774112</v>
      </c>
      <c r="BV33" s="92">
        <f t="shared" si="95"/>
        <v>6.5036280569739322</v>
      </c>
      <c r="BW33" s="92">
        <f t="shared" si="96"/>
        <v>8.0813190635028533</v>
      </c>
      <c r="BX33" s="92">
        <f t="shared" si="97"/>
        <v>7.2420285501999793</v>
      </c>
      <c r="BY33" s="92">
        <f t="shared" si="98"/>
        <v>6.8861944132665176</v>
      </c>
      <c r="BZ33" s="92">
        <f t="shared" si="99"/>
        <v>9.352941176470587</v>
      </c>
      <c r="CA33" s="92">
        <f t="shared" si="100"/>
        <v>11.780103387767364</v>
      </c>
      <c r="CB33" s="92">
        <f t="shared" si="101"/>
        <v>11.936765891521887</v>
      </c>
      <c r="CC33" s="92">
        <f t="shared" si="134"/>
        <v>13.057463996079484</v>
      </c>
      <c r="CD33" s="92" t="str">
        <f t="shared" si="103"/>
        <v/>
      </c>
      <c r="CE33" s="92" t="str">
        <f t="shared" si="104"/>
        <v/>
      </c>
      <c r="CF33" s="92" t="str">
        <f t="shared" si="105"/>
        <v/>
      </c>
      <c r="CG33" s="92" t="str">
        <f t="shared" si="106"/>
        <v/>
      </c>
      <c r="CH33" s="92" t="str">
        <f t="shared" si="107"/>
        <v/>
      </c>
      <c r="CI33" s="92" t="str">
        <f t="shared" si="108"/>
        <v/>
      </c>
      <c r="CJ33" s="92" t="str">
        <f t="shared" si="109"/>
        <v/>
      </c>
      <c r="CK33" s="92" t="str">
        <f t="shared" si="110"/>
        <v/>
      </c>
      <c r="CL33" s="92" t="str">
        <f t="shared" si="111"/>
        <v/>
      </c>
      <c r="CM33" s="92" t="str">
        <f t="shared" si="112"/>
        <v/>
      </c>
      <c r="CN33" s="92" t="str">
        <f t="shared" si="113"/>
        <v/>
      </c>
      <c r="CO33" s="92" t="str">
        <f t="shared" si="114"/>
        <v/>
      </c>
      <c r="CP33" s="92" t="str">
        <f t="shared" si="115"/>
        <v/>
      </c>
      <c r="CQ33" s="92" t="str">
        <f t="shared" si="116"/>
        <v/>
      </c>
      <c r="CR33" s="92" t="str">
        <f t="shared" si="117"/>
        <v/>
      </c>
      <c r="CS33" s="92" t="str">
        <f t="shared" si="118"/>
        <v/>
      </c>
      <c r="CT33" s="92" t="str">
        <f t="shared" si="119"/>
        <v/>
      </c>
      <c r="CU33" s="92" t="str">
        <f t="shared" si="120"/>
        <v/>
      </c>
      <c r="CV33" s="92" t="str">
        <f t="shared" si="121"/>
        <v/>
      </c>
      <c r="CW33" s="92" t="str">
        <f t="shared" si="122"/>
        <v/>
      </c>
      <c r="CX33" s="92" t="str">
        <f t="shared" si="123"/>
        <v/>
      </c>
      <c r="CY33" s="92" t="str">
        <f t="shared" si="124"/>
        <v/>
      </c>
    </row>
    <row r="34" spans="1:111">
      <c r="A34" s="41">
        <v>961162</v>
      </c>
      <c r="B34" s="1">
        <v>92</v>
      </c>
      <c r="C34" s="29" t="str">
        <f t="shared" si="125"/>
        <v>961162-92</v>
      </c>
      <c r="D34" s="28" t="s">
        <v>26</v>
      </c>
      <c r="E34" s="37" t="s">
        <v>35</v>
      </c>
      <c r="F34" s="31">
        <v>42340</v>
      </c>
      <c r="G34" s="38">
        <v>24.3</v>
      </c>
      <c r="H34" s="31">
        <v>42350</v>
      </c>
      <c r="I34" s="38">
        <v>24.6</v>
      </c>
      <c r="J34" s="165"/>
      <c r="K34" s="38">
        <v>7.5</v>
      </c>
      <c r="L34" s="38">
        <v>4.8</v>
      </c>
      <c r="M34" s="38">
        <f t="shared" si="126"/>
        <v>89.855999999999995</v>
      </c>
      <c r="N34" s="39"/>
      <c r="O34" s="38">
        <v>0</v>
      </c>
      <c r="P34" s="32">
        <f t="shared" si="127"/>
        <v>29.951999999999998</v>
      </c>
      <c r="Q34" s="38">
        <v>0</v>
      </c>
      <c r="R34" s="158">
        <f t="shared" si="128"/>
        <v>0</v>
      </c>
      <c r="S34" s="160" t="e">
        <f t="shared" si="129"/>
        <v>#DIV/0!</v>
      </c>
      <c r="T34" s="118">
        <f t="shared" si="130"/>
        <v>0</v>
      </c>
      <c r="U34" s="33"/>
      <c r="V34" s="138"/>
      <c r="W34" s="87">
        <f>5.4*4.2*4.2*0.52</f>
        <v>49.533120000000011</v>
      </c>
      <c r="X34" s="93">
        <f>6.7*4.9*4.9*0.52</f>
        <v>83.650840000000031</v>
      </c>
      <c r="Y34" s="93">
        <f>7.5*4.8*4.8*0.52</f>
        <v>89.855999999999995</v>
      </c>
      <c r="Z34" s="93">
        <f>7.1*5.5*5.5*0.52</f>
        <v>111.68299999999999</v>
      </c>
      <c r="AA34" s="93">
        <f>8.2*5.2*5.2*0.52</f>
        <v>115.29856000000001</v>
      </c>
      <c r="AB34" s="93">
        <f>6.5*4.4*4.4*0.52</f>
        <v>65.436800000000005</v>
      </c>
      <c r="AC34" s="93">
        <f>7*4.9*4.9*0.52</f>
        <v>87.396400000000014</v>
      </c>
      <c r="AD34" s="93">
        <f>9.2*5.8*5.8*0.52</f>
        <v>160.93375999999998</v>
      </c>
      <c r="AE34" s="93">
        <f>10.2*5.5*5.5*0.52</f>
        <v>160.44599999999997</v>
      </c>
      <c r="AF34" s="93">
        <f>13.5*6.9*6.9*0.52</f>
        <v>334.2222000000001</v>
      </c>
      <c r="AG34" s="93">
        <f>13.5*11.1*11.1*0.52</f>
        <v>864.93419999999992</v>
      </c>
      <c r="AH34" s="93">
        <f>15.2*11.7*11.7*0.52</f>
        <v>1081.9785599999998</v>
      </c>
      <c r="AI34" s="93">
        <f>16.1*12.4*12.4*0.52</f>
        <v>1287.27872</v>
      </c>
      <c r="AJ34" s="93">
        <f>17*12.3*12.3*0.52</f>
        <v>1337.4036000000001</v>
      </c>
      <c r="AK34" s="93">
        <f>17.5*14*14*0.52</f>
        <v>1783.6000000000001</v>
      </c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2"/>
      <c r="BL34" s="92">
        <f t="shared" si="131"/>
        <v>0.55125000000000013</v>
      </c>
      <c r="BM34" s="92">
        <f t="shared" si="132"/>
        <v>0.93094328703703744</v>
      </c>
      <c r="BN34" s="92">
        <f t="shared" si="133"/>
        <v>1</v>
      </c>
      <c r="BO34" s="92">
        <f t="shared" si="88"/>
        <v>1.2429108796296295</v>
      </c>
      <c r="BP34" s="92">
        <f t="shared" si="89"/>
        <v>1.2831481481481484</v>
      </c>
      <c r="BQ34" s="92">
        <f t="shared" si="90"/>
        <v>0.72824074074074086</v>
      </c>
      <c r="BR34" s="92">
        <f t="shared" si="91"/>
        <v>0.97262731481481501</v>
      </c>
      <c r="BS34" s="92">
        <f t="shared" si="92"/>
        <v>1.7910185185185183</v>
      </c>
      <c r="BT34" s="92">
        <f t="shared" si="93"/>
        <v>1.7855902777777775</v>
      </c>
      <c r="BU34" s="92">
        <f t="shared" si="94"/>
        <v>3.7195312500000015</v>
      </c>
      <c r="BV34" s="92">
        <f t="shared" si="95"/>
        <v>9.6257812499999993</v>
      </c>
      <c r="BW34" s="92">
        <f t="shared" si="96"/>
        <v>12.041249999999998</v>
      </c>
      <c r="BX34" s="92">
        <f t="shared" si="97"/>
        <v>14.32601851851852</v>
      </c>
      <c r="BY34" s="92">
        <f t="shared" si="98"/>
        <v>14.883854166666669</v>
      </c>
      <c r="BZ34" s="92">
        <f t="shared" si="99"/>
        <v>19.849537037037038</v>
      </c>
      <c r="CA34" s="92" t="str">
        <f t="shared" si="100"/>
        <v/>
      </c>
      <c r="CB34" s="92" t="str">
        <f t="shared" si="101"/>
        <v/>
      </c>
      <c r="CC34" s="92" t="str">
        <f t="shared" si="134"/>
        <v/>
      </c>
      <c r="CD34" s="92" t="str">
        <f t="shared" si="103"/>
        <v/>
      </c>
      <c r="CE34" s="92" t="str">
        <f t="shared" si="104"/>
        <v/>
      </c>
      <c r="CF34" s="92" t="str">
        <f t="shared" si="105"/>
        <v/>
      </c>
      <c r="CG34" s="92" t="str">
        <f t="shared" si="106"/>
        <v/>
      </c>
      <c r="CH34" s="92" t="str">
        <f t="shared" si="107"/>
        <v/>
      </c>
      <c r="CI34" s="92" t="str">
        <f t="shared" si="108"/>
        <v/>
      </c>
      <c r="CJ34" s="92" t="str">
        <f t="shared" si="109"/>
        <v/>
      </c>
      <c r="CK34" s="92" t="str">
        <f t="shared" si="110"/>
        <v/>
      </c>
      <c r="CL34" s="92" t="str">
        <f t="shared" si="111"/>
        <v/>
      </c>
      <c r="CM34" s="92" t="str">
        <f t="shared" si="112"/>
        <v/>
      </c>
      <c r="CN34" s="92" t="str">
        <f t="shared" si="113"/>
        <v/>
      </c>
      <c r="CO34" s="92" t="str">
        <f t="shared" si="114"/>
        <v/>
      </c>
      <c r="CP34" s="92" t="str">
        <f t="shared" si="115"/>
        <v/>
      </c>
      <c r="CQ34" s="92" t="str">
        <f t="shared" si="116"/>
        <v/>
      </c>
      <c r="CR34" s="92" t="str">
        <f t="shared" si="117"/>
        <v/>
      </c>
      <c r="CS34" s="92" t="str">
        <f t="shared" si="118"/>
        <v/>
      </c>
      <c r="CT34" s="92" t="str">
        <f t="shared" si="119"/>
        <v/>
      </c>
      <c r="CU34" s="92" t="str">
        <f t="shared" si="120"/>
        <v/>
      </c>
      <c r="CV34" s="92" t="str">
        <f t="shared" si="121"/>
        <v/>
      </c>
      <c r="CW34" s="92" t="str">
        <f t="shared" si="122"/>
        <v/>
      </c>
      <c r="CX34" s="92" t="str">
        <f t="shared" si="123"/>
        <v/>
      </c>
      <c r="CY34" s="92" t="str">
        <f t="shared" si="124"/>
        <v/>
      </c>
    </row>
    <row r="35" spans="1:111">
      <c r="A35" s="41">
        <v>961162</v>
      </c>
      <c r="B35" s="1">
        <v>93</v>
      </c>
      <c r="C35" s="29" t="str">
        <f t="shared" si="125"/>
        <v>961162-93</v>
      </c>
      <c r="D35" s="28" t="s">
        <v>26</v>
      </c>
      <c r="E35" s="37" t="s">
        <v>50</v>
      </c>
      <c r="F35" s="31">
        <v>42340</v>
      </c>
      <c r="G35" s="38">
        <v>22</v>
      </c>
      <c r="H35" s="31">
        <v>42350</v>
      </c>
      <c r="I35" s="38">
        <v>29.7</v>
      </c>
      <c r="J35" s="165">
        <v>0.6479166666666667</v>
      </c>
      <c r="K35" s="38">
        <v>7.2</v>
      </c>
      <c r="L35" s="38">
        <v>6</v>
      </c>
      <c r="M35" s="38">
        <f t="shared" si="126"/>
        <v>134.78399999999999</v>
      </c>
      <c r="N35" s="39"/>
      <c r="O35" s="38">
        <f>M35*20/3</f>
        <v>898.56</v>
      </c>
      <c r="P35" s="32">
        <f t="shared" si="127"/>
        <v>44.927999999999997</v>
      </c>
      <c r="Q35" s="38">
        <v>835</v>
      </c>
      <c r="R35" s="158">
        <f t="shared" si="128"/>
        <v>6.1950973409306744</v>
      </c>
      <c r="S35" s="160">
        <f t="shared" si="129"/>
        <v>0.92926460113960119</v>
      </c>
      <c r="T35" s="118">
        <f t="shared" si="130"/>
        <v>18.585292022792025</v>
      </c>
      <c r="U35" s="33"/>
      <c r="V35" s="138"/>
      <c r="W35" s="87">
        <f>6.7*5.7*5.7*0.52</f>
        <v>113.19516000000002</v>
      </c>
      <c r="X35" s="93">
        <f>6.4*5.9*5.9*0.52</f>
        <v>115.84768000000003</v>
      </c>
      <c r="Y35" s="93">
        <f>7.2*6*6*0.52</f>
        <v>134.78400000000002</v>
      </c>
      <c r="Z35" s="93">
        <f>8.3*6.7*6.7*0.52</f>
        <v>193.74524000000002</v>
      </c>
      <c r="AA35" s="93">
        <f>8.9*7.7*7.7*0.52</f>
        <v>274.39412000000004</v>
      </c>
      <c r="AB35" s="93">
        <f>9.6*7.4*7.4*0.52</f>
        <v>273.36192</v>
      </c>
      <c r="AC35" s="93">
        <f>9.1*7.3*7.3*0.52</f>
        <v>252.16827999999995</v>
      </c>
      <c r="AD35" s="93">
        <f>8.2*6.1*6.1*0.52</f>
        <v>158.66343999999998</v>
      </c>
      <c r="AE35" s="93">
        <f>7.9*5.9*5.9*0.52</f>
        <v>142.99948000000003</v>
      </c>
      <c r="AF35" s="93">
        <f>6.1*4.9*4.9*0.52</f>
        <v>76.159720000000007</v>
      </c>
      <c r="AG35" s="93">
        <f>6.4*5.5*5.5*0.52</f>
        <v>100.67200000000001</v>
      </c>
      <c r="AH35" s="93">
        <f>5.8*5.7*5.7*0.52</f>
        <v>97.989840000000001</v>
      </c>
      <c r="AI35" s="93">
        <f>6.4*5.6*5.6*0.52</f>
        <v>104.36608</v>
      </c>
      <c r="AJ35" s="93">
        <f>6.1*5.4*5.4*0.52</f>
        <v>92.495519999999999</v>
      </c>
      <c r="AK35" s="93">
        <f>6.3*6*6*0.52</f>
        <v>117.93599999999999</v>
      </c>
      <c r="AL35" s="93">
        <f>6.8*6.1*6.1*0.52</f>
        <v>131.57455999999999</v>
      </c>
      <c r="AM35" s="93">
        <f>7.4*6.1*6.1*0.52</f>
        <v>143.18407999999999</v>
      </c>
      <c r="AN35" s="93">
        <f>6.8*6.1*6.1*0.52</f>
        <v>131.57455999999999</v>
      </c>
      <c r="AO35" s="93">
        <f>8.7*8.5*8.5*0.52</f>
        <v>326.85899999999998</v>
      </c>
      <c r="AP35" s="93">
        <f>9.9*9.6*9.6*0.52</f>
        <v>474.43968000000001</v>
      </c>
      <c r="AQ35" s="93">
        <f>11.3*10.4*10.4*0.52</f>
        <v>635.54816000000005</v>
      </c>
      <c r="AR35" s="93">
        <f>10.9*10.6*10.6*0.52</f>
        <v>636.85648000000003</v>
      </c>
      <c r="AS35" s="93">
        <f>12.8*11.7*11.7*0.52</f>
        <v>911.13983999999994</v>
      </c>
      <c r="AT35" s="93">
        <f>12.7*11.7*11.7*0.52</f>
        <v>904.02155999999991</v>
      </c>
      <c r="AU35" s="93">
        <f>14.5*13.7*13.7*0.52</f>
        <v>1415.1825999999999</v>
      </c>
      <c r="AV35" s="93">
        <f>15.2*14.3*14.3*0.52</f>
        <v>1616.2889600000003</v>
      </c>
      <c r="AW35" s="93">
        <f>16.3*14.9*14.9*0.52</f>
        <v>1881.7567600000002</v>
      </c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2"/>
      <c r="BL35" s="92">
        <f t="shared" si="131"/>
        <v>0.83982638888888905</v>
      </c>
      <c r="BM35" s="92">
        <f t="shared" si="132"/>
        <v>0.85950617283950637</v>
      </c>
      <c r="BN35" s="92">
        <f t="shared" si="133"/>
        <v>1.0000000000000002</v>
      </c>
      <c r="BO35" s="92">
        <f t="shared" si="88"/>
        <v>1.4374498456790126</v>
      </c>
      <c r="BP35" s="92">
        <f t="shared" si="89"/>
        <v>2.0358063271604943</v>
      </c>
      <c r="BQ35" s="92">
        <f t="shared" si="90"/>
        <v>2.0281481481481483</v>
      </c>
      <c r="BR35" s="92">
        <f t="shared" si="91"/>
        <v>1.8709066358024689</v>
      </c>
      <c r="BS35" s="92">
        <f t="shared" si="92"/>
        <v>1.177168209876543</v>
      </c>
      <c r="BT35" s="92">
        <f t="shared" si="93"/>
        <v>1.0609529320987658</v>
      </c>
      <c r="BU35" s="92">
        <f t="shared" si="94"/>
        <v>0.56505015432098771</v>
      </c>
      <c r="BV35" s="92">
        <f t="shared" si="95"/>
        <v>0.74691358024691368</v>
      </c>
      <c r="BW35" s="92">
        <f t="shared" si="96"/>
        <v>0.72701388888888896</v>
      </c>
      <c r="BX35" s="92">
        <f t="shared" si="97"/>
        <v>0.774320987654321</v>
      </c>
      <c r="BY35" s="92">
        <f t="shared" si="98"/>
        <v>0.68625000000000003</v>
      </c>
      <c r="BZ35" s="92">
        <f t="shared" si="99"/>
        <v>0.875</v>
      </c>
      <c r="CA35" s="92">
        <f t="shared" si="100"/>
        <v>0.97618827160493826</v>
      </c>
      <c r="CB35" s="92">
        <f t="shared" si="101"/>
        <v>1.0623225308641975</v>
      </c>
      <c r="CC35" s="92">
        <f t="shared" si="134"/>
        <v>0.97618827160493826</v>
      </c>
      <c r="CD35" s="92">
        <f t="shared" si="103"/>
        <v>2.4250578703703702</v>
      </c>
      <c r="CE35" s="92">
        <f t="shared" si="104"/>
        <v>3.5200000000000005</v>
      </c>
      <c r="CF35" s="92">
        <f t="shared" si="105"/>
        <v>4.7153086419753096</v>
      </c>
      <c r="CG35" s="92">
        <f t="shared" si="106"/>
        <v>4.7250154320987656</v>
      </c>
      <c r="CH35" s="92">
        <f t="shared" si="107"/>
        <v>6.76</v>
      </c>
      <c r="CI35" s="92">
        <f t="shared" si="108"/>
        <v>6.7071874999999999</v>
      </c>
      <c r="CJ35" s="92">
        <f t="shared" si="109"/>
        <v>10.49963348765432</v>
      </c>
      <c r="CK35" s="92">
        <f t="shared" si="110"/>
        <v>11.991697530864201</v>
      </c>
      <c r="CL35" s="92">
        <f t="shared" si="111"/>
        <v>13.961277006172843</v>
      </c>
      <c r="CM35" s="92" t="str">
        <f t="shared" si="112"/>
        <v/>
      </c>
      <c r="CN35" s="92" t="str">
        <f t="shared" si="113"/>
        <v/>
      </c>
      <c r="CO35" s="92" t="str">
        <f t="shared" si="114"/>
        <v/>
      </c>
      <c r="CP35" s="92" t="str">
        <f t="shared" si="115"/>
        <v/>
      </c>
      <c r="CQ35" s="92" t="str">
        <f t="shared" si="116"/>
        <v/>
      </c>
      <c r="CR35" s="92" t="str">
        <f t="shared" si="117"/>
        <v/>
      </c>
      <c r="CS35" s="92" t="str">
        <f t="shared" si="118"/>
        <v/>
      </c>
      <c r="CT35" s="92" t="str">
        <f t="shared" si="119"/>
        <v/>
      </c>
      <c r="CU35" s="92" t="str">
        <f t="shared" si="120"/>
        <v/>
      </c>
      <c r="CV35" s="92" t="str">
        <f t="shared" si="121"/>
        <v/>
      </c>
      <c r="CW35" s="92" t="str">
        <f t="shared" si="122"/>
        <v/>
      </c>
      <c r="CX35" s="92" t="str">
        <f t="shared" si="123"/>
        <v/>
      </c>
      <c r="CY35" s="92" t="str">
        <f t="shared" si="124"/>
        <v/>
      </c>
    </row>
    <row r="36" spans="1:111">
      <c r="A36" s="41">
        <v>961162</v>
      </c>
      <c r="B36" s="1">
        <v>94</v>
      </c>
      <c r="C36" s="29" t="str">
        <f t="shared" si="125"/>
        <v>961162-94</v>
      </c>
      <c r="D36" s="28" t="s">
        <v>26</v>
      </c>
      <c r="E36" s="37" t="s">
        <v>50</v>
      </c>
      <c r="F36" s="31">
        <v>42340</v>
      </c>
      <c r="G36" s="38">
        <v>25.4</v>
      </c>
      <c r="H36" s="31">
        <v>42350</v>
      </c>
      <c r="I36" s="38">
        <v>24.3</v>
      </c>
      <c r="J36" s="165">
        <v>0.64097222222222217</v>
      </c>
      <c r="K36" s="38">
        <v>6.7</v>
      </c>
      <c r="L36" s="38">
        <v>6</v>
      </c>
      <c r="M36" s="38">
        <f t="shared" si="126"/>
        <v>125.42400000000001</v>
      </c>
      <c r="N36" s="39"/>
      <c r="O36" s="38">
        <f>M36*20/3</f>
        <v>836.16</v>
      </c>
      <c r="P36" s="32">
        <f t="shared" si="127"/>
        <v>41.808</v>
      </c>
      <c r="Q36" s="38">
        <v>632</v>
      </c>
      <c r="R36" s="158">
        <f t="shared" si="128"/>
        <v>5.0389080239826507</v>
      </c>
      <c r="S36" s="160">
        <f t="shared" si="129"/>
        <v>0.75583620359739767</v>
      </c>
      <c r="T36" s="118">
        <f t="shared" si="130"/>
        <v>15.116724071947953</v>
      </c>
      <c r="U36" s="33"/>
      <c r="V36" s="138"/>
      <c r="W36" s="87">
        <f>6.8*5.6*5.6*0.52</f>
        <v>110.88896</v>
      </c>
      <c r="X36" s="93">
        <f>5.6*5*5*0.52</f>
        <v>72.8</v>
      </c>
      <c r="Y36" s="93">
        <f>6.7*6*6*0.52</f>
        <v>125.42400000000001</v>
      </c>
      <c r="Z36" s="93">
        <f>10.1*6.6*6.6*0.52</f>
        <v>228.77712</v>
      </c>
      <c r="AA36" s="93">
        <f>9.4*6*6*0.52</f>
        <v>175.96800000000002</v>
      </c>
      <c r="AB36" s="93">
        <f>8.5*5.7*5.7*0.52</f>
        <v>143.60580000000002</v>
      </c>
      <c r="AC36" s="93">
        <f>6.4*6.2*6.2*0.52</f>
        <v>127.92832000000003</v>
      </c>
      <c r="AD36" s="93">
        <f>5.3*4*4*0.52</f>
        <v>44.095999999999997</v>
      </c>
      <c r="AE36" s="93">
        <f>4.7*4.1*4.1*0.52</f>
        <v>41.083639999999995</v>
      </c>
      <c r="AF36" s="93">
        <v>0</v>
      </c>
      <c r="AG36" s="93">
        <f>12.9*5.6*5.6*0.52</f>
        <v>210.36287999999996</v>
      </c>
      <c r="AH36" s="93">
        <f>10*8.1*8.1*0.52</f>
        <v>341.17200000000003</v>
      </c>
      <c r="AI36" s="93">
        <f>11*9.7*9.7*0.52</f>
        <v>538.19479999999987</v>
      </c>
      <c r="AJ36" s="93">
        <f>12.9*12*12*0.52</f>
        <v>965.95200000000011</v>
      </c>
      <c r="AK36" s="93">
        <f>12.5*10.7*10.7*0.52</f>
        <v>744.18500000000006</v>
      </c>
      <c r="AL36" s="93">
        <f>14.8*12.4*12.4*0.52</f>
        <v>1183.3369600000001</v>
      </c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2"/>
      <c r="BL36" s="92">
        <f t="shared" si="131"/>
        <v>0.88411276948590378</v>
      </c>
      <c r="BM36" s="92">
        <f t="shared" si="132"/>
        <v>0.58043117744610273</v>
      </c>
      <c r="BN36" s="92">
        <f t="shared" si="133"/>
        <v>1</v>
      </c>
      <c r="BO36" s="92">
        <f t="shared" si="88"/>
        <v>1.8240298507462684</v>
      </c>
      <c r="BP36" s="92">
        <f t="shared" si="89"/>
        <v>1.4029850746268657</v>
      </c>
      <c r="BQ36" s="92">
        <f t="shared" si="90"/>
        <v>1.1449626865671643</v>
      </c>
      <c r="BR36" s="92">
        <f t="shared" si="91"/>
        <v>1.0199668325041462</v>
      </c>
      <c r="BS36" s="92">
        <f t="shared" si="92"/>
        <v>0.35157545605306795</v>
      </c>
      <c r="BT36" s="92">
        <f t="shared" si="93"/>
        <v>0.32755804311774456</v>
      </c>
      <c r="BU36" s="92">
        <f t="shared" si="94"/>
        <v>0</v>
      </c>
      <c r="BV36" s="92">
        <f t="shared" si="95"/>
        <v>1.6772139303482583</v>
      </c>
      <c r="BW36" s="92">
        <f t="shared" si="96"/>
        <v>2.7201492537313432</v>
      </c>
      <c r="BX36" s="92">
        <f t="shared" si="97"/>
        <v>4.2910033167495838</v>
      </c>
      <c r="BY36" s="92">
        <f t="shared" si="98"/>
        <v>7.7014925373134338</v>
      </c>
      <c r="BZ36" s="92">
        <f t="shared" si="99"/>
        <v>5.9333540630182426</v>
      </c>
      <c r="CA36" s="92">
        <f t="shared" si="100"/>
        <v>9.4346932006633502</v>
      </c>
      <c r="CB36" s="92" t="str">
        <f t="shared" si="101"/>
        <v/>
      </c>
      <c r="CC36" s="92" t="str">
        <f t="shared" si="134"/>
        <v/>
      </c>
      <c r="CD36" s="92" t="str">
        <f t="shared" si="103"/>
        <v/>
      </c>
      <c r="CE36" s="92" t="str">
        <f t="shared" si="104"/>
        <v/>
      </c>
      <c r="CF36" s="92" t="str">
        <f t="shared" si="105"/>
        <v/>
      </c>
      <c r="CG36" s="92" t="str">
        <f t="shared" si="106"/>
        <v/>
      </c>
      <c r="CH36" s="92" t="str">
        <f t="shared" si="107"/>
        <v/>
      </c>
      <c r="CI36" s="92" t="str">
        <f t="shared" si="108"/>
        <v/>
      </c>
      <c r="CJ36" s="92" t="str">
        <f t="shared" si="109"/>
        <v/>
      </c>
      <c r="CK36" s="92" t="str">
        <f t="shared" si="110"/>
        <v/>
      </c>
      <c r="CL36" s="92" t="str">
        <f t="shared" si="111"/>
        <v/>
      </c>
      <c r="CM36" s="92" t="str">
        <f t="shared" si="112"/>
        <v/>
      </c>
      <c r="CN36" s="92" t="str">
        <f t="shared" si="113"/>
        <v/>
      </c>
      <c r="CO36" s="92" t="str">
        <f t="shared" si="114"/>
        <v/>
      </c>
      <c r="CP36" s="92" t="str">
        <f t="shared" si="115"/>
        <v/>
      </c>
      <c r="CQ36" s="92" t="str">
        <f t="shared" si="116"/>
        <v/>
      </c>
      <c r="CR36" s="92" t="str">
        <f t="shared" si="117"/>
        <v/>
      </c>
      <c r="CS36" s="92" t="str">
        <f t="shared" si="118"/>
        <v/>
      </c>
      <c r="CT36" s="92" t="str">
        <f t="shared" si="119"/>
        <v/>
      </c>
      <c r="CU36" s="92" t="str">
        <f t="shared" si="120"/>
        <v/>
      </c>
      <c r="CV36" s="92" t="str">
        <f t="shared" si="121"/>
        <v/>
      </c>
      <c r="CW36" s="92" t="str">
        <f t="shared" si="122"/>
        <v/>
      </c>
      <c r="CX36" s="92" t="str">
        <f t="shared" si="123"/>
        <v/>
      </c>
      <c r="CY36" s="92" t="str">
        <f t="shared" si="124"/>
        <v/>
      </c>
    </row>
    <row r="37" spans="1:111">
      <c r="A37" s="41">
        <v>961162</v>
      </c>
      <c r="B37" s="1">
        <v>95</v>
      </c>
      <c r="C37" s="29" t="str">
        <f t="shared" si="125"/>
        <v>961162-95</v>
      </c>
      <c r="D37" s="28" t="s">
        <v>26</v>
      </c>
      <c r="E37" s="37" t="s">
        <v>48</v>
      </c>
      <c r="F37" s="31">
        <v>42340</v>
      </c>
      <c r="G37" s="38">
        <v>23.2</v>
      </c>
      <c r="H37" s="31">
        <v>42350</v>
      </c>
      <c r="I37" s="38">
        <v>26.5</v>
      </c>
      <c r="J37" s="165">
        <v>0.62291666666666667</v>
      </c>
      <c r="K37" s="38">
        <v>6.5</v>
      </c>
      <c r="L37" s="38">
        <v>5.8</v>
      </c>
      <c r="M37" s="38">
        <f t="shared" si="126"/>
        <v>113.7032</v>
      </c>
      <c r="N37" s="39"/>
      <c r="O37" s="38">
        <f>M37*10/3</f>
        <v>379.01066666666662</v>
      </c>
      <c r="P37" s="32">
        <f t="shared" si="127"/>
        <v>37.901066666666665</v>
      </c>
      <c r="Q37" s="38">
        <v>314</v>
      </c>
      <c r="R37" s="158">
        <f t="shared" si="128"/>
        <v>2.7615757516059354</v>
      </c>
      <c r="S37" s="160">
        <f t="shared" si="129"/>
        <v>0.82847272548178075</v>
      </c>
      <c r="T37" s="118">
        <f t="shared" si="130"/>
        <v>8.2847272548178061</v>
      </c>
      <c r="U37" s="33"/>
      <c r="V37" s="138"/>
      <c r="W37" s="87">
        <f>6*4.8*4.8*0.52</f>
        <v>71.884799999999998</v>
      </c>
      <c r="X37" s="93">
        <f>6*5.5*5.5*0.52</f>
        <v>94.38000000000001</v>
      </c>
      <c r="Y37" s="93">
        <f>6.5*5.8*5.8*0.52</f>
        <v>113.70319999999998</v>
      </c>
      <c r="Z37" s="93">
        <f>9.3*6.7*6.7*0.52</f>
        <v>217.08804000000006</v>
      </c>
      <c r="AA37" s="93">
        <f>7.6*6.3*6.3*0.52</f>
        <v>156.85487999999998</v>
      </c>
      <c r="AB37" s="93">
        <f>7*6.7*6.7*0.52</f>
        <v>163.39960000000002</v>
      </c>
      <c r="AC37" s="93">
        <f>7.5*6.6*6.6*0.52</f>
        <v>169.88399999999999</v>
      </c>
      <c r="AD37" s="93">
        <f>6.5*6.4*6.4*0.52</f>
        <v>138.44480000000001</v>
      </c>
      <c r="AE37" s="93">
        <f>7.5*5.4*5.4*0.52</f>
        <v>113.72400000000002</v>
      </c>
      <c r="AF37" s="93">
        <f>4.6*3.1*3.1*0.52</f>
        <v>22.987120000000001</v>
      </c>
      <c r="AG37" s="93">
        <f>9.8*4.9*4.9*0.52</f>
        <v>122.35496000000003</v>
      </c>
      <c r="AH37" s="93">
        <f>9.4*6.8*6.8*0.52</f>
        <v>226.02112000000002</v>
      </c>
      <c r="AI37" s="93">
        <f>10.9*6.4*6.4*0.52</f>
        <v>232.16128000000003</v>
      </c>
      <c r="AJ37" s="93">
        <f>11.6*8*8*0.52</f>
        <v>386.048</v>
      </c>
      <c r="AK37" s="93">
        <f>12.9*10.6*10.6*0.52</f>
        <v>753.71087999999997</v>
      </c>
      <c r="AL37" s="93">
        <f>13.5*11.4*11.4*0.52</f>
        <v>912.31920000000002</v>
      </c>
      <c r="AM37" s="93">
        <f>13.5*12.4*12.4*0.52</f>
        <v>1079.3952000000002</v>
      </c>
      <c r="AN37" s="93">
        <f>14.5*11.7*11.7*0.52</f>
        <v>1032.1505999999997</v>
      </c>
      <c r="AO37" s="93">
        <f>15.6*13.5*13.5*0.52</f>
        <v>1478.412</v>
      </c>
      <c r="AP37" s="93">
        <f>16.9*13.9*13.9*0.52</f>
        <v>1697.9294800000002</v>
      </c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2"/>
      <c r="BL37" s="92">
        <f t="shared" si="131"/>
        <v>0.63221439678038971</v>
      </c>
      <c r="BM37" s="92">
        <f t="shared" si="132"/>
        <v>0.83005579438397525</v>
      </c>
      <c r="BN37" s="92">
        <f t="shared" si="133"/>
        <v>0.99999999999999989</v>
      </c>
      <c r="BO37" s="92">
        <f t="shared" si="88"/>
        <v>1.9092518064575146</v>
      </c>
      <c r="BP37" s="92">
        <f t="shared" si="89"/>
        <v>1.3795115704747094</v>
      </c>
      <c r="BQ37" s="92">
        <f t="shared" si="90"/>
        <v>1.4370712521723226</v>
      </c>
      <c r="BR37" s="92">
        <f t="shared" si="91"/>
        <v>1.4941004298911551</v>
      </c>
      <c r="BS37" s="92">
        <f t="shared" si="92"/>
        <v>1.2175980975029728</v>
      </c>
      <c r="BT37" s="92">
        <f t="shared" si="93"/>
        <v>1.0001829324064759</v>
      </c>
      <c r="BU37" s="92">
        <f t="shared" si="94"/>
        <v>0.20216774901673834</v>
      </c>
      <c r="BV37" s="92">
        <f t="shared" si="95"/>
        <v>1.0760907344736124</v>
      </c>
      <c r="BW37" s="92">
        <f t="shared" si="96"/>
        <v>1.9878167017287116</v>
      </c>
      <c r="BX37" s="92">
        <f t="shared" si="97"/>
        <v>2.04181834812037</v>
      </c>
      <c r="BY37" s="92">
        <f t="shared" si="98"/>
        <v>3.3952254641909816</v>
      </c>
      <c r="BZ37" s="92">
        <f t="shared" si="99"/>
        <v>6.628756974297997</v>
      </c>
      <c r="CA37" s="92">
        <f t="shared" si="100"/>
        <v>8.0236897466386168</v>
      </c>
      <c r="CB37" s="92">
        <f t="shared" si="101"/>
        <v>9.4930943016555407</v>
      </c>
      <c r="CC37" s="92">
        <f t="shared" si="134"/>
        <v>9.0775862068965498</v>
      </c>
      <c r="CD37" s="92">
        <f t="shared" si="103"/>
        <v>13.002378121284186</v>
      </c>
      <c r="CE37" s="92">
        <f t="shared" si="104"/>
        <v>14.932996432818076</v>
      </c>
      <c r="CF37" s="92" t="str">
        <f t="shared" si="105"/>
        <v/>
      </c>
      <c r="CG37" s="92" t="str">
        <f t="shared" si="106"/>
        <v/>
      </c>
      <c r="CH37" s="92" t="str">
        <f t="shared" si="107"/>
        <v/>
      </c>
      <c r="CI37" s="92" t="str">
        <f t="shared" si="108"/>
        <v/>
      </c>
      <c r="CJ37" s="92" t="str">
        <f t="shared" si="109"/>
        <v/>
      </c>
      <c r="CK37" s="92" t="str">
        <f t="shared" si="110"/>
        <v/>
      </c>
      <c r="CL37" s="92" t="str">
        <f t="shared" si="111"/>
        <v/>
      </c>
      <c r="CM37" s="92" t="str">
        <f t="shared" si="112"/>
        <v/>
      </c>
      <c r="CN37" s="92" t="str">
        <f t="shared" si="113"/>
        <v/>
      </c>
      <c r="CO37" s="92" t="str">
        <f t="shared" si="114"/>
        <v/>
      </c>
      <c r="CP37" s="92" t="str">
        <f t="shared" si="115"/>
        <v/>
      </c>
      <c r="CQ37" s="92" t="str">
        <f t="shared" si="116"/>
        <v/>
      </c>
      <c r="CR37" s="92" t="str">
        <f t="shared" si="117"/>
        <v/>
      </c>
      <c r="CS37" s="92" t="str">
        <f t="shared" si="118"/>
        <v/>
      </c>
      <c r="CT37" s="92" t="str">
        <f t="shared" si="119"/>
        <v/>
      </c>
      <c r="CU37" s="92" t="str">
        <f t="shared" si="120"/>
        <v/>
      </c>
      <c r="CV37" s="92" t="str">
        <f t="shared" si="121"/>
        <v/>
      </c>
      <c r="CW37" s="92" t="str">
        <f t="shared" si="122"/>
        <v/>
      </c>
      <c r="CX37" s="92" t="str">
        <f t="shared" si="123"/>
        <v/>
      </c>
      <c r="CY37" s="92" t="str">
        <f t="shared" si="124"/>
        <v/>
      </c>
    </row>
    <row r="38" spans="1:111">
      <c r="A38" s="41">
        <v>961145</v>
      </c>
      <c r="B38" s="1">
        <v>101</v>
      </c>
      <c r="C38" s="29" t="str">
        <f t="shared" si="125"/>
        <v>961145-101</v>
      </c>
      <c r="D38" s="28" t="s">
        <v>26</v>
      </c>
      <c r="E38" s="37" t="s">
        <v>48</v>
      </c>
      <c r="F38" s="31">
        <v>42340</v>
      </c>
      <c r="G38" s="38">
        <v>24.7</v>
      </c>
      <c r="H38" s="31">
        <v>42350</v>
      </c>
      <c r="I38" s="38">
        <v>27.1</v>
      </c>
      <c r="J38" s="165">
        <v>0.62430555555555556</v>
      </c>
      <c r="K38" s="38">
        <v>6.8</v>
      </c>
      <c r="L38" s="38">
        <v>6.1</v>
      </c>
      <c r="M38" s="38">
        <f t="shared" si="126"/>
        <v>131.57455999999999</v>
      </c>
      <c r="N38" s="39"/>
      <c r="O38" s="38">
        <f>M38*10/3</f>
        <v>438.58186666666666</v>
      </c>
      <c r="P38" s="32">
        <f t="shared" si="127"/>
        <v>43.858186666666661</v>
      </c>
      <c r="Q38" s="38">
        <v>351</v>
      </c>
      <c r="R38" s="158">
        <f t="shared" si="128"/>
        <v>2.6676889514203963</v>
      </c>
      <c r="S38" s="160">
        <f t="shared" si="129"/>
        <v>0.80030668542611882</v>
      </c>
      <c r="T38" s="118">
        <f t="shared" si="130"/>
        <v>8.0030668542611902</v>
      </c>
      <c r="U38" s="33"/>
      <c r="V38" s="138"/>
      <c r="W38" s="87">
        <f>6.9*4.3*4.3*0.52</f>
        <v>66.342120000000008</v>
      </c>
      <c r="X38" s="93">
        <f>6.6*6*6*0.52</f>
        <v>123.55199999999999</v>
      </c>
      <c r="Y38" s="93">
        <f>6.8*6.1*6.1*0.52</f>
        <v>131.57455999999999</v>
      </c>
      <c r="Z38" s="93">
        <f>7.8*6.6*6.6*0.52</f>
        <v>176.67936</v>
      </c>
      <c r="AA38" s="93">
        <f>7.5*6*6*0.52</f>
        <v>140.4</v>
      </c>
      <c r="AB38" s="93">
        <f>7.4*6*6*0.52</f>
        <v>138.52800000000002</v>
      </c>
      <c r="AC38" s="93">
        <f>6.6*5.7*5.7*0.52</f>
        <v>111.50568</v>
      </c>
      <c r="AD38" s="93">
        <f>7.4*5.4*5.4*0.52</f>
        <v>112.20768000000002</v>
      </c>
      <c r="AE38" s="93">
        <f>6.8*5.5*5.5*0.52</f>
        <v>106.964</v>
      </c>
      <c r="AF38" s="93">
        <f>7.6*5*5*0.52</f>
        <v>98.8</v>
      </c>
      <c r="AG38" s="93">
        <f>9.4*6.4*6.4*0.52</f>
        <v>200.21248000000003</v>
      </c>
      <c r="AH38" s="93">
        <f>9.8*7.2*7.2*0.52</f>
        <v>264.17664000000002</v>
      </c>
      <c r="AI38" s="93">
        <f>11.1*8.6*8.6*0.52</f>
        <v>426.89711999999997</v>
      </c>
      <c r="AJ38" s="93">
        <f>10.8*8.4*8.4*0.52</f>
        <v>396.26496000000009</v>
      </c>
      <c r="AK38" s="93">
        <f>11.3*9*9*0.52</f>
        <v>475.95600000000007</v>
      </c>
      <c r="AL38" s="93">
        <f>12.2*10.3*10.3*0.52</f>
        <v>673.03496000000007</v>
      </c>
      <c r="AM38" s="93">
        <f>13.5*11.6*11.6*0.52</f>
        <v>944.61120000000005</v>
      </c>
      <c r="AN38" s="93">
        <f>14*11.8*11.8*0.52</f>
        <v>1013.6672000000002</v>
      </c>
      <c r="AO38" s="93">
        <f>16*13.4*13.4*0.52</f>
        <v>1493.9392</v>
      </c>
      <c r="AP38" s="93">
        <f>16.2*15.3*15.3*0.52</f>
        <v>1971.9741600000002</v>
      </c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2"/>
      <c r="BL38" s="92">
        <f t="shared" si="131"/>
        <v>0.50421692460913425</v>
      </c>
      <c r="BM38" s="92">
        <f t="shared" si="132"/>
        <v>0.93902651089997946</v>
      </c>
      <c r="BN38" s="92">
        <f t="shared" si="133"/>
        <v>1</v>
      </c>
      <c r="BO38" s="92">
        <f t="shared" si="88"/>
        <v>1.3428079105869708</v>
      </c>
      <c r="BP38" s="92">
        <f t="shared" si="89"/>
        <v>1.0670755805681587</v>
      </c>
      <c r="BQ38" s="92">
        <f t="shared" si="90"/>
        <v>1.0528479061605833</v>
      </c>
      <c r="BR38" s="92">
        <f t="shared" si="91"/>
        <v>0.84747142608723147</v>
      </c>
      <c r="BS38" s="92">
        <f t="shared" si="92"/>
        <v>0.85280680399007247</v>
      </c>
      <c r="BT38" s="92">
        <f t="shared" si="93"/>
        <v>0.81295350712174153</v>
      </c>
      <c r="BU38" s="92">
        <f t="shared" si="94"/>
        <v>0.75090503817759302</v>
      </c>
      <c r="BV38" s="92">
        <f t="shared" si="95"/>
        <v>1.5216655864173139</v>
      </c>
      <c r="BW38" s="92">
        <f t="shared" si="96"/>
        <v>2.0078094123970471</v>
      </c>
      <c r="BX38" s="92">
        <f t="shared" si="97"/>
        <v>3.2445262974848634</v>
      </c>
      <c r="BY38" s="92">
        <f t="shared" si="98"/>
        <v>3.0117141185955711</v>
      </c>
      <c r="BZ38" s="92">
        <f t="shared" si="99"/>
        <v>3.6173862181260579</v>
      </c>
      <c r="CA38" s="92">
        <f t="shared" si="100"/>
        <v>5.1152362584378022</v>
      </c>
      <c r="CB38" s="92">
        <f t="shared" si="101"/>
        <v>7.1792845060625714</v>
      </c>
      <c r="CC38" s="92">
        <f t="shared" si="134"/>
        <v>7.7041276064309105</v>
      </c>
      <c r="CD38" s="92">
        <f t="shared" si="103"/>
        <v>11.354316518329988</v>
      </c>
      <c r="CE38" s="92">
        <f t="shared" si="104"/>
        <v>14.987503359312015</v>
      </c>
      <c r="CF38" s="92" t="str">
        <f t="shared" si="105"/>
        <v/>
      </c>
      <c r="CG38" s="92" t="str">
        <f t="shared" si="106"/>
        <v/>
      </c>
      <c r="CH38" s="92" t="str">
        <f t="shared" si="107"/>
        <v/>
      </c>
      <c r="CI38" s="92" t="str">
        <f t="shared" si="108"/>
        <v/>
      </c>
      <c r="CJ38" s="92" t="str">
        <f t="shared" si="109"/>
        <v/>
      </c>
      <c r="CK38" s="92" t="str">
        <f t="shared" si="110"/>
        <v/>
      </c>
      <c r="CL38" s="92" t="str">
        <f t="shared" si="111"/>
        <v/>
      </c>
      <c r="CM38" s="92" t="str">
        <f t="shared" si="112"/>
        <v/>
      </c>
      <c r="CN38" s="92" t="str">
        <f t="shared" si="113"/>
        <v/>
      </c>
      <c r="CO38" s="92" t="str">
        <f t="shared" si="114"/>
        <v/>
      </c>
      <c r="CP38" s="92" t="str">
        <f t="shared" si="115"/>
        <v/>
      </c>
      <c r="CQ38" s="92" t="str">
        <f t="shared" si="116"/>
        <v/>
      </c>
      <c r="CR38" s="92" t="str">
        <f t="shared" si="117"/>
        <v/>
      </c>
      <c r="CS38" s="92" t="str">
        <f t="shared" si="118"/>
        <v/>
      </c>
      <c r="CT38" s="92" t="str">
        <f t="shared" si="119"/>
        <v/>
      </c>
      <c r="CU38" s="92" t="str">
        <f t="shared" si="120"/>
        <v/>
      </c>
      <c r="CV38" s="92" t="str">
        <f t="shared" si="121"/>
        <v/>
      </c>
      <c r="CW38" s="92" t="str">
        <f t="shared" si="122"/>
        <v/>
      </c>
      <c r="CX38" s="92" t="str">
        <f t="shared" si="123"/>
        <v/>
      </c>
      <c r="CY38" s="92" t="str">
        <f t="shared" si="124"/>
        <v/>
      </c>
    </row>
    <row r="39" spans="1:111">
      <c r="A39" s="41">
        <v>961145</v>
      </c>
      <c r="B39" s="1">
        <v>102</v>
      </c>
      <c r="C39" s="29" t="str">
        <f t="shared" si="125"/>
        <v>961145-102</v>
      </c>
      <c r="D39" s="28" t="s">
        <v>26</v>
      </c>
      <c r="E39" s="37" t="s">
        <v>35</v>
      </c>
      <c r="F39" s="31">
        <v>42340</v>
      </c>
      <c r="G39" s="38">
        <v>25</v>
      </c>
      <c r="H39" s="31">
        <v>42350</v>
      </c>
      <c r="I39" s="38">
        <v>26.3</v>
      </c>
      <c r="J39" s="165"/>
      <c r="K39" s="38">
        <v>7.2</v>
      </c>
      <c r="L39" s="38">
        <v>5.9</v>
      </c>
      <c r="M39" s="38">
        <f t="shared" si="126"/>
        <v>130.32864000000004</v>
      </c>
      <c r="N39" s="39"/>
      <c r="O39" s="38">
        <v>0</v>
      </c>
      <c r="P39" s="32">
        <f t="shared" si="127"/>
        <v>43.442880000000009</v>
      </c>
      <c r="Q39" s="38">
        <v>0</v>
      </c>
      <c r="R39" s="158">
        <f t="shared" si="128"/>
        <v>0</v>
      </c>
      <c r="S39" s="160" t="e">
        <f t="shared" si="129"/>
        <v>#DIV/0!</v>
      </c>
      <c r="T39" s="118">
        <f t="shared" si="130"/>
        <v>0</v>
      </c>
      <c r="U39" s="33"/>
      <c r="V39" s="138"/>
      <c r="W39" s="87">
        <f>5.2*4.9*4.9*0.52</f>
        <v>64.923040000000015</v>
      </c>
      <c r="X39" s="93">
        <f>6.9*6.1*6.1*0.52</f>
        <v>133.50948</v>
      </c>
      <c r="Y39" s="93">
        <f>7.2*5.9*5.9*0.52</f>
        <v>130.32864000000004</v>
      </c>
      <c r="Z39" s="93">
        <f>7.4*5.2*5.2*0.52</f>
        <v>104.04992000000001</v>
      </c>
      <c r="AA39" s="93">
        <f>8.3*6*6*0.52</f>
        <v>155.376</v>
      </c>
      <c r="AB39" s="93">
        <f>9.3*6.6*6.6*0.52</f>
        <v>210.65616</v>
      </c>
      <c r="AC39" s="93">
        <f>9.3*8*8*0.52</f>
        <v>309.50400000000002</v>
      </c>
      <c r="AD39" s="93">
        <f>11.8*8.3*8.3*0.52</f>
        <v>422.70904000000007</v>
      </c>
      <c r="AE39" s="93">
        <f>13.2*10.5*10.5*0.52</f>
        <v>756.75599999999997</v>
      </c>
      <c r="AF39" s="93">
        <f>16.7*11.5*11.5*0.52</f>
        <v>1148.4589999999998</v>
      </c>
      <c r="AG39" s="93">
        <f>18.1*13.5*13.5*0.52</f>
        <v>1715.3370000000002</v>
      </c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2"/>
      <c r="BL39" s="92">
        <f t="shared" si="131"/>
        <v>0.49814868013661462</v>
      </c>
      <c r="BM39" s="92">
        <f t="shared" si="132"/>
        <v>1.0244063008713968</v>
      </c>
      <c r="BN39" s="92">
        <f t="shared" si="133"/>
        <v>1</v>
      </c>
      <c r="BO39" s="92">
        <f t="shared" si="88"/>
        <v>0.79836573143094247</v>
      </c>
      <c r="BP39" s="92">
        <f t="shared" si="89"/>
        <v>1.192186153404194</v>
      </c>
      <c r="BQ39" s="92">
        <f t="shared" si="90"/>
        <v>1.6163458776213728</v>
      </c>
      <c r="BR39" s="92">
        <f t="shared" si="91"/>
        <v>2.374796514411567</v>
      </c>
      <c r="BS39" s="92">
        <f t="shared" si="92"/>
        <v>3.2434086629001881</v>
      </c>
      <c r="BT39" s="92">
        <f t="shared" si="93"/>
        <v>5.8065211146222335</v>
      </c>
      <c r="BU39" s="92">
        <f t="shared" si="94"/>
        <v>8.8120232053369048</v>
      </c>
      <c r="BV39" s="92">
        <f t="shared" si="95"/>
        <v>13.161627405917837</v>
      </c>
      <c r="BW39" s="92" t="str">
        <f t="shared" si="96"/>
        <v/>
      </c>
      <c r="BX39" s="92" t="str">
        <f t="shared" si="97"/>
        <v/>
      </c>
      <c r="BY39" s="92" t="str">
        <f t="shared" si="98"/>
        <v/>
      </c>
      <c r="BZ39" s="92" t="str">
        <f t="shared" si="99"/>
        <v/>
      </c>
      <c r="CA39" s="92" t="str">
        <f t="shared" si="100"/>
        <v/>
      </c>
      <c r="CB39" s="92" t="str">
        <f t="shared" si="101"/>
        <v/>
      </c>
      <c r="CC39" s="92" t="str">
        <f t="shared" si="134"/>
        <v/>
      </c>
      <c r="CD39" s="92" t="str">
        <f t="shared" si="103"/>
        <v/>
      </c>
      <c r="CE39" s="92" t="str">
        <f t="shared" si="104"/>
        <v/>
      </c>
      <c r="CF39" s="92" t="str">
        <f t="shared" si="105"/>
        <v/>
      </c>
      <c r="CG39" s="92" t="str">
        <f t="shared" si="106"/>
        <v/>
      </c>
      <c r="CH39" s="92" t="str">
        <f t="shared" si="107"/>
        <v/>
      </c>
      <c r="CI39" s="92" t="str">
        <f t="shared" si="108"/>
        <v/>
      </c>
      <c r="CJ39" s="92" t="str">
        <f t="shared" si="109"/>
        <v/>
      </c>
      <c r="CK39" s="92" t="str">
        <f t="shared" si="110"/>
        <v/>
      </c>
      <c r="CL39" s="92" t="str">
        <f t="shared" si="111"/>
        <v/>
      </c>
      <c r="CM39" s="92" t="str">
        <f t="shared" si="112"/>
        <v/>
      </c>
      <c r="CN39" s="92" t="str">
        <f t="shared" si="113"/>
        <v/>
      </c>
      <c r="CO39" s="92" t="str">
        <f t="shared" si="114"/>
        <v/>
      </c>
      <c r="CP39" s="92" t="str">
        <f t="shared" si="115"/>
        <v/>
      </c>
      <c r="CQ39" s="92" t="str">
        <f t="shared" si="116"/>
        <v/>
      </c>
      <c r="CR39" s="92" t="str">
        <f t="shared" si="117"/>
        <v/>
      </c>
      <c r="CS39" s="92" t="str">
        <f t="shared" si="118"/>
        <v/>
      </c>
      <c r="CT39" s="92" t="str">
        <f t="shared" si="119"/>
        <v/>
      </c>
      <c r="CU39" s="92" t="str">
        <f t="shared" si="120"/>
        <v/>
      </c>
      <c r="CV39" s="92" t="str">
        <f t="shared" si="121"/>
        <v/>
      </c>
      <c r="CW39" s="92" t="str">
        <f t="shared" si="122"/>
        <v/>
      </c>
      <c r="CX39" s="92" t="str">
        <f t="shared" si="123"/>
        <v/>
      </c>
      <c r="CY39" s="92" t="str">
        <f t="shared" si="124"/>
        <v/>
      </c>
    </row>
    <row r="40" spans="1:111">
      <c r="A40" s="41">
        <v>961145</v>
      </c>
      <c r="B40" s="1">
        <v>103</v>
      </c>
      <c r="C40" s="29" t="str">
        <f t="shared" si="125"/>
        <v>961145-103</v>
      </c>
      <c r="D40" s="28" t="s">
        <v>26</v>
      </c>
      <c r="E40" s="37" t="s">
        <v>51</v>
      </c>
      <c r="F40" s="31">
        <v>42340</v>
      </c>
      <c r="G40" s="38">
        <v>24.6</v>
      </c>
      <c r="H40" s="31">
        <v>42350</v>
      </c>
      <c r="I40" s="38">
        <v>27.1</v>
      </c>
      <c r="J40" s="165">
        <v>0.70138888888888884</v>
      </c>
      <c r="K40" s="38">
        <v>7.7</v>
      </c>
      <c r="L40" s="38">
        <v>6.7</v>
      </c>
      <c r="M40" s="38">
        <f t="shared" si="126"/>
        <v>179.73956000000001</v>
      </c>
      <c r="N40" s="39"/>
      <c r="O40" s="38">
        <f>M40*10</f>
        <v>1797.3956000000001</v>
      </c>
      <c r="P40" s="32">
        <f t="shared" si="127"/>
        <v>59.913186666666668</v>
      </c>
      <c r="Q40" s="38">
        <v>1616</v>
      </c>
      <c r="R40" s="158">
        <f t="shared" si="128"/>
        <v>8.9907864467900112</v>
      </c>
      <c r="S40" s="160">
        <f t="shared" si="129"/>
        <v>0.89907864467900112</v>
      </c>
      <c r="T40" s="118">
        <f t="shared" si="130"/>
        <v>26.972359340370033</v>
      </c>
      <c r="U40" s="33"/>
      <c r="V40" s="138"/>
      <c r="W40" s="87">
        <f>6.7*5*5*0.52</f>
        <v>87.100000000000009</v>
      </c>
      <c r="X40" s="93">
        <f>7.9*6.7*6.7*0.52</f>
        <v>184.40812000000003</v>
      </c>
      <c r="Y40" s="93">
        <f>7.7*6.7*6.7*0.52</f>
        <v>179.73956000000001</v>
      </c>
      <c r="Z40" s="93">
        <f>9.5*6.1*6.1*0.52</f>
        <v>183.81739999999999</v>
      </c>
      <c r="AA40" s="93">
        <f>10.4*6.7*6.7*0.52</f>
        <v>242.76512000000002</v>
      </c>
      <c r="AB40" s="93">
        <f>10*7.4*7.4*0.52</f>
        <v>284.75200000000001</v>
      </c>
      <c r="AC40" s="93">
        <f>10.7*6.8*6.8*0.52</f>
        <v>257.27935999999994</v>
      </c>
      <c r="AD40" s="93">
        <f>11.1*7.6*7.6*0.52</f>
        <v>333.39071999999999</v>
      </c>
      <c r="AE40" s="93">
        <f>12.1*8.8*8.8*0.52</f>
        <v>487.25248000000005</v>
      </c>
      <c r="AF40" s="93">
        <f>10.7*7.1*7.1*0.52</f>
        <v>280.4812399999999</v>
      </c>
      <c r="AG40" s="93">
        <f>12.1*10*10*0.52</f>
        <v>629.20000000000005</v>
      </c>
      <c r="AH40" s="93">
        <f>14.4*10.8*10.8*0.52</f>
        <v>873.40032000000019</v>
      </c>
      <c r="AI40" s="93">
        <f>12.8*11.4*11.4*0.52</f>
        <v>865.01376000000016</v>
      </c>
      <c r="AJ40" s="93">
        <f>13.6*11.6*11.6*0.52</f>
        <v>951.60831999999994</v>
      </c>
      <c r="AK40" s="93">
        <f>13.2*12.9*12.9*0.52</f>
        <v>1142.2382400000001</v>
      </c>
      <c r="AL40" s="93">
        <f>14.7*14.1*14.1*0.52</f>
        <v>1519.70364</v>
      </c>
      <c r="AM40" s="93">
        <f>15.5*14.5*14.5*0.52</f>
        <v>1694.615</v>
      </c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2"/>
      <c r="BL40" s="92">
        <f t="shared" si="131"/>
        <v>0.48459003682884283</v>
      </c>
      <c r="BM40" s="92">
        <f t="shared" si="132"/>
        <v>1.025974025974026</v>
      </c>
      <c r="BN40" s="92">
        <f t="shared" si="133"/>
        <v>1</v>
      </c>
      <c r="BO40" s="92">
        <f t="shared" si="88"/>
        <v>1.02268749294813</v>
      </c>
      <c r="BP40" s="92">
        <f t="shared" si="89"/>
        <v>1.3506493506493507</v>
      </c>
      <c r="BQ40" s="92">
        <f t="shared" si="90"/>
        <v>1.5842477860744735</v>
      </c>
      <c r="BR40" s="92">
        <f t="shared" si="91"/>
        <v>1.4314008557715392</v>
      </c>
      <c r="BS40" s="92">
        <f t="shared" si="92"/>
        <v>1.8548544349390861</v>
      </c>
      <c r="BT40" s="92">
        <f t="shared" si="93"/>
        <v>2.7108805651911023</v>
      </c>
      <c r="BU40" s="92">
        <f t="shared" si="94"/>
        <v>1.5604869623582025</v>
      </c>
      <c r="BV40" s="92">
        <f t="shared" si="95"/>
        <v>3.5006205645546258</v>
      </c>
      <c r="BW40" s="92">
        <f t="shared" si="96"/>
        <v>4.8592548017809776</v>
      </c>
      <c r="BX40" s="92">
        <f t="shared" si="97"/>
        <v>4.8125952906527649</v>
      </c>
      <c r="BY40" s="92">
        <f t="shared" si="98"/>
        <v>5.2943732587305758</v>
      </c>
      <c r="BZ40" s="92">
        <f t="shared" si="99"/>
        <v>6.3549629252458395</v>
      </c>
      <c r="CA40" s="92">
        <f t="shared" si="100"/>
        <v>8.4550314911197066</v>
      </c>
      <c r="CB40" s="92">
        <f t="shared" si="101"/>
        <v>9.4281692911677304</v>
      </c>
      <c r="CC40" s="92" t="str">
        <f t="shared" si="134"/>
        <v/>
      </c>
      <c r="CD40" s="92" t="str">
        <f t="shared" si="103"/>
        <v/>
      </c>
      <c r="CE40" s="92" t="str">
        <f t="shared" si="104"/>
        <v/>
      </c>
      <c r="CF40" s="92" t="str">
        <f t="shared" si="105"/>
        <v/>
      </c>
      <c r="CG40" s="92" t="str">
        <f t="shared" si="106"/>
        <v/>
      </c>
      <c r="CH40" s="92" t="str">
        <f t="shared" si="107"/>
        <v/>
      </c>
      <c r="CI40" s="92" t="str">
        <f t="shared" si="108"/>
        <v/>
      </c>
      <c r="CJ40" s="92" t="str">
        <f t="shared" si="109"/>
        <v/>
      </c>
      <c r="CK40" s="92" t="str">
        <f t="shared" si="110"/>
        <v/>
      </c>
      <c r="CL40" s="92" t="str">
        <f t="shared" si="111"/>
        <v/>
      </c>
      <c r="CM40" s="92" t="str">
        <f t="shared" si="112"/>
        <v/>
      </c>
      <c r="CN40" s="92" t="str">
        <f t="shared" si="113"/>
        <v/>
      </c>
      <c r="CO40" s="92" t="str">
        <f t="shared" si="114"/>
        <v/>
      </c>
      <c r="CP40" s="92" t="str">
        <f t="shared" si="115"/>
        <v/>
      </c>
      <c r="CQ40" s="92" t="str">
        <f t="shared" si="116"/>
        <v/>
      </c>
      <c r="CR40" s="92" t="str">
        <f t="shared" si="117"/>
        <v/>
      </c>
      <c r="CS40" s="92" t="str">
        <f t="shared" si="118"/>
        <v/>
      </c>
      <c r="CT40" s="92" t="str">
        <f t="shared" si="119"/>
        <v/>
      </c>
      <c r="CU40" s="92" t="str">
        <f t="shared" si="120"/>
        <v/>
      </c>
      <c r="CV40" s="92" t="str">
        <f t="shared" si="121"/>
        <v/>
      </c>
      <c r="CW40" s="92" t="str">
        <f t="shared" si="122"/>
        <v/>
      </c>
      <c r="CX40" s="92" t="str">
        <f t="shared" si="123"/>
        <v/>
      </c>
      <c r="CY40" s="92" t="str">
        <f t="shared" si="124"/>
        <v/>
      </c>
    </row>
    <row r="41" spans="1:111">
      <c r="A41" s="42">
        <v>961145</v>
      </c>
      <c r="B41" s="4">
        <v>105</v>
      </c>
      <c r="C41" s="100" t="str">
        <f t="shared" si="125"/>
        <v>961145-105</v>
      </c>
      <c r="D41" s="4" t="s">
        <v>26</v>
      </c>
      <c r="E41" s="37" t="s">
        <v>49</v>
      </c>
      <c r="F41" s="44">
        <v>42340</v>
      </c>
      <c r="G41" s="45">
        <v>20.6</v>
      </c>
      <c r="H41" s="31">
        <v>42350</v>
      </c>
      <c r="I41" s="45">
        <v>21.3</v>
      </c>
      <c r="J41" s="166">
        <v>0.70763888888888893</v>
      </c>
      <c r="K41" s="45">
        <v>7.9</v>
      </c>
      <c r="L41" s="45">
        <v>5.7</v>
      </c>
      <c r="M41" s="45">
        <f t="shared" si="126"/>
        <v>133.46892000000003</v>
      </c>
      <c r="N41" s="47"/>
      <c r="O41" s="45">
        <f>M41*10</f>
        <v>1334.6892000000003</v>
      </c>
      <c r="P41" s="32">
        <f t="shared" si="127"/>
        <v>44.489640000000009</v>
      </c>
      <c r="Q41" s="45">
        <v>837</v>
      </c>
      <c r="R41" s="159">
        <f t="shared" si="128"/>
        <v>6.2711228951279434</v>
      </c>
      <c r="S41" s="161">
        <f t="shared" si="129"/>
        <v>0.6271122895127943</v>
      </c>
      <c r="T41" s="128">
        <f t="shared" si="130"/>
        <v>18.813368685383828</v>
      </c>
      <c r="U41" s="46"/>
      <c r="V41" s="138"/>
      <c r="W41" s="102">
        <f>6.2*5.1*5.1*0.52</f>
        <v>83.856239999999985</v>
      </c>
      <c r="X41" s="94">
        <f>6.3*5.7*5.7*0.52</f>
        <v>106.43723999999999</v>
      </c>
      <c r="Y41" s="94">
        <f>7.9*5.7*5.7*0.52</f>
        <v>133.46892</v>
      </c>
      <c r="Z41" s="94">
        <f>6.5*6.3*6.3*0.52</f>
        <v>134.15219999999999</v>
      </c>
      <c r="AA41" s="94">
        <f>8.3*6.5*6.5*0.52</f>
        <v>182.351</v>
      </c>
      <c r="AB41" s="94">
        <f>6.3*6*6*0.52</f>
        <v>117.93599999999999</v>
      </c>
      <c r="AC41" s="94">
        <f>10.5*9.5*9.5*0.52</f>
        <v>492.76500000000004</v>
      </c>
      <c r="AD41" s="94">
        <f>12.1*7.4*7.4*0.52</f>
        <v>344.5499200000001</v>
      </c>
      <c r="AE41" s="94">
        <f>12*9.5*9.5*0.52</f>
        <v>563.16</v>
      </c>
      <c r="AF41" s="94">
        <f>10.7*7.4*7.4*0.52</f>
        <v>304.68464</v>
      </c>
      <c r="AG41" s="94">
        <f>13.1*12*12*0.52</f>
        <v>980.928</v>
      </c>
      <c r="AH41" s="94">
        <f>14.6*11*11*0.52</f>
        <v>918.63199999999995</v>
      </c>
      <c r="AI41" s="94">
        <f>13.4*11.5*11.5*0.52</f>
        <v>921.51799999999992</v>
      </c>
      <c r="AJ41" s="94">
        <f>13.6*10.7*10.7*0.52</f>
        <v>809.67327999999986</v>
      </c>
      <c r="AK41" s="94">
        <f>15.6*11.9*11.9*0.52</f>
        <v>1148.7403200000003</v>
      </c>
      <c r="AL41" s="94">
        <f>15.8*13.4*13.4*0.52</f>
        <v>1475.2649600000002</v>
      </c>
      <c r="AM41" s="94">
        <f>16.7*13.9*13.9*0.52</f>
        <v>1677.83564</v>
      </c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5"/>
      <c r="BL41" s="92">
        <f t="shared" si="131"/>
        <v>0.62828289911988477</v>
      </c>
      <c r="BM41" s="92">
        <f t="shared" si="132"/>
        <v>0.79746835443037956</v>
      </c>
      <c r="BN41" s="92">
        <f t="shared" si="133"/>
        <v>0.99999999999999978</v>
      </c>
      <c r="BO41" s="92">
        <f t="shared" si="88"/>
        <v>1.0051193940881515</v>
      </c>
      <c r="BP41" s="92">
        <f t="shared" si="89"/>
        <v>1.3662431673231488</v>
      </c>
      <c r="BQ41" s="92">
        <f t="shared" si="90"/>
        <v>0.88362144535222109</v>
      </c>
      <c r="BR41" s="92">
        <f t="shared" si="91"/>
        <v>3.6919831223628687</v>
      </c>
      <c r="BS41" s="92">
        <f t="shared" si="92"/>
        <v>2.5814992733888911</v>
      </c>
      <c r="BT41" s="92">
        <f t="shared" si="93"/>
        <v>4.219409282700421</v>
      </c>
      <c r="BU41" s="92">
        <f t="shared" si="94"/>
        <v>2.2828134070463739</v>
      </c>
      <c r="BV41" s="92">
        <f t="shared" si="95"/>
        <v>7.34948630737403</v>
      </c>
      <c r="BW41" s="92">
        <f t="shared" si="96"/>
        <v>6.8827409407373628</v>
      </c>
      <c r="BX41" s="92">
        <f t="shared" si="97"/>
        <v>6.9043639522969071</v>
      </c>
      <c r="BY41" s="92">
        <f t="shared" si="98"/>
        <v>6.066380697468742</v>
      </c>
      <c r="BZ41" s="92">
        <f t="shared" si="99"/>
        <v>8.6068001449326186</v>
      </c>
      <c r="CA41" s="92">
        <f t="shared" si="100"/>
        <v>11.053247152970144</v>
      </c>
      <c r="CB41" s="92">
        <f t="shared" si="101"/>
        <v>12.570983866506147</v>
      </c>
      <c r="CC41" s="92" t="str">
        <f t="shared" si="134"/>
        <v/>
      </c>
      <c r="CD41" s="92" t="str">
        <f t="shared" si="103"/>
        <v/>
      </c>
      <c r="CE41" s="92" t="str">
        <f t="shared" si="104"/>
        <v/>
      </c>
      <c r="CF41" s="92" t="str">
        <f t="shared" si="105"/>
        <v/>
      </c>
      <c r="CG41" s="92" t="str">
        <f t="shared" si="106"/>
        <v/>
      </c>
      <c r="CH41" s="92" t="str">
        <f t="shared" si="107"/>
        <v/>
      </c>
      <c r="CI41" s="92" t="str">
        <f t="shared" si="108"/>
        <v/>
      </c>
      <c r="CJ41" s="92" t="str">
        <f t="shared" si="109"/>
        <v/>
      </c>
      <c r="CK41" s="92" t="str">
        <f t="shared" si="110"/>
        <v/>
      </c>
      <c r="CL41" s="92" t="str">
        <f t="shared" si="111"/>
        <v/>
      </c>
      <c r="CM41" s="92" t="str">
        <f t="shared" si="112"/>
        <v/>
      </c>
      <c r="CN41" s="92" t="str">
        <f t="shared" si="113"/>
        <v/>
      </c>
      <c r="CO41" s="92" t="str">
        <f t="shared" si="114"/>
        <v/>
      </c>
      <c r="CP41" s="92" t="str">
        <f t="shared" si="115"/>
        <v/>
      </c>
      <c r="CQ41" s="92" t="str">
        <f t="shared" si="116"/>
        <v/>
      </c>
      <c r="CR41" s="92" t="str">
        <f t="shared" si="117"/>
        <v/>
      </c>
      <c r="CS41" s="92" t="str">
        <f t="shared" si="118"/>
        <v/>
      </c>
      <c r="CT41" s="92" t="str">
        <f t="shared" si="119"/>
        <v/>
      </c>
      <c r="CU41" s="92" t="str">
        <f t="shared" si="120"/>
        <v/>
      </c>
      <c r="CV41" s="92" t="str">
        <f t="shared" si="121"/>
        <v/>
      </c>
      <c r="CW41" s="92" t="str">
        <f t="shared" si="122"/>
        <v/>
      </c>
      <c r="CX41" s="92" t="str">
        <f t="shared" si="123"/>
        <v/>
      </c>
      <c r="CY41" s="92" t="str">
        <f t="shared" si="124"/>
        <v/>
      </c>
    </row>
    <row r="42" spans="1:111" s="99" customFormat="1">
      <c r="A42" s="121"/>
      <c r="B42" s="101"/>
      <c r="C42" s="122"/>
      <c r="D42" s="101"/>
      <c r="E42" s="111"/>
      <c r="F42" s="123"/>
      <c r="G42" s="124"/>
      <c r="H42" s="123"/>
      <c r="I42" s="124"/>
      <c r="J42" s="167"/>
      <c r="K42" s="125"/>
      <c r="L42" s="125"/>
      <c r="M42" s="124"/>
      <c r="N42" s="125"/>
      <c r="O42" s="124"/>
      <c r="P42" s="124"/>
      <c r="Q42" s="124"/>
      <c r="R42" s="126"/>
      <c r="S42" s="127"/>
      <c r="T42" s="127"/>
      <c r="U42" s="127"/>
      <c r="V42" s="101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</row>
    <row r="43" spans="1:111" ht="14.25" customHeight="1">
      <c r="A43" s="95"/>
      <c r="B43" s="95"/>
      <c r="C43" s="95"/>
      <c r="D43" s="51"/>
      <c r="E43" s="105" t="s">
        <v>20</v>
      </c>
      <c r="F43" s="96"/>
      <c r="G43" s="97"/>
      <c r="H43" s="277" t="str">
        <f>E43</f>
        <v>Total</v>
      </c>
      <c r="I43" s="49">
        <f>AVERAGE(I5:I41)</f>
        <v>25.445945945945947</v>
      </c>
      <c r="J43" s="49"/>
      <c r="K43" s="49"/>
      <c r="L43" s="49"/>
      <c r="M43" s="49">
        <f>AVERAGE(M5:M41)</f>
        <v>133.85395891891889</v>
      </c>
      <c r="N43" s="49"/>
      <c r="O43" s="49">
        <f t="shared" ref="O43:U43" si="135">AVERAGE(O5:O41)</f>
        <v>763.77337657657665</v>
      </c>
      <c r="P43" s="49">
        <f t="shared" si="135"/>
        <v>44.6179863063063</v>
      </c>
      <c r="Q43" s="49">
        <f t="shared" si="135"/>
        <v>611.24324324324323</v>
      </c>
      <c r="R43" s="186">
        <f t="shared" si="135"/>
        <v>4.3335435428331595</v>
      </c>
      <c r="S43" s="49" t="e">
        <f t="shared" si="135"/>
        <v>#DIV/0!</v>
      </c>
      <c r="T43" s="49">
        <f t="shared" si="135"/>
        <v>13.000630628499483</v>
      </c>
      <c r="U43" s="49" t="e">
        <f t="shared" si="135"/>
        <v>#DIV/0!</v>
      </c>
      <c r="V43" s="81" t="s">
        <v>10</v>
      </c>
      <c r="W43" s="87">
        <f t="shared" ref="W43:BJ43" si="136">AVERAGE(W5:W41)</f>
        <v>75.425781935483883</v>
      </c>
      <c r="X43" s="87">
        <f t="shared" si="136"/>
        <v>105.47557222222224</v>
      </c>
      <c r="Y43" s="87">
        <f t="shared" si="136"/>
        <v>133.85395891891889</v>
      </c>
      <c r="Z43" s="87">
        <f t="shared" si="136"/>
        <v>174.90105837837842</v>
      </c>
      <c r="AA43" s="87">
        <f t="shared" si="136"/>
        <v>184.78381297297298</v>
      </c>
      <c r="AB43" s="87">
        <f t="shared" si="136"/>
        <v>191.08500432432433</v>
      </c>
      <c r="AC43" s="87">
        <f t="shared" si="136"/>
        <v>231.92847459459458</v>
      </c>
      <c r="AD43" s="87">
        <f t="shared" si="136"/>
        <v>269.58996648648639</v>
      </c>
      <c r="AE43" s="87">
        <f t="shared" si="136"/>
        <v>347.58312216216217</v>
      </c>
      <c r="AF43" s="87">
        <f t="shared" si="136"/>
        <v>395.24039135135126</v>
      </c>
      <c r="AG43" s="87">
        <f t="shared" si="136"/>
        <v>801.22429189189188</v>
      </c>
      <c r="AH43" s="87">
        <f t="shared" si="136"/>
        <v>612.0254920000001</v>
      </c>
      <c r="AI43" s="87">
        <f t="shared" si="136"/>
        <v>676.43043448275887</v>
      </c>
      <c r="AJ43" s="87">
        <f t="shared" si="136"/>
        <v>692.21060999999997</v>
      </c>
      <c r="AK43" s="87">
        <f t="shared" si="136"/>
        <v>681.67821279999998</v>
      </c>
      <c r="AL43" s="87">
        <f t="shared" si="136"/>
        <v>810.92268173913055</v>
      </c>
      <c r="AM43" s="87">
        <f t="shared" si="136"/>
        <v>789.95480199999997</v>
      </c>
      <c r="AN43" s="87">
        <f t="shared" si="136"/>
        <v>740.02879294117633</v>
      </c>
      <c r="AO43" s="87">
        <f t="shared" si="136"/>
        <v>885.97483</v>
      </c>
      <c r="AP43" s="87">
        <f t="shared" si="136"/>
        <v>1039.6626933333334</v>
      </c>
      <c r="AQ43" s="87">
        <f t="shared" si="136"/>
        <v>864.29724727272742</v>
      </c>
      <c r="AR43" s="87">
        <f t="shared" si="136"/>
        <v>977.6504920000001</v>
      </c>
      <c r="AS43" s="87">
        <f t="shared" si="136"/>
        <v>810.31184000000007</v>
      </c>
      <c r="AT43" s="87">
        <f t="shared" si="136"/>
        <v>824.9008114285715</v>
      </c>
      <c r="AU43" s="87">
        <f t="shared" si="136"/>
        <v>1059.8564228571429</v>
      </c>
      <c r="AV43" s="87">
        <f t="shared" si="136"/>
        <v>1150.6470114285714</v>
      </c>
      <c r="AW43" s="87">
        <f t="shared" si="136"/>
        <v>951.14825000000008</v>
      </c>
      <c r="AX43" s="87">
        <f t="shared" si="136"/>
        <v>777.07032000000015</v>
      </c>
      <c r="AY43" s="87">
        <f t="shared" si="136"/>
        <v>845.1464666666667</v>
      </c>
      <c r="AZ43" s="87">
        <f t="shared" si="136"/>
        <v>480.20075999999995</v>
      </c>
      <c r="BA43" s="87">
        <f t="shared" si="136"/>
        <v>645.06727999999998</v>
      </c>
      <c r="BB43" s="87">
        <f t="shared" si="136"/>
        <v>1026.2205200000001</v>
      </c>
      <c r="BC43" s="87">
        <f t="shared" si="136"/>
        <v>1079.7352799999999</v>
      </c>
      <c r="BD43" s="87">
        <f t="shared" si="136"/>
        <v>860.52096000000017</v>
      </c>
      <c r="BE43" s="87">
        <f t="shared" si="136"/>
        <v>958.86335999999983</v>
      </c>
      <c r="BF43" s="87">
        <f t="shared" si="136"/>
        <v>1388.5040000000001</v>
      </c>
      <c r="BG43" s="87">
        <f t="shared" si="136"/>
        <v>1535.2739999999999</v>
      </c>
      <c r="BH43" s="87">
        <f t="shared" si="136"/>
        <v>1703.2953600000001</v>
      </c>
      <c r="BI43" s="87" t="e">
        <f t="shared" si="136"/>
        <v>#DIV/0!</v>
      </c>
      <c r="BJ43" s="87" t="e">
        <f t="shared" si="136"/>
        <v>#DIV/0!</v>
      </c>
      <c r="BK43" s="112" t="s">
        <v>10</v>
      </c>
      <c r="BL43" s="82">
        <f t="shared" ref="BL43:CY43" si="137">AVERAGE(BL5:BL41)</f>
        <v>0.56417729998020172</v>
      </c>
      <c r="BM43" s="82">
        <f t="shared" si="137"/>
        <v>0.80128572611274285</v>
      </c>
      <c r="BN43" s="82">
        <f t="shared" si="137"/>
        <v>1</v>
      </c>
      <c r="BO43" s="82">
        <f t="shared" si="137"/>
        <v>1.3442460667143619</v>
      </c>
      <c r="BP43" s="82">
        <f t="shared" si="137"/>
        <v>1.4172635998760068</v>
      </c>
      <c r="BQ43" s="82">
        <f t="shared" si="137"/>
        <v>1.4381435402233558</v>
      </c>
      <c r="BR43" s="82">
        <f t="shared" si="137"/>
        <v>1.7409649109833756</v>
      </c>
      <c r="BS43" s="82">
        <f t="shared" si="137"/>
        <v>2.073972480046784</v>
      </c>
      <c r="BT43" s="82">
        <f t="shared" si="137"/>
        <v>2.6443995829761664</v>
      </c>
      <c r="BU43" s="82">
        <f t="shared" si="137"/>
        <v>3.0733202492147509</v>
      </c>
      <c r="BV43" s="82">
        <f t="shared" si="137"/>
        <v>6.2102403026016813</v>
      </c>
      <c r="BW43" s="82">
        <f t="shared" si="137"/>
        <v>4.8744107788719413</v>
      </c>
      <c r="BX43" s="82">
        <f t="shared" si="137"/>
        <v>5.4873496125153052</v>
      </c>
      <c r="BY43" s="82">
        <f t="shared" si="137"/>
        <v>5.3384657304043852</v>
      </c>
      <c r="BZ43" s="82">
        <f t="shared" si="137"/>
        <v>5.394356855200372</v>
      </c>
      <c r="CA43" s="82">
        <f t="shared" si="137"/>
        <v>6.1051391844602145</v>
      </c>
      <c r="CB43" s="82">
        <f t="shared" si="137"/>
        <v>5.9848169731380576</v>
      </c>
      <c r="CC43" s="82">
        <f t="shared" si="137"/>
        <v>5.3826292719633608</v>
      </c>
      <c r="CD43" s="82">
        <f t="shared" si="137"/>
        <v>6.4925826627492107</v>
      </c>
      <c r="CE43" s="82">
        <f t="shared" si="137"/>
        <v>8.0598005767171124</v>
      </c>
      <c r="CF43" s="82">
        <f t="shared" si="137"/>
        <v>6.8348970350310791</v>
      </c>
      <c r="CG43" s="82">
        <f t="shared" si="137"/>
        <v>8.3128202956116031</v>
      </c>
      <c r="CH43" s="82">
        <f t="shared" si="137"/>
        <v>6.7906574260895107</v>
      </c>
      <c r="CI43" s="82">
        <f t="shared" si="137"/>
        <v>6.3802754798288612</v>
      </c>
      <c r="CJ43" s="82">
        <f t="shared" si="137"/>
        <v>8.4123942921686758</v>
      </c>
      <c r="CK43" s="82">
        <f t="shared" si="137"/>
        <v>9.09105812471695</v>
      </c>
      <c r="CL43" s="82">
        <f t="shared" si="137"/>
        <v>6.9306066124691998</v>
      </c>
      <c r="CM43" s="82">
        <f t="shared" si="137"/>
        <v>5.5447116680671611</v>
      </c>
      <c r="CN43" s="82">
        <f t="shared" si="137"/>
        <v>6.039344800556961</v>
      </c>
      <c r="CO43" s="82">
        <f t="shared" si="137"/>
        <v>3.4649246107624778</v>
      </c>
      <c r="CP43" s="82">
        <f t="shared" si="137"/>
        <v>4.6249126980827908</v>
      </c>
      <c r="CQ43" s="82">
        <f t="shared" si="137"/>
        <v>7.3841195321680182</v>
      </c>
      <c r="CR43" s="82">
        <f t="shared" si="137"/>
        <v>7.8719317354360223</v>
      </c>
      <c r="CS43" s="82">
        <f t="shared" si="137"/>
        <v>5.2629757785467142</v>
      </c>
      <c r="CT43" s="82">
        <f t="shared" si="137"/>
        <v>5.8644412782413999</v>
      </c>
      <c r="CU43" s="82">
        <f t="shared" si="137"/>
        <v>8.4921382047628757</v>
      </c>
      <c r="CV43" s="82">
        <f t="shared" si="137"/>
        <v>9.3897885711377977</v>
      </c>
      <c r="CW43" s="82">
        <f t="shared" si="137"/>
        <v>10.417412985955629</v>
      </c>
      <c r="CX43" s="82" t="e">
        <f t="shared" si="137"/>
        <v>#DIV/0!</v>
      </c>
      <c r="CY43" s="82" t="e">
        <f t="shared" si="137"/>
        <v>#DIV/0!</v>
      </c>
    </row>
    <row r="44" spans="1:111" ht="14.25" customHeight="1">
      <c r="A44" s="52"/>
      <c r="B44" s="51"/>
      <c r="C44" s="53"/>
      <c r="D44" s="51"/>
      <c r="E44" s="103"/>
      <c r="F44" s="80"/>
      <c r="G44" s="49"/>
      <c r="H44" s="277"/>
      <c r="I44" s="49">
        <f>_xlfn.STDEV.P(I5:I41)</f>
        <v>2.3449306558749115</v>
      </c>
      <c r="J44" s="49"/>
      <c r="K44" s="49"/>
      <c r="L44" s="49"/>
      <c r="M44" s="49">
        <f>_xlfn.STDEV.P(M5:M41)</f>
        <v>28.851907502230052</v>
      </c>
      <c r="N44" s="49"/>
      <c r="O44" s="49">
        <f t="shared" ref="O44:U44" si="138">_xlfn.STDEV.P(O5:O41)</f>
        <v>582.30383234235285</v>
      </c>
      <c r="P44" s="49">
        <f t="shared" si="138"/>
        <v>9.6173025007433406</v>
      </c>
      <c r="Q44" s="49">
        <f t="shared" si="138"/>
        <v>504.85349255089119</v>
      </c>
      <c r="R44" s="186">
        <f t="shared" si="138"/>
        <v>3.2401473753608165</v>
      </c>
      <c r="S44" s="49" t="e">
        <f t="shared" si="138"/>
        <v>#DIV/0!</v>
      </c>
      <c r="T44" s="49">
        <f t="shared" si="138"/>
        <v>9.720442126082439</v>
      </c>
      <c r="U44" s="49" t="e">
        <f t="shared" si="138"/>
        <v>#DIV/0!</v>
      </c>
      <c r="V44" s="81" t="s">
        <v>12</v>
      </c>
      <c r="W44" s="90">
        <f t="shared" ref="W44:BJ44" si="139">STDEVA(W5:W41)</f>
        <v>29.462887701840891</v>
      </c>
      <c r="X44" s="90">
        <f t="shared" si="139"/>
        <v>29.461229830351307</v>
      </c>
      <c r="Y44" s="90">
        <f t="shared" si="139"/>
        <v>29.249883647032483</v>
      </c>
      <c r="Z44" s="90">
        <f t="shared" si="139"/>
        <v>53.628566576148557</v>
      </c>
      <c r="AA44" s="90">
        <f t="shared" si="139"/>
        <v>50.882384250239198</v>
      </c>
      <c r="AB44" s="90">
        <f t="shared" si="139"/>
        <v>72.756014050784998</v>
      </c>
      <c r="AC44" s="90">
        <f t="shared" si="139"/>
        <v>101.5032090559078</v>
      </c>
      <c r="AD44" s="90">
        <f t="shared" si="139"/>
        <v>180.23539092801755</v>
      </c>
      <c r="AE44" s="90">
        <f t="shared" si="139"/>
        <v>267.32156095979997</v>
      </c>
      <c r="AF44" s="90">
        <f t="shared" si="139"/>
        <v>407.79423186871077</v>
      </c>
      <c r="AG44" s="90">
        <f t="shared" si="139"/>
        <v>795.78039390299318</v>
      </c>
      <c r="AH44" s="90">
        <f t="shared" si="139"/>
        <v>549.06276860029084</v>
      </c>
      <c r="AI44" s="90">
        <f t="shared" si="139"/>
        <v>579.69608822130328</v>
      </c>
      <c r="AJ44" s="90">
        <f t="shared" si="139"/>
        <v>592.39919945806685</v>
      </c>
      <c r="AK44" s="90">
        <f t="shared" si="139"/>
        <v>577.5369900509462</v>
      </c>
      <c r="AL44" s="90">
        <f t="shared" si="139"/>
        <v>606.48166459801121</v>
      </c>
      <c r="AM44" s="90">
        <f t="shared" si="139"/>
        <v>573.57481034455395</v>
      </c>
      <c r="AN44" s="90">
        <f t="shared" si="139"/>
        <v>524.84494003463772</v>
      </c>
      <c r="AO44" s="90">
        <f t="shared" si="139"/>
        <v>585.47508798651018</v>
      </c>
      <c r="AP44" s="90">
        <f t="shared" si="139"/>
        <v>687.32821024850602</v>
      </c>
      <c r="AQ44" s="90">
        <f t="shared" si="139"/>
        <v>583.73072833663184</v>
      </c>
      <c r="AR44" s="90">
        <f t="shared" si="139"/>
        <v>670.16550593123861</v>
      </c>
      <c r="AS44" s="90">
        <f t="shared" si="139"/>
        <v>563.8076776803216</v>
      </c>
      <c r="AT44" s="90">
        <f t="shared" si="139"/>
        <v>546.93610196670352</v>
      </c>
      <c r="AU44" s="90">
        <f t="shared" si="139"/>
        <v>680.88270606422259</v>
      </c>
      <c r="AV44" s="90">
        <f t="shared" si="139"/>
        <v>709.8391848589439</v>
      </c>
      <c r="AW44" s="90">
        <f t="shared" si="139"/>
        <v>843.10186704336172</v>
      </c>
      <c r="AX44" s="90">
        <f t="shared" si="139"/>
        <v>742.41537052641581</v>
      </c>
      <c r="AY44" s="90">
        <f t="shared" si="139"/>
        <v>853.27406971673008</v>
      </c>
      <c r="AZ44" s="90">
        <f t="shared" si="139"/>
        <v>381.74958462007112</v>
      </c>
      <c r="BA44" s="90">
        <f t="shared" si="139"/>
        <v>453.30534019505768</v>
      </c>
      <c r="BB44" s="90">
        <f t="shared" si="139"/>
        <v>774.33074405144328</v>
      </c>
      <c r="BC44" s="90">
        <f t="shared" si="139"/>
        <v>1021.1537199351316</v>
      </c>
      <c r="BD44" s="90" t="e">
        <f t="shared" si="139"/>
        <v>#DIV/0!</v>
      </c>
      <c r="BE44" s="90" t="e">
        <f t="shared" si="139"/>
        <v>#DIV/0!</v>
      </c>
      <c r="BF44" s="90" t="e">
        <f t="shared" si="139"/>
        <v>#DIV/0!</v>
      </c>
      <c r="BG44" s="90" t="e">
        <f t="shared" si="139"/>
        <v>#DIV/0!</v>
      </c>
      <c r="BH44" s="90" t="e">
        <f t="shared" si="139"/>
        <v>#DIV/0!</v>
      </c>
      <c r="BI44" s="90" t="e">
        <f t="shared" si="139"/>
        <v>#DIV/0!</v>
      </c>
      <c r="BJ44" s="90" t="e">
        <f t="shared" si="139"/>
        <v>#DIV/0!</v>
      </c>
      <c r="BK44" s="113" t="s">
        <v>12</v>
      </c>
      <c r="BL44" s="83">
        <f t="shared" ref="BL44:CY44" si="140">STDEVA(BL5:BL41)</f>
        <v>0.27917882941467098</v>
      </c>
      <c r="BM44" s="83">
        <f t="shared" si="140"/>
        <v>0.22431599042068331</v>
      </c>
      <c r="BN44" s="83">
        <f t="shared" si="140"/>
        <v>1.1102230246251565E-16</v>
      </c>
      <c r="BO44" s="83">
        <f t="shared" si="140"/>
        <v>0.44301714911074908</v>
      </c>
      <c r="BP44" s="83">
        <f t="shared" si="140"/>
        <v>0.39911284350065862</v>
      </c>
      <c r="BQ44" s="83">
        <f t="shared" si="140"/>
        <v>0.48182971811130076</v>
      </c>
      <c r="BR44" s="83">
        <f t="shared" si="140"/>
        <v>0.70724300032854914</v>
      </c>
      <c r="BS44" s="83">
        <f t="shared" si="140"/>
        <v>1.4109499693715144</v>
      </c>
      <c r="BT44" s="83">
        <f t="shared" si="140"/>
        <v>2.0247076213966766</v>
      </c>
      <c r="BU44" s="83">
        <f t="shared" si="140"/>
        <v>3.1354935676272211</v>
      </c>
      <c r="BV44" s="83">
        <f t="shared" si="140"/>
        <v>6.0826140774754425</v>
      </c>
      <c r="BW44" s="83">
        <f t="shared" si="140"/>
        <v>4.6471204404530999</v>
      </c>
      <c r="BX44" s="83">
        <f t="shared" si="140"/>
        <v>5.2406354061036486</v>
      </c>
      <c r="BY44" s="83">
        <f t="shared" si="140"/>
        <v>4.7495029714879395</v>
      </c>
      <c r="BZ44" s="83">
        <f t="shared" si="140"/>
        <v>4.9485768393071332</v>
      </c>
      <c r="CA44" s="83">
        <f t="shared" si="140"/>
        <v>4.7348928343026992</v>
      </c>
      <c r="CB44" s="83">
        <f t="shared" si="140"/>
        <v>4.5225625607852953</v>
      </c>
      <c r="CC44" s="83">
        <f t="shared" si="140"/>
        <v>3.6410086875241747</v>
      </c>
      <c r="CD44" s="83">
        <f t="shared" si="140"/>
        <v>4.2140186151591905</v>
      </c>
      <c r="CE44" s="83">
        <f t="shared" si="140"/>
        <v>5.1836164214755662</v>
      </c>
      <c r="CF44" s="83">
        <f t="shared" si="140"/>
        <v>4.0399973369508038</v>
      </c>
      <c r="CG44" s="83">
        <f t="shared" si="140"/>
        <v>4.9429774438378837</v>
      </c>
      <c r="CH44" s="83">
        <f t="shared" si="140"/>
        <v>3.7094660413506206</v>
      </c>
      <c r="CI44" s="83">
        <f t="shared" si="140"/>
        <v>3.0604412239033469</v>
      </c>
      <c r="CJ44" s="83">
        <f t="shared" si="140"/>
        <v>4.1360681405429904</v>
      </c>
      <c r="CK44" s="83">
        <f t="shared" si="140"/>
        <v>4.4000877543289052</v>
      </c>
      <c r="CL44" s="83">
        <f t="shared" si="140"/>
        <v>2.8265072592411458</v>
      </c>
      <c r="CM44" s="83">
        <f t="shared" si="140"/>
        <v>1.9871474700018394</v>
      </c>
      <c r="CN44" s="83">
        <f t="shared" si="140"/>
        <v>2.2109327919913637</v>
      </c>
      <c r="CO44" s="83">
        <f t="shared" si="140"/>
        <v>0.9458847354498604</v>
      </c>
      <c r="CP44" s="83">
        <f t="shared" si="140"/>
        <v>1.2293527685098036</v>
      </c>
      <c r="CQ44" s="83">
        <f t="shared" si="140"/>
        <v>1.9921783618999791</v>
      </c>
      <c r="CR44" s="83">
        <f t="shared" si="140"/>
        <v>2.2475937734063001</v>
      </c>
      <c r="CS44" s="83">
        <f t="shared" si="140"/>
        <v>0.86522788820570418</v>
      </c>
      <c r="CT44" s="83">
        <f t="shared" si="140"/>
        <v>0.9641082072546211</v>
      </c>
      <c r="CU44" s="83">
        <f t="shared" si="140"/>
        <v>1.3960989209201518</v>
      </c>
      <c r="CV44" s="83">
        <f t="shared" si="140"/>
        <v>1.5436717321064717</v>
      </c>
      <c r="CW44" s="83">
        <f t="shared" si="140"/>
        <v>1.7126121452327834</v>
      </c>
      <c r="CX44" s="83">
        <f t="shared" si="140"/>
        <v>0</v>
      </c>
      <c r="CY44" s="83">
        <f t="shared" si="140"/>
        <v>0</v>
      </c>
    </row>
    <row r="45" spans="1:111" ht="12.75" customHeight="1">
      <c r="A45" s="129"/>
      <c r="E45" s="104"/>
      <c r="J45" s="63"/>
      <c r="K45" s="63"/>
      <c r="L45" s="63"/>
      <c r="N45" s="63"/>
      <c r="Q45" s="63"/>
      <c r="R45" s="187"/>
      <c r="S45" s="63"/>
      <c r="T45" s="63"/>
      <c r="U45" s="63"/>
      <c r="V45" s="51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</row>
    <row r="46" spans="1:111" ht="14.25" customHeight="1">
      <c r="A46" s="129"/>
      <c r="E46" s="134" t="str">
        <f>'RAD_DOSE Groups'!C6</f>
        <v>PBS Control</v>
      </c>
      <c r="H46" s="134" t="str">
        <f>E46</f>
        <v>PBS Control</v>
      </c>
      <c r="I46" s="120">
        <f>AVERAGEIF($E$5:$E$41,$E46,I$5:I$41)</f>
        <v>25.700000000000003</v>
      </c>
      <c r="J46" s="120"/>
      <c r="K46" s="120"/>
      <c r="L46" s="120"/>
      <c r="M46" s="120">
        <f>AVERAGEIF($E$5:$E$41,$E46,M$5:M$41)</f>
        <v>134.79557</v>
      </c>
      <c r="N46" s="120"/>
      <c r="O46" s="120">
        <f t="shared" ref="O46:U46" si="141">AVERAGEIF($E$5:$E$41,$E46,O$5:O$41)</f>
        <v>0</v>
      </c>
      <c r="P46" s="120">
        <f t="shared" si="141"/>
        <v>44.931856666666675</v>
      </c>
      <c r="Q46" s="120">
        <f t="shared" si="141"/>
        <v>0</v>
      </c>
      <c r="R46" s="188">
        <f t="shared" si="141"/>
        <v>0</v>
      </c>
      <c r="S46" s="120" t="e">
        <f t="shared" si="141"/>
        <v>#DIV/0!</v>
      </c>
      <c r="T46" s="120">
        <f t="shared" si="141"/>
        <v>0</v>
      </c>
      <c r="U46" s="120" t="e">
        <f t="shared" si="141"/>
        <v>#DIV/0!</v>
      </c>
      <c r="V46" s="81" t="s">
        <v>10</v>
      </c>
      <c r="W46" s="87">
        <f t="shared" ref="W46:BJ46" si="142">AVERAGEIF($E$5:$E$41,$E46,W$5:W$41)</f>
        <v>85.019480000000001</v>
      </c>
      <c r="X46" s="87">
        <f t="shared" si="142"/>
        <v>103.80708</v>
      </c>
      <c r="Y46" s="87">
        <f t="shared" si="142"/>
        <v>134.79557</v>
      </c>
      <c r="Z46" s="87">
        <f t="shared" si="142"/>
        <v>193.24110000000002</v>
      </c>
      <c r="AA46" s="87">
        <f t="shared" si="142"/>
        <v>193.6857</v>
      </c>
      <c r="AB46" s="87">
        <f t="shared" si="142"/>
        <v>261.99979000000002</v>
      </c>
      <c r="AC46" s="87">
        <f t="shared" si="142"/>
        <v>357.2852400000001</v>
      </c>
      <c r="AD46" s="87">
        <f t="shared" si="142"/>
        <v>577.65851000000009</v>
      </c>
      <c r="AE46" s="87">
        <f t="shared" si="142"/>
        <v>752.37798999999995</v>
      </c>
      <c r="AF46" s="87">
        <f t="shared" si="142"/>
        <v>1174.2889600000003</v>
      </c>
      <c r="AG46" s="87">
        <f t="shared" si="142"/>
        <v>2338.4923899999999</v>
      </c>
      <c r="AH46" s="87" t="e">
        <f t="shared" si="142"/>
        <v>#DIV/0!</v>
      </c>
      <c r="AI46" s="87" t="e">
        <f t="shared" si="142"/>
        <v>#DIV/0!</v>
      </c>
      <c r="AJ46" s="87" t="e">
        <f t="shared" si="142"/>
        <v>#DIV/0!</v>
      </c>
      <c r="AK46" s="87" t="e">
        <f t="shared" si="142"/>
        <v>#DIV/0!</v>
      </c>
      <c r="AL46" s="87" t="e">
        <f t="shared" si="142"/>
        <v>#DIV/0!</v>
      </c>
      <c r="AM46" s="87" t="e">
        <f t="shared" si="142"/>
        <v>#DIV/0!</v>
      </c>
      <c r="AN46" s="87" t="e">
        <f t="shared" si="142"/>
        <v>#DIV/0!</v>
      </c>
      <c r="AO46" s="87" t="e">
        <f t="shared" si="142"/>
        <v>#DIV/0!</v>
      </c>
      <c r="AP46" s="87" t="e">
        <f t="shared" si="142"/>
        <v>#DIV/0!</v>
      </c>
      <c r="AQ46" s="87" t="e">
        <f t="shared" si="142"/>
        <v>#DIV/0!</v>
      </c>
      <c r="AR46" s="87" t="e">
        <f t="shared" si="142"/>
        <v>#DIV/0!</v>
      </c>
      <c r="AS46" s="87" t="e">
        <f t="shared" si="142"/>
        <v>#DIV/0!</v>
      </c>
      <c r="AT46" s="87" t="e">
        <f t="shared" si="142"/>
        <v>#DIV/0!</v>
      </c>
      <c r="AU46" s="87" t="e">
        <f t="shared" si="142"/>
        <v>#DIV/0!</v>
      </c>
      <c r="AV46" s="87" t="e">
        <f t="shared" si="142"/>
        <v>#DIV/0!</v>
      </c>
      <c r="AW46" s="87" t="e">
        <f t="shared" si="142"/>
        <v>#DIV/0!</v>
      </c>
      <c r="AX46" s="87" t="e">
        <f t="shared" si="142"/>
        <v>#DIV/0!</v>
      </c>
      <c r="AY46" s="87" t="e">
        <f t="shared" si="142"/>
        <v>#DIV/0!</v>
      </c>
      <c r="AZ46" s="87" t="e">
        <f t="shared" si="142"/>
        <v>#DIV/0!</v>
      </c>
      <c r="BA46" s="87" t="e">
        <f t="shared" si="142"/>
        <v>#DIV/0!</v>
      </c>
      <c r="BB46" s="87" t="e">
        <f t="shared" si="142"/>
        <v>#DIV/0!</v>
      </c>
      <c r="BC46" s="87" t="e">
        <f t="shared" si="142"/>
        <v>#DIV/0!</v>
      </c>
      <c r="BD46" s="87" t="e">
        <f t="shared" si="142"/>
        <v>#DIV/0!</v>
      </c>
      <c r="BE46" s="87" t="e">
        <f t="shared" si="142"/>
        <v>#DIV/0!</v>
      </c>
      <c r="BF46" s="87" t="e">
        <f t="shared" si="142"/>
        <v>#DIV/0!</v>
      </c>
      <c r="BG46" s="87" t="e">
        <f t="shared" si="142"/>
        <v>#DIV/0!</v>
      </c>
      <c r="BH46" s="87" t="e">
        <f t="shared" si="142"/>
        <v>#DIV/0!</v>
      </c>
      <c r="BI46" s="87" t="e">
        <f t="shared" si="142"/>
        <v>#DIV/0!</v>
      </c>
      <c r="BJ46" s="87" t="e">
        <f t="shared" si="142"/>
        <v>#DIV/0!</v>
      </c>
      <c r="BK46" s="114" t="s">
        <v>10</v>
      </c>
      <c r="BL46" s="82">
        <f t="shared" ref="BL46:CY46" si="143">AVERAGEIF($E$5:$E$41,$E46,BL$5:BL$41)</f>
        <v>0.60945539701881923</v>
      </c>
      <c r="BM46" s="82">
        <f t="shared" si="143"/>
        <v>0.77070945323257289</v>
      </c>
      <c r="BN46" s="82">
        <f t="shared" si="143"/>
        <v>1</v>
      </c>
      <c r="BO46" s="82">
        <f t="shared" si="143"/>
        <v>1.4473999923170009</v>
      </c>
      <c r="BP46" s="82">
        <f t="shared" si="143"/>
        <v>1.4664189508519525</v>
      </c>
      <c r="BQ46" s="82">
        <f t="shared" si="143"/>
        <v>1.9840551316707296</v>
      </c>
      <c r="BR46" s="82">
        <f t="shared" si="143"/>
        <v>2.7074376171674466</v>
      </c>
      <c r="BS46" s="82">
        <f t="shared" si="143"/>
        <v>4.3447145105310216</v>
      </c>
      <c r="BT46" s="82">
        <f t="shared" si="143"/>
        <v>5.6410698016546741</v>
      </c>
      <c r="BU46" s="82">
        <f t="shared" si="143"/>
        <v>8.7033684430700973</v>
      </c>
      <c r="BV46" s="82">
        <f t="shared" si="143"/>
        <v>17.201159641178563</v>
      </c>
      <c r="BW46" s="82" t="e">
        <f t="shared" si="143"/>
        <v>#DIV/0!</v>
      </c>
      <c r="BX46" s="82" t="e">
        <f t="shared" si="143"/>
        <v>#DIV/0!</v>
      </c>
      <c r="BY46" s="82" t="e">
        <f t="shared" si="143"/>
        <v>#DIV/0!</v>
      </c>
      <c r="BZ46" s="82" t="e">
        <f t="shared" si="143"/>
        <v>#DIV/0!</v>
      </c>
      <c r="CA46" s="82" t="e">
        <f t="shared" si="143"/>
        <v>#DIV/0!</v>
      </c>
      <c r="CB46" s="82" t="e">
        <f t="shared" si="143"/>
        <v>#DIV/0!</v>
      </c>
      <c r="CC46" s="82" t="e">
        <f t="shared" si="143"/>
        <v>#DIV/0!</v>
      </c>
      <c r="CD46" s="82" t="e">
        <f t="shared" si="143"/>
        <v>#DIV/0!</v>
      </c>
      <c r="CE46" s="82" t="e">
        <f t="shared" si="143"/>
        <v>#DIV/0!</v>
      </c>
      <c r="CF46" s="82" t="e">
        <f t="shared" si="143"/>
        <v>#DIV/0!</v>
      </c>
      <c r="CG46" s="82" t="e">
        <f t="shared" si="143"/>
        <v>#DIV/0!</v>
      </c>
      <c r="CH46" s="82" t="e">
        <f t="shared" si="143"/>
        <v>#DIV/0!</v>
      </c>
      <c r="CI46" s="82" t="e">
        <f t="shared" si="143"/>
        <v>#DIV/0!</v>
      </c>
      <c r="CJ46" s="82" t="e">
        <f t="shared" si="143"/>
        <v>#DIV/0!</v>
      </c>
      <c r="CK46" s="82" t="e">
        <f t="shared" si="143"/>
        <v>#DIV/0!</v>
      </c>
      <c r="CL46" s="82" t="e">
        <f t="shared" si="143"/>
        <v>#DIV/0!</v>
      </c>
      <c r="CM46" s="82" t="e">
        <f t="shared" si="143"/>
        <v>#DIV/0!</v>
      </c>
      <c r="CN46" s="82" t="e">
        <f t="shared" si="143"/>
        <v>#DIV/0!</v>
      </c>
      <c r="CO46" s="82" t="e">
        <f t="shared" si="143"/>
        <v>#DIV/0!</v>
      </c>
      <c r="CP46" s="82" t="e">
        <f t="shared" si="143"/>
        <v>#DIV/0!</v>
      </c>
      <c r="CQ46" s="82" t="e">
        <f t="shared" si="143"/>
        <v>#DIV/0!</v>
      </c>
      <c r="CR46" s="82" t="e">
        <f t="shared" si="143"/>
        <v>#DIV/0!</v>
      </c>
      <c r="CS46" s="82" t="e">
        <f t="shared" si="143"/>
        <v>#DIV/0!</v>
      </c>
      <c r="CT46" s="82" t="e">
        <f t="shared" si="143"/>
        <v>#DIV/0!</v>
      </c>
      <c r="CU46" s="82" t="e">
        <f t="shared" si="143"/>
        <v>#DIV/0!</v>
      </c>
      <c r="CV46" s="82" t="e">
        <f t="shared" si="143"/>
        <v>#DIV/0!</v>
      </c>
      <c r="CW46" s="82" t="e">
        <f t="shared" si="143"/>
        <v>#DIV/0!</v>
      </c>
      <c r="CX46" s="82" t="e">
        <f t="shared" si="143"/>
        <v>#DIV/0!</v>
      </c>
      <c r="CY46" s="82" t="e">
        <f t="shared" si="143"/>
        <v>#DIV/0!</v>
      </c>
    </row>
    <row r="47" spans="1:111" ht="14.25" customHeight="1">
      <c r="A47" s="129"/>
      <c r="E47" s="104"/>
      <c r="H47" s="104"/>
      <c r="I47" s="120">
        <f t="array" ref="I47">_xlfn.STDEV.P(IF($E$5:$E$41=$E46,I$5:I$41))</f>
        <v>1.6355427233796116</v>
      </c>
      <c r="J47" s="120"/>
      <c r="K47" s="120"/>
      <c r="L47" s="120"/>
      <c r="M47" s="120">
        <f t="array" ref="M47">_xlfn.STDEV.P(IF($E$5:$E$41=$E46,M$5:M$41))</f>
        <v>14.140949605210643</v>
      </c>
      <c r="N47" s="120"/>
      <c r="O47" s="120">
        <f t="array" ref="O47">_xlfn.STDEV.P(IF($E$5:$E$41=$E46,O$5:O$41))</f>
        <v>0</v>
      </c>
      <c r="P47" s="120">
        <f t="array" ref="P47">_xlfn.STDEV.P(IF($E$5:$E$41=$E46,P$5:P$41))</f>
        <v>4.713649868403448</v>
      </c>
      <c r="Q47" s="120">
        <f t="array" ref="Q47">_xlfn.STDEV.P(IF($E$5:$E$41=$E46,Q$5:Q$41))</f>
        <v>0</v>
      </c>
      <c r="R47" s="188">
        <f t="array" ref="R47">_xlfn.STDEV.P(IF($E$5:$E$41=$E46,R$5:R$41))</f>
        <v>0</v>
      </c>
      <c r="S47" s="120" t="e">
        <f t="array" ref="S47">_xlfn.STDEV.P(IF($E$5:$E$41=$E46,S$5:S$41))</f>
        <v>#DIV/0!</v>
      </c>
      <c r="T47" s="120">
        <f t="array" ref="T47">_xlfn.STDEV.P(IF($E$5:$E$41=$E46,T$5:T$41))</f>
        <v>0</v>
      </c>
      <c r="U47" s="120">
        <f t="array" ref="U47">_xlfn.STDEV.P(IF($E$5:$E$41=$E46,U$5:U$41))</f>
        <v>0</v>
      </c>
      <c r="V47" s="81" t="s">
        <v>12</v>
      </c>
      <c r="W47" s="90">
        <f t="array" ref="W47">_xlfn.STDEV.P(IF($E$5:$E$41=$E46,W$5:W$41))</f>
        <v>39.478925661526048</v>
      </c>
      <c r="X47" s="90">
        <f t="array" ref="X47">_xlfn.STDEV.P(IF($E$5:$E$41=$E46,X$5:X$41))</f>
        <v>25.741685170291337</v>
      </c>
      <c r="Y47" s="90">
        <f t="array" ref="Y47">_xlfn.STDEV.P(IF($E$5:$E$41=$E46,Y$5:Y$41))</f>
        <v>14.140949605210514</v>
      </c>
      <c r="Z47" s="90">
        <f t="array" ref="Z47">_xlfn.STDEV.P(IF($E$5:$E$41=$E46,Z$5:Z$41))</f>
        <v>39.894728947614077</v>
      </c>
      <c r="AA47" s="90">
        <f t="array" ref="AA47">_xlfn.STDEV.P(IF($E$5:$E$41=$E46,AA$5:AA$41))</f>
        <v>36.437122067984433</v>
      </c>
      <c r="AB47" s="90">
        <f t="array" ref="AB47">_xlfn.STDEV.P(IF($E$5:$E$41=$E46,AB$5:AB$41))</f>
        <v>51.672316241541871</v>
      </c>
      <c r="AC47" s="90">
        <f t="array" ref="AC47">_xlfn.STDEV.P(IF($E$5:$E$41=$E46,AC$5:AC$41))</f>
        <v>116.54411353148643</v>
      </c>
      <c r="AD47" s="90">
        <f t="array" ref="AD47">_xlfn.STDEV.P(IF($E$5:$E$41=$E46,AD$5:AD$41))</f>
        <v>182.6245034274061</v>
      </c>
      <c r="AE47" s="90">
        <f t="array" ref="AE47">_xlfn.STDEV.P(IF($E$5:$E$41=$E46,AE$5:AE$41))</f>
        <v>280.48914055689289</v>
      </c>
      <c r="AF47" s="90">
        <f t="array" ref="AF47">_xlfn.STDEV.P(IF($E$5:$E$41=$E46,AF$5:AF$41))</f>
        <v>312.87069537064087</v>
      </c>
      <c r="AG47" s="90">
        <f t="array" ref="AG47">_xlfn.STDEV.P(IF($E$5:$E$41=$E46,AG$5:AG$41))</f>
        <v>674.18329379923364</v>
      </c>
      <c r="AH47" s="90">
        <f t="array" ref="AH47">_xlfn.STDEV.P(IF($E$5:$E$41=$E46,AH$5:AH$41))</f>
        <v>0</v>
      </c>
      <c r="AI47" s="90">
        <f t="array" ref="AI47">_xlfn.STDEV.P(IF($E$5:$E$41=$E46,AI$5:AI$41))</f>
        <v>0</v>
      </c>
      <c r="AJ47" s="90">
        <f t="array" ref="AJ47">_xlfn.STDEV.P(IF($E$5:$E$41=$E46,AJ$5:AJ$41))</f>
        <v>0</v>
      </c>
      <c r="AK47" s="90">
        <f t="array" ref="AK47">_xlfn.STDEV.P(IF($E$5:$E$41=$E46,AK$5:AK$41))</f>
        <v>0</v>
      </c>
      <c r="AL47" s="90">
        <f t="array" ref="AL47">_xlfn.STDEV.P(IF($E$5:$E$41=$E46,AL$5:AL$41))</f>
        <v>0</v>
      </c>
      <c r="AM47" s="90">
        <f t="array" ref="AM47">_xlfn.STDEV.P(IF($E$5:$E$41=$E46,AM$5:AM$41))</f>
        <v>0</v>
      </c>
      <c r="AN47" s="90">
        <f t="array" ref="AN47">_xlfn.STDEV.P(IF($E$5:$E$41=$E46,AN$5:AN$41))</f>
        <v>0</v>
      </c>
      <c r="AO47" s="90">
        <f t="array" ref="AO47">_xlfn.STDEV.P(IF($E$5:$E$41=$E46,AO$5:AO$41))</f>
        <v>0</v>
      </c>
      <c r="AP47" s="90">
        <f t="array" ref="AP47">_xlfn.STDEV.P(IF($E$5:$E$41=$E46,AP$5:AP$41))</f>
        <v>0</v>
      </c>
      <c r="AQ47" s="90">
        <f t="array" ref="AQ47">_xlfn.STDEV.P(IF($E$5:$E$41=$E46,AQ$5:AQ$41))</f>
        <v>0</v>
      </c>
      <c r="AR47" s="90">
        <f t="array" ref="AR47">_xlfn.STDEV.P(IF($E$5:$E$41=$E46,AR$5:AR$41))</f>
        <v>0</v>
      </c>
      <c r="AS47" s="90">
        <f t="array" ref="AS47">_xlfn.STDEV.P(IF($E$5:$E$41=$E46,AS$5:AS$41))</f>
        <v>0</v>
      </c>
      <c r="AT47" s="90">
        <f t="array" ref="AT47">_xlfn.STDEV.P(IF($E$5:$E$41=$E46,AT$5:AT$41))</f>
        <v>0</v>
      </c>
      <c r="AU47" s="90">
        <f t="array" ref="AU47">_xlfn.STDEV.P(IF($E$5:$E$41=$E46,AU$5:AU$41))</f>
        <v>0</v>
      </c>
      <c r="AV47" s="90">
        <f t="array" ref="AV47">_xlfn.STDEV.P(IF($E$5:$E$41=$E46,AV$5:AV$41))</f>
        <v>0</v>
      </c>
      <c r="AW47" s="90">
        <f t="array" ref="AW47">_xlfn.STDEV.P(IF($E$5:$E$41=$E46,AW$5:AW$41))</f>
        <v>0</v>
      </c>
      <c r="AX47" s="90">
        <f t="array" ref="AX47">_xlfn.STDEV.P(IF($E$5:$E$41=$E46,AX$5:AX$41))</f>
        <v>0</v>
      </c>
      <c r="AY47" s="90">
        <f t="array" ref="AY47">_xlfn.STDEV.P(IF($E$5:$E$41=$E46,AY$5:AY$41))</f>
        <v>0</v>
      </c>
      <c r="AZ47" s="90">
        <f t="array" ref="AZ47">_xlfn.STDEV.P(IF($E$5:$E$41=$E46,AZ$5:AZ$41))</f>
        <v>0</v>
      </c>
      <c r="BA47" s="90">
        <f t="array" ref="BA47">_xlfn.STDEV.P(IF($E$5:$E$41=$E46,BA$5:BA$41))</f>
        <v>0</v>
      </c>
      <c r="BB47" s="90">
        <f t="array" ref="BB47">_xlfn.STDEV.P(IF($E$5:$E$41=$E46,BB$5:BB$41))</f>
        <v>0</v>
      </c>
      <c r="BC47" s="90">
        <f t="array" ref="BC47">_xlfn.STDEV.P(IF($E$5:$E$41=$E46,BC$5:BC$41))</f>
        <v>0</v>
      </c>
      <c r="BD47" s="90">
        <f t="array" ref="BD47">_xlfn.STDEV.P(IF($E$5:$E$41=$E46,BD$5:BD$41))</f>
        <v>0</v>
      </c>
      <c r="BE47" s="90">
        <f t="array" ref="BE47">_xlfn.STDEV.P(IF($E$5:$E$41=$E46,BE$5:BE$41))</f>
        <v>0</v>
      </c>
      <c r="BF47" s="90">
        <f t="array" ref="BF47">_xlfn.STDEV.P(IF($E$5:$E$41=$E46,BF$5:BF$41))</f>
        <v>0</v>
      </c>
      <c r="BG47" s="90">
        <f t="array" ref="BG47">_xlfn.STDEV.P(IF($E$5:$E$41=$E46,BG$5:BG$41))</f>
        <v>0</v>
      </c>
      <c r="BH47" s="90">
        <f t="array" ref="BH47">_xlfn.STDEV.P(IF($E$5:$E$41=$E46,BH$5:BH$41))</f>
        <v>0</v>
      </c>
      <c r="BI47" s="90">
        <f t="array" ref="BI47">_xlfn.STDEV.P(IF($E$5:$E$41=$E46,BI$5:BI$41))</f>
        <v>0</v>
      </c>
      <c r="BJ47" s="90">
        <f t="array" ref="BJ47">_xlfn.STDEV.P(IF($E$5:$E$41=$E46,BJ$5:BJ$41))</f>
        <v>0</v>
      </c>
      <c r="BK47" s="115" t="s">
        <v>12</v>
      </c>
      <c r="BL47" s="83">
        <f t="array" ref="BL47">_xlfn.STDEV.P(IF($E$5:$E$41=$E46,BL$5:BL$41))</f>
        <v>0.12571831560168387</v>
      </c>
      <c r="BM47" s="83">
        <f t="array" ref="BM47">_xlfn.STDEV.P(IF($E$5:$E$41=$E46,BM$5:BM$41))</f>
        <v>0.17670516784822188</v>
      </c>
      <c r="BN47" s="83">
        <f t="array" ref="BN47">_xlfn.STDEV.P(IF($E$5:$E$41=$E46,BN$5:BN$41))</f>
        <v>1.5700924586837752E-16</v>
      </c>
      <c r="BO47" s="83">
        <f t="array" ref="BO47">_xlfn.STDEV.P(IF($E$5:$E$41=$E46,BO$5:BO$41))</f>
        <v>0.30409429511821806</v>
      </c>
      <c r="BP47" s="83">
        <f t="array" ref="BP47">_xlfn.STDEV.P(IF($E$5:$E$41=$E46,BP$5:BP$41))</f>
        <v>0.35604377193592274</v>
      </c>
      <c r="BQ47" s="83">
        <f t="array" ref="BQ47">_xlfn.STDEV.P(IF($E$5:$E$41=$E46,BQ$5:BQ$41))</f>
        <v>0.47939704433058844</v>
      </c>
      <c r="BR47" s="83">
        <f t="array" ref="BR47">_xlfn.STDEV.P(IF($E$5:$E$41=$E46,BR$5:BR$41))</f>
        <v>0.9192897513107311</v>
      </c>
      <c r="BS47" s="83">
        <f t="array" ref="BS47">_xlfn.STDEV.P(IF($E$5:$E$41=$E46,BS$5:BS$41))</f>
        <v>1.3481732364942596</v>
      </c>
      <c r="BT47" s="83">
        <f t="array" ref="BT47">_xlfn.STDEV.P(IF($E$5:$E$41=$E46,BT$5:BT$41))</f>
        <v>2.01144943200147</v>
      </c>
      <c r="BU47" s="83">
        <f t="array" ref="BU47">_xlfn.STDEV.P(IF($E$5:$E$41=$E46,BU$5:BU$41))</f>
        <v>2.0879390866022014</v>
      </c>
      <c r="BV47" s="83">
        <f t="array" ref="BV47">_xlfn.STDEV.P(IF($E$5:$E$41=$E46,BV$5:BV$41))</f>
        <v>4.2506807769742245</v>
      </c>
      <c r="BW47" s="83" t="e">
        <f t="array" ref="BW47">_xlfn.STDEV.P(IF($E$5:$E$41=$E46,BW$5:BW$41))</f>
        <v>#DIV/0!</v>
      </c>
      <c r="BX47" s="83" t="e">
        <f t="array" ref="BX47">_xlfn.STDEV.P(IF($E$5:$E$41=$E46,BX$5:BX$41))</f>
        <v>#DIV/0!</v>
      </c>
      <c r="BY47" s="83" t="e">
        <f t="array" ref="BY47">_xlfn.STDEV.P(IF($E$5:$E$41=$E46,BY$5:BY$41))</f>
        <v>#DIV/0!</v>
      </c>
      <c r="BZ47" s="83" t="e">
        <f t="array" ref="BZ47">_xlfn.STDEV.P(IF($E$5:$E$41=$E46,BZ$5:BZ$41))</f>
        <v>#DIV/0!</v>
      </c>
      <c r="CA47" s="83" t="e">
        <f t="array" ref="CA47">_xlfn.STDEV.P(IF($E$5:$E$41=$E46,CA$5:CA$41))</f>
        <v>#DIV/0!</v>
      </c>
      <c r="CB47" s="83" t="e">
        <f t="array" ref="CB47">_xlfn.STDEV.P(IF($E$5:$E$41=$E46,CB$5:CB$41))</f>
        <v>#DIV/0!</v>
      </c>
      <c r="CC47" s="83" t="e">
        <f t="array" ref="CC47">_xlfn.STDEV.P(IF($E$5:$E$41=$E46,CC$5:CC$41))</f>
        <v>#DIV/0!</v>
      </c>
      <c r="CD47" s="83" t="e">
        <f t="array" ref="CD47">_xlfn.STDEV.P(IF($E$5:$E$41=$E46,CD$5:CD$41))</f>
        <v>#DIV/0!</v>
      </c>
      <c r="CE47" s="83" t="e">
        <f t="array" ref="CE47">_xlfn.STDEV.P(IF($E$5:$E$41=$E46,CE$5:CE$41))</f>
        <v>#DIV/0!</v>
      </c>
      <c r="CF47" s="83" t="e">
        <f t="array" ref="CF47">_xlfn.STDEV.P(IF($E$5:$E$41=$E46,CF$5:CF$41))</f>
        <v>#DIV/0!</v>
      </c>
      <c r="CG47" s="83" t="e">
        <f t="array" ref="CG47">_xlfn.STDEV.P(IF($E$5:$E$41=$E46,CG$5:CG$41))</f>
        <v>#DIV/0!</v>
      </c>
      <c r="CH47" s="83" t="e">
        <f t="array" ref="CH47">_xlfn.STDEV.P(IF($E$5:$E$41=$E46,CH$5:CH$41))</f>
        <v>#DIV/0!</v>
      </c>
      <c r="CI47" s="83" t="e">
        <f t="array" ref="CI47">_xlfn.STDEV.P(IF($E$5:$E$41=$E46,CI$5:CI$41))</f>
        <v>#DIV/0!</v>
      </c>
      <c r="CJ47" s="83" t="e">
        <f t="array" ref="CJ47">_xlfn.STDEV.P(IF($E$5:$E$41=$E46,CJ$5:CJ$41))</f>
        <v>#DIV/0!</v>
      </c>
      <c r="CK47" s="83" t="e">
        <f t="array" ref="CK47">_xlfn.STDEV.P(IF($E$5:$E$41=$E46,CK$5:CK$41))</f>
        <v>#DIV/0!</v>
      </c>
      <c r="CL47" s="83" t="e">
        <f t="array" ref="CL47">_xlfn.STDEV.P(IF($E$5:$E$41=$E46,CL$5:CL$41))</f>
        <v>#DIV/0!</v>
      </c>
      <c r="CM47" s="83" t="e">
        <f t="array" ref="CM47">_xlfn.STDEV.P(IF($E$5:$E$41=$E46,CM$5:CM$41))</f>
        <v>#DIV/0!</v>
      </c>
      <c r="CN47" s="83" t="e">
        <f t="array" ref="CN47">_xlfn.STDEV.P(IF($E$5:$E$41=$E46,CN$5:CN$41))</f>
        <v>#DIV/0!</v>
      </c>
      <c r="CO47" s="83" t="e">
        <f t="array" ref="CO47">_xlfn.STDEV.P(IF($E$5:$E$41=$E46,CO$5:CO$41))</f>
        <v>#DIV/0!</v>
      </c>
      <c r="CP47" s="83" t="e">
        <f t="array" ref="CP47">_xlfn.STDEV.P(IF($E$5:$E$41=$E46,CP$5:CP$41))</f>
        <v>#DIV/0!</v>
      </c>
      <c r="CQ47" s="83" t="e">
        <f t="array" ref="CQ47">_xlfn.STDEV.P(IF($E$5:$E$41=$E46,CQ$5:CQ$41))</f>
        <v>#DIV/0!</v>
      </c>
      <c r="CR47" s="83" t="e">
        <f t="array" ref="CR47">_xlfn.STDEV.P(IF($E$5:$E$41=$E46,CR$5:CR$41))</f>
        <v>#DIV/0!</v>
      </c>
      <c r="CS47" s="83" t="e">
        <f t="array" ref="CS47">_xlfn.STDEV.P(IF($E$5:$E$41=$E46,CS$5:CS$41))</f>
        <v>#DIV/0!</v>
      </c>
      <c r="CT47" s="83" t="e">
        <f t="array" ref="CT47">_xlfn.STDEV.P(IF($E$5:$E$41=$E46,CT$5:CT$41))</f>
        <v>#DIV/0!</v>
      </c>
      <c r="CU47" s="83" t="e">
        <f t="array" ref="CU47">_xlfn.STDEV.P(IF($E$5:$E$41=$E46,CU$5:CU$41))</f>
        <v>#DIV/0!</v>
      </c>
      <c r="CV47" s="83" t="e">
        <f t="array" ref="CV47">_xlfn.STDEV.P(IF($E$5:$E$41=$E46,CV$5:CV$41))</f>
        <v>#DIV/0!</v>
      </c>
      <c r="CW47" s="83" t="e">
        <f t="array" ref="CW47">_xlfn.STDEV.P(IF($E$5:$E$41=$E46,CW$5:CW$41))</f>
        <v>#DIV/0!</v>
      </c>
      <c r="CX47" s="83" t="e">
        <f t="array" ref="CX47">_xlfn.STDEV.P(IF($E$5:$E$41=$E46,CX$5:CX$41))</f>
        <v>#DIV/0!</v>
      </c>
      <c r="CY47" s="83" t="e">
        <f t="array" ref="CY47">_xlfn.STDEV.P(IF($E$5:$E$41=$E46,CY$5:CY$41))</f>
        <v>#DIV/0!</v>
      </c>
    </row>
    <row r="48" spans="1:111" ht="15">
      <c r="A48" s="129"/>
      <c r="E48" s="58"/>
      <c r="H48" s="58"/>
      <c r="J48" s="63"/>
      <c r="K48" s="63"/>
      <c r="L48" s="63"/>
      <c r="N48" s="63"/>
      <c r="Q48" s="63"/>
      <c r="R48" s="187"/>
      <c r="S48" s="63"/>
      <c r="T48" s="63"/>
      <c r="U48" s="63"/>
      <c r="CZ48" s="213" t="e">
        <f>#REF!</f>
        <v>#REF!</v>
      </c>
      <c r="DA48" s="213" t="e">
        <f>#REF!</f>
        <v>#REF!</v>
      </c>
      <c r="DB48" s="213" t="e">
        <f>#REF!</f>
        <v>#REF!</v>
      </c>
      <c r="DC48" s="213" t="e">
        <f>#REF!</f>
        <v>#REF!</v>
      </c>
      <c r="DD48" s="213" t="e">
        <f>#REF!</f>
        <v>#REF!</v>
      </c>
      <c r="DE48" s="213" t="e">
        <f>#REF!</f>
        <v>#REF!</v>
      </c>
      <c r="DF48" s="213" t="e">
        <f>#REF!</f>
        <v>#REF!</v>
      </c>
      <c r="DG48" s="213" t="e">
        <f>#REF!</f>
        <v>#REF!</v>
      </c>
    </row>
    <row r="49" spans="1:111" ht="14.25" customHeight="1">
      <c r="A49" s="129"/>
      <c r="E49" s="134" t="str">
        <f>'RAD_DOSE Groups'!C7</f>
        <v>CP-PTX Control</v>
      </c>
      <c r="H49" s="134" t="str">
        <f>E49</f>
        <v>CP-PTX Control</v>
      </c>
      <c r="I49" s="120">
        <f>AVERAGEIF($E$5:$E$41,$E49,I$5:I$41)</f>
        <v>25.275000000000002</v>
      </c>
      <c r="J49" s="120"/>
      <c r="K49" s="120"/>
      <c r="L49" s="120"/>
      <c r="M49" s="120">
        <f>AVERAGEIF($E$5:$E$41,$E49,M$5:M$41)</f>
        <v>116.37769</v>
      </c>
      <c r="N49" s="120"/>
      <c r="O49" s="120">
        <f t="shared" ref="O49:U49" si="144">AVERAGEIF($E$5:$E$41,$E49,O$5:O$41)</f>
        <v>0</v>
      </c>
      <c r="P49" s="120">
        <f t="shared" si="144"/>
        <v>38.792563333333334</v>
      </c>
      <c r="Q49" s="120">
        <f t="shared" si="144"/>
        <v>0</v>
      </c>
      <c r="R49" s="188">
        <f t="shared" si="144"/>
        <v>0</v>
      </c>
      <c r="S49" s="120" t="e">
        <f t="shared" si="144"/>
        <v>#DIV/0!</v>
      </c>
      <c r="T49" s="120">
        <f t="shared" si="144"/>
        <v>0</v>
      </c>
      <c r="U49" s="120" t="e">
        <f t="shared" si="144"/>
        <v>#DIV/0!</v>
      </c>
      <c r="V49" s="81" t="s">
        <v>10</v>
      </c>
      <c r="W49" s="87">
        <f t="shared" ref="W49:BJ49" si="145">AVERAGEIF($E$5:$E$41,$E49,W$5:W$41)</f>
        <v>58.60699000000001</v>
      </c>
      <c r="X49" s="87">
        <f t="shared" si="145"/>
        <v>105.00594000000001</v>
      </c>
      <c r="Y49" s="87">
        <f t="shared" si="145"/>
        <v>116.37769</v>
      </c>
      <c r="Z49" s="87">
        <f t="shared" si="145"/>
        <v>124.60526000000002</v>
      </c>
      <c r="AA49" s="87">
        <f t="shared" si="145"/>
        <v>143.18928000000002</v>
      </c>
      <c r="AB49" s="87">
        <f t="shared" si="145"/>
        <v>145.95308</v>
      </c>
      <c r="AC49" s="87">
        <f t="shared" si="145"/>
        <v>202.52843000000001</v>
      </c>
      <c r="AD49" s="87">
        <f t="shared" si="145"/>
        <v>325.1609400000001</v>
      </c>
      <c r="AE49" s="87">
        <f t="shared" si="145"/>
        <v>538.07792999999992</v>
      </c>
      <c r="AF49" s="87">
        <f t="shared" si="145"/>
        <v>793.18290999999999</v>
      </c>
      <c r="AG49" s="87">
        <f t="shared" si="145"/>
        <v>1539.27943</v>
      </c>
      <c r="AH49" s="87">
        <f t="shared" si="145"/>
        <v>1081.9785599999998</v>
      </c>
      <c r="AI49" s="87">
        <f t="shared" si="145"/>
        <v>1287.27872</v>
      </c>
      <c r="AJ49" s="87">
        <f t="shared" si="145"/>
        <v>1337.4036000000001</v>
      </c>
      <c r="AK49" s="87">
        <f t="shared" si="145"/>
        <v>1783.6000000000001</v>
      </c>
      <c r="AL49" s="87" t="e">
        <f t="shared" si="145"/>
        <v>#DIV/0!</v>
      </c>
      <c r="AM49" s="87" t="e">
        <f t="shared" si="145"/>
        <v>#DIV/0!</v>
      </c>
      <c r="AN49" s="87" t="e">
        <f t="shared" si="145"/>
        <v>#DIV/0!</v>
      </c>
      <c r="AO49" s="87" t="e">
        <f t="shared" si="145"/>
        <v>#DIV/0!</v>
      </c>
      <c r="AP49" s="87" t="e">
        <f t="shared" si="145"/>
        <v>#DIV/0!</v>
      </c>
      <c r="AQ49" s="87" t="e">
        <f t="shared" si="145"/>
        <v>#DIV/0!</v>
      </c>
      <c r="AR49" s="87" t="e">
        <f t="shared" si="145"/>
        <v>#DIV/0!</v>
      </c>
      <c r="AS49" s="87" t="e">
        <f t="shared" si="145"/>
        <v>#DIV/0!</v>
      </c>
      <c r="AT49" s="87" t="e">
        <f t="shared" si="145"/>
        <v>#DIV/0!</v>
      </c>
      <c r="AU49" s="87" t="e">
        <f t="shared" si="145"/>
        <v>#DIV/0!</v>
      </c>
      <c r="AV49" s="87" t="e">
        <f t="shared" si="145"/>
        <v>#DIV/0!</v>
      </c>
      <c r="AW49" s="87" t="e">
        <f t="shared" si="145"/>
        <v>#DIV/0!</v>
      </c>
      <c r="AX49" s="87" t="e">
        <f t="shared" si="145"/>
        <v>#DIV/0!</v>
      </c>
      <c r="AY49" s="87" t="e">
        <f t="shared" si="145"/>
        <v>#DIV/0!</v>
      </c>
      <c r="AZ49" s="87" t="e">
        <f t="shared" si="145"/>
        <v>#DIV/0!</v>
      </c>
      <c r="BA49" s="87" t="e">
        <f t="shared" si="145"/>
        <v>#DIV/0!</v>
      </c>
      <c r="BB49" s="87" t="e">
        <f t="shared" si="145"/>
        <v>#DIV/0!</v>
      </c>
      <c r="BC49" s="87" t="e">
        <f t="shared" si="145"/>
        <v>#DIV/0!</v>
      </c>
      <c r="BD49" s="87" t="e">
        <f t="shared" si="145"/>
        <v>#DIV/0!</v>
      </c>
      <c r="BE49" s="87" t="e">
        <f t="shared" si="145"/>
        <v>#DIV/0!</v>
      </c>
      <c r="BF49" s="87" t="e">
        <f t="shared" si="145"/>
        <v>#DIV/0!</v>
      </c>
      <c r="BG49" s="87" t="e">
        <f t="shared" si="145"/>
        <v>#DIV/0!</v>
      </c>
      <c r="BH49" s="87" t="e">
        <f t="shared" si="145"/>
        <v>#DIV/0!</v>
      </c>
      <c r="BI49" s="87" t="e">
        <f t="shared" si="145"/>
        <v>#DIV/0!</v>
      </c>
      <c r="BJ49" s="87" t="e">
        <f t="shared" si="145"/>
        <v>#DIV/0!</v>
      </c>
      <c r="BK49" s="114" t="s">
        <v>10</v>
      </c>
      <c r="BL49" s="82">
        <f t="shared" ref="BL49:CY49" si="146">AVERAGEIF($E$5:$E$41,$E49,BL$5:BL$41)</f>
        <v>0.50510527156095653</v>
      </c>
      <c r="BM49" s="82">
        <f t="shared" si="146"/>
        <v>0.89913235420471249</v>
      </c>
      <c r="BN49" s="82">
        <f t="shared" si="146"/>
        <v>1</v>
      </c>
      <c r="BO49" s="82">
        <f t="shared" si="146"/>
        <v>1.0878718555402425</v>
      </c>
      <c r="BP49" s="82">
        <f t="shared" si="146"/>
        <v>1.2344316806454059</v>
      </c>
      <c r="BQ49" s="82">
        <f t="shared" si="146"/>
        <v>1.2133954661650654</v>
      </c>
      <c r="BR49" s="82">
        <f t="shared" si="146"/>
        <v>1.6746486921394586</v>
      </c>
      <c r="BS49" s="82">
        <f t="shared" si="146"/>
        <v>2.7280498527241464</v>
      </c>
      <c r="BT49" s="82">
        <f t="shared" si="146"/>
        <v>4.4402645280157413</v>
      </c>
      <c r="BU49" s="82">
        <f t="shared" si="146"/>
        <v>6.5825192558046925</v>
      </c>
      <c r="BV49" s="82">
        <f t="shared" si="146"/>
        <v>12.99723855681728</v>
      </c>
      <c r="BW49" s="82">
        <f t="shared" si="146"/>
        <v>12.041249999999998</v>
      </c>
      <c r="BX49" s="82">
        <f t="shared" si="146"/>
        <v>14.32601851851852</v>
      </c>
      <c r="BY49" s="82">
        <f t="shared" si="146"/>
        <v>14.883854166666669</v>
      </c>
      <c r="BZ49" s="82">
        <f t="shared" si="146"/>
        <v>19.849537037037038</v>
      </c>
      <c r="CA49" s="82" t="e">
        <f t="shared" si="146"/>
        <v>#DIV/0!</v>
      </c>
      <c r="CB49" s="82" t="e">
        <f t="shared" si="146"/>
        <v>#DIV/0!</v>
      </c>
      <c r="CC49" s="82" t="e">
        <f t="shared" si="146"/>
        <v>#DIV/0!</v>
      </c>
      <c r="CD49" s="82" t="e">
        <f t="shared" si="146"/>
        <v>#DIV/0!</v>
      </c>
      <c r="CE49" s="82" t="e">
        <f t="shared" si="146"/>
        <v>#DIV/0!</v>
      </c>
      <c r="CF49" s="82" t="e">
        <f t="shared" si="146"/>
        <v>#DIV/0!</v>
      </c>
      <c r="CG49" s="82" t="e">
        <f t="shared" si="146"/>
        <v>#DIV/0!</v>
      </c>
      <c r="CH49" s="82" t="e">
        <f t="shared" si="146"/>
        <v>#DIV/0!</v>
      </c>
      <c r="CI49" s="82" t="e">
        <f t="shared" si="146"/>
        <v>#DIV/0!</v>
      </c>
      <c r="CJ49" s="82" t="e">
        <f t="shared" si="146"/>
        <v>#DIV/0!</v>
      </c>
      <c r="CK49" s="82" t="e">
        <f t="shared" si="146"/>
        <v>#DIV/0!</v>
      </c>
      <c r="CL49" s="82" t="e">
        <f t="shared" si="146"/>
        <v>#DIV/0!</v>
      </c>
      <c r="CM49" s="82" t="e">
        <f t="shared" si="146"/>
        <v>#DIV/0!</v>
      </c>
      <c r="CN49" s="82" t="e">
        <f t="shared" si="146"/>
        <v>#DIV/0!</v>
      </c>
      <c r="CO49" s="82" t="e">
        <f t="shared" si="146"/>
        <v>#DIV/0!</v>
      </c>
      <c r="CP49" s="82" t="e">
        <f t="shared" si="146"/>
        <v>#DIV/0!</v>
      </c>
      <c r="CQ49" s="82" t="e">
        <f t="shared" si="146"/>
        <v>#DIV/0!</v>
      </c>
      <c r="CR49" s="82" t="e">
        <f t="shared" si="146"/>
        <v>#DIV/0!</v>
      </c>
      <c r="CS49" s="82" t="e">
        <f t="shared" si="146"/>
        <v>#DIV/0!</v>
      </c>
      <c r="CT49" s="82" t="e">
        <f t="shared" si="146"/>
        <v>#DIV/0!</v>
      </c>
      <c r="CU49" s="82" t="e">
        <f t="shared" si="146"/>
        <v>#DIV/0!</v>
      </c>
      <c r="CV49" s="82" t="e">
        <f t="shared" si="146"/>
        <v>#DIV/0!</v>
      </c>
      <c r="CW49" s="82" t="e">
        <f t="shared" si="146"/>
        <v>#DIV/0!</v>
      </c>
      <c r="CX49" s="82" t="e">
        <f t="shared" si="146"/>
        <v>#DIV/0!</v>
      </c>
      <c r="CY49" s="82" t="e">
        <f t="shared" si="146"/>
        <v>#DIV/0!</v>
      </c>
      <c r="CZ49" s="214" t="e">
        <f>#REF!</f>
        <v>#REF!</v>
      </c>
      <c r="DA49" s="214" t="e">
        <f>#REF!</f>
        <v>#REF!</v>
      </c>
      <c r="DB49" s="214" t="e">
        <f>#REF!</f>
        <v>#REF!</v>
      </c>
      <c r="DC49" s="214" t="e">
        <f>#REF!</f>
        <v>#REF!</v>
      </c>
      <c r="DD49" s="214" t="e">
        <f>#REF!</f>
        <v>#REF!</v>
      </c>
      <c r="DE49" s="214" t="e">
        <f>#REF!</f>
        <v>#REF!</v>
      </c>
      <c r="DF49" s="214" t="e">
        <f>#REF!</f>
        <v>#REF!</v>
      </c>
      <c r="DG49" s="195" t="e">
        <f>#REF!</f>
        <v>#REF!</v>
      </c>
    </row>
    <row r="50" spans="1:111" ht="14.25" customHeight="1">
      <c r="A50" s="129"/>
      <c r="E50" s="104"/>
      <c r="H50" s="104"/>
      <c r="I50" s="120">
        <f t="array" ref="I50">_xlfn.STDEV.P(IF($E$5:$E$41=$E49,I$5:I$41))</f>
        <v>0.99843627738579266</v>
      </c>
      <c r="J50" s="120"/>
      <c r="K50" s="120"/>
      <c r="L50" s="120"/>
      <c r="M50" s="120">
        <f t="array" ref="M50">_xlfn.STDEV.P(IF($E$5:$E$41=$E49,M$5:M$41))</f>
        <v>15.968477263969122</v>
      </c>
      <c r="N50" s="120"/>
      <c r="O50" s="120">
        <f t="array" ref="O50">_xlfn.STDEV.P(IF($E$5:$E$41=$E49,O$5:O$41))</f>
        <v>0</v>
      </c>
      <c r="P50" s="120">
        <f t="array" ref="P50">_xlfn.STDEV.P(IF($E$5:$E$41=$E49,P$5:P$41))</f>
        <v>5.3228257546563809</v>
      </c>
      <c r="Q50" s="120">
        <f t="array" ref="Q50">_xlfn.STDEV.P(IF($E$5:$E$41=$E49,Q$5:Q$41))</f>
        <v>0</v>
      </c>
      <c r="R50" s="188">
        <f t="array" ref="R50">_xlfn.STDEV.P(IF($E$5:$E$41=$E49,R$5:R$41))</f>
        <v>0</v>
      </c>
      <c r="S50" s="120" t="e">
        <f t="array" ref="S50">_xlfn.STDEV.P(IF($E$5:$E$41=$E49,S$5:S$41))</f>
        <v>#DIV/0!</v>
      </c>
      <c r="T50" s="120">
        <f t="array" ref="T50">_xlfn.STDEV.P(IF($E$5:$E$41=$E49,T$5:T$41))</f>
        <v>0</v>
      </c>
      <c r="U50" s="120">
        <f t="array" ref="U50">_xlfn.STDEV.P(IF($E$5:$E$41=$E49,U$5:U$41))</f>
        <v>0</v>
      </c>
      <c r="V50" s="81" t="s">
        <v>12</v>
      </c>
      <c r="W50" s="90">
        <f t="array" ref="W50">_xlfn.STDEV.P(IF($E$5:$E$41=$E49,W$5:W$41))</f>
        <v>11.181893984164741</v>
      </c>
      <c r="X50" s="90">
        <f t="array" ref="X50">_xlfn.STDEV.P(IF($E$5:$E$41=$E49,X$5:X$41))</f>
        <v>24.893405060031448</v>
      </c>
      <c r="Y50" s="90">
        <f t="array" ref="Y50">_xlfn.STDEV.P(IF($E$5:$E$41=$E49,Y$5:Y$41))</f>
        <v>15.968477263969122</v>
      </c>
      <c r="Z50" s="90">
        <f t="array" ref="Z50">_xlfn.STDEV.P(IF($E$5:$E$41=$E49,Z$5:Z$41))</f>
        <v>17.163784554334178</v>
      </c>
      <c r="AA50" s="90">
        <f t="array" ref="AA50">_xlfn.STDEV.P(IF($E$5:$E$41=$E49,AA$5:AA$41))</f>
        <v>16.78364502122216</v>
      </c>
      <c r="AB50" s="90">
        <f t="array" ref="AB50">_xlfn.STDEV.P(IF($E$5:$E$41=$E49,AB$5:AB$41))</f>
        <v>52.081019783241565</v>
      </c>
      <c r="AC50" s="90">
        <f t="array" ref="AC50">_xlfn.STDEV.P(IF($E$5:$E$41=$E49,AC$5:AC$41))</f>
        <v>82.695090422933291</v>
      </c>
      <c r="AD50" s="90">
        <f t="array" ref="AD50">_xlfn.STDEV.P(IF($E$5:$E$41=$E49,AD$5:AD$41))</f>
        <v>102.19095983097705</v>
      </c>
      <c r="AE50" s="90">
        <f t="array" ref="AE50">_xlfn.STDEV.P(IF($E$5:$E$41=$E49,AE$5:AE$41))</f>
        <v>245.68485596985803</v>
      </c>
      <c r="AF50" s="90">
        <f t="array" ref="AF50">_xlfn.STDEV.P(IF($E$5:$E$41=$E49,AF$5:AF$41))</f>
        <v>292.5085798449</v>
      </c>
      <c r="AG50" s="90">
        <f t="array" ref="AG50">_xlfn.STDEV.P(IF($E$5:$E$41=$E49,AG$5:AG$41))</f>
        <v>390.47505152592515</v>
      </c>
      <c r="AH50" s="90">
        <f t="array" ref="AH50">_xlfn.STDEV.P(IF($E$5:$E$41=$E49,AH$5:AH$41))</f>
        <v>468.51045965505267</v>
      </c>
      <c r="AI50" s="90">
        <f t="array" ref="AI50">_xlfn.STDEV.P(IF($E$5:$E$41=$E49,AI$5:AI$41))</f>
        <v>557.40803663555766</v>
      </c>
      <c r="AJ50" s="90">
        <f t="array" ref="AJ50">_xlfn.STDEV.P(IF($E$5:$E$41=$E49,AJ$5:AJ$41))</f>
        <v>579.11274635638097</v>
      </c>
      <c r="AK50" s="90">
        <f t="array" ref="AK50">_xlfn.STDEV.P(IF($E$5:$E$41=$E49,AK$5:AK$41))</f>
        <v>772.3214550949624</v>
      </c>
      <c r="AL50" s="90">
        <f t="array" ref="AL50">_xlfn.STDEV.P(IF($E$5:$E$41=$E49,AL$5:AL$41))</f>
        <v>0</v>
      </c>
      <c r="AM50" s="90">
        <f t="array" ref="AM50">_xlfn.STDEV.P(IF($E$5:$E$41=$E49,AM$5:AM$41))</f>
        <v>0</v>
      </c>
      <c r="AN50" s="90">
        <f t="array" ref="AN50">_xlfn.STDEV.P(IF($E$5:$E$41=$E49,AN$5:AN$41))</f>
        <v>0</v>
      </c>
      <c r="AO50" s="90">
        <f t="array" ref="AO50">_xlfn.STDEV.P(IF($E$5:$E$41=$E49,AO$5:AO$41))</f>
        <v>0</v>
      </c>
      <c r="AP50" s="90">
        <f t="array" ref="AP50">_xlfn.STDEV.P(IF($E$5:$E$41=$E49,AP$5:AP$41))</f>
        <v>0</v>
      </c>
      <c r="AQ50" s="90">
        <f t="array" ref="AQ50">_xlfn.STDEV.P(IF($E$5:$E$41=$E49,AQ$5:AQ$41))</f>
        <v>0</v>
      </c>
      <c r="AR50" s="90">
        <f t="array" ref="AR50">_xlfn.STDEV.P(IF($E$5:$E$41=$E49,AR$5:AR$41))</f>
        <v>0</v>
      </c>
      <c r="AS50" s="90">
        <f t="array" ref="AS50">_xlfn.STDEV.P(IF($E$5:$E$41=$E49,AS$5:AS$41))</f>
        <v>0</v>
      </c>
      <c r="AT50" s="90">
        <f t="array" ref="AT50">_xlfn.STDEV.P(IF($E$5:$E$41=$E49,AT$5:AT$41))</f>
        <v>0</v>
      </c>
      <c r="AU50" s="90">
        <f t="array" ref="AU50">_xlfn.STDEV.P(IF($E$5:$E$41=$E49,AU$5:AU$41))</f>
        <v>0</v>
      </c>
      <c r="AV50" s="90">
        <f t="array" ref="AV50">_xlfn.STDEV.P(IF($E$5:$E$41=$E49,AV$5:AV$41))</f>
        <v>0</v>
      </c>
      <c r="AW50" s="90">
        <f t="array" ref="AW50">_xlfn.STDEV.P(IF($E$5:$E$41=$E49,AW$5:AW$41))</f>
        <v>0</v>
      </c>
      <c r="AX50" s="90">
        <f t="array" ref="AX50">_xlfn.STDEV.P(IF($E$5:$E$41=$E49,AX$5:AX$41))</f>
        <v>0</v>
      </c>
      <c r="AY50" s="90">
        <f t="array" ref="AY50">_xlfn.STDEV.P(IF($E$5:$E$41=$E49,AY$5:AY$41))</f>
        <v>0</v>
      </c>
      <c r="AZ50" s="90">
        <f t="array" ref="AZ50">_xlfn.STDEV.P(IF($E$5:$E$41=$E49,AZ$5:AZ$41))</f>
        <v>0</v>
      </c>
      <c r="BA50" s="90">
        <f t="array" ref="BA50">_xlfn.STDEV.P(IF($E$5:$E$41=$E49,BA$5:BA$41))</f>
        <v>0</v>
      </c>
      <c r="BB50" s="90">
        <f t="array" ref="BB50">_xlfn.STDEV.P(IF($E$5:$E$41=$E49,BB$5:BB$41))</f>
        <v>0</v>
      </c>
      <c r="BC50" s="90">
        <f t="array" ref="BC50">_xlfn.STDEV.P(IF($E$5:$E$41=$E49,BC$5:BC$41))</f>
        <v>0</v>
      </c>
      <c r="BD50" s="90">
        <f t="array" ref="BD50">_xlfn.STDEV.P(IF($E$5:$E$41=$E49,BD$5:BD$41))</f>
        <v>0</v>
      </c>
      <c r="BE50" s="90">
        <f t="array" ref="BE50">_xlfn.STDEV.P(IF($E$5:$E$41=$E49,BE$5:BE$41))</f>
        <v>0</v>
      </c>
      <c r="BF50" s="90">
        <f t="array" ref="BF50">_xlfn.STDEV.P(IF($E$5:$E$41=$E49,BF$5:BF$41))</f>
        <v>0</v>
      </c>
      <c r="BG50" s="90">
        <f t="array" ref="BG50">_xlfn.STDEV.P(IF($E$5:$E$41=$E49,BG$5:BG$41))</f>
        <v>0</v>
      </c>
      <c r="BH50" s="90">
        <f t="array" ref="BH50">_xlfn.STDEV.P(IF($E$5:$E$41=$E49,BH$5:BH$41))</f>
        <v>0</v>
      </c>
      <c r="BI50" s="90">
        <f t="array" ref="BI50">_xlfn.STDEV.P(IF($E$5:$E$41=$E49,BI$5:BI$41))</f>
        <v>0</v>
      </c>
      <c r="BJ50" s="90">
        <f t="array" ref="BJ50">_xlfn.STDEV.P(IF($E$5:$E$41=$E49,BJ$5:BJ$41))</f>
        <v>0</v>
      </c>
      <c r="BK50" s="115" t="s">
        <v>12</v>
      </c>
      <c r="BL50" s="83">
        <f t="array" ref="BL50">_xlfn.STDEV.P(IF($E$5:$E$41=$E49,BL$5:BL$41))</f>
        <v>7.1245345537409036E-2</v>
      </c>
      <c r="BM50" s="83">
        <f t="array" ref="BM50">_xlfn.STDEV.P(IF($E$5:$E$41=$E49,BM$5:BM$41))</f>
        <v>0.14586184623448728</v>
      </c>
      <c r="BN50" s="83">
        <f t="array" ref="BN50">_xlfn.STDEV.P(IF($E$5:$E$41=$E49,BN$5:BN$41))</f>
        <v>0</v>
      </c>
      <c r="BO50" s="83">
        <f t="array" ref="BO50">_xlfn.STDEV.P(IF($E$5:$E$41=$E49,BO$5:BO$41))</f>
        <v>0.17885968386514886</v>
      </c>
      <c r="BP50" s="83">
        <f t="array" ref="BP50">_xlfn.STDEV.P(IF($E$5:$E$41=$E49,BP$5:BP$41))</f>
        <v>3.2451891306593157E-2</v>
      </c>
      <c r="BQ50" s="83">
        <f t="array" ref="BQ50">_xlfn.STDEV.P(IF($E$5:$E$41=$E49,BQ$5:BQ$41))</f>
        <v>0.3166872959007907</v>
      </c>
      <c r="BR50" s="83">
        <f t="array" ref="BR50">_xlfn.STDEV.P(IF($E$5:$E$41=$E49,BR$5:BR$41))</f>
        <v>0.52215083368847803</v>
      </c>
      <c r="BS50" s="83">
        <f t="array" ref="BS50">_xlfn.STDEV.P(IF($E$5:$E$41=$E49,BS$5:BS$41))</f>
        <v>0.63292390855299718</v>
      </c>
      <c r="BT50" s="83">
        <f t="array" ref="BT50">_xlfn.STDEV.P(IF($E$5:$E$41=$E49,BT$5:BT$41))</f>
        <v>1.8190949148343762</v>
      </c>
      <c r="BU50" s="83">
        <f t="array" ref="BU50">_xlfn.STDEV.P(IF($E$5:$E$41=$E49,BU$5:BU$41))</f>
        <v>1.8381921070284986</v>
      </c>
      <c r="BV50" s="83">
        <f t="array" ref="BV50">_xlfn.STDEV.P(IF($E$5:$E$41=$E49,BV$5:BV$41))</f>
        <v>2.0702256185525929</v>
      </c>
      <c r="BW50" s="83">
        <f t="array" ref="BW50">_xlfn.STDEV.P(IF($E$5:$E$41=$E49,BW$5:BW$41))</f>
        <v>0</v>
      </c>
      <c r="BX50" s="83">
        <f t="array" ref="BX50">_xlfn.STDEV.P(IF($E$5:$E$41=$E49,BX$5:BX$41))</f>
        <v>0</v>
      </c>
      <c r="BY50" s="83">
        <f t="array" ref="BY50">_xlfn.STDEV.P(IF($E$5:$E$41=$E49,BY$5:BY$41))</f>
        <v>0</v>
      </c>
      <c r="BZ50" s="83">
        <f t="array" ref="BZ50">_xlfn.STDEV.P(IF($E$5:$E$41=$E49,BZ$5:BZ$41))</f>
        <v>0</v>
      </c>
      <c r="CA50" s="83" t="e">
        <f t="array" ref="CA50">_xlfn.STDEV.P(IF($E$5:$E$41=$E49,CA$5:CA$41))</f>
        <v>#DIV/0!</v>
      </c>
      <c r="CB50" s="83" t="e">
        <f t="array" ref="CB50">_xlfn.STDEV.P(IF($E$5:$E$41=$E49,CB$5:CB$41))</f>
        <v>#DIV/0!</v>
      </c>
      <c r="CC50" s="83" t="e">
        <f t="array" ref="CC50">_xlfn.STDEV.P(IF($E$5:$E$41=$E49,CC$5:CC$41))</f>
        <v>#DIV/0!</v>
      </c>
      <c r="CD50" s="83" t="e">
        <f t="array" ref="CD50">_xlfn.STDEV.P(IF($E$5:$E$41=$E49,CD$5:CD$41))</f>
        <v>#DIV/0!</v>
      </c>
      <c r="CE50" s="83" t="e">
        <f t="array" ref="CE50">_xlfn.STDEV.P(IF($E$5:$E$41=$E49,CE$5:CE$41))</f>
        <v>#DIV/0!</v>
      </c>
      <c r="CF50" s="83" t="e">
        <f t="array" ref="CF50">_xlfn.STDEV.P(IF($E$5:$E$41=$E49,CF$5:CF$41))</f>
        <v>#DIV/0!</v>
      </c>
      <c r="CG50" s="83" t="e">
        <f t="array" ref="CG50">_xlfn.STDEV.P(IF($E$5:$E$41=$E49,CG$5:CG$41))</f>
        <v>#DIV/0!</v>
      </c>
      <c r="CH50" s="83" t="e">
        <f t="array" ref="CH50">_xlfn.STDEV.P(IF($E$5:$E$41=$E49,CH$5:CH$41))</f>
        <v>#DIV/0!</v>
      </c>
      <c r="CI50" s="83" t="e">
        <f t="array" ref="CI50">_xlfn.STDEV.P(IF($E$5:$E$41=$E49,CI$5:CI$41))</f>
        <v>#DIV/0!</v>
      </c>
      <c r="CJ50" s="83" t="e">
        <f t="array" ref="CJ50">_xlfn.STDEV.P(IF($E$5:$E$41=$E49,CJ$5:CJ$41))</f>
        <v>#DIV/0!</v>
      </c>
      <c r="CK50" s="83" t="e">
        <f t="array" ref="CK50">_xlfn.STDEV.P(IF($E$5:$E$41=$E49,CK$5:CK$41))</f>
        <v>#DIV/0!</v>
      </c>
      <c r="CL50" s="83" t="e">
        <f t="array" ref="CL50">_xlfn.STDEV.P(IF($E$5:$E$41=$E49,CL$5:CL$41))</f>
        <v>#DIV/0!</v>
      </c>
      <c r="CM50" s="83" t="e">
        <f t="array" ref="CM50">_xlfn.STDEV.P(IF($E$5:$E$41=$E49,CM$5:CM$41))</f>
        <v>#DIV/0!</v>
      </c>
      <c r="CN50" s="83" t="e">
        <f t="array" ref="CN50">_xlfn.STDEV.P(IF($E$5:$E$41=$E49,CN$5:CN$41))</f>
        <v>#DIV/0!</v>
      </c>
      <c r="CO50" s="83" t="e">
        <f t="array" ref="CO50">_xlfn.STDEV.P(IF($E$5:$E$41=$E49,CO$5:CO$41))</f>
        <v>#DIV/0!</v>
      </c>
      <c r="CP50" s="83" t="e">
        <f t="array" ref="CP50">_xlfn.STDEV.P(IF($E$5:$E$41=$E49,CP$5:CP$41))</f>
        <v>#DIV/0!</v>
      </c>
      <c r="CQ50" s="83" t="e">
        <f t="array" ref="CQ50">_xlfn.STDEV.P(IF($E$5:$E$41=$E49,CQ$5:CQ$41))</f>
        <v>#DIV/0!</v>
      </c>
      <c r="CR50" s="83" t="e">
        <f t="array" ref="CR50">_xlfn.STDEV.P(IF($E$5:$E$41=$E49,CR$5:CR$41))</f>
        <v>#DIV/0!</v>
      </c>
      <c r="CS50" s="83" t="e">
        <f t="array" ref="CS50">_xlfn.STDEV.P(IF($E$5:$E$41=$E49,CS$5:CS$41))</f>
        <v>#DIV/0!</v>
      </c>
      <c r="CT50" s="83" t="e">
        <f t="array" ref="CT50">_xlfn.STDEV.P(IF($E$5:$E$41=$E49,CT$5:CT$41))</f>
        <v>#DIV/0!</v>
      </c>
      <c r="CU50" s="83" t="e">
        <f t="array" ref="CU50">_xlfn.STDEV.P(IF($E$5:$E$41=$E49,CU$5:CU$41))</f>
        <v>#DIV/0!</v>
      </c>
      <c r="CV50" s="83" t="e">
        <f t="array" ref="CV50">_xlfn.STDEV.P(IF($E$5:$E$41=$E49,CV$5:CV$41))</f>
        <v>#DIV/0!</v>
      </c>
      <c r="CW50" s="83" t="e">
        <f t="array" ref="CW50">_xlfn.STDEV.P(IF($E$5:$E$41=$E49,CW$5:CW$41))</f>
        <v>#DIV/0!</v>
      </c>
      <c r="CX50" s="83" t="e">
        <f t="array" ref="CX50">_xlfn.STDEV.P(IF($E$5:$E$41=$E49,CX$5:CX$41))</f>
        <v>#DIV/0!</v>
      </c>
      <c r="CY50" s="83" t="e">
        <f t="array" ref="CY50">_xlfn.STDEV.P(IF($E$5:$E$41=$E49,CY$5:CY$41))</f>
        <v>#DIV/0!</v>
      </c>
      <c r="CZ50" s="214" t="e">
        <f>#REF!</f>
        <v>#REF!</v>
      </c>
      <c r="DA50" s="214" t="e">
        <f>#REF!</f>
        <v>#REF!</v>
      </c>
      <c r="DB50" s="214" t="e">
        <f>#REF!</f>
        <v>#REF!</v>
      </c>
      <c r="DC50" s="214" t="e">
        <f>#REF!</f>
        <v>#REF!</v>
      </c>
      <c r="DD50" s="214" t="e">
        <f>#REF!</f>
        <v>#REF!</v>
      </c>
      <c r="DE50" s="214" t="e">
        <f>#REF!</f>
        <v>#REF!</v>
      </c>
      <c r="DF50" s="214" t="e">
        <f>#REF!</f>
        <v>#REF!</v>
      </c>
      <c r="DG50" s="195" t="e">
        <f>#REF!</f>
        <v>#REF!</v>
      </c>
    </row>
    <row r="51" spans="1:111" ht="15">
      <c r="A51" s="129"/>
      <c r="E51" s="58"/>
      <c r="H51" s="58"/>
      <c r="J51" s="63"/>
      <c r="K51" s="63"/>
      <c r="L51" s="63"/>
      <c r="N51" s="63"/>
      <c r="Q51" s="63"/>
      <c r="R51" s="187"/>
      <c r="S51" s="63"/>
      <c r="T51" s="63"/>
      <c r="U51" s="63"/>
      <c r="CZ51" s="214"/>
      <c r="DA51" s="214"/>
      <c r="DB51" s="214"/>
      <c r="DC51" s="214"/>
      <c r="DD51" s="214"/>
      <c r="DE51" s="214"/>
      <c r="DF51" s="214"/>
    </row>
    <row r="52" spans="1:111" ht="14.25" customHeight="1">
      <c r="A52" s="129"/>
      <c r="E52" s="134" t="str">
        <f>'RAD_DOSE Groups'!C8</f>
        <v>3.3 uCi Control</v>
      </c>
      <c r="H52" s="134" t="str">
        <f>E52</f>
        <v>3.3 uCi Control</v>
      </c>
      <c r="I52" s="120">
        <f>AVERAGEIF($E$5:$E$41,$E52,I$5:I$41)</f>
        <v>24.2</v>
      </c>
      <c r="J52" s="120"/>
      <c r="K52" s="120"/>
      <c r="L52" s="120"/>
      <c r="M52" s="120">
        <f>AVERAGEIF($E$5:$E$41,$E52,M$5:M$41)</f>
        <v>118.41128</v>
      </c>
      <c r="N52" s="120"/>
      <c r="O52" s="120">
        <f t="shared" ref="O52:U52" si="147">AVERAGEIF($E$5:$E$41,$E52,O$5:O$41)</f>
        <v>543.37850666666668</v>
      </c>
      <c r="P52" s="120">
        <f t="shared" si="147"/>
        <v>39.470426666666661</v>
      </c>
      <c r="Q52" s="120">
        <f t="shared" si="147"/>
        <v>281.60000000000002</v>
      </c>
      <c r="R52" s="188">
        <f t="shared" si="147"/>
        <v>2.2986432383645941</v>
      </c>
      <c r="S52" s="120">
        <f t="shared" si="147"/>
        <v>0.61641284292758747</v>
      </c>
      <c r="T52" s="120">
        <f t="shared" si="147"/>
        <v>6.8959297150937804</v>
      </c>
      <c r="U52" s="120" t="e">
        <f t="shared" si="147"/>
        <v>#DIV/0!</v>
      </c>
      <c r="V52" s="81" t="s">
        <v>10</v>
      </c>
      <c r="W52" s="87">
        <f t="shared" ref="W52:BJ52" si="148">AVERAGEIF($E$5:$E$41,$E52,W$5:W$41)</f>
        <v>66.203106666666656</v>
      </c>
      <c r="X52" s="87">
        <f t="shared" si="148"/>
        <v>99.772608000000005</v>
      </c>
      <c r="Y52" s="87">
        <f t="shared" si="148"/>
        <v>118.41128</v>
      </c>
      <c r="Z52" s="87">
        <f t="shared" si="148"/>
        <v>193.14796799999999</v>
      </c>
      <c r="AA52" s="87">
        <f t="shared" si="148"/>
        <v>193.27776000000003</v>
      </c>
      <c r="AB52" s="87">
        <f t="shared" si="148"/>
        <v>216.02838400000002</v>
      </c>
      <c r="AC52" s="87">
        <f t="shared" si="148"/>
        <v>244.631608</v>
      </c>
      <c r="AD52" s="87">
        <f t="shared" si="148"/>
        <v>376.27116799999999</v>
      </c>
      <c r="AE52" s="87">
        <f t="shared" si="148"/>
        <v>492.10376800000006</v>
      </c>
      <c r="AF52" s="87">
        <f t="shared" si="148"/>
        <v>571.86781600000018</v>
      </c>
      <c r="AG52" s="87">
        <f t="shared" si="148"/>
        <v>1145.952704</v>
      </c>
      <c r="AH52" s="87">
        <f t="shared" si="148"/>
        <v>1388.7533920000001</v>
      </c>
      <c r="AI52" s="87">
        <f t="shared" si="148"/>
        <v>1492.7952</v>
      </c>
      <c r="AJ52" s="87">
        <f t="shared" si="148"/>
        <v>1551.5472266666666</v>
      </c>
      <c r="AK52" s="87">
        <f t="shared" si="148"/>
        <v>1069.9228800000003</v>
      </c>
      <c r="AL52" s="87">
        <f t="shared" si="148"/>
        <v>2010.1681600000002</v>
      </c>
      <c r="AM52" s="87" t="e">
        <f t="shared" si="148"/>
        <v>#DIV/0!</v>
      </c>
      <c r="AN52" s="87" t="e">
        <f t="shared" si="148"/>
        <v>#DIV/0!</v>
      </c>
      <c r="AO52" s="87" t="e">
        <f t="shared" si="148"/>
        <v>#DIV/0!</v>
      </c>
      <c r="AP52" s="87" t="e">
        <f t="shared" si="148"/>
        <v>#DIV/0!</v>
      </c>
      <c r="AQ52" s="87" t="e">
        <f t="shared" si="148"/>
        <v>#DIV/0!</v>
      </c>
      <c r="AR52" s="87" t="e">
        <f t="shared" si="148"/>
        <v>#DIV/0!</v>
      </c>
      <c r="AS52" s="87" t="e">
        <f t="shared" si="148"/>
        <v>#DIV/0!</v>
      </c>
      <c r="AT52" s="87" t="e">
        <f t="shared" si="148"/>
        <v>#DIV/0!</v>
      </c>
      <c r="AU52" s="87" t="e">
        <f t="shared" si="148"/>
        <v>#DIV/0!</v>
      </c>
      <c r="AV52" s="87" t="e">
        <f t="shared" si="148"/>
        <v>#DIV/0!</v>
      </c>
      <c r="AW52" s="87" t="e">
        <f t="shared" si="148"/>
        <v>#DIV/0!</v>
      </c>
      <c r="AX52" s="87" t="e">
        <f t="shared" si="148"/>
        <v>#DIV/0!</v>
      </c>
      <c r="AY52" s="87" t="e">
        <f t="shared" si="148"/>
        <v>#DIV/0!</v>
      </c>
      <c r="AZ52" s="87" t="e">
        <f t="shared" si="148"/>
        <v>#DIV/0!</v>
      </c>
      <c r="BA52" s="87" t="e">
        <f t="shared" si="148"/>
        <v>#DIV/0!</v>
      </c>
      <c r="BB52" s="87" t="e">
        <f t="shared" si="148"/>
        <v>#DIV/0!</v>
      </c>
      <c r="BC52" s="87" t="e">
        <f t="shared" si="148"/>
        <v>#DIV/0!</v>
      </c>
      <c r="BD52" s="87" t="e">
        <f t="shared" si="148"/>
        <v>#DIV/0!</v>
      </c>
      <c r="BE52" s="87" t="e">
        <f t="shared" si="148"/>
        <v>#DIV/0!</v>
      </c>
      <c r="BF52" s="87" t="e">
        <f t="shared" si="148"/>
        <v>#DIV/0!</v>
      </c>
      <c r="BG52" s="87" t="e">
        <f t="shared" si="148"/>
        <v>#DIV/0!</v>
      </c>
      <c r="BH52" s="87" t="e">
        <f t="shared" si="148"/>
        <v>#DIV/0!</v>
      </c>
      <c r="BI52" s="87" t="e">
        <f t="shared" si="148"/>
        <v>#DIV/0!</v>
      </c>
      <c r="BJ52" s="87" t="e">
        <f t="shared" si="148"/>
        <v>#DIV/0!</v>
      </c>
      <c r="BK52" s="114" t="s">
        <v>10</v>
      </c>
      <c r="BL52" s="82">
        <f t="shared" ref="BL52:CY52" si="149">AVERAGEIF($E$5:$E$41,$E52,BL$5:BL$41)</f>
        <v>0.6800014711300878</v>
      </c>
      <c r="BM52" s="82">
        <f t="shared" si="149"/>
        <v>0.87803897239263351</v>
      </c>
      <c r="BN52" s="82">
        <f t="shared" si="149"/>
        <v>1</v>
      </c>
      <c r="BO52" s="82">
        <f t="shared" si="149"/>
        <v>1.6182549583873367</v>
      </c>
      <c r="BP52" s="82">
        <f t="shared" si="149"/>
        <v>1.6508299022102748</v>
      </c>
      <c r="BQ52" s="82">
        <f t="shared" si="149"/>
        <v>1.8428095942038283</v>
      </c>
      <c r="BR52" s="82">
        <f t="shared" si="149"/>
        <v>2.0698295015333006</v>
      </c>
      <c r="BS52" s="82">
        <f t="shared" si="149"/>
        <v>3.332580517709419</v>
      </c>
      <c r="BT52" s="82">
        <f t="shared" si="149"/>
        <v>4.1550496098741414</v>
      </c>
      <c r="BU52" s="82">
        <f t="shared" si="149"/>
        <v>5.0110379875372981</v>
      </c>
      <c r="BV52" s="82">
        <f t="shared" si="149"/>
        <v>9.9721316518172323</v>
      </c>
      <c r="BW52" s="82">
        <f t="shared" si="149"/>
        <v>12.040806124074908</v>
      </c>
      <c r="BX52" s="82">
        <f t="shared" si="149"/>
        <v>14.103319608117957</v>
      </c>
      <c r="BY52" s="82">
        <f t="shared" si="149"/>
        <v>12.870525925956656</v>
      </c>
      <c r="BZ52" s="82">
        <f t="shared" si="149"/>
        <v>9.5568148038049952</v>
      </c>
      <c r="CA52" s="82">
        <f t="shared" si="149"/>
        <v>17.955317330558859</v>
      </c>
      <c r="CB52" s="82" t="e">
        <f t="shared" si="149"/>
        <v>#DIV/0!</v>
      </c>
      <c r="CC52" s="82" t="e">
        <f t="shared" si="149"/>
        <v>#DIV/0!</v>
      </c>
      <c r="CD52" s="82" t="e">
        <f t="shared" si="149"/>
        <v>#DIV/0!</v>
      </c>
      <c r="CE52" s="82" t="e">
        <f t="shared" si="149"/>
        <v>#DIV/0!</v>
      </c>
      <c r="CF52" s="82" t="e">
        <f t="shared" si="149"/>
        <v>#DIV/0!</v>
      </c>
      <c r="CG52" s="82" t="e">
        <f t="shared" si="149"/>
        <v>#DIV/0!</v>
      </c>
      <c r="CH52" s="82" t="e">
        <f t="shared" si="149"/>
        <v>#DIV/0!</v>
      </c>
      <c r="CI52" s="82" t="e">
        <f t="shared" si="149"/>
        <v>#DIV/0!</v>
      </c>
      <c r="CJ52" s="82" t="e">
        <f t="shared" si="149"/>
        <v>#DIV/0!</v>
      </c>
      <c r="CK52" s="82" t="e">
        <f t="shared" si="149"/>
        <v>#DIV/0!</v>
      </c>
      <c r="CL52" s="82" t="e">
        <f t="shared" si="149"/>
        <v>#DIV/0!</v>
      </c>
      <c r="CM52" s="82" t="e">
        <f t="shared" si="149"/>
        <v>#DIV/0!</v>
      </c>
      <c r="CN52" s="82" t="e">
        <f t="shared" si="149"/>
        <v>#DIV/0!</v>
      </c>
      <c r="CO52" s="82" t="e">
        <f t="shared" si="149"/>
        <v>#DIV/0!</v>
      </c>
      <c r="CP52" s="82" t="e">
        <f t="shared" si="149"/>
        <v>#DIV/0!</v>
      </c>
      <c r="CQ52" s="82" t="e">
        <f t="shared" si="149"/>
        <v>#DIV/0!</v>
      </c>
      <c r="CR52" s="82" t="e">
        <f t="shared" si="149"/>
        <v>#DIV/0!</v>
      </c>
      <c r="CS52" s="82" t="e">
        <f t="shared" si="149"/>
        <v>#DIV/0!</v>
      </c>
      <c r="CT52" s="82" t="e">
        <f t="shared" si="149"/>
        <v>#DIV/0!</v>
      </c>
      <c r="CU52" s="82" t="e">
        <f t="shared" si="149"/>
        <v>#DIV/0!</v>
      </c>
      <c r="CV52" s="82" t="e">
        <f t="shared" si="149"/>
        <v>#DIV/0!</v>
      </c>
      <c r="CW52" s="82" t="e">
        <f t="shared" si="149"/>
        <v>#DIV/0!</v>
      </c>
      <c r="CX52" s="82" t="e">
        <f t="shared" si="149"/>
        <v>#DIV/0!</v>
      </c>
      <c r="CY52" s="82" t="e">
        <f t="shared" si="149"/>
        <v>#DIV/0!</v>
      </c>
      <c r="CZ52" s="214" t="e">
        <f>#REF!</f>
        <v>#REF!</v>
      </c>
      <c r="DA52" s="214" t="e">
        <f>#REF!</f>
        <v>#REF!</v>
      </c>
      <c r="DB52" s="214" t="e">
        <f>#REF!</f>
        <v>#REF!</v>
      </c>
      <c r="DC52" s="214" t="e">
        <f>#REF!</f>
        <v>#REF!</v>
      </c>
      <c r="DD52" s="214" t="e">
        <f>#REF!</f>
        <v>#REF!</v>
      </c>
      <c r="DE52" s="214" t="e">
        <f>#REF!</f>
        <v>#REF!</v>
      </c>
      <c r="DF52" s="214" t="e">
        <f>#REF!</f>
        <v>#REF!</v>
      </c>
      <c r="DG52" s="195" t="e">
        <f>#REF!</f>
        <v>#REF!</v>
      </c>
    </row>
    <row r="53" spans="1:111" ht="14.25" customHeight="1">
      <c r="A53" s="129"/>
      <c r="E53" s="104"/>
      <c r="H53" s="104"/>
      <c r="I53" s="120">
        <f t="array" ref="I53">_xlfn.STDEV.P(IF($E$5:$E$41=$E52,I$5:I$41))</f>
        <v>1.1781341180018521</v>
      </c>
      <c r="J53" s="120"/>
      <c r="K53" s="120"/>
      <c r="L53" s="120"/>
      <c r="M53" s="120">
        <f t="array" ref="M53">_xlfn.STDEV.P(IF($E$5:$E$41=$E52,M$5:M$41))</f>
        <v>23.53757400311251</v>
      </c>
      <c r="N53" s="120"/>
      <c r="O53" s="120">
        <f t="array" ref="O53">_xlfn.STDEV.P(IF($E$5:$E$41=$E52,O$5:O$41))</f>
        <v>296.18795011038981</v>
      </c>
      <c r="P53" s="120">
        <f t="array" ref="P53">_xlfn.STDEV.P(IF($E$5:$E$41=$E52,P$5:P$41))</f>
        <v>7.8458580010375369</v>
      </c>
      <c r="Q53" s="120">
        <f t="array" ref="Q53">_xlfn.STDEV.P(IF($E$5:$E$41=$E52,Q$5:Q$41))</f>
        <v>102.20097846889726</v>
      </c>
      <c r="R53" s="188">
        <f t="array" ref="R53">_xlfn.STDEV.P(IF($E$5:$E$41=$E52,R$5:R$41))</f>
        <v>0.48078337962532708</v>
      </c>
      <c r="S53" s="120">
        <f t="array" ref="S53">_xlfn.STDEV.P(IF($E$5:$E$41=$E52,S$5:S$41))</f>
        <v>0.25064736277835642</v>
      </c>
      <c r="T53" s="120">
        <f t="array" ref="T53">_xlfn.STDEV.P(IF($E$5:$E$41=$E52,T$5:T$41))</f>
        <v>1.4423501388759923</v>
      </c>
      <c r="U53" s="120">
        <f t="array" ref="U53">_xlfn.STDEV.P(IF($E$5:$E$41=$E52,U$5:U$41))</f>
        <v>0</v>
      </c>
      <c r="V53" s="81" t="s">
        <v>12</v>
      </c>
      <c r="W53" s="90">
        <f t="array" ref="W53">_xlfn.STDEV.P(IF($E$5:$E$41=$E52,W$5:W$41))</f>
        <v>39.456171309632971</v>
      </c>
      <c r="X53" s="90">
        <f t="array" ref="X53">_xlfn.STDEV.P(IF($E$5:$E$41=$E52,X$5:X$41))</f>
        <v>25.55465396152675</v>
      </c>
      <c r="Y53" s="90">
        <f t="array" ref="Y53">_xlfn.STDEV.P(IF($E$5:$E$41=$E52,Y$5:Y$41))</f>
        <v>23.53757400311251</v>
      </c>
      <c r="Z53" s="90">
        <f t="array" ref="Z53">_xlfn.STDEV.P(IF($E$5:$E$41=$E52,Z$5:Z$41))</f>
        <v>77.415357117257955</v>
      </c>
      <c r="AA53" s="90">
        <f t="array" ref="AA53">_xlfn.STDEV.P(IF($E$5:$E$41=$E52,AA$5:AA$41))</f>
        <v>61.145549848671052</v>
      </c>
      <c r="AB53" s="90">
        <f t="array" ref="AB53">_xlfn.STDEV.P(IF($E$5:$E$41=$E52,AB$5:AB$41))</f>
        <v>66.978869868899324</v>
      </c>
      <c r="AC53" s="90">
        <f t="array" ref="AC53">_xlfn.STDEV.P(IF($E$5:$E$41=$E52,AC$5:AC$41))</f>
        <v>63.264710971849198</v>
      </c>
      <c r="AD53" s="90">
        <f t="array" ref="AD53">_xlfn.STDEV.P(IF($E$5:$E$41=$E52,AD$5:AD$41))</f>
        <v>90.567767874365003</v>
      </c>
      <c r="AE53" s="90">
        <f t="array" ref="AE53">_xlfn.STDEV.P(IF($E$5:$E$41=$E52,AE$5:AE$41))</f>
        <v>185.02949447234812</v>
      </c>
      <c r="AF53" s="90">
        <f t="array" ref="AF53">_xlfn.STDEV.P(IF($E$5:$E$41=$E52,AF$5:AF$41))</f>
        <v>89.516762229174532</v>
      </c>
      <c r="AG53" s="90">
        <f t="array" ref="AG53">_xlfn.STDEV.P(IF($E$5:$E$41=$E52,AG$5:AG$41))</f>
        <v>169.50280191519954</v>
      </c>
      <c r="AH53" s="90">
        <f t="array" ref="AH53">_xlfn.STDEV.P(IF($E$5:$E$41=$E52,AH$5:AH$41))</f>
        <v>348.72693414978141</v>
      </c>
      <c r="AI53" s="90">
        <f t="array" ref="AI53">_xlfn.STDEV.P(IF($E$5:$E$41=$E52,AI$5:AI$41))</f>
        <v>610.12100820603291</v>
      </c>
      <c r="AJ53" s="90">
        <f t="array" ref="AJ53">_xlfn.STDEV.P(IF($E$5:$E$41=$E52,AJ$5:AJ$41))</f>
        <v>792.73154410200436</v>
      </c>
      <c r="AK53" s="90">
        <f t="array" ref="AK53">_xlfn.STDEV.P(IF($E$5:$E$41=$E52,AK$5:AK$41))</f>
        <v>427.96915200000012</v>
      </c>
      <c r="AL53" s="90">
        <f t="array" ref="AL53">_xlfn.STDEV.P(IF($E$5:$E$41=$E52,AL$5:AL$41))</f>
        <v>804.06726400000002</v>
      </c>
      <c r="AM53" s="90">
        <f t="array" ref="AM53">_xlfn.STDEV.P(IF($E$5:$E$41=$E52,AM$5:AM$41))</f>
        <v>0</v>
      </c>
      <c r="AN53" s="90">
        <f t="array" ref="AN53">_xlfn.STDEV.P(IF($E$5:$E$41=$E52,AN$5:AN$41))</f>
        <v>0</v>
      </c>
      <c r="AO53" s="90">
        <f t="array" ref="AO53">_xlfn.STDEV.P(IF($E$5:$E$41=$E52,AO$5:AO$41))</f>
        <v>0</v>
      </c>
      <c r="AP53" s="90">
        <f t="array" ref="AP53">_xlfn.STDEV.P(IF($E$5:$E$41=$E52,AP$5:AP$41))</f>
        <v>0</v>
      </c>
      <c r="AQ53" s="90">
        <f t="array" ref="AQ53">_xlfn.STDEV.P(IF($E$5:$E$41=$E52,AQ$5:AQ$41))</f>
        <v>0</v>
      </c>
      <c r="AR53" s="90">
        <f t="array" ref="AR53">_xlfn.STDEV.P(IF($E$5:$E$41=$E52,AR$5:AR$41))</f>
        <v>0</v>
      </c>
      <c r="AS53" s="90">
        <f t="array" ref="AS53">_xlfn.STDEV.P(IF($E$5:$E$41=$E52,AS$5:AS$41))</f>
        <v>0</v>
      </c>
      <c r="AT53" s="90">
        <f t="array" ref="AT53">_xlfn.STDEV.P(IF($E$5:$E$41=$E52,AT$5:AT$41))</f>
        <v>0</v>
      </c>
      <c r="AU53" s="90">
        <f t="array" ref="AU53">_xlfn.STDEV.P(IF($E$5:$E$41=$E52,AU$5:AU$41))</f>
        <v>0</v>
      </c>
      <c r="AV53" s="90">
        <f t="array" ref="AV53">_xlfn.STDEV.P(IF($E$5:$E$41=$E52,AV$5:AV$41))</f>
        <v>0</v>
      </c>
      <c r="AW53" s="90">
        <f t="array" ref="AW53">_xlfn.STDEV.P(IF($E$5:$E$41=$E52,AW$5:AW$41))</f>
        <v>0</v>
      </c>
      <c r="AX53" s="90">
        <f t="array" ref="AX53">_xlfn.STDEV.P(IF($E$5:$E$41=$E52,AX$5:AX$41))</f>
        <v>0</v>
      </c>
      <c r="AY53" s="90">
        <f t="array" ref="AY53">_xlfn.STDEV.P(IF($E$5:$E$41=$E52,AY$5:AY$41))</f>
        <v>0</v>
      </c>
      <c r="AZ53" s="90">
        <f t="array" ref="AZ53">_xlfn.STDEV.P(IF($E$5:$E$41=$E52,AZ$5:AZ$41))</f>
        <v>0</v>
      </c>
      <c r="BA53" s="90">
        <f t="array" ref="BA53">_xlfn.STDEV.P(IF($E$5:$E$41=$E52,BA$5:BA$41))</f>
        <v>0</v>
      </c>
      <c r="BB53" s="90">
        <f t="array" ref="BB53">_xlfn.STDEV.P(IF($E$5:$E$41=$E52,BB$5:BB$41))</f>
        <v>0</v>
      </c>
      <c r="BC53" s="90">
        <f t="array" ref="BC53">_xlfn.STDEV.P(IF($E$5:$E$41=$E52,BC$5:BC$41))</f>
        <v>0</v>
      </c>
      <c r="BD53" s="90">
        <f t="array" ref="BD53">_xlfn.STDEV.P(IF($E$5:$E$41=$E52,BD$5:BD$41))</f>
        <v>0</v>
      </c>
      <c r="BE53" s="90">
        <f t="array" ref="BE53">_xlfn.STDEV.P(IF($E$5:$E$41=$E52,BE$5:BE$41))</f>
        <v>0</v>
      </c>
      <c r="BF53" s="90">
        <f t="array" ref="BF53">_xlfn.STDEV.P(IF($E$5:$E$41=$E52,BF$5:BF$41))</f>
        <v>0</v>
      </c>
      <c r="BG53" s="90">
        <f t="array" ref="BG53">_xlfn.STDEV.P(IF($E$5:$E$41=$E52,BG$5:BG$41))</f>
        <v>0</v>
      </c>
      <c r="BH53" s="90">
        <f t="array" ref="BH53">_xlfn.STDEV.P(IF($E$5:$E$41=$E52,BH$5:BH$41))</f>
        <v>0</v>
      </c>
      <c r="BI53" s="90">
        <f t="array" ref="BI53">_xlfn.STDEV.P(IF($E$5:$E$41=$E52,BI$5:BI$41))</f>
        <v>0</v>
      </c>
      <c r="BJ53" s="90">
        <f t="array" ref="BJ53">_xlfn.STDEV.P(IF($E$5:$E$41=$E52,BJ$5:BJ$41))</f>
        <v>0</v>
      </c>
      <c r="BK53" s="115" t="s">
        <v>12</v>
      </c>
      <c r="BL53" s="83">
        <f t="array" ref="BL53">_xlfn.STDEV.P(IF($E$5:$E$41=$E52,BL$5:BL$41))</f>
        <v>0.32115887618111616</v>
      </c>
      <c r="BM53" s="83">
        <f t="array" ref="BM53">_xlfn.STDEV.P(IF($E$5:$E$41=$E52,BM$5:BM$41))</f>
        <v>0.27099031039525689</v>
      </c>
      <c r="BN53" s="83">
        <f t="array" ref="BN53">_xlfn.STDEV.P(IF($E$5:$E$41=$E52,BN$5:BN$41))</f>
        <v>4.9650683064945459E-17</v>
      </c>
      <c r="BO53" s="83">
        <f t="array" ref="BO53">_xlfn.STDEV.P(IF($E$5:$E$41=$E52,BO$5:BO$41))</f>
        <v>0.50640743283276446</v>
      </c>
      <c r="BP53" s="83">
        <f t="array" ref="BP53">_xlfn.STDEV.P(IF($E$5:$E$41=$E52,BP$5:BP$41))</f>
        <v>0.416031946087149</v>
      </c>
      <c r="BQ53" s="83">
        <f t="array" ref="BQ53">_xlfn.STDEV.P(IF($E$5:$E$41=$E52,BQ$5:BQ$41))</f>
        <v>0.43853409163984086</v>
      </c>
      <c r="BR53" s="83">
        <f t="array" ref="BR53">_xlfn.STDEV.P(IF($E$5:$E$41=$E52,BR$5:BR$41))</f>
        <v>0.35472058960723973</v>
      </c>
      <c r="BS53" s="83">
        <f t="array" ref="BS53">_xlfn.STDEV.P(IF($E$5:$E$41=$E52,BS$5:BS$41))</f>
        <v>1.0347652582281086</v>
      </c>
      <c r="BT53" s="83">
        <f t="array" ref="BT53">_xlfn.STDEV.P(IF($E$5:$E$41=$E52,BT$5:BT$41))</f>
        <v>1.1979958343185504</v>
      </c>
      <c r="BU53" s="83">
        <f t="array" ref="BU53">_xlfn.STDEV.P(IF($E$5:$E$41=$E52,BU$5:BU$41))</f>
        <v>1.2474329422833819</v>
      </c>
      <c r="BV53" s="83">
        <f t="array" ref="BV53">_xlfn.STDEV.P(IF($E$5:$E$41=$E52,BV$5:BV$41))</f>
        <v>1.9750326389792985</v>
      </c>
      <c r="BW53" s="83">
        <f t="array" ref="BW53">_xlfn.STDEV.P(IF($E$5:$E$41=$E52,BW$5:BW$41))</f>
        <v>3.2589101608418942</v>
      </c>
      <c r="BX53" s="83">
        <f t="array" ref="BX53">_xlfn.STDEV.P(IF($E$5:$E$41=$E52,BX$5:BX$41))</f>
        <v>3.8677980252316631</v>
      </c>
      <c r="BY53" s="83">
        <f t="array" ref="BY53">_xlfn.STDEV.P(IF($E$5:$E$41=$E52,BY$5:BY$41))</f>
        <v>2.2379943683658809</v>
      </c>
      <c r="BZ53" s="83">
        <f t="array" ref="BZ53">_xlfn.STDEV.P(IF($E$5:$E$41=$E52,BZ$5:BZ$41))</f>
        <v>0</v>
      </c>
      <c r="CA53" s="83">
        <f t="array" ref="CA53">_xlfn.STDEV.P(IF($E$5:$E$41=$E52,CA$5:CA$41))</f>
        <v>0</v>
      </c>
      <c r="CB53" s="83" t="e">
        <f t="array" ref="CB53">_xlfn.STDEV.P(IF($E$5:$E$41=$E52,CB$5:CB$41))</f>
        <v>#DIV/0!</v>
      </c>
      <c r="CC53" s="83" t="e">
        <f t="array" ref="CC53">_xlfn.STDEV.P(IF($E$5:$E$41=$E52,CC$5:CC$41))</f>
        <v>#DIV/0!</v>
      </c>
      <c r="CD53" s="83" t="e">
        <f t="array" ref="CD53">_xlfn.STDEV.P(IF($E$5:$E$41=$E52,CD$5:CD$41))</f>
        <v>#DIV/0!</v>
      </c>
      <c r="CE53" s="83" t="e">
        <f t="array" ref="CE53">_xlfn.STDEV.P(IF($E$5:$E$41=$E52,CE$5:CE$41))</f>
        <v>#DIV/0!</v>
      </c>
      <c r="CF53" s="83" t="e">
        <f t="array" ref="CF53">_xlfn.STDEV.P(IF($E$5:$E$41=$E52,CF$5:CF$41))</f>
        <v>#DIV/0!</v>
      </c>
      <c r="CG53" s="83" t="e">
        <f t="array" ref="CG53">_xlfn.STDEV.P(IF($E$5:$E$41=$E52,CG$5:CG$41))</f>
        <v>#DIV/0!</v>
      </c>
      <c r="CH53" s="83" t="e">
        <f t="array" ref="CH53">_xlfn.STDEV.P(IF($E$5:$E$41=$E52,CH$5:CH$41))</f>
        <v>#DIV/0!</v>
      </c>
      <c r="CI53" s="83" t="e">
        <f t="array" ref="CI53">_xlfn.STDEV.P(IF($E$5:$E$41=$E52,CI$5:CI$41))</f>
        <v>#DIV/0!</v>
      </c>
      <c r="CJ53" s="83" t="e">
        <f t="array" ref="CJ53">_xlfn.STDEV.P(IF($E$5:$E$41=$E52,CJ$5:CJ$41))</f>
        <v>#DIV/0!</v>
      </c>
      <c r="CK53" s="83" t="e">
        <f t="array" ref="CK53">_xlfn.STDEV.P(IF($E$5:$E$41=$E52,CK$5:CK$41))</f>
        <v>#DIV/0!</v>
      </c>
      <c r="CL53" s="83" t="e">
        <f t="array" ref="CL53">_xlfn.STDEV.P(IF($E$5:$E$41=$E52,CL$5:CL$41))</f>
        <v>#DIV/0!</v>
      </c>
      <c r="CM53" s="83" t="e">
        <f t="array" ref="CM53">_xlfn.STDEV.P(IF($E$5:$E$41=$E52,CM$5:CM$41))</f>
        <v>#DIV/0!</v>
      </c>
      <c r="CN53" s="83" t="e">
        <f t="array" ref="CN53">_xlfn.STDEV.P(IF($E$5:$E$41=$E52,CN$5:CN$41))</f>
        <v>#DIV/0!</v>
      </c>
      <c r="CO53" s="83" t="e">
        <f t="array" ref="CO53">_xlfn.STDEV.P(IF($E$5:$E$41=$E52,CO$5:CO$41))</f>
        <v>#DIV/0!</v>
      </c>
      <c r="CP53" s="83" t="e">
        <f t="array" ref="CP53">_xlfn.STDEV.P(IF($E$5:$E$41=$E52,CP$5:CP$41))</f>
        <v>#DIV/0!</v>
      </c>
      <c r="CQ53" s="83" t="e">
        <f t="array" ref="CQ53">_xlfn.STDEV.P(IF($E$5:$E$41=$E52,CQ$5:CQ$41))</f>
        <v>#DIV/0!</v>
      </c>
      <c r="CR53" s="83" t="e">
        <f t="array" ref="CR53">_xlfn.STDEV.P(IF($E$5:$E$41=$E52,CR$5:CR$41))</f>
        <v>#DIV/0!</v>
      </c>
      <c r="CS53" s="83" t="e">
        <f t="array" ref="CS53">_xlfn.STDEV.P(IF($E$5:$E$41=$E52,CS$5:CS$41))</f>
        <v>#DIV/0!</v>
      </c>
      <c r="CT53" s="83" t="e">
        <f t="array" ref="CT53">_xlfn.STDEV.P(IF($E$5:$E$41=$E52,CT$5:CT$41))</f>
        <v>#DIV/0!</v>
      </c>
      <c r="CU53" s="83" t="e">
        <f t="array" ref="CU53">_xlfn.STDEV.P(IF($E$5:$E$41=$E52,CU$5:CU$41))</f>
        <v>#DIV/0!</v>
      </c>
      <c r="CV53" s="83" t="e">
        <f t="array" ref="CV53">_xlfn.STDEV.P(IF($E$5:$E$41=$E52,CV$5:CV$41))</f>
        <v>#DIV/0!</v>
      </c>
      <c r="CW53" s="83" t="e">
        <f t="array" ref="CW53">_xlfn.STDEV.P(IF($E$5:$E$41=$E52,CW$5:CW$41))</f>
        <v>#DIV/0!</v>
      </c>
      <c r="CX53" s="83" t="e">
        <f t="array" ref="CX53">_xlfn.STDEV.P(IF($E$5:$E$41=$E52,CX$5:CX$41))</f>
        <v>#DIV/0!</v>
      </c>
      <c r="CY53" s="83" t="e">
        <f t="array" ref="CY53">_xlfn.STDEV.P(IF($E$5:$E$41=$E52,CY$5:CY$41))</f>
        <v>#DIV/0!</v>
      </c>
      <c r="CZ53" s="214" t="e">
        <f>#REF!</f>
        <v>#REF!</v>
      </c>
      <c r="DA53" s="214" t="e">
        <f>#REF!</f>
        <v>#REF!</v>
      </c>
      <c r="DB53" s="214" t="e">
        <f>#REF!</f>
        <v>#REF!</v>
      </c>
      <c r="DC53" s="214" t="e">
        <f>#REF!</f>
        <v>#REF!</v>
      </c>
      <c r="DD53" s="214" t="e">
        <f>#REF!</f>
        <v>#REF!</v>
      </c>
      <c r="DE53" s="214" t="e">
        <f>#REF!</f>
        <v>#REF!</v>
      </c>
      <c r="DF53" s="214" t="e">
        <f>#REF!</f>
        <v>#REF!</v>
      </c>
      <c r="DG53" s="195" t="e">
        <f>#REF!</f>
        <v>#REF!</v>
      </c>
    </row>
    <row r="54" spans="1:111" ht="15">
      <c r="A54" s="129"/>
      <c r="E54" s="58"/>
      <c r="H54" s="58"/>
      <c r="J54" s="63"/>
      <c r="K54" s="63"/>
      <c r="L54" s="63"/>
      <c r="N54" s="63"/>
      <c r="Q54" s="63"/>
      <c r="R54" s="187"/>
      <c r="S54" s="63"/>
      <c r="T54" s="63"/>
      <c r="U54" s="63"/>
      <c r="CZ54" s="214"/>
      <c r="DA54" s="214"/>
      <c r="DB54" s="214"/>
      <c r="DC54" s="214"/>
      <c r="DD54" s="214"/>
      <c r="DE54" s="214"/>
      <c r="DF54" s="214"/>
    </row>
    <row r="55" spans="1:111" ht="14.25" customHeight="1">
      <c r="A55" s="129"/>
      <c r="E55" s="134" t="str">
        <f>'RAD_DOSE Groups'!C9</f>
        <v>3.3 uCi + CP-PTX</v>
      </c>
      <c r="H55" s="134" t="str">
        <f>E55</f>
        <v>3.3 uCi + CP-PTX</v>
      </c>
      <c r="I55" s="120">
        <f>AVERAGEIF($E$5:$E$41,$E55,I$5:I$41)</f>
        <v>27.74</v>
      </c>
      <c r="J55" s="120"/>
      <c r="K55" s="120"/>
      <c r="L55" s="120"/>
      <c r="M55" s="120">
        <f>AVERAGEIF($E$5:$E$41,$E55,M$5:M$41)</f>
        <v>124.53407199999999</v>
      </c>
      <c r="N55" s="120"/>
      <c r="O55" s="120">
        <f t="shared" ref="O55:U55" si="150">AVERAGEIF($E$5:$E$41,$E55,O$5:O$41)</f>
        <v>415.11357333333336</v>
      </c>
      <c r="P55" s="120">
        <f t="shared" si="150"/>
        <v>41.511357333333329</v>
      </c>
      <c r="Q55" s="120">
        <f t="shared" si="150"/>
        <v>315</v>
      </c>
      <c r="R55" s="188">
        <f t="shared" si="150"/>
        <v>2.5658738950660305</v>
      </c>
      <c r="S55" s="120">
        <f t="shared" si="150"/>
        <v>0.76976216851980928</v>
      </c>
      <c r="T55" s="120">
        <f t="shared" si="150"/>
        <v>7.6976216851980919</v>
      </c>
      <c r="U55" s="120" t="e">
        <f t="shared" si="150"/>
        <v>#DIV/0!</v>
      </c>
      <c r="V55" s="81" t="s">
        <v>10</v>
      </c>
      <c r="W55" s="87">
        <f t="shared" ref="W55:BJ55" si="151">AVERAGEIF($E$5:$E$41,$E55,W$5:W$41)</f>
        <v>63.610247999999999</v>
      </c>
      <c r="X55" s="87">
        <f t="shared" si="151"/>
        <v>96.749119999999991</v>
      </c>
      <c r="Y55" s="87">
        <f t="shared" si="151"/>
        <v>124.53407199999999</v>
      </c>
      <c r="Z55" s="87">
        <f t="shared" si="151"/>
        <v>173.45380000000003</v>
      </c>
      <c r="AA55" s="87">
        <f t="shared" si="151"/>
        <v>161.81183199999998</v>
      </c>
      <c r="AB55" s="87">
        <f t="shared" si="151"/>
        <v>141.02566400000001</v>
      </c>
      <c r="AC55" s="87">
        <f t="shared" si="151"/>
        <v>143.57095999999999</v>
      </c>
      <c r="AD55" s="87">
        <f t="shared" si="151"/>
        <v>140.92956799999999</v>
      </c>
      <c r="AE55" s="87">
        <f t="shared" si="151"/>
        <v>149.17853600000004</v>
      </c>
      <c r="AF55" s="87">
        <f t="shared" si="151"/>
        <v>135.93964800000001</v>
      </c>
      <c r="AG55" s="87">
        <f t="shared" si="151"/>
        <v>227.84517600000004</v>
      </c>
      <c r="AH55" s="87">
        <f t="shared" si="151"/>
        <v>319.197632</v>
      </c>
      <c r="AI55" s="87">
        <f t="shared" si="151"/>
        <v>392.26928000000009</v>
      </c>
      <c r="AJ55" s="87">
        <f t="shared" si="151"/>
        <v>436.50422399999997</v>
      </c>
      <c r="AK55" s="87">
        <f t="shared" si="151"/>
        <v>594.69207200000005</v>
      </c>
      <c r="AL55" s="87">
        <f t="shared" si="151"/>
        <v>760.41118400000005</v>
      </c>
      <c r="AM55" s="87">
        <f t="shared" si="151"/>
        <v>1003.8299440000003</v>
      </c>
      <c r="AN55" s="87">
        <f t="shared" si="151"/>
        <v>934.67152999999996</v>
      </c>
      <c r="AO55" s="87">
        <f t="shared" si="151"/>
        <v>1209.7446400000001</v>
      </c>
      <c r="AP55" s="87">
        <f t="shared" si="151"/>
        <v>1545.5378900000001</v>
      </c>
      <c r="AQ55" s="87">
        <f t="shared" si="151"/>
        <v>461.89727999999997</v>
      </c>
      <c r="AR55" s="87">
        <f t="shared" si="151"/>
        <v>976.37071999999978</v>
      </c>
      <c r="AS55" s="87">
        <f t="shared" si="151"/>
        <v>882.25072</v>
      </c>
      <c r="AT55" s="87">
        <f t="shared" si="151"/>
        <v>1102.2200800000003</v>
      </c>
      <c r="AU55" s="87">
        <f t="shared" si="151"/>
        <v>1592.1360000000002</v>
      </c>
      <c r="AV55" s="87">
        <f t="shared" si="151"/>
        <v>1649.4197199999996</v>
      </c>
      <c r="AW55" s="87" t="e">
        <f t="shared" si="151"/>
        <v>#DIV/0!</v>
      </c>
      <c r="AX55" s="87" t="e">
        <f t="shared" si="151"/>
        <v>#DIV/0!</v>
      </c>
      <c r="AY55" s="87" t="e">
        <f t="shared" si="151"/>
        <v>#DIV/0!</v>
      </c>
      <c r="AZ55" s="87" t="e">
        <f t="shared" si="151"/>
        <v>#DIV/0!</v>
      </c>
      <c r="BA55" s="87" t="e">
        <f t="shared" si="151"/>
        <v>#DIV/0!</v>
      </c>
      <c r="BB55" s="87" t="e">
        <f t="shared" si="151"/>
        <v>#DIV/0!</v>
      </c>
      <c r="BC55" s="87" t="e">
        <f t="shared" si="151"/>
        <v>#DIV/0!</v>
      </c>
      <c r="BD55" s="87" t="e">
        <f t="shared" si="151"/>
        <v>#DIV/0!</v>
      </c>
      <c r="BE55" s="87" t="e">
        <f t="shared" si="151"/>
        <v>#DIV/0!</v>
      </c>
      <c r="BF55" s="87" t="e">
        <f t="shared" si="151"/>
        <v>#DIV/0!</v>
      </c>
      <c r="BG55" s="87" t="e">
        <f t="shared" si="151"/>
        <v>#DIV/0!</v>
      </c>
      <c r="BH55" s="87" t="e">
        <f t="shared" si="151"/>
        <v>#DIV/0!</v>
      </c>
      <c r="BI55" s="87" t="e">
        <f t="shared" si="151"/>
        <v>#DIV/0!</v>
      </c>
      <c r="BJ55" s="87" t="e">
        <f t="shared" si="151"/>
        <v>#DIV/0!</v>
      </c>
      <c r="BK55" s="114" t="s">
        <v>10</v>
      </c>
      <c r="BL55" s="82">
        <f t="shared" ref="BL55:CY55" si="152">AVERAGEIF($E$5:$E$41,$E55,BL$5:BL$41)</f>
        <v>0.49438429512473758</v>
      </c>
      <c r="BM55" s="82">
        <f t="shared" si="152"/>
        <v>0.7635788680151121</v>
      </c>
      <c r="BN55" s="82">
        <f t="shared" si="152"/>
        <v>1</v>
      </c>
      <c r="BO55" s="82">
        <f t="shared" si="152"/>
        <v>1.4463024860846603</v>
      </c>
      <c r="BP55" s="82">
        <f t="shared" si="152"/>
        <v>1.3771885106483803</v>
      </c>
      <c r="BQ55" s="82">
        <f t="shared" si="152"/>
        <v>1.1642379380030079</v>
      </c>
      <c r="BR55" s="82">
        <f t="shared" si="152"/>
        <v>1.1546680914000911</v>
      </c>
      <c r="BS55" s="82">
        <f t="shared" si="152"/>
        <v>1.1835165444766194</v>
      </c>
      <c r="BT55" s="82">
        <f t="shared" si="152"/>
        <v>1.2424892855129124</v>
      </c>
      <c r="BU55" s="82">
        <f t="shared" si="152"/>
        <v>1.1508900048442001</v>
      </c>
      <c r="BV55" s="82">
        <f t="shared" si="152"/>
        <v>1.8898621737394101</v>
      </c>
      <c r="BW55" s="82">
        <f t="shared" si="152"/>
        <v>2.7073417366126109</v>
      </c>
      <c r="BX55" s="82">
        <f t="shared" si="152"/>
        <v>3.3182327902564084</v>
      </c>
      <c r="BY55" s="82">
        <f t="shared" si="152"/>
        <v>3.6775866069295686</v>
      </c>
      <c r="BZ55" s="82">
        <f t="shared" si="152"/>
        <v>5.0464287962757366</v>
      </c>
      <c r="CA55" s="82">
        <f t="shared" si="152"/>
        <v>6.3640283215125537</v>
      </c>
      <c r="CB55" s="82">
        <f t="shared" si="152"/>
        <v>8.4273662871284483</v>
      </c>
      <c r="CC55" s="82">
        <f t="shared" si="152"/>
        <v>6.9334150960712186</v>
      </c>
      <c r="CD55" s="82">
        <f t="shared" si="152"/>
        <v>9.1042404171059879</v>
      </c>
      <c r="CE55" s="82">
        <f t="shared" si="152"/>
        <v>11.561790020622816</v>
      </c>
      <c r="CF55" s="82">
        <f t="shared" si="152"/>
        <v>4.0449180327868843</v>
      </c>
      <c r="CG55" s="82">
        <f t="shared" si="152"/>
        <v>8.5502550091074649</v>
      </c>
      <c r="CH55" s="82">
        <f t="shared" si="152"/>
        <v>7.7260291438979962</v>
      </c>
      <c r="CI55" s="82">
        <f t="shared" si="152"/>
        <v>9.652340619307834</v>
      </c>
      <c r="CJ55" s="82">
        <f t="shared" si="152"/>
        <v>13.942622950819674</v>
      </c>
      <c r="CK55" s="82">
        <f t="shared" si="152"/>
        <v>14.444266848816024</v>
      </c>
      <c r="CL55" s="82" t="e">
        <f t="shared" si="152"/>
        <v>#DIV/0!</v>
      </c>
      <c r="CM55" s="82" t="e">
        <f t="shared" si="152"/>
        <v>#DIV/0!</v>
      </c>
      <c r="CN55" s="82" t="e">
        <f t="shared" si="152"/>
        <v>#DIV/0!</v>
      </c>
      <c r="CO55" s="82" t="e">
        <f t="shared" si="152"/>
        <v>#DIV/0!</v>
      </c>
      <c r="CP55" s="82" t="e">
        <f t="shared" si="152"/>
        <v>#DIV/0!</v>
      </c>
      <c r="CQ55" s="82" t="e">
        <f t="shared" si="152"/>
        <v>#DIV/0!</v>
      </c>
      <c r="CR55" s="82" t="e">
        <f t="shared" si="152"/>
        <v>#DIV/0!</v>
      </c>
      <c r="CS55" s="82" t="e">
        <f t="shared" si="152"/>
        <v>#DIV/0!</v>
      </c>
      <c r="CT55" s="82" t="e">
        <f t="shared" si="152"/>
        <v>#DIV/0!</v>
      </c>
      <c r="CU55" s="82" t="e">
        <f t="shared" si="152"/>
        <v>#DIV/0!</v>
      </c>
      <c r="CV55" s="82" t="e">
        <f t="shared" si="152"/>
        <v>#DIV/0!</v>
      </c>
      <c r="CW55" s="82" t="e">
        <f t="shared" si="152"/>
        <v>#DIV/0!</v>
      </c>
      <c r="CX55" s="82" t="e">
        <f t="shared" si="152"/>
        <v>#DIV/0!</v>
      </c>
      <c r="CY55" s="82" t="e">
        <f t="shared" si="152"/>
        <v>#DIV/0!</v>
      </c>
      <c r="CZ55" s="215" t="e">
        <f t="shared" ref="CZ55:DG55" si="153">SQRT(CZ50*CZ53-(CZ49^2*CZ52^2))</f>
        <v>#REF!</v>
      </c>
      <c r="DA55" s="215" t="e">
        <f t="shared" si="153"/>
        <v>#REF!</v>
      </c>
      <c r="DB55" s="215" t="e">
        <f t="shared" si="153"/>
        <v>#REF!</v>
      </c>
      <c r="DC55" s="215" t="e">
        <f t="shared" si="153"/>
        <v>#REF!</v>
      </c>
      <c r="DD55" s="215" t="e">
        <f t="shared" si="153"/>
        <v>#REF!</v>
      </c>
      <c r="DE55" s="215" t="e">
        <f t="shared" si="153"/>
        <v>#REF!</v>
      </c>
      <c r="DF55" s="215" t="e">
        <f t="shared" si="153"/>
        <v>#REF!</v>
      </c>
      <c r="DG55" s="176" t="e">
        <f t="shared" si="153"/>
        <v>#REF!</v>
      </c>
    </row>
    <row r="56" spans="1:111" ht="14.25" customHeight="1">
      <c r="A56" s="129"/>
      <c r="E56" s="134"/>
      <c r="H56" s="104"/>
      <c r="I56" s="120">
        <f t="array" ref="I56">_xlfn.STDEV.P(IF($E$5:$E$41=$E55,I$5:I$41))</f>
        <v>1.5781001235663084</v>
      </c>
      <c r="J56" s="120"/>
      <c r="K56" s="120"/>
      <c r="L56" s="120"/>
      <c r="M56" s="120">
        <f t="array" ref="M56">_xlfn.STDEV.P(IF($E$5:$E$41=$E55,M$5:M$41))</f>
        <v>22.692815203441345</v>
      </c>
      <c r="N56" s="120"/>
      <c r="O56" s="120">
        <f t="array" ref="O56">_xlfn.STDEV.P(IF($E$5:$E$41=$E55,O$5:O$41))</f>
        <v>75.642717344804097</v>
      </c>
      <c r="P56" s="120">
        <f t="array" ref="P56">_xlfn.STDEV.P(IF($E$5:$E$41=$E55,P$5:P$41))</f>
        <v>7.5642717344804371</v>
      </c>
      <c r="Q56" s="120">
        <f t="array" ref="Q56">_xlfn.STDEV.P(IF($E$5:$E$41=$E55,Q$5:Q$41))</f>
        <v>39.869788060635585</v>
      </c>
      <c r="R56" s="188">
        <f t="array" ref="R56">_xlfn.STDEV.P(IF($E$5:$E$41=$E55,R$5:R$41))</f>
        <v>0.30109687564937204</v>
      </c>
      <c r="S56" s="120">
        <f t="array" ref="S56">_xlfn.STDEV.P(IF($E$5:$E$41=$E55,S$5:S$41))</f>
        <v>9.0329062694810947E-2</v>
      </c>
      <c r="T56" s="120">
        <f t="array" ref="T56">_xlfn.STDEV.P(IF($E$5:$E$41=$E55,T$5:T$41))</f>
        <v>0.90329062694811801</v>
      </c>
      <c r="U56" s="120">
        <f t="array" ref="U56">_xlfn.STDEV.P(IF($E$5:$E$41=$E55,U$5:U$41))</f>
        <v>0</v>
      </c>
      <c r="V56" s="81" t="s">
        <v>12</v>
      </c>
      <c r="W56" s="90">
        <f t="array" ref="W56">_xlfn.STDEV.P(IF($E$5:$E$41=$E55,W$5:W$41))</f>
        <v>25.494875917239849</v>
      </c>
      <c r="X56" s="90">
        <f t="array" ref="X56">_xlfn.STDEV.P(IF($E$5:$E$41=$E55,X$5:X$41))</f>
        <v>28.764394046039644</v>
      </c>
      <c r="Y56" s="90">
        <f t="array" ref="Y56">_xlfn.STDEV.P(IF($E$5:$E$41=$E55,Y$5:Y$41))</f>
        <v>22.692815203441292</v>
      </c>
      <c r="Z56" s="90">
        <f t="array" ref="Z56">_xlfn.STDEV.P(IF($E$5:$E$41=$E55,Z$5:Z$41))</f>
        <v>23.768023530893807</v>
      </c>
      <c r="AA56" s="90">
        <f t="array" ref="AA56">_xlfn.STDEV.P(IF($E$5:$E$41=$E55,AA$5:AA$41))</f>
        <v>44.679740935445167</v>
      </c>
      <c r="AB56" s="90">
        <f t="array" ref="AB56">_xlfn.STDEV.P(IF($E$5:$E$41=$E55,AB$5:AB$41))</f>
        <v>12.352381429074478</v>
      </c>
      <c r="AC56" s="90">
        <f t="array" ref="AC56">_xlfn.STDEV.P(IF($E$5:$E$41=$E55,AC$5:AC$41))</f>
        <v>40.309589210421912</v>
      </c>
      <c r="AD56" s="90">
        <f t="array" ref="AD56">_xlfn.STDEV.P(IF($E$5:$E$41=$E55,AD$5:AD$41))</f>
        <v>71.684891378279843</v>
      </c>
      <c r="AE56" s="90">
        <f t="array" ref="AE56">_xlfn.STDEV.P(IF($E$5:$E$41=$E55,AE$5:AE$41))</f>
        <v>32.025279389678055</v>
      </c>
      <c r="AF56" s="90">
        <f t="array" ref="AF56">_xlfn.STDEV.P(IF($E$5:$E$41=$E55,AF$5:AF$41))</f>
        <v>104.44463467672327</v>
      </c>
      <c r="AG56" s="90">
        <f t="array" ref="AG56">_xlfn.STDEV.P(IF($E$5:$E$41=$E55,AG$5:AG$41))</f>
        <v>143.53199590108204</v>
      </c>
      <c r="AH56" s="90">
        <f t="array" ref="AH56">_xlfn.STDEV.P(IF($E$5:$E$41=$E55,AH$5:AH$41))</f>
        <v>193.50898730846697</v>
      </c>
      <c r="AI56" s="90">
        <f t="array" ref="AI56">_xlfn.STDEV.P(IF($E$5:$E$41=$E55,AI$5:AI$41))</f>
        <v>251.85150232505694</v>
      </c>
      <c r="AJ56" s="90">
        <f t="array" ref="AJ56">_xlfn.STDEV.P(IF($E$5:$E$41=$E55,AJ$5:AJ$41))</f>
        <v>229.16468130598449</v>
      </c>
      <c r="AK56" s="90">
        <f t="array" ref="AK56">_xlfn.STDEV.P(IF($E$5:$E$41=$E55,AK$5:AK$41))</f>
        <v>355.04080394718198</v>
      </c>
      <c r="AL56" s="90">
        <f t="array" ref="AL56">_xlfn.STDEV.P(IF($E$5:$E$41=$E55,AL$5:AL$41))</f>
        <v>390.72543517530534</v>
      </c>
      <c r="AM56" s="90">
        <f t="array" ref="AM56">_xlfn.STDEV.P(IF($E$5:$E$41=$E55,AM$5:AM$41))</f>
        <v>477.12804330238873</v>
      </c>
      <c r="AN56" s="90">
        <f t="array" ref="AN56">_xlfn.STDEV.P(IF($E$5:$E$41=$E55,AN$5:AN$41))</f>
        <v>535.96785829271721</v>
      </c>
      <c r="AO56" s="90">
        <f t="array" ref="AO56">_xlfn.STDEV.P(IF($E$5:$E$41=$E55,AO$5:AO$41))</f>
        <v>685.64374565265166</v>
      </c>
      <c r="AP56" s="90">
        <f t="array" ref="AP56">_xlfn.STDEV.P(IF($E$5:$E$41=$E55,AP$5:AP$41))</f>
        <v>865.25416873540416</v>
      </c>
      <c r="AQ56" s="90">
        <f t="array" ref="AQ56">_xlfn.STDEV.P(IF($E$5:$E$41=$E55,AQ$5:AQ$41))</f>
        <v>184.75891199999998</v>
      </c>
      <c r="AR56" s="90">
        <f t="array" ref="AR56">_xlfn.STDEV.P(IF($E$5:$E$41=$E55,AR$5:AR$41))</f>
        <v>390.5482879999999</v>
      </c>
      <c r="AS56" s="90">
        <f t="array" ref="AS56">_xlfn.STDEV.P(IF($E$5:$E$41=$E55,AS$5:AS$41))</f>
        <v>352.90028799999999</v>
      </c>
      <c r="AT56" s="90">
        <f t="array" ref="AT56">_xlfn.STDEV.P(IF($E$5:$E$41=$E55,AT$5:AT$41))</f>
        <v>440.88803200000012</v>
      </c>
      <c r="AU56" s="90">
        <f t="array" ref="AU56">_xlfn.STDEV.P(IF($E$5:$E$41=$E55,AU$5:AU$41))</f>
        <v>636.85440000000006</v>
      </c>
      <c r="AV56" s="90">
        <f t="array" ref="AV56">_xlfn.STDEV.P(IF($E$5:$E$41=$E55,AV$5:AV$41))</f>
        <v>659.76788799999986</v>
      </c>
      <c r="AW56" s="90">
        <f t="array" ref="AW56">_xlfn.STDEV.P(IF($E$5:$E$41=$E55,AW$5:AW$41))</f>
        <v>0</v>
      </c>
      <c r="AX56" s="90">
        <f t="array" ref="AX56">_xlfn.STDEV.P(IF($E$5:$E$41=$E55,AX$5:AX$41))</f>
        <v>0</v>
      </c>
      <c r="AY56" s="90">
        <f t="array" ref="AY56">_xlfn.STDEV.P(IF($E$5:$E$41=$E55,AY$5:AY$41))</f>
        <v>0</v>
      </c>
      <c r="AZ56" s="90">
        <f t="array" ref="AZ56">_xlfn.STDEV.P(IF($E$5:$E$41=$E55,AZ$5:AZ$41))</f>
        <v>0</v>
      </c>
      <c r="BA56" s="90">
        <f t="array" ref="BA56">_xlfn.STDEV.P(IF($E$5:$E$41=$E55,BA$5:BA$41))</f>
        <v>0</v>
      </c>
      <c r="BB56" s="90">
        <f t="array" ref="BB56">_xlfn.STDEV.P(IF($E$5:$E$41=$E55,BB$5:BB$41))</f>
        <v>0</v>
      </c>
      <c r="BC56" s="90">
        <f t="array" ref="BC56">_xlfn.STDEV.P(IF($E$5:$E$41=$E55,BC$5:BC$41))</f>
        <v>0</v>
      </c>
      <c r="BD56" s="90">
        <f t="array" ref="BD56">_xlfn.STDEV.P(IF($E$5:$E$41=$E55,BD$5:BD$41))</f>
        <v>0</v>
      </c>
      <c r="BE56" s="90">
        <f t="array" ref="BE56">_xlfn.STDEV.P(IF($E$5:$E$41=$E55,BE$5:BE$41))</f>
        <v>0</v>
      </c>
      <c r="BF56" s="90">
        <f t="array" ref="BF56">_xlfn.STDEV.P(IF($E$5:$E$41=$E55,BF$5:BF$41))</f>
        <v>0</v>
      </c>
      <c r="BG56" s="90">
        <f t="array" ref="BG56">_xlfn.STDEV.P(IF($E$5:$E$41=$E55,BG$5:BG$41))</f>
        <v>0</v>
      </c>
      <c r="BH56" s="90">
        <f t="array" ref="BH56">_xlfn.STDEV.P(IF($E$5:$E$41=$E55,BH$5:BH$41))</f>
        <v>0</v>
      </c>
      <c r="BI56" s="90">
        <f t="array" ref="BI56">_xlfn.STDEV.P(IF($E$5:$E$41=$E55,BI$5:BI$41))</f>
        <v>0</v>
      </c>
      <c r="BJ56" s="90">
        <f t="array" ref="BJ56">_xlfn.STDEV.P(IF($E$5:$E$41=$E55,BJ$5:BJ$41))</f>
        <v>0</v>
      </c>
      <c r="BK56" s="115" t="s">
        <v>12</v>
      </c>
      <c r="BL56" s="83">
        <f t="array" ref="BL56">_xlfn.STDEV.P(IF($E$5:$E$41=$E55,BL$5:BL$41))</f>
        <v>0.13002163162701846</v>
      </c>
      <c r="BM56" s="83">
        <f t="array" ref="BM56">_xlfn.STDEV.P(IF($E$5:$E$41=$E55,BM$5:BM$41))</f>
        <v>0.12798831677845748</v>
      </c>
      <c r="BN56" s="83">
        <f t="array" ref="BN56">_xlfn.STDEV.P(IF($E$5:$E$41=$E55,BN$5:BN$41))</f>
        <v>8.5997505698985167E-17</v>
      </c>
      <c r="BO56" s="83">
        <f t="array" ref="BO56">_xlfn.STDEV.P(IF($E$5:$E$41=$E55,BO$5:BO$41))</f>
        <v>0.33897576170266785</v>
      </c>
      <c r="BP56" s="83">
        <f t="array" ref="BP56">_xlfn.STDEV.P(IF($E$5:$E$41=$E55,BP$5:BP$41))</f>
        <v>0.59234043182716045</v>
      </c>
      <c r="BQ56" s="83">
        <f t="array" ref="BQ56">_xlfn.STDEV.P(IF($E$5:$E$41=$E55,BQ$5:BQ$41))</f>
        <v>0.20374758096521162</v>
      </c>
      <c r="BR56" s="83">
        <f t="array" ref="BR56">_xlfn.STDEV.P(IF($E$5:$E$41=$E55,BR$5:BR$41))</f>
        <v>0.24354272009770883</v>
      </c>
      <c r="BS56" s="83">
        <f t="array" ref="BS56">_xlfn.STDEV.P(IF($E$5:$E$41=$E55,BS$5:BS$41))</f>
        <v>0.73921675145193255</v>
      </c>
      <c r="BT56" s="83">
        <f t="array" ref="BT56">_xlfn.STDEV.P(IF($E$5:$E$41=$E55,BT$5:BT$41))</f>
        <v>0.3832215782112609</v>
      </c>
      <c r="BU56" s="83">
        <f t="array" ref="BU56">_xlfn.STDEV.P(IF($E$5:$E$41=$E55,BU$5:BU$41))</f>
        <v>1.0514903506263942</v>
      </c>
      <c r="BV56" s="83">
        <f t="array" ref="BV56">_xlfn.STDEV.P(IF($E$5:$E$41=$E55,BV$5:BV$41))</f>
        <v>1.3903117204158673</v>
      </c>
      <c r="BW56" s="83">
        <f t="array" ref="BW56">_xlfn.STDEV.P(IF($E$5:$E$41=$E55,BW$5:BW$41))</f>
        <v>2.0256615239632527</v>
      </c>
      <c r="BX56" s="83">
        <f t="array" ref="BX56">_xlfn.STDEV.P(IF($E$5:$E$41=$E55,BX$5:BX$41))</f>
        <v>2.5933245568267624</v>
      </c>
      <c r="BY56" s="83">
        <f t="array" ref="BY56">_xlfn.STDEV.P(IF($E$5:$E$41=$E55,BY$5:BY$41))</f>
        <v>2.3968171138038969</v>
      </c>
      <c r="BZ56" s="83">
        <f t="array" ref="BZ56">_xlfn.STDEV.P(IF($E$5:$E$41=$E55,BZ$5:BZ$41))</f>
        <v>3.6242873642182465</v>
      </c>
      <c r="CA56" s="83">
        <f t="array" ref="CA56">_xlfn.STDEV.P(IF($E$5:$E$41=$E55,CA$5:CA$41))</f>
        <v>3.9176083923636007</v>
      </c>
      <c r="CB56" s="83">
        <f t="array" ref="CB56">_xlfn.STDEV.P(IF($E$5:$E$41=$E55,CB$5:CB$41))</f>
        <v>4.9572516212149722</v>
      </c>
      <c r="CC56" s="83">
        <f t="array" ref="CC56">_xlfn.STDEV.P(IF($E$5:$E$41=$E55,CC$5:CC$41))</f>
        <v>2.7742456387950476</v>
      </c>
      <c r="CD56" s="83">
        <f t="array" ref="CD56">_xlfn.STDEV.P(IF($E$5:$E$41=$E55,CD$5:CD$41))</f>
        <v>4.0541133560952209</v>
      </c>
      <c r="CE56" s="83">
        <f t="array" ref="CE56">_xlfn.STDEV.P(IF($E$5:$E$41=$E55,CE$5:CE$41))</f>
        <v>4.7262046318983169</v>
      </c>
      <c r="CF56" s="83">
        <f t="array" ref="CF56">_xlfn.STDEV.P(IF($E$5:$E$41=$E55,CF$5:CF$41))</f>
        <v>0</v>
      </c>
      <c r="CG56" s="83">
        <f t="array" ref="CG56">_xlfn.STDEV.P(IF($E$5:$E$41=$E55,CG$5:CG$41))</f>
        <v>0</v>
      </c>
      <c r="CH56" s="83">
        <f t="array" ref="CH56">_xlfn.STDEV.P(IF($E$5:$E$41=$E55,CH$5:CH$41))</f>
        <v>0</v>
      </c>
      <c r="CI56" s="83">
        <f t="array" ref="CI56">_xlfn.STDEV.P(IF($E$5:$E$41=$E55,CI$5:CI$41))</f>
        <v>0</v>
      </c>
      <c r="CJ56" s="83">
        <f t="array" ref="CJ56">_xlfn.STDEV.P(IF($E$5:$E$41=$E55,CJ$5:CJ$41))</f>
        <v>0</v>
      </c>
      <c r="CK56" s="83">
        <f t="array" ref="CK56">_xlfn.STDEV.P(IF($E$5:$E$41=$E55,CK$5:CK$41))</f>
        <v>0</v>
      </c>
      <c r="CL56" s="83" t="e">
        <f t="array" ref="CL56">_xlfn.STDEV.P(IF($E$5:$E$41=$E55,CL$5:CL$41))</f>
        <v>#DIV/0!</v>
      </c>
      <c r="CM56" s="83" t="e">
        <f t="array" ref="CM56">_xlfn.STDEV.P(IF($E$5:$E$41=$E55,CM$5:CM$41))</f>
        <v>#DIV/0!</v>
      </c>
      <c r="CN56" s="83" t="e">
        <f t="array" ref="CN56">_xlfn.STDEV.P(IF($E$5:$E$41=$E55,CN$5:CN$41))</f>
        <v>#DIV/0!</v>
      </c>
      <c r="CO56" s="83" t="e">
        <f t="array" ref="CO56">_xlfn.STDEV.P(IF($E$5:$E$41=$E55,CO$5:CO$41))</f>
        <v>#DIV/0!</v>
      </c>
      <c r="CP56" s="83" t="e">
        <f t="array" ref="CP56">_xlfn.STDEV.P(IF($E$5:$E$41=$E55,CP$5:CP$41))</f>
        <v>#DIV/0!</v>
      </c>
      <c r="CQ56" s="83" t="e">
        <f t="array" ref="CQ56">_xlfn.STDEV.P(IF($E$5:$E$41=$E55,CQ$5:CQ$41))</f>
        <v>#DIV/0!</v>
      </c>
      <c r="CR56" s="83" t="e">
        <f t="array" ref="CR56">_xlfn.STDEV.P(IF($E$5:$E$41=$E55,CR$5:CR$41))</f>
        <v>#DIV/0!</v>
      </c>
      <c r="CS56" s="83" t="e">
        <f t="array" ref="CS56">_xlfn.STDEV.P(IF($E$5:$E$41=$E55,CS$5:CS$41))</f>
        <v>#DIV/0!</v>
      </c>
      <c r="CT56" s="83" t="e">
        <f t="array" ref="CT56">_xlfn.STDEV.P(IF($E$5:$E$41=$E55,CT$5:CT$41))</f>
        <v>#DIV/0!</v>
      </c>
      <c r="CU56" s="83" t="e">
        <f t="array" ref="CU56">_xlfn.STDEV.P(IF($E$5:$E$41=$E55,CU$5:CU$41))</f>
        <v>#DIV/0!</v>
      </c>
      <c r="CV56" s="83" t="e">
        <f t="array" ref="CV56">_xlfn.STDEV.P(IF($E$5:$E$41=$E55,CV$5:CV$41))</f>
        <v>#DIV/0!</v>
      </c>
      <c r="CW56" s="83" t="e">
        <f t="array" ref="CW56">_xlfn.STDEV.P(IF($E$5:$E$41=$E55,CW$5:CW$41))</f>
        <v>#DIV/0!</v>
      </c>
      <c r="CX56" s="83" t="e">
        <f t="array" ref="CX56">_xlfn.STDEV.P(IF($E$5:$E$41=$E55,CX$5:CX$41))</f>
        <v>#DIV/0!</v>
      </c>
      <c r="CY56" s="83" t="e">
        <f t="array" ref="CY56">_xlfn.STDEV.P(IF($E$5:$E$41=$E55,CY$5:CY$41))</f>
        <v>#DIV/0!</v>
      </c>
      <c r="CZ56" s="214"/>
      <c r="DA56" s="214"/>
      <c r="DB56" s="214"/>
      <c r="DC56" s="214"/>
      <c r="DD56" s="214"/>
      <c r="DE56" s="214"/>
      <c r="DF56" s="214"/>
    </row>
    <row r="57" spans="1:111" s="195" customFormat="1" ht="14.25" customHeight="1">
      <c r="A57" s="191"/>
      <c r="B57" s="192"/>
      <c r="C57" s="193"/>
      <c r="D57" s="192"/>
      <c r="E57" s="194"/>
      <c r="H57" s="196"/>
      <c r="I57" s="197"/>
      <c r="J57" s="197"/>
      <c r="K57" s="197"/>
      <c r="L57" s="197"/>
      <c r="M57" s="197"/>
      <c r="N57" s="197"/>
      <c r="O57" s="197"/>
      <c r="P57" s="197"/>
      <c r="Q57" s="197"/>
      <c r="R57" s="198"/>
      <c r="S57" s="197"/>
      <c r="T57" s="197"/>
      <c r="U57" s="197"/>
      <c r="V57" s="199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  <c r="AS57" s="200"/>
      <c r="AT57" s="200"/>
      <c r="AU57" s="200"/>
      <c r="AV57" s="200"/>
      <c r="AW57" s="200"/>
      <c r="AX57" s="200"/>
      <c r="AY57" s="200"/>
      <c r="AZ57" s="200"/>
      <c r="BA57" s="200"/>
      <c r="BB57" s="200"/>
      <c r="BC57" s="200"/>
      <c r="BD57" s="200"/>
      <c r="BE57" s="200"/>
      <c r="BF57" s="200"/>
      <c r="BG57" s="200"/>
      <c r="BH57" s="200"/>
      <c r="BI57" s="200"/>
      <c r="BJ57" s="200"/>
      <c r="BK57" s="189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214"/>
      <c r="DA57" s="214"/>
      <c r="DB57" s="214"/>
      <c r="DC57" s="214"/>
      <c r="DD57" s="214"/>
      <c r="DE57" s="214"/>
      <c r="DF57" s="214"/>
    </row>
    <row r="58" spans="1:111" s="206" customFormat="1" ht="14.25" customHeight="1">
      <c r="A58" s="202"/>
      <c r="B58" s="203"/>
      <c r="C58" s="204"/>
      <c r="D58" s="203"/>
      <c r="E58" s="205"/>
      <c r="H58" s="207"/>
      <c r="I58" s="208"/>
      <c r="J58" s="208"/>
      <c r="K58" s="208"/>
      <c r="L58" s="208"/>
      <c r="M58" s="208"/>
      <c r="N58" s="208"/>
      <c r="O58" s="208"/>
      <c r="P58" s="208"/>
      <c r="Q58" s="208"/>
      <c r="R58" s="209"/>
      <c r="S58" s="208"/>
      <c r="T58" s="208"/>
      <c r="U58" s="208"/>
      <c r="V58" s="210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2"/>
      <c r="BL58" s="201"/>
      <c r="BM58" s="201"/>
      <c r="BN58" s="201"/>
      <c r="BO58" s="201"/>
      <c r="BP58" s="201"/>
      <c r="BQ58" s="201"/>
      <c r="BR58" s="201"/>
      <c r="BS58" s="201"/>
      <c r="BT58" s="201"/>
      <c r="BU58" s="201"/>
      <c r="BV58" s="201"/>
      <c r="BW58" s="201"/>
      <c r="BX58" s="201"/>
      <c r="BY58" s="201"/>
      <c r="BZ58" s="201"/>
      <c r="CA58" s="201"/>
      <c r="CB58" s="201"/>
      <c r="CC58" s="201"/>
      <c r="CD58" s="201"/>
      <c r="CE58" s="201"/>
      <c r="CF58" s="201"/>
      <c r="CG58" s="201"/>
      <c r="CH58" s="201"/>
      <c r="CI58" s="201"/>
      <c r="CJ58" s="201"/>
      <c r="CK58" s="201"/>
      <c r="CL58" s="201"/>
      <c r="CM58" s="201"/>
      <c r="CN58" s="201"/>
      <c r="CO58" s="201"/>
      <c r="CP58" s="201"/>
      <c r="CQ58" s="201"/>
      <c r="CR58" s="201"/>
      <c r="CS58" s="201"/>
      <c r="CT58" s="201"/>
      <c r="CU58" s="201"/>
      <c r="CV58" s="201"/>
      <c r="CW58" s="201"/>
      <c r="CX58" s="201"/>
      <c r="CY58" s="201"/>
      <c r="CZ58" s="214"/>
      <c r="DA58" s="214"/>
      <c r="DB58" s="214"/>
      <c r="DC58" s="214"/>
      <c r="DD58" s="214"/>
      <c r="DE58" s="214"/>
      <c r="DF58" s="214"/>
    </row>
    <row r="59" spans="1:111" ht="15">
      <c r="A59" s="129"/>
      <c r="E59" s="134"/>
      <c r="H59" s="58"/>
      <c r="J59" s="63"/>
      <c r="K59" s="63"/>
      <c r="L59" s="63"/>
      <c r="N59" s="63"/>
      <c r="Q59" s="63"/>
      <c r="R59" s="187"/>
      <c r="S59" s="63"/>
      <c r="T59" s="63"/>
      <c r="U59" s="63"/>
      <c r="CZ59" s="214"/>
      <c r="DA59" s="214"/>
      <c r="DB59" s="214"/>
      <c r="DC59" s="214"/>
      <c r="DD59" s="214"/>
      <c r="DE59" s="214"/>
      <c r="DF59" s="214"/>
    </row>
    <row r="60" spans="1:111" ht="14.25" customHeight="1">
      <c r="A60" s="129"/>
      <c r="E60" s="134" t="str">
        <f>'RAD_DOSE Groups'!C10</f>
        <v>6.6 uCi Control</v>
      </c>
      <c r="H60" s="134" t="str">
        <f>E60</f>
        <v>6.6 uCi Control</v>
      </c>
      <c r="I60" s="120">
        <f>AVERAGEIF($E$5:$E$41,$E60,I$5:I$41)</f>
        <v>25.28</v>
      </c>
      <c r="J60" s="120"/>
      <c r="K60" s="120"/>
      <c r="L60" s="120"/>
      <c r="M60" s="120">
        <f>AVERAGEIF($E$5:$E$41,$E60,M$5:M$41)</f>
        <v>130.351416</v>
      </c>
      <c r="N60" s="120"/>
      <c r="O60" s="120">
        <f t="shared" ref="O60:U60" si="154">AVERAGEIF($E$5:$E$41,$E60,O$5:O$41)</f>
        <v>957.98872000000006</v>
      </c>
      <c r="P60" s="120">
        <f t="shared" si="154"/>
        <v>43.450471999999998</v>
      </c>
      <c r="Q60" s="120">
        <f t="shared" si="154"/>
        <v>741.8</v>
      </c>
      <c r="R60" s="188">
        <f t="shared" si="154"/>
        <v>5.7059452156019024</v>
      </c>
      <c r="S60" s="120">
        <f t="shared" si="154"/>
        <v>0.79318055338900584</v>
      </c>
      <c r="T60" s="120">
        <f t="shared" si="154"/>
        <v>17.117835646805709</v>
      </c>
      <c r="U60" s="120" t="e">
        <f t="shared" si="154"/>
        <v>#DIV/0!</v>
      </c>
      <c r="V60" s="81" t="s">
        <v>10</v>
      </c>
      <c r="W60" s="87">
        <f t="shared" ref="W60:BJ60" si="155">AVERAGEIF($E$5:$E$41,$E60,W$5:W$41)</f>
        <v>78.475799999999992</v>
      </c>
      <c r="X60" s="87">
        <f t="shared" si="155"/>
        <v>106.41259199999999</v>
      </c>
      <c r="Y60" s="87">
        <f t="shared" si="155"/>
        <v>130.35141600000003</v>
      </c>
      <c r="Z60" s="87">
        <f t="shared" si="155"/>
        <v>165.20691200000002</v>
      </c>
      <c r="AA60" s="87">
        <f t="shared" si="155"/>
        <v>191.28948800000001</v>
      </c>
      <c r="AB60" s="87">
        <f t="shared" si="155"/>
        <v>176.12836799999999</v>
      </c>
      <c r="AC60" s="87">
        <f t="shared" si="155"/>
        <v>270.72364800000003</v>
      </c>
      <c r="AD60" s="87">
        <f t="shared" si="155"/>
        <v>237.79610400000007</v>
      </c>
      <c r="AE60" s="87">
        <f t="shared" si="155"/>
        <v>329.95924000000002</v>
      </c>
      <c r="AF60" s="87">
        <f t="shared" si="155"/>
        <v>262.49444</v>
      </c>
      <c r="AG60" s="87">
        <f t="shared" si="155"/>
        <v>650.69388800000002</v>
      </c>
      <c r="AH60" s="87">
        <f t="shared" si="155"/>
        <v>758.24205599999993</v>
      </c>
      <c r="AI60" s="87">
        <f t="shared" si="155"/>
        <v>842.94350399999985</v>
      </c>
      <c r="AJ60" s="87">
        <f t="shared" si="155"/>
        <v>804.87326400000006</v>
      </c>
      <c r="AK60" s="87">
        <f t="shared" si="155"/>
        <v>1056.323216</v>
      </c>
      <c r="AL60" s="87">
        <f t="shared" si="155"/>
        <v>1130.20856</v>
      </c>
      <c r="AM60" s="87">
        <f t="shared" si="155"/>
        <v>1150.09375</v>
      </c>
      <c r="AN60" s="87">
        <f t="shared" si="155"/>
        <v>1115.5800933333333</v>
      </c>
      <c r="AO60" s="87">
        <f t="shared" si="155"/>
        <v>1117.6755200000002</v>
      </c>
      <c r="AP60" s="87">
        <f t="shared" si="155"/>
        <v>1347.5826000000002</v>
      </c>
      <c r="AQ60" s="87">
        <f t="shared" si="155"/>
        <v>1555.9824800000001</v>
      </c>
      <c r="AR60" s="87">
        <f t="shared" si="155"/>
        <v>1942.2000000000003</v>
      </c>
      <c r="AS60" s="87" t="e">
        <f t="shared" si="155"/>
        <v>#DIV/0!</v>
      </c>
      <c r="AT60" s="87" t="e">
        <f t="shared" si="155"/>
        <v>#DIV/0!</v>
      </c>
      <c r="AU60" s="87" t="e">
        <f t="shared" si="155"/>
        <v>#DIV/0!</v>
      </c>
      <c r="AV60" s="87" t="e">
        <f t="shared" si="155"/>
        <v>#DIV/0!</v>
      </c>
      <c r="AW60" s="87" t="e">
        <f t="shared" si="155"/>
        <v>#DIV/0!</v>
      </c>
      <c r="AX60" s="87" t="e">
        <f t="shared" si="155"/>
        <v>#DIV/0!</v>
      </c>
      <c r="AY60" s="87" t="e">
        <f t="shared" si="155"/>
        <v>#DIV/0!</v>
      </c>
      <c r="AZ60" s="87" t="e">
        <f t="shared" si="155"/>
        <v>#DIV/0!</v>
      </c>
      <c r="BA60" s="87" t="e">
        <f t="shared" si="155"/>
        <v>#DIV/0!</v>
      </c>
      <c r="BB60" s="87" t="e">
        <f t="shared" si="155"/>
        <v>#DIV/0!</v>
      </c>
      <c r="BC60" s="87" t="e">
        <f t="shared" si="155"/>
        <v>#DIV/0!</v>
      </c>
      <c r="BD60" s="87" t="e">
        <f t="shared" si="155"/>
        <v>#DIV/0!</v>
      </c>
      <c r="BE60" s="87" t="e">
        <f t="shared" si="155"/>
        <v>#DIV/0!</v>
      </c>
      <c r="BF60" s="87" t="e">
        <f t="shared" si="155"/>
        <v>#DIV/0!</v>
      </c>
      <c r="BG60" s="87" t="e">
        <f t="shared" si="155"/>
        <v>#DIV/0!</v>
      </c>
      <c r="BH60" s="87" t="e">
        <f t="shared" si="155"/>
        <v>#DIV/0!</v>
      </c>
      <c r="BI60" s="87" t="e">
        <f t="shared" si="155"/>
        <v>#DIV/0!</v>
      </c>
      <c r="BJ60" s="87" t="e">
        <f t="shared" si="155"/>
        <v>#DIV/0!</v>
      </c>
      <c r="BK60" s="114" t="s">
        <v>10</v>
      </c>
      <c r="BL60" s="82">
        <f t="shared" ref="BL60:CY60" si="156">AVERAGEIF($E$5:$E$41,$E60,BL$5:BL$41)</f>
        <v>0.55748915551311506</v>
      </c>
      <c r="BM60" s="82">
        <f t="shared" si="156"/>
        <v>0.81821810130750516</v>
      </c>
      <c r="BN60" s="82">
        <f t="shared" si="156"/>
        <v>1</v>
      </c>
      <c r="BO60" s="82">
        <f t="shared" si="156"/>
        <v>1.2904601504221893</v>
      </c>
      <c r="BP60" s="82">
        <f t="shared" si="156"/>
        <v>1.5287625367638977</v>
      </c>
      <c r="BQ60" s="82">
        <f t="shared" si="156"/>
        <v>1.3817562776942165</v>
      </c>
      <c r="BR60" s="82">
        <f t="shared" si="156"/>
        <v>2.0788543460357851</v>
      </c>
      <c r="BS60" s="82">
        <f t="shared" si="156"/>
        <v>1.8393963258670556</v>
      </c>
      <c r="BT60" s="82">
        <f t="shared" si="156"/>
        <v>2.4979517285629882</v>
      </c>
      <c r="BU60" s="82">
        <f t="shared" si="156"/>
        <v>2.0205221394636985</v>
      </c>
      <c r="BV60" s="82">
        <f t="shared" si="156"/>
        <v>4.9962807089980057</v>
      </c>
      <c r="BW60" s="82">
        <f t="shared" si="156"/>
        <v>5.8676719148917487</v>
      </c>
      <c r="BX60" s="82">
        <f t="shared" si="156"/>
        <v>6.5554991614930191</v>
      </c>
      <c r="BY60" s="82">
        <f t="shared" si="156"/>
        <v>6.2172985525201279</v>
      </c>
      <c r="BZ60" s="82">
        <f t="shared" si="156"/>
        <v>8.2268206649063984</v>
      </c>
      <c r="CA60" s="82">
        <f t="shared" si="156"/>
        <v>8.3343702157055812</v>
      </c>
      <c r="CB60" s="82">
        <f t="shared" si="156"/>
        <v>8.525643408082157</v>
      </c>
      <c r="CC60" s="82">
        <f t="shared" si="156"/>
        <v>8.2869085386596648</v>
      </c>
      <c r="CD60" s="82">
        <f t="shared" si="156"/>
        <v>8.3464655416161744</v>
      </c>
      <c r="CE60" s="82">
        <f t="shared" si="156"/>
        <v>10.629640490114577</v>
      </c>
      <c r="CF60" s="82">
        <f t="shared" si="156"/>
        <v>12.251382141713172</v>
      </c>
      <c r="CG60" s="82">
        <f t="shared" si="156"/>
        <v>20.313043856595893</v>
      </c>
      <c r="CH60" s="82" t="e">
        <f t="shared" si="156"/>
        <v>#DIV/0!</v>
      </c>
      <c r="CI60" s="82" t="e">
        <f t="shared" si="156"/>
        <v>#DIV/0!</v>
      </c>
      <c r="CJ60" s="82" t="e">
        <f t="shared" si="156"/>
        <v>#DIV/0!</v>
      </c>
      <c r="CK60" s="82" t="e">
        <f t="shared" si="156"/>
        <v>#DIV/0!</v>
      </c>
      <c r="CL60" s="82" t="e">
        <f t="shared" si="156"/>
        <v>#DIV/0!</v>
      </c>
      <c r="CM60" s="82" t="e">
        <f t="shared" si="156"/>
        <v>#DIV/0!</v>
      </c>
      <c r="CN60" s="82" t="e">
        <f t="shared" si="156"/>
        <v>#DIV/0!</v>
      </c>
      <c r="CO60" s="82" t="e">
        <f t="shared" si="156"/>
        <v>#DIV/0!</v>
      </c>
      <c r="CP60" s="82" t="e">
        <f t="shared" si="156"/>
        <v>#DIV/0!</v>
      </c>
      <c r="CQ60" s="82" t="e">
        <f t="shared" si="156"/>
        <v>#DIV/0!</v>
      </c>
      <c r="CR60" s="82" t="e">
        <f t="shared" si="156"/>
        <v>#DIV/0!</v>
      </c>
      <c r="CS60" s="82" t="e">
        <f t="shared" si="156"/>
        <v>#DIV/0!</v>
      </c>
      <c r="CT60" s="82" t="e">
        <f t="shared" si="156"/>
        <v>#DIV/0!</v>
      </c>
      <c r="CU60" s="82" t="e">
        <f t="shared" si="156"/>
        <v>#DIV/0!</v>
      </c>
      <c r="CV60" s="82" t="e">
        <f t="shared" si="156"/>
        <v>#DIV/0!</v>
      </c>
      <c r="CW60" s="82" t="e">
        <f t="shared" si="156"/>
        <v>#DIV/0!</v>
      </c>
      <c r="CX60" s="82" t="e">
        <f t="shared" si="156"/>
        <v>#DIV/0!</v>
      </c>
      <c r="CY60" s="82" t="e">
        <f t="shared" si="156"/>
        <v>#DIV/0!</v>
      </c>
      <c r="CZ60" s="214" t="e">
        <f>#REF!</f>
        <v>#REF!</v>
      </c>
      <c r="DA60" s="214" t="e">
        <f>#REF!</f>
        <v>#REF!</v>
      </c>
      <c r="DB60" s="214" t="e">
        <f>#REF!</f>
        <v>#REF!</v>
      </c>
      <c r="DC60" s="214" t="e">
        <f>#REF!</f>
        <v>#REF!</v>
      </c>
      <c r="DD60" s="214" t="e">
        <f>#REF!</f>
        <v>#REF!</v>
      </c>
      <c r="DE60" s="214" t="e">
        <f>#REF!</f>
        <v>#REF!</v>
      </c>
      <c r="DF60" s="214" t="e">
        <f>#REF!</f>
        <v>#REF!</v>
      </c>
      <c r="DG60" s="195" t="e">
        <f>#REF!</f>
        <v>#REF!</v>
      </c>
    </row>
    <row r="61" spans="1:111" ht="14.25" customHeight="1">
      <c r="A61" s="129"/>
      <c r="E61" s="134"/>
      <c r="H61" s="104"/>
      <c r="I61" s="120">
        <f t="array" ref="I61">_xlfn.STDEV.P(IF($E$5:$E$41=$E60,I$5:I$41))</f>
        <v>3.2201863300125959</v>
      </c>
      <c r="J61" s="120"/>
      <c r="K61" s="120"/>
      <c r="L61" s="120"/>
      <c r="M61" s="120">
        <f t="array" ref="M61">_xlfn.STDEV.P(IF($E$5:$E$41=$E60,M$5:M$41))</f>
        <v>24.879543893023154</v>
      </c>
      <c r="N61" s="120"/>
      <c r="O61" s="120">
        <f t="array" ref="O61">_xlfn.STDEV.P(IF($E$5:$E$41=$E60,O$5:O$41))</f>
        <v>250.75599356600287</v>
      </c>
      <c r="P61" s="120">
        <f t="array" ref="P61">_xlfn.STDEV.P(IF($E$5:$E$41=$E60,P$5:P$41))</f>
        <v>8.2931812976743728</v>
      </c>
      <c r="Q61" s="120">
        <f t="array" ref="Q61">_xlfn.STDEV.P(IF($E$5:$E$41=$E60,Q$5:Q$41))</f>
        <v>138.65554442574592</v>
      </c>
      <c r="R61" s="188">
        <f t="array" ref="R61">_xlfn.STDEV.P(IF($E$5:$E$41=$E60,R$5:R$41))</f>
        <v>0.4481503958987661</v>
      </c>
      <c r="S61" s="120">
        <f t="array" ref="S61">_xlfn.STDEV.P(IF($E$5:$E$41=$E60,S$5:S$41))</f>
        <v>9.806512825103067E-2</v>
      </c>
      <c r="T61" s="120">
        <f t="array" ref="T61">_xlfn.STDEV.P(IF($E$5:$E$41=$E60,T$5:T$41))</f>
        <v>1.3444511876962983</v>
      </c>
      <c r="U61" s="120">
        <f t="array" ref="U61">_xlfn.STDEV.P(IF($E$5:$E$41=$E60,U$5:U$41))</f>
        <v>0</v>
      </c>
      <c r="V61" s="81" t="s">
        <v>12</v>
      </c>
      <c r="W61" s="90">
        <f t="array" ref="W61">_xlfn.STDEV.P(IF($E$5:$E$41=$E60,W$5:W$41))</f>
        <v>43.107770687544502</v>
      </c>
      <c r="X61" s="90">
        <f t="array" ref="X61">_xlfn.STDEV.P(IF($E$5:$E$41=$E60,X$5:X$41))</f>
        <v>21.59195922381323</v>
      </c>
      <c r="Y61" s="90">
        <f t="array" ref="Y61">_xlfn.STDEV.P(IF($E$5:$E$41=$E60,Y$5:Y$41))</f>
        <v>24.879543893023012</v>
      </c>
      <c r="Z61" s="90">
        <f t="array" ref="Z61">_xlfn.STDEV.P(IF($E$5:$E$41=$E60,Z$5:Z$41))</f>
        <v>43.18022281943734</v>
      </c>
      <c r="AA61" s="90">
        <f t="array" ref="AA61">_xlfn.STDEV.P(IF($E$5:$E$41=$E60,AA$5:AA$41))</f>
        <v>14.976624816077086</v>
      </c>
      <c r="AB61" s="90">
        <f t="array" ref="AB61">_xlfn.STDEV.P(IF($E$5:$E$41=$E60,AB$5:AB$41))</f>
        <v>37.199968690829074</v>
      </c>
      <c r="AC61" s="90">
        <f t="array" ref="AC61">_xlfn.STDEV.P(IF($E$5:$E$41=$E60,AC$5:AC$41))</f>
        <v>115.81136558028405</v>
      </c>
      <c r="AD61" s="90">
        <f t="array" ref="AD61">_xlfn.STDEV.P(IF($E$5:$E$41=$E60,AD$5:AD$41))</f>
        <v>64.494878229756196</v>
      </c>
      <c r="AE61" s="90">
        <f t="array" ref="AE61">_xlfn.STDEV.P(IF($E$5:$E$41=$E60,AE$5:AE$41))</f>
        <v>137.89394451653166</v>
      </c>
      <c r="AF61" s="90">
        <f t="array" ref="AF61">_xlfn.STDEV.P(IF($E$5:$E$41=$E60,AF$5:AF$41))</f>
        <v>100.90275475335963</v>
      </c>
      <c r="AG61" s="90">
        <f t="array" ref="AG61">_xlfn.STDEV.P(IF($E$5:$E$41=$E60,AG$5:AG$41))</f>
        <v>345.08141087392443</v>
      </c>
      <c r="AH61" s="90">
        <f t="array" ref="AH61">_xlfn.STDEV.P(IF($E$5:$E$41=$E60,AH$5:AH$41))</f>
        <v>391.33138440847358</v>
      </c>
      <c r="AI61" s="90">
        <f t="array" ref="AI61">_xlfn.STDEV.P(IF($E$5:$E$41=$E60,AI$5:AI$41))</f>
        <v>455.40685721697474</v>
      </c>
      <c r="AJ61" s="90">
        <f t="array" ref="AJ61">_xlfn.STDEV.P(IF($E$5:$E$41=$E60,AJ$5:AJ$41))</f>
        <v>483.20077023841742</v>
      </c>
      <c r="AK61" s="90">
        <f t="array" ref="AK61">_xlfn.STDEV.P(IF($E$5:$E$41=$E60,AK$5:AK$41))</f>
        <v>597.73318739258366</v>
      </c>
      <c r="AL61" s="90">
        <f t="array" ref="AL61">_xlfn.STDEV.P(IF($E$5:$E$41=$E60,AL$5:AL$41))</f>
        <v>610.70439989061538</v>
      </c>
      <c r="AM61" s="90">
        <f t="array" ref="AM61">_xlfn.STDEV.P(IF($E$5:$E$41=$E60,AM$5:AM$41))</f>
        <v>654.95571197316121</v>
      </c>
      <c r="AN61" s="90">
        <f t="array" ref="AN61">_xlfn.STDEV.P(IF($E$5:$E$41=$E60,AN$5:AN$41))</f>
        <v>667.95700868042115</v>
      </c>
      <c r="AO61" s="90">
        <f t="array" ref="AO61">_xlfn.STDEV.P(IF($E$5:$E$41=$E60,AO$5:AO$41))</f>
        <v>583.805931201828</v>
      </c>
      <c r="AP61" s="90">
        <f t="array" ref="AP61">_xlfn.STDEV.P(IF($E$5:$E$41=$E60,AP$5:AP$41))</f>
        <v>666.30461994375935</v>
      </c>
      <c r="AQ61" s="90">
        <f t="array" ref="AQ61">_xlfn.STDEV.P(IF($E$5:$E$41=$E60,AQ$5:AQ$41))</f>
        <v>770.18329487763083</v>
      </c>
      <c r="AR61" s="90">
        <f t="array" ref="AR61">_xlfn.STDEV.P(IF($E$5:$E$41=$E60,AR$5:AR$41))</f>
        <v>776.88000000000011</v>
      </c>
      <c r="AS61" s="90">
        <f t="array" ref="AS61">_xlfn.STDEV.P(IF($E$5:$E$41=$E60,AS$5:AS$41))</f>
        <v>0</v>
      </c>
      <c r="AT61" s="90">
        <f t="array" ref="AT61">_xlfn.STDEV.P(IF($E$5:$E$41=$E60,AT$5:AT$41))</f>
        <v>0</v>
      </c>
      <c r="AU61" s="90">
        <f t="array" ref="AU61">_xlfn.STDEV.P(IF($E$5:$E$41=$E60,AU$5:AU$41))</f>
        <v>0</v>
      </c>
      <c r="AV61" s="90">
        <f t="array" ref="AV61">_xlfn.STDEV.P(IF($E$5:$E$41=$E60,AV$5:AV$41))</f>
        <v>0</v>
      </c>
      <c r="AW61" s="90">
        <f t="array" ref="AW61">_xlfn.STDEV.P(IF($E$5:$E$41=$E60,AW$5:AW$41))</f>
        <v>0</v>
      </c>
      <c r="AX61" s="90">
        <f t="array" ref="AX61">_xlfn.STDEV.P(IF($E$5:$E$41=$E60,AX$5:AX$41))</f>
        <v>0</v>
      </c>
      <c r="AY61" s="90">
        <f t="array" ref="AY61">_xlfn.STDEV.P(IF($E$5:$E$41=$E60,AY$5:AY$41))</f>
        <v>0</v>
      </c>
      <c r="AZ61" s="90">
        <f t="array" ref="AZ61">_xlfn.STDEV.P(IF($E$5:$E$41=$E60,AZ$5:AZ$41))</f>
        <v>0</v>
      </c>
      <c r="BA61" s="90">
        <f t="array" ref="BA61">_xlfn.STDEV.P(IF($E$5:$E$41=$E60,BA$5:BA$41))</f>
        <v>0</v>
      </c>
      <c r="BB61" s="90">
        <f t="array" ref="BB61">_xlfn.STDEV.P(IF($E$5:$E$41=$E60,BB$5:BB$41))</f>
        <v>0</v>
      </c>
      <c r="BC61" s="90">
        <f t="array" ref="BC61">_xlfn.STDEV.P(IF($E$5:$E$41=$E60,BC$5:BC$41))</f>
        <v>0</v>
      </c>
      <c r="BD61" s="90">
        <f t="array" ref="BD61">_xlfn.STDEV.P(IF($E$5:$E$41=$E60,BD$5:BD$41))</f>
        <v>0</v>
      </c>
      <c r="BE61" s="90">
        <f t="array" ref="BE61">_xlfn.STDEV.P(IF($E$5:$E$41=$E60,BE$5:BE$41))</f>
        <v>0</v>
      </c>
      <c r="BF61" s="90">
        <f t="array" ref="BF61">_xlfn.STDEV.P(IF($E$5:$E$41=$E60,BF$5:BF$41))</f>
        <v>0</v>
      </c>
      <c r="BG61" s="90">
        <f t="array" ref="BG61">_xlfn.STDEV.P(IF($E$5:$E$41=$E60,BG$5:BG$41))</f>
        <v>0</v>
      </c>
      <c r="BH61" s="90">
        <f t="array" ref="BH61">_xlfn.STDEV.P(IF($E$5:$E$41=$E60,BH$5:BH$41))</f>
        <v>0</v>
      </c>
      <c r="BI61" s="90">
        <f t="array" ref="BI61">_xlfn.STDEV.P(IF($E$5:$E$41=$E60,BI$5:BI$41))</f>
        <v>0</v>
      </c>
      <c r="BJ61" s="90">
        <f t="array" ref="BJ61">_xlfn.STDEV.P(IF($E$5:$E$41=$E60,BJ$5:BJ$41))</f>
        <v>0</v>
      </c>
      <c r="BK61" s="115" t="s">
        <v>12</v>
      </c>
      <c r="BL61" s="83">
        <f t="array" ref="BL61">_xlfn.STDEV.P(IF($E$5:$E$41=$E60,BL$5:BL$41))</f>
        <v>0.20457333553329185</v>
      </c>
      <c r="BM61" s="83">
        <f t="array" ref="BM61">_xlfn.STDEV.P(IF($E$5:$E$41=$E60,BM$5:BM$41))</f>
        <v>9.4179851557672542E-2</v>
      </c>
      <c r="BN61" s="83">
        <f t="array" ref="BN61">_xlfn.STDEV.P(IF($E$5:$E$41=$E60,BN$5:BN$41))</f>
        <v>1.4895204919483638E-16</v>
      </c>
      <c r="BO61" s="83">
        <f t="array" ref="BO61">_xlfn.STDEV.P(IF($E$5:$E$41=$E60,BO$5:BO$41))</f>
        <v>0.34807592888015426</v>
      </c>
      <c r="BP61" s="83">
        <f t="array" ref="BP61">_xlfn.STDEV.P(IF($E$5:$E$41=$E60,BP$5:BP$41))</f>
        <v>0.33479632977636059</v>
      </c>
      <c r="BQ61" s="83">
        <f t="array" ref="BQ61">_xlfn.STDEV.P(IF($E$5:$E$41=$E60,BQ$5:BQ$41))</f>
        <v>0.31478374250372665</v>
      </c>
      <c r="BR61" s="83">
        <f t="array" ref="BR61">_xlfn.STDEV.P(IF($E$5:$E$41=$E60,BR$5:BR$41))</f>
        <v>0.81257309154341006</v>
      </c>
      <c r="BS61" s="83">
        <f t="array" ref="BS61">_xlfn.STDEV.P(IF($E$5:$E$41=$E60,BS$5:BS$41))</f>
        <v>0.43152078036206465</v>
      </c>
      <c r="BT61" s="83">
        <f t="array" ref="BT61">_xlfn.STDEV.P(IF($E$5:$E$41=$E60,BT$5:BT$41))</f>
        <v>0.9515842172556267</v>
      </c>
      <c r="BU61" s="83">
        <f t="array" ref="BU61">_xlfn.STDEV.P(IF($E$5:$E$41=$E60,BU$5:BU$41))</f>
        <v>0.82693815473246435</v>
      </c>
      <c r="BV61" s="83">
        <f t="array" ref="BV61">_xlfn.STDEV.P(IF($E$5:$E$41=$E60,BV$5:BV$41))</f>
        <v>2.771629834158158</v>
      </c>
      <c r="BW61" s="83">
        <f t="array" ref="BW61">_xlfn.STDEV.P(IF($E$5:$E$41=$E60,BW$5:BW$41))</f>
        <v>3.2195086496813943</v>
      </c>
      <c r="BX61" s="83">
        <f t="array" ref="BX61">_xlfn.STDEV.P(IF($E$5:$E$41=$E60,BX$5:BX$41))</f>
        <v>3.8817870975895539</v>
      </c>
      <c r="BY61" s="83">
        <f t="array" ref="BY61">_xlfn.STDEV.P(IF($E$5:$E$41=$E60,BY$5:BY$41))</f>
        <v>4.1458883269173894</v>
      </c>
      <c r="BZ61" s="83">
        <f t="array" ref="BZ61">_xlfn.STDEV.P(IF($E$5:$E$41=$E60,BZ$5:BZ$41))</f>
        <v>5.0916739011634524</v>
      </c>
      <c r="CA61" s="83">
        <f t="array" ref="CA61">_xlfn.STDEV.P(IF($E$5:$E$41=$E60,CA$5:CA$41))</f>
        <v>3.2011469956970968</v>
      </c>
      <c r="CB61" s="83">
        <f t="array" ref="CB61">_xlfn.STDEV.P(IF($E$5:$E$41=$E60,CB$5:CB$41))</f>
        <v>3.7865178395165704</v>
      </c>
      <c r="CC61" s="83">
        <f t="array" ref="CC61">_xlfn.STDEV.P(IF($E$5:$E$41=$E60,CC$5:CC$41))</f>
        <v>3.4127008764235907</v>
      </c>
      <c r="CD61" s="83">
        <f t="array" ref="CD61">_xlfn.STDEV.P(IF($E$5:$E$41=$E60,CD$5:CD$41))</f>
        <v>6.2723637533128596E-3</v>
      </c>
      <c r="CE61" s="83">
        <f t="array" ref="CE61">_xlfn.STDEV.P(IF($E$5:$E$41=$E60,CE$5:CE$41))</f>
        <v>1.9736487545773806</v>
      </c>
      <c r="CF61" s="83">
        <f t="array" ref="CF61">_xlfn.STDEV.P(IF($E$5:$E$41=$E60,CF$5:CF$41))</f>
        <v>2.2015416313463465</v>
      </c>
      <c r="CG61" s="83">
        <f t="array" ref="CG61">_xlfn.STDEV.P(IF($E$5:$E$41=$E60,CG$5:CG$41))</f>
        <v>0</v>
      </c>
      <c r="CH61" s="83" t="e">
        <f t="array" ref="CH61">_xlfn.STDEV.P(IF($E$5:$E$41=$E60,CH$5:CH$41))</f>
        <v>#DIV/0!</v>
      </c>
      <c r="CI61" s="83" t="e">
        <f t="array" ref="CI61">_xlfn.STDEV.P(IF($E$5:$E$41=$E60,CI$5:CI$41))</f>
        <v>#DIV/0!</v>
      </c>
      <c r="CJ61" s="83" t="e">
        <f t="array" ref="CJ61">_xlfn.STDEV.P(IF($E$5:$E$41=$E60,CJ$5:CJ$41))</f>
        <v>#DIV/0!</v>
      </c>
      <c r="CK61" s="83" t="e">
        <f t="array" ref="CK61">_xlfn.STDEV.P(IF($E$5:$E$41=$E60,CK$5:CK$41))</f>
        <v>#DIV/0!</v>
      </c>
      <c r="CL61" s="83" t="e">
        <f t="array" ref="CL61">_xlfn.STDEV.P(IF($E$5:$E$41=$E60,CL$5:CL$41))</f>
        <v>#DIV/0!</v>
      </c>
      <c r="CM61" s="83" t="e">
        <f t="array" ref="CM61">_xlfn.STDEV.P(IF($E$5:$E$41=$E60,CM$5:CM$41))</f>
        <v>#DIV/0!</v>
      </c>
      <c r="CN61" s="83" t="e">
        <f t="array" ref="CN61">_xlfn.STDEV.P(IF($E$5:$E$41=$E60,CN$5:CN$41))</f>
        <v>#DIV/0!</v>
      </c>
      <c r="CO61" s="83" t="e">
        <f t="array" ref="CO61">_xlfn.STDEV.P(IF($E$5:$E$41=$E60,CO$5:CO$41))</f>
        <v>#DIV/0!</v>
      </c>
      <c r="CP61" s="83" t="e">
        <f t="array" ref="CP61">_xlfn.STDEV.P(IF($E$5:$E$41=$E60,CP$5:CP$41))</f>
        <v>#DIV/0!</v>
      </c>
      <c r="CQ61" s="83" t="e">
        <f t="array" ref="CQ61">_xlfn.STDEV.P(IF($E$5:$E$41=$E60,CQ$5:CQ$41))</f>
        <v>#DIV/0!</v>
      </c>
      <c r="CR61" s="83" t="e">
        <f t="array" ref="CR61">_xlfn.STDEV.P(IF($E$5:$E$41=$E60,CR$5:CR$41))</f>
        <v>#DIV/0!</v>
      </c>
      <c r="CS61" s="83" t="e">
        <f t="array" ref="CS61">_xlfn.STDEV.P(IF($E$5:$E$41=$E60,CS$5:CS$41))</f>
        <v>#DIV/0!</v>
      </c>
      <c r="CT61" s="83" t="e">
        <f t="array" ref="CT61">_xlfn.STDEV.P(IF($E$5:$E$41=$E60,CT$5:CT$41))</f>
        <v>#DIV/0!</v>
      </c>
      <c r="CU61" s="83" t="e">
        <f t="array" ref="CU61">_xlfn.STDEV.P(IF($E$5:$E$41=$E60,CU$5:CU$41))</f>
        <v>#DIV/0!</v>
      </c>
      <c r="CV61" s="83" t="e">
        <f t="array" ref="CV61">_xlfn.STDEV.P(IF($E$5:$E$41=$E60,CV$5:CV$41))</f>
        <v>#DIV/0!</v>
      </c>
      <c r="CW61" s="83" t="e">
        <f t="array" ref="CW61">_xlfn.STDEV.P(IF($E$5:$E$41=$E60,CW$5:CW$41))</f>
        <v>#DIV/0!</v>
      </c>
      <c r="CX61" s="83" t="e">
        <f t="array" ref="CX61">_xlfn.STDEV.P(IF($E$5:$E$41=$E60,CX$5:CX$41))</f>
        <v>#DIV/0!</v>
      </c>
      <c r="CY61" s="83" t="e">
        <f t="array" ref="CY61">_xlfn.STDEV.P(IF($E$5:$E$41=$E60,CY$5:CY$41))</f>
        <v>#DIV/0!</v>
      </c>
      <c r="CZ61" s="214" t="e">
        <f>#REF!</f>
        <v>#REF!</v>
      </c>
      <c r="DA61" s="214" t="e">
        <f>#REF!</f>
        <v>#REF!</v>
      </c>
      <c r="DB61" s="214" t="e">
        <f>#REF!</f>
        <v>#REF!</v>
      </c>
      <c r="DC61" s="214" t="e">
        <f>#REF!</f>
        <v>#REF!</v>
      </c>
      <c r="DD61" s="214" t="e">
        <f>#REF!</f>
        <v>#REF!</v>
      </c>
      <c r="DE61" s="214" t="e">
        <f>#REF!</f>
        <v>#REF!</v>
      </c>
      <c r="DF61" s="214" t="e">
        <f>#REF!</f>
        <v>#REF!</v>
      </c>
      <c r="DG61" s="195" t="e">
        <f>#REF!</f>
        <v>#REF!</v>
      </c>
    </row>
    <row r="62" spans="1:111" ht="15">
      <c r="A62" s="129"/>
      <c r="E62" s="134"/>
      <c r="H62" s="58"/>
      <c r="J62" s="63"/>
      <c r="K62" s="63"/>
      <c r="L62" s="63"/>
      <c r="N62" s="63"/>
      <c r="Q62" s="63"/>
      <c r="R62" s="187"/>
      <c r="S62" s="63"/>
      <c r="T62" s="63"/>
      <c r="U62" s="63"/>
      <c r="CZ62" s="214"/>
      <c r="DA62" s="214"/>
      <c r="DB62" s="214"/>
      <c r="DC62" s="214"/>
      <c r="DD62" s="214"/>
      <c r="DE62" s="214"/>
      <c r="DF62" s="214"/>
    </row>
    <row r="63" spans="1:111" ht="14.25" customHeight="1">
      <c r="A63" s="129"/>
      <c r="E63" s="134" t="str">
        <f>'RAD_DOSE Groups'!C11</f>
        <v>6.6 uCi + CP-PTX</v>
      </c>
      <c r="H63" s="134" t="str">
        <f>E63</f>
        <v>6.6 uCi + CP-PTX</v>
      </c>
      <c r="I63" s="120">
        <f>AVERAGEIF($E$5:$E$41,$E63,I$5:I$41)</f>
        <v>26.339999999999996</v>
      </c>
      <c r="J63" s="120"/>
      <c r="K63" s="120"/>
      <c r="L63" s="120"/>
      <c r="M63" s="120">
        <f>AVERAGEIF($E$5:$E$41,$E63,M$5:M$41)</f>
        <v>148.154968</v>
      </c>
      <c r="N63" s="120"/>
      <c r="O63" s="120">
        <f t="shared" ref="O63:U63" si="157">AVERAGEIF($E$5:$E$41,$E63,O$5:O$41)</f>
        <v>1054.1526666666666</v>
      </c>
      <c r="P63" s="120">
        <f t="shared" si="157"/>
        <v>49.384989333333337</v>
      </c>
      <c r="Q63" s="120">
        <f t="shared" si="157"/>
        <v>885.4</v>
      </c>
      <c r="R63" s="188">
        <f t="shared" si="157"/>
        <v>5.9660663082663152</v>
      </c>
      <c r="S63" s="120">
        <f t="shared" si="157"/>
        <v>0.8312056593326933</v>
      </c>
      <c r="T63" s="120">
        <f t="shared" si="157"/>
        <v>17.898198924798951</v>
      </c>
      <c r="U63" s="120" t="e">
        <f t="shared" si="157"/>
        <v>#DIV/0!</v>
      </c>
      <c r="V63" s="81" t="s">
        <v>10</v>
      </c>
      <c r="W63" s="87">
        <f t="shared" ref="W63:BJ63" si="158">AVERAGEIF($E$5:$E$41,$E63,W$5:W$41)</f>
        <v>106.24619200000002</v>
      </c>
      <c r="X63" s="87">
        <f t="shared" si="158"/>
        <v>98.361744000000016</v>
      </c>
      <c r="Y63" s="87">
        <f t="shared" si="158"/>
        <v>148.154968</v>
      </c>
      <c r="Z63" s="87">
        <f t="shared" si="158"/>
        <v>189.88673600000001</v>
      </c>
      <c r="AA63" s="87">
        <f t="shared" si="158"/>
        <v>202.98792800000001</v>
      </c>
      <c r="AB63" s="87">
        <f t="shared" si="158"/>
        <v>210.503176</v>
      </c>
      <c r="AC63" s="87">
        <f t="shared" si="158"/>
        <v>218.06855200000001</v>
      </c>
      <c r="AD63" s="87">
        <f t="shared" si="158"/>
        <v>168.54843199999999</v>
      </c>
      <c r="AE63" s="87">
        <f t="shared" si="158"/>
        <v>130.780416</v>
      </c>
      <c r="AF63" s="87">
        <f t="shared" si="158"/>
        <v>57.644807999999998</v>
      </c>
      <c r="AG63" s="87">
        <f t="shared" si="158"/>
        <v>161.363384</v>
      </c>
      <c r="AH63" s="87">
        <f t="shared" si="158"/>
        <v>178.44153600000001</v>
      </c>
      <c r="AI63" s="87">
        <f t="shared" si="158"/>
        <v>246.74447199999994</v>
      </c>
      <c r="AJ63" s="87">
        <f t="shared" si="158"/>
        <v>342.80012000000005</v>
      </c>
      <c r="AK63" s="87">
        <f t="shared" si="158"/>
        <v>347.80792800000006</v>
      </c>
      <c r="AL63" s="87">
        <f t="shared" si="158"/>
        <v>495.19059200000009</v>
      </c>
      <c r="AM63" s="87">
        <f t="shared" si="158"/>
        <v>378.66893999999996</v>
      </c>
      <c r="AN63" s="87">
        <f t="shared" si="158"/>
        <v>580.6726900000001</v>
      </c>
      <c r="AO63" s="87">
        <f t="shared" si="158"/>
        <v>748.77881000000002</v>
      </c>
      <c r="AP63" s="87">
        <f t="shared" si="158"/>
        <v>590.43486666666661</v>
      </c>
      <c r="AQ63" s="87">
        <f t="shared" si="158"/>
        <v>766.95493333333343</v>
      </c>
      <c r="AR63" s="87">
        <f t="shared" si="158"/>
        <v>840.2180800000001</v>
      </c>
      <c r="AS63" s="87">
        <f t="shared" si="158"/>
        <v>931.03920000000005</v>
      </c>
      <c r="AT63" s="87">
        <f t="shared" si="158"/>
        <v>1127.1187200000002</v>
      </c>
      <c r="AU63" s="87">
        <f t="shared" si="158"/>
        <v>1504.0752133333335</v>
      </c>
      <c r="AV63" s="87">
        <f t="shared" si="158"/>
        <v>1652.4672666666668</v>
      </c>
      <c r="AW63" s="87">
        <f t="shared" si="158"/>
        <v>1881.7567600000002</v>
      </c>
      <c r="AX63" s="87" t="e">
        <f t="shared" si="158"/>
        <v>#DIV/0!</v>
      </c>
      <c r="AY63" s="87" t="e">
        <f t="shared" si="158"/>
        <v>#DIV/0!</v>
      </c>
      <c r="AZ63" s="87" t="e">
        <f t="shared" si="158"/>
        <v>#DIV/0!</v>
      </c>
      <c r="BA63" s="87" t="e">
        <f t="shared" si="158"/>
        <v>#DIV/0!</v>
      </c>
      <c r="BB63" s="87" t="e">
        <f t="shared" si="158"/>
        <v>#DIV/0!</v>
      </c>
      <c r="BC63" s="87" t="e">
        <f t="shared" si="158"/>
        <v>#DIV/0!</v>
      </c>
      <c r="BD63" s="87" t="e">
        <f t="shared" si="158"/>
        <v>#DIV/0!</v>
      </c>
      <c r="BE63" s="87" t="e">
        <f t="shared" si="158"/>
        <v>#DIV/0!</v>
      </c>
      <c r="BF63" s="87" t="e">
        <f t="shared" si="158"/>
        <v>#DIV/0!</v>
      </c>
      <c r="BG63" s="87" t="e">
        <f t="shared" si="158"/>
        <v>#DIV/0!</v>
      </c>
      <c r="BH63" s="87" t="e">
        <f t="shared" si="158"/>
        <v>#DIV/0!</v>
      </c>
      <c r="BI63" s="87" t="e">
        <f t="shared" si="158"/>
        <v>#DIV/0!</v>
      </c>
      <c r="BJ63" s="87" t="e">
        <f t="shared" si="158"/>
        <v>#DIV/0!</v>
      </c>
      <c r="BK63" s="114" t="s">
        <v>10</v>
      </c>
      <c r="BL63" s="82">
        <f t="shared" ref="BL63:CY63" si="159">AVERAGEIF($E$5:$E$41,$E63,BL$5:BL$41)</f>
        <v>0.71872199742871534</v>
      </c>
      <c r="BM63" s="82">
        <f t="shared" si="159"/>
        <v>0.68183732747399106</v>
      </c>
      <c r="BN63" s="82">
        <f t="shared" si="159"/>
        <v>1</v>
      </c>
      <c r="BO63" s="82">
        <f t="shared" si="159"/>
        <v>1.3317457022574368</v>
      </c>
      <c r="BP63" s="82">
        <f t="shared" si="159"/>
        <v>1.4281148283440657</v>
      </c>
      <c r="BQ63" s="82">
        <f t="shared" si="159"/>
        <v>1.3745066728511062</v>
      </c>
      <c r="BR63" s="82">
        <f t="shared" si="159"/>
        <v>1.4323701772855126</v>
      </c>
      <c r="BS63" s="82">
        <f t="shared" si="159"/>
        <v>1.0159171590584406</v>
      </c>
      <c r="BT63" s="82">
        <f t="shared" si="159"/>
        <v>0.84350739128050523</v>
      </c>
      <c r="BU63" s="82">
        <f t="shared" si="159"/>
        <v>0.3857952304735548</v>
      </c>
      <c r="BV63" s="82">
        <f t="shared" si="159"/>
        <v>1.0761178810020482</v>
      </c>
      <c r="BW63" s="82">
        <f t="shared" si="159"/>
        <v>1.2525829930515964</v>
      </c>
      <c r="BX63" s="82">
        <f t="shared" si="159"/>
        <v>1.6257953566631946</v>
      </c>
      <c r="BY63" s="82">
        <f t="shared" si="159"/>
        <v>2.4580448237432968</v>
      </c>
      <c r="BZ63" s="82">
        <f t="shared" si="159"/>
        <v>2.3603335585196072</v>
      </c>
      <c r="CA63" s="82">
        <f t="shared" si="159"/>
        <v>3.6255231849737299</v>
      </c>
      <c r="CB63" s="82">
        <f t="shared" si="159"/>
        <v>2.4932469091584673</v>
      </c>
      <c r="CC63" s="82">
        <f t="shared" si="159"/>
        <v>3.3361598179609779</v>
      </c>
      <c r="CD63" s="82">
        <f t="shared" si="159"/>
        <v>4.3845269032049998</v>
      </c>
      <c r="CE63" s="82">
        <f t="shared" si="159"/>
        <v>4.4936380018880735</v>
      </c>
      <c r="CF63" s="82">
        <f t="shared" si="159"/>
        <v>5.9988074208153108</v>
      </c>
      <c r="CG63" s="82">
        <f t="shared" si="159"/>
        <v>6.6203406775844149</v>
      </c>
      <c r="CH63" s="82">
        <f t="shared" si="159"/>
        <v>7.3083388176940192</v>
      </c>
      <c r="CI63" s="82">
        <f t="shared" si="159"/>
        <v>8.5860877038455659</v>
      </c>
      <c r="CJ63" s="82">
        <f t="shared" si="159"/>
        <v>11.849574900285605</v>
      </c>
      <c r="CK63" s="82">
        <f t="shared" si="159"/>
        <v>12.944691658221158</v>
      </c>
      <c r="CL63" s="82">
        <f t="shared" si="159"/>
        <v>13.961277006172843</v>
      </c>
      <c r="CM63" s="82" t="e">
        <f t="shared" si="159"/>
        <v>#DIV/0!</v>
      </c>
      <c r="CN63" s="82" t="e">
        <f t="shared" si="159"/>
        <v>#DIV/0!</v>
      </c>
      <c r="CO63" s="82" t="e">
        <f t="shared" si="159"/>
        <v>#DIV/0!</v>
      </c>
      <c r="CP63" s="82" t="e">
        <f t="shared" si="159"/>
        <v>#DIV/0!</v>
      </c>
      <c r="CQ63" s="82" t="e">
        <f t="shared" si="159"/>
        <v>#DIV/0!</v>
      </c>
      <c r="CR63" s="82" t="e">
        <f t="shared" si="159"/>
        <v>#DIV/0!</v>
      </c>
      <c r="CS63" s="82" t="e">
        <f t="shared" si="159"/>
        <v>#DIV/0!</v>
      </c>
      <c r="CT63" s="82" t="e">
        <f t="shared" si="159"/>
        <v>#DIV/0!</v>
      </c>
      <c r="CU63" s="82" t="e">
        <f t="shared" si="159"/>
        <v>#DIV/0!</v>
      </c>
      <c r="CV63" s="82" t="e">
        <f t="shared" si="159"/>
        <v>#DIV/0!</v>
      </c>
      <c r="CW63" s="82" t="e">
        <f t="shared" si="159"/>
        <v>#DIV/0!</v>
      </c>
      <c r="CX63" s="82" t="e">
        <f t="shared" si="159"/>
        <v>#DIV/0!</v>
      </c>
      <c r="CY63" s="82" t="e">
        <f t="shared" si="159"/>
        <v>#DIV/0!</v>
      </c>
      <c r="CZ63" s="215" t="e">
        <f t="shared" ref="CZ63:DG63" si="160">SQRT(CZ50*CZ61-(CZ49^2*CZ60^2))</f>
        <v>#REF!</v>
      </c>
      <c r="DA63" s="215" t="e">
        <f t="shared" si="160"/>
        <v>#REF!</v>
      </c>
      <c r="DB63" s="215" t="e">
        <f t="shared" si="160"/>
        <v>#REF!</v>
      </c>
      <c r="DC63" s="215" t="e">
        <f t="shared" si="160"/>
        <v>#REF!</v>
      </c>
      <c r="DD63" s="215" t="e">
        <f t="shared" si="160"/>
        <v>#REF!</v>
      </c>
      <c r="DE63" s="215" t="e">
        <f t="shared" si="160"/>
        <v>#REF!</v>
      </c>
      <c r="DF63" s="215" t="e">
        <f t="shared" si="160"/>
        <v>#REF!</v>
      </c>
      <c r="DG63" s="176" t="e">
        <f t="shared" si="160"/>
        <v>#REF!</v>
      </c>
    </row>
    <row r="64" spans="1:111" ht="14.25" customHeight="1">
      <c r="A64" s="129"/>
      <c r="E64" s="134"/>
      <c r="H64" s="104"/>
      <c r="I64" s="120">
        <f t="array" ref="I64">_xlfn.STDEV.P(IF($E$5:$E$41=$E63,I$5:I$41))</f>
        <v>2.5865807545870285</v>
      </c>
      <c r="J64" s="120"/>
      <c r="K64" s="120"/>
      <c r="L64" s="120"/>
      <c r="M64" s="120">
        <f t="array" ref="M64">_xlfn.STDEV.P(IF($E$5:$E$41=$E63,M$5:M$41))</f>
        <v>39.506972038192139</v>
      </c>
      <c r="N64" s="120"/>
      <c r="O64" s="120">
        <f t="array" ref="O64">_xlfn.STDEV.P(IF($E$5:$E$41=$E63,O$5:O$41))</f>
        <v>209.95614221526489</v>
      </c>
      <c r="P64" s="120">
        <f t="array" ref="P64">_xlfn.STDEV.P(IF($E$5:$E$41=$E63,P$5:P$41))</f>
        <v>13.16899067939738</v>
      </c>
      <c r="Q64" s="120">
        <f t="array" ref="Q64">_xlfn.STDEV.P(IF($E$5:$E$41=$E63,Q$5:Q$41))</f>
        <v>252.87989243907867</v>
      </c>
      <c r="R64" s="188">
        <f t="array" ref="R64">_xlfn.STDEV.P(IF($E$5:$E$41=$E63,R$5:R$41))</f>
        <v>0.4750172871052129</v>
      </c>
      <c r="S64" s="120">
        <f t="array" ref="S64">_xlfn.STDEV.P(IF($E$5:$E$41=$E63,S$5:S$41))</f>
        <v>0.11654180165092007</v>
      </c>
      <c r="T64" s="120">
        <f t="array" ref="T64">_xlfn.STDEV.P(IF($E$5:$E$41=$E63,T$5:T$41))</f>
        <v>1.4250518613156389</v>
      </c>
      <c r="U64" s="120">
        <f t="array" ref="U64">_xlfn.STDEV.P(IF($E$5:$E$41=$E63,U$5:U$41))</f>
        <v>0</v>
      </c>
      <c r="V64" s="81" t="s">
        <v>12</v>
      </c>
      <c r="W64" s="90">
        <f t="array" ref="W64">_xlfn.STDEV.P(IF($E$5:$E$41=$E63,W$5:W$41))</f>
        <v>28.749044839867913</v>
      </c>
      <c r="X64" s="90">
        <f t="array" ref="X64">_xlfn.STDEV.P(IF($E$5:$E$41=$E63,X$5:X$41))</f>
        <v>26.225662314178894</v>
      </c>
      <c r="Y64" s="90">
        <f t="array" ref="Y64">_xlfn.STDEV.P(IF($E$5:$E$41=$E63,Y$5:Y$41))</f>
        <v>39.506972038192082</v>
      </c>
      <c r="Z64" s="90">
        <f t="array" ref="Z64">_xlfn.STDEV.P(IF($E$5:$E$41=$E63,Z$5:Z$41))</f>
        <v>38.167954142773532</v>
      </c>
      <c r="AA64" s="90">
        <f t="array" ref="AA64">_xlfn.STDEV.P(IF($E$5:$E$41=$E63,AA$5:AA$41))</f>
        <v>57.697971430308861</v>
      </c>
      <c r="AB64" s="90">
        <f t="array" ref="AB64">_xlfn.STDEV.P(IF($E$5:$E$41=$E63,AB$5:AB$41))</f>
        <v>93.420346122198808</v>
      </c>
      <c r="AC64" s="90">
        <f t="array" ref="AC64">_xlfn.STDEV.P(IF($E$5:$E$41=$E63,AC$5:AC$41))</f>
        <v>96.778601879000135</v>
      </c>
      <c r="AD64" s="90">
        <f t="array" ref="AD64">_xlfn.STDEV.P(IF($E$5:$E$41=$E63,AD$5:AD$41))</f>
        <v>118.48260430012411</v>
      </c>
      <c r="AE64" s="90">
        <f t="array" ref="AE64">_xlfn.STDEV.P(IF($E$5:$E$41=$E63,AE$5:AE$41))</f>
        <v>65.606909023001421</v>
      </c>
      <c r="AF64" s="90">
        <f t="array" ref="AF64">_xlfn.STDEV.P(IF($E$5:$E$41=$E63,AF$5:AF$41))</f>
        <v>71.921312201708432</v>
      </c>
      <c r="AG64" s="90">
        <f t="array" ref="AG64">_xlfn.STDEV.P(IF($E$5:$E$41=$E63,AG$5:AG$41))</f>
        <v>65.944050447417823</v>
      </c>
      <c r="AH64" s="90">
        <f t="array" ref="AH64">_xlfn.STDEV.P(IF($E$5:$E$41=$E63,AH$5:AH$41))</f>
        <v>93.679524175808183</v>
      </c>
      <c r="AI64" s="90">
        <f t="array" ref="AI64">_xlfn.STDEV.P(IF($E$5:$E$41=$E63,AI$5:AI$41))</f>
        <v>189.7163705116682</v>
      </c>
      <c r="AJ64" s="90">
        <f t="array" ref="AJ64">_xlfn.STDEV.P(IF($E$5:$E$41=$E63,AJ$5:AJ$41))</f>
        <v>324.47884116559737</v>
      </c>
      <c r="AK64" s="90">
        <f t="array" ref="AK64">_xlfn.STDEV.P(IF($E$5:$E$41=$E63,AK$5:AK$41))</f>
        <v>242.03646414609497</v>
      </c>
      <c r="AL64" s="90">
        <f t="array" ref="AL64">_xlfn.STDEV.P(IF($E$5:$E$41=$E63,AL$5:AL$41))</f>
        <v>359.79726550142328</v>
      </c>
      <c r="AM64" s="90">
        <f t="array" ref="AM64">_xlfn.STDEV.P(IF($E$5:$E$41=$E63,AM$5:AM$41))</f>
        <v>204.96590315014313</v>
      </c>
      <c r="AN64" s="90">
        <f t="array" ref="AN64">_xlfn.STDEV.P(IF($E$5:$E$41=$E63,AN$5:AN$41))</f>
        <v>495.12283338736887</v>
      </c>
      <c r="AO64" s="90">
        <f t="array" ref="AO64">_xlfn.STDEV.P(IF($E$5:$E$41=$E63,AO$5:AO$41))</f>
        <v>585.7737494579527</v>
      </c>
      <c r="AP64" s="90">
        <f t="array" ref="AP64">_xlfn.STDEV.P(IF($E$5:$E$41=$E63,AP$5:AP$41))</f>
        <v>304.42478678614651</v>
      </c>
      <c r="AQ64" s="90">
        <f t="array" ref="AQ64">_xlfn.STDEV.P(IF($E$5:$E$41=$E63,AQ$5:AQ$41))</f>
        <v>382.79149439386111</v>
      </c>
      <c r="AR64" s="90">
        <f t="array" ref="AR64">_xlfn.STDEV.P(IF($E$5:$E$41=$E63,AR$5:AR$41))</f>
        <v>426.43412994378951</v>
      </c>
      <c r="AS64" s="90">
        <f t="array" ref="AS64">_xlfn.STDEV.P(IF($E$5:$E$41=$E63,AS$5:AS$41))</f>
        <v>456.3450547228652</v>
      </c>
      <c r="AT64" s="90">
        <f t="array" ref="AT64">_xlfn.STDEV.P(IF($E$5:$E$41=$E63,AT$5:AT$41))</f>
        <v>580.51000420968626</v>
      </c>
      <c r="AU64" s="90">
        <f t="array" ref="AU64">_xlfn.STDEV.P(IF($E$5:$E$41=$E63,AU$5:AU$41))</f>
        <v>739.07723082859172</v>
      </c>
      <c r="AV64" s="90">
        <f t="array" ref="AV64">_xlfn.STDEV.P(IF($E$5:$E$41=$E63,AV$5:AV$41))</f>
        <v>809.79447397563536</v>
      </c>
      <c r="AW64" s="90">
        <f t="array" ref="AW64">_xlfn.STDEV.P(IF($E$5:$E$41=$E63,AW$5:AW$41))</f>
        <v>752.70270400000004</v>
      </c>
      <c r="AX64" s="90">
        <f t="array" ref="AX64">_xlfn.STDEV.P(IF($E$5:$E$41=$E63,AX$5:AX$41))</f>
        <v>0</v>
      </c>
      <c r="AY64" s="90">
        <f t="array" ref="AY64">_xlfn.STDEV.P(IF($E$5:$E$41=$E63,AY$5:AY$41))</f>
        <v>0</v>
      </c>
      <c r="AZ64" s="90">
        <f t="array" ref="AZ64">_xlfn.STDEV.P(IF($E$5:$E$41=$E63,AZ$5:AZ$41))</f>
        <v>0</v>
      </c>
      <c r="BA64" s="90">
        <f t="array" ref="BA64">_xlfn.STDEV.P(IF($E$5:$E$41=$E63,BA$5:BA$41))</f>
        <v>0</v>
      </c>
      <c r="BB64" s="90">
        <f t="array" ref="BB64">_xlfn.STDEV.P(IF($E$5:$E$41=$E63,BB$5:BB$41))</f>
        <v>0</v>
      </c>
      <c r="BC64" s="90">
        <f t="array" ref="BC64">_xlfn.STDEV.P(IF($E$5:$E$41=$E63,BC$5:BC$41))</f>
        <v>0</v>
      </c>
      <c r="BD64" s="90">
        <f t="array" ref="BD64">_xlfn.STDEV.P(IF($E$5:$E$41=$E63,BD$5:BD$41))</f>
        <v>0</v>
      </c>
      <c r="BE64" s="90">
        <f t="array" ref="BE64">_xlfn.STDEV.P(IF($E$5:$E$41=$E63,BE$5:BE$41))</f>
        <v>0</v>
      </c>
      <c r="BF64" s="90">
        <f t="array" ref="BF64">_xlfn.STDEV.P(IF($E$5:$E$41=$E63,BF$5:BF$41))</f>
        <v>0</v>
      </c>
      <c r="BG64" s="90">
        <f t="array" ref="BG64">_xlfn.STDEV.P(IF($E$5:$E$41=$E63,BG$5:BG$41))</f>
        <v>0</v>
      </c>
      <c r="BH64" s="90">
        <f t="array" ref="BH64">_xlfn.STDEV.P(IF($E$5:$E$41=$E63,BH$5:BH$41))</f>
        <v>0</v>
      </c>
      <c r="BI64" s="90">
        <f t="array" ref="BI64">_xlfn.STDEV.P(IF($E$5:$E$41=$E63,BI$5:BI$41))</f>
        <v>0</v>
      </c>
      <c r="BJ64" s="90">
        <f t="array" ref="BJ64">_xlfn.STDEV.P(IF($E$5:$E$41=$E63,BJ$5:BJ$41))</f>
        <v>0</v>
      </c>
      <c r="BK64" s="115" t="s">
        <v>12</v>
      </c>
      <c r="BL64" s="83">
        <f t="array" ref="BL64">_xlfn.STDEV.P(IF($E$5:$E$41=$E63,BL$5:BL$41))</f>
        <v>0.13219762501436147</v>
      </c>
      <c r="BM64" s="83">
        <f t="array" ref="BM64">_xlfn.STDEV.P(IF($E$5:$E$41=$E63,BM$5:BM$41))</f>
        <v>0.15441789957139396</v>
      </c>
      <c r="BN64" s="83">
        <f t="array" ref="BN64">_xlfn.STDEV.P(IF($E$5:$E$41=$E63,BN$5:BN$41))</f>
        <v>1.1102230246251565E-16</v>
      </c>
      <c r="BO64" s="83">
        <f t="array" ref="BO64">_xlfn.STDEV.P(IF($E$5:$E$41=$E63,BO$5:BO$41))</f>
        <v>0.30973153164979589</v>
      </c>
      <c r="BP64" s="83">
        <f t="array" ref="BP64">_xlfn.STDEV.P(IF($E$5:$E$41=$E63,BP$5:BP$41))</f>
        <v>0.41305569693681626</v>
      </c>
      <c r="BQ64" s="83">
        <f t="array" ref="BQ64">_xlfn.STDEV.P(IF($E$5:$E$41=$E63,BQ$5:BQ$41))</f>
        <v>0.40734813326625835</v>
      </c>
      <c r="BR64" s="83">
        <f t="array" ref="BR64">_xlfn.STDEV.P(IF($E$5:$E$41=$E63,BR$5:BR$41))</f>
        <v>0.34701492407255979</v>
      </c>
      <c r="BS64" s="83">
        <f t="array" ref="BS64">_xlfn.STDEV.P(IF($E$5:$E$41=$E63,BS$5:BS$41))</f>
        <v>0.52701555932293886</v>
      </c>
      <c r="BT64" s="83">
        <f t="array" ref="BT64">_xlfn.STDEV.P(IF($E$5:$E$41=$E63,BT$5:BT$41))</f>
        <v>0.30145893758767262</v>
      </c>
      <c r="BU64" s="83">
        <f t="array" ref="BU64">_xlfn.STDEV.P(IF($E$5:$E$41=$E63,BU$5:BU$41))</f>
        <v>0.43233523394744061</v>
      </c>
      <c r="BV64" s="83">
        <f t="array" ref="BV64">_xlfn.STDEV.P(IF($E$5:$E$41=$E63,BV$5:BV$41))</f>
        <v>0.38664116738150578</v>
      </c>
      <c r="BW64" s="83">
        <f t="array" ref="BW64">_xlfn.STDEV.P(IF($E$5:$E$41=$E63,BW$5:BW$41))</f>
        <v>0.75772822335113033</v>
      </c>
      <c r="BX64" s="83">
        <f t="array" ref="BX64">_xlfn.STDEV.P(IF($E$5:$E$41=$E63,BX$5:BX$41))</f>
        <v>1.4518594861557517</v>
      </c>
      <c r="BY64" s="83">
        <f t="array" ref="BY64">_xlfn.STDEV.P(IF($E$5:$E$41=$E63,BY$5:BY$41))</f>
        <v>2.6384738032417387</v>
      </c>
      <c r="BZ64" s="83">
        <f t="array" ref="BZ64">_xlfn.STDEV.P(IF($E$5:$E$41=$E63,BZ$5:BZ$41))</f>
        <v>1.8637177455855782</v>
      </c>
      <c r="CA64" s="83">
        <f t="array" ref="CA64">_xlfn.STDEV.P(IF($E$5:$E$41=$E63,CA$5:CA$41))</f>
        <v>3.000021834029178</v>
      </c>
      <c r="CB64" s="83">
        <f t="array" ref="CB64">_xlfn.STDEV.P(IF($E$5:$E$41=$E63,CB$5:CB$41))</f>
        <v>0.90341638249420742</v>
      </c>
      <c r="CC64" s="83">
        <f t="array" ref="CC64">_xlfn.STDEV.P(IF($E$5:$E$41=$E63,CC$5:CC$41))</f>
        <v>1.9893355670224635</v>
      </c>
      <c r="CD64" s="83">
        <f t="array" ref="CD64">_xlfn.STDEV.P(IF($E$5:$E$41=$E63,CD$5:CD$41))</f>
        <v>2.1017947877156429</v>
      </c>
      <c r="CE64" s="83">
        <f t="array" ref="CE64">_xlfn.STDEV.P(IF($E$5:$E$41=$E63,CE$5:CE$41))</f>
        <v>0.76425222474963417</v>
      </c>
      <c r="CF64" s="83">
        <f t="array" ref="CF64">_xlfn.STDEV.P(IF($E$5:$E$41=$E63,CF$5:CF$41))</f>
        <v>1.5258305546606536</v>
      </c>
      <c r="CG64" s="83">
        <f t="array" ref="CG64">_xlfn.STDEV.P(IF($E$5:$E$41=$E63,CG$5:CG$41))</f>
        <v>2.0651103598168912</v>
      </c>
      <c r="CH64" s="83">
        <f t="array" ref="CH64">_xlfn.STDEV.P(IF($E$5:$E$41=$E63,CH$5:CH$41))</f>
        <v>1.6860836439417748</v>
      </c>
      <c r="CI64" s="83">
        <f t="array" ref="CI64">_xlfn.STDEV.P(IF($E$5:$E$41=$E63,CI$5:CI$41))</f>
        <v>1.4887758381205476</v>
      </c>
      <c r="CJ64" s="83">
        <f t="array" ref="CJ64">_xlfn.STDEV.P(IF($E$5:$E$41=$E63,CJ$5:CJ$41))</f>
        <v>3.0077533762208986</v>
      </c>
      <c r="CK64" s="83">
        <f t="array" ref="CK64">_xlfn.STDEV.P(IF($E$5:$E$41=$E63,CK$5:CK$41))</f>
        <v>2.8623123449741419</v>
      </c>
      <c r="CL64" s="83">
        <f t="array" ref="CL64">_xlfn.STDEV.P(IF($E$5:$E$41=$E63,CL$5:CL$41))</f>
        <v>0</v>
      </c>
      <c r="CM64" s="83" t="e">
        <f t="array" ref="CM64">_xlfn.STDEV.P(IF($E$5:$E$41=$E63,CM$5:CM$41))</f>
        <v>#DIV/0!</v>
      </c>
      <c r="CN64" s="83" t="e">
        <f t="array" ref="CN64">_xlfn.STDEV.P(IF($E$5:$E$41=$E63,CN$5:CN$41))</f>
        <v>#DIV/0!</v>
      </c>
      <c r="CO64" s="83" t="e">
        <f t="array" ref="CO64">_xlfn.STDEV.P(IF($E$5:$E$41=$E63,CO$5:CO$41))</f>
        <v>#DIV/0!</v>
      </c>
      <c r="CP64" s="83" t="e">
        <f t="array" ref="CP64">_xlfn.STDEV.P(IF($E$5:$E$41=$E63,CP$5:CP$41))</f>
        <v>#DIV/0!</v>
      </c>
      <c r="CQ64" s="83" t="e">
        <f t="array" ref="CQ64">_xlfn.STDEV.P(IF($E$5:$E$41=$E63,CQ$5:CQ$41))</f>
        <v>#DIV/0!</v>
      </c>
      <c r="CR64" s="83" t="e">
        <f t="array" ref="CR64">_xlfn.STDEV.P(IF($E$5:$E$41=$E63,CR$5:CR$41))</f>
        <v>#DIV/0!</v>
      </c>
      <c r="CS64" s="83" t="e">
        <f t="array" ref="CS64">_xlfn.STDEV.P(IF($E$5:$E$41=$E63,CS$5:CS$41))</f>
        <v>#DIV/0!</v>
      </c>
      <c r="CT64" s="83" t="e">
        <f t="array" ref="CT64">_xlfn.STDEV.P(IF($E$5:$E$41=$E63,CT$5:CT$41))</f>
        <v>#DIV/0!</v>
      </c>
      <c r="CU64" s="83" t="e">
        <f t="array" ref="CU64">_xlfn.STDEV.P(IF($E$5:$E$41=$E63,CU$5:CU$41))</f>
        <v>#DIV/0!</v>
      </c>
      <c r="CV64" s="83" t="e">
        <f t="array" ref="CV64">_xlfn.STDEV.P(IF($E$5:$E$41=$E63,CV$5:CV$41))</f>
        <v>#DIV/0!</v>
      </c>
      <c r="CW64" s="83" t="e">
        <f t="array" ref="CW64">_xlfn.STDEV.P(IF($E$5:$E$41=$E63,CW$5:CW$41))</f>
        <v>#DIV/0!</v>
      </c>
      <c r="CX64" s="83" t="e">
        <f t="array" ref="CX64">_xlfn.STDEV.P(IF($E$5:$E$41=$E63,CX$5:CX$41))</f>
        <v>#DIV/0!</v>
      </c>
      <c r="CY64" s="83" t="e">
        <f t="array" ref="CY64">_xlfn.STDEV.P(IF($E$5:$E$41=$E63,CY$5:CY$41))</f>
        <v>#DIV/0!</v>
      </c>
      <c r="CZ64" s="214"/>
      <c r="DA64" s="214"/>
      <c r="DB64" s="214"/>
      <c r="DC64" s="214"/>
      <c r="DD64" s="214"/>
      <c r="DE64" s="214"/>
      <c r="DF64" s="214"/>
    </row>
    <row r="65" spans="1:111" s="195" customFormat="1" ht="14.25" customHeight="1">
      <c r="A65" s="191"/>
      <c r="B65" s="192"/>
      <c r="C65" s="193"/>
      <c r="D65" s="192"/>
      <c r="E65" s="194"/>
      <c r="H65" s="196"/>
      <c r="I65" s="197"/>
      <c r="J65" s="197"/>
      <c r="K65" s="197"/>
      <c r="L65" s="197"/>
      <c r="M65" s="197"/>
      <c r="N65" s="197"/>
      <c r="O65" s="197"/>
      <c r="P65" s="197"/>
      <c r="Q65" s="197"/>
      <c r="R65" s="198"/>
      <c r="S65" s="197"/>
      <c r="T65" s="197"/>
      <c r="U65" s="197"/>
      <c r="V65" s="199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189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214"/>
      <c r="DA65" s="214"/>
      <c r="DB65" s="214"/>
      <c r="DC65" s="214"/>
      <c r="DD65" s="214"/>
      <c r="DE65" s="214"/>
      <c r="DF65" s="214"/>
    </row>
    <row r="66" spans="1:111" s="206" customFormat="1" ht="14.25" customHeight="1">
      <c r="A66" s="202"/>
      <c r="B66" s="203"/>
      <c r="C66" s="204"/>
      <c r="D66" s="203"/>
      <c r="E66" s="205"/>
      <c r="H66" s="207"/>
      <c r="I66" s="208"/>
      <c r="J66" s="208"/>
      <c r="K66" s="208"/>
      <c r="L66" s="208"/>
      <c r="M66" s="208"/>
      <c r="N66" s="208"/>
      <c r="O66" s="208"/>
      <c r="P66" s="208"/>
      <c r="Q66" s="208"/>
      <c r="R66" s="209"/>
      <c r="S66" s="208"/>
      <c r="T66" s="208"/>
      <c r="U66" s="208"/>
      <c r="V66" s="210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2"/>
      <c r="BL66" s="201"/>
      <c r="BM66" s="201"/>
      <c r="BN66" s="201"/>
      <c r="BO66" s="201"/>
      <c r="BP66" s="201"/>
      <c r="BQ66" s="201"/>
      <c r="BR66" s="201"/>
      <c r="BS66" s="201"/>
      <c r="BT66" s="201"/>
      <c r="BU66" s="201"/>
      <c r="BV66" s="201"/>
      <c r="BW66" s="201"/>
      <c r="BX66" s="201"/>
      <c r="BY66" s="201"/>
      <c r="BZ66" s="201"/>
      <c r="CA66" s="201"/>
      <c r="CB66" s="201"/>
      <c r="CC66" s="201"/>
      <c r="CD66" s="201"/>
      <c r="CE66" s="201"/>
      <c r="CF66" s="201"/>
      <c r="CG66" s="201"/>
      <c r="CH66" s="201"/>
      <c r="CI66" s="201"/>
      <c r="CJ66" s="201"/>
      <c r="CK66" s="201"/>
      <c r="CL66" s="201"/>
      <c r="CM66" s="201"/>
      <c r="CN66" s="201"/>
      <c r="CO66" s="201"/>
      <c r="CP66" s="201"/>
      <c r="CQ66" s="201"/>
      <c r="CR66" s="201"/>
      <c r="CS66" s="201"/>
      <c r="CT66" s="201"/>
      <c r="CU66" s="201"/>
      <c r="CV66" s="201"/>
      <c r="CW66" s="201"/>
      <c r="CX66" s="201"/>
      <c r="CY66" s="201"/>
      <c r="CZ66" s="214"/>
      <c r="DA66" s="214"/>
      <c r="DB66" s="214"/>
      <c r="DC66" s="214"/>
      <c r="DD66" s="214"/>
      <c r="DE66" s="214"/>
      <c r="DF66" s="214"/>
    </row>
    <row r="67" spans="1:111" ht="15">
      <c r="A67" s="129"/>
      <c r="E67" s="134"/>
      <c r="H67" s="58"/>
      <c r="J67" s="63"/>
      <c r="K67" s="63"/>
      <c r="L67" s="63"/>
      <c r="N67" s="63"/>
      <c r="Q67" s="63"/>
      <c r="R67" s="187"/>
      <c r="S67" s="63"/>
      <c r="T67" s="63"/>
      <c r="U67" s="63"/>
      <c r="CZ67" s="214"/>
      <c r="DA67" s="214"/>
      <c r="DB67" s="214"/>
      <c r="DC67" s="214"/>
      <c r="DD67" s="214"/>
      <c r="DE67" s="214"/>
      <c r="DF67" s="214"/>
    </row>
    <row r="68" spans="1:111" ht="14.25" customHeight="1">
      <c r="A68" s="129"/>
      <c r="E68" s="134" t="str">
        <f>'RAD_DOSE Groups'!C12</f>
        <v>10.0 uCi Control</v>
      </c>
      <c r="H68" s="134" t="str">
        <f>E68</f>
        <v>10.0 uCi Control</v>
      </c>
      <c r="I68" s="120">
        <f>AVERAGEIF($E$5:$E$41,$E68,I$5:I$41)</f>
        <v>25.48</v>
      </c>
      <c r="J68" s="120"/>
      <c r="K68" s="120"/>
      <c r="L68" s="120"/>
      <c r="M68" s="120">
        <f>AVERAGEIF($E$5:$E$41,$E68,M$5:M$41)</f>
        <v>160.38557600000001</v>
      </c>
      <c r="N68" s="120"/>
      <c r="O68" s="120">
        <f t="shared" ref="O68:U68" si="161">AVERAGEIF($E$5:$E$41,$E68,O$5:O$41)</f>
        <v>1603.8557599999999</v>
      </c>
      <c r="P68" s="120">
        <f t="shared" si="161"/>
        <v>53.461858666666672</v>
      </c>
      <c r="Q68" s="120">
        <f t="shared" si="161"/>
        <v>1302.2</v>
      </c>
      <c r="R68" s="188">
        <f t="shared" si="161"/>
        <v>8.130829507461943</v>
      </c>
      <c r="S68" s="120">
        <f t="shared" si="161"/>
        <v>0.8130829507461943</v>
      </c>
      <c r="T68" s="120">
        <f t="shared" si="161"/>
        <v>24.392488522385829</v>
      </c>
      <c r="U68" s="120" t="e">
        <f t="shared" si="161"/>
        <v>#DIV/0!</v>
      </c>
      <c r="V68" s="81" t="s">
        <v>10</v>
      </c>
      <c r="W68" s="87">
        <f t="shared" ref="W68:BJ68" si="162">AVERAGEIF($E$5:$E$41,$E68,W$5:W$41)</f>
        <v>67.023527999999999</v>
      </c>
      <c r="X68" s="87">
        <f t="shared" si="162"/>
        <v>127.92166400000001</v>
      </c>
      <c r="Y68" s="87">
        <f t="shared" si="162"/>
        <v>160.38557600000001</v>
      </c>
      <c r="Z68" s="87">
        <f t="shared" si="162"/>
        <v>186.95944800000001</v>
      </c>
      <c r="AA68" s="87">
        <f t="shared" si="162"/>
        <v>202.46272800000003</v>
      </c>
      <c r="AB68" s="87">
        <f t="shared" si="162"/>
        <v>196.96747199999996</v>
      </c>
      <c r="AC68" s="87">
        <f t="shared" si="162"/>
        <v>258.90612799999997</v>
      </c>
      <c r="AD68" s="87">
        <f t="shared" si="162"/>
        <v>266.10022399999997</v>
      </c>
      <c r="AE68" s="87">
        <f t="shared" si="162"/>
        <v>373.21887200000003</v>
      </c>
      <c r="AF68" s="87">
        <f t="shared" si="162"/>
        <v>319.18556799999999</v>
      </c>
      <c r="AG68" s="87">
        <f t="shared" si="162"/>
        <v>633.71984000000009</v>
      </c>
      <c r="AH68" s="87">
        <f t="shared" si="162"/>
        <v>771.46097600000007</v>
      </c>
      <c r="AI68" s="87">
        <f t="shared" si="162"/>
        <v>930.79604799999993</v>
      </c>
      <c r="AJ68" s="87">
        <f t="shared" si="162"/>
        <v>1003.825056</v>
      </c>
      <c r="AK68" s="87">
        <f t="shared" si="162"/>
        <v>991.50389000000007</v>
      </c>
      <c r="AL68" s="87">
        <f t="shared" si="162"/>
        <v>1230.01567</v>
      </c>
      <c r="AM68" s="87">
        <f t="shared" si="162"/>
        <v>1242.6804</v>
      </c>
      <c r="AN68" s="87">
        <f t="shared" si="162"/>
        <v>1010.0641200000002</v>
      </c>
      <c r="AO68" s="87">
        <f t="shared" si="162"/>
        <v>1242.7529399999999</v>
      </c>
      <c r="AP68" s="87">
        <f t="shared" si="162"/>
        <v>1602.6238800000001</v>
      </c>
      <c r="AQ68" s="87">
        <f t="shared" si="162"/>
        <v>1567.62112</v>
      </c>
      <c r="AR68" s="87">
        <f t="shared" si="162"/>
        <v>1837.0227199999999</v>
      </c>
      <c r="AS68" s="87" t="e">
        <f t="shared" si="162"/>
        <v>#DIV/0!</v>
      </c>
      <c r="AT68" s="87" t="e">
        <f t="shared" si="162"/>
        <v>#DIV/0!</v>
      </c>
      <c r="AU68" s="87" t="e">
        <f t="shared" si="162"/>
        <v>#DIV/0!</v>
      </c>
      <c r="AV68" s="87" t="e">
        <f t="shared" si="162"/>
        <v>#DIV/0!</v>
      </c>
      <c r="AW68" s="87" t="e">
        <f t="shared" si="162"/>
        <v>#DIV/0!</v>
      </c>
      <c r="AX68" s="87" t="e">
        <f t="shared" si="162"/>
        <v>#DIV/0!</v>
      </c>
      <c r="AY68" s="87" t="e">
        <f t="shared" si="162"/>
        <v>#DIV/0!</v>
      </c>
      <c r="AZ68" s="87" t="e">
        <f t="shared" si="162"/>
        <v>#DIV/0!</v>
      </c>
      <c r="BA68" s="87" t="e">
        <f t="shared" si="162"/>
        <v>#DIV/0!</v>
      </c>
      <c r="BB68" s="87" t="e">
        <f t="shared" si="162"/>
        <v>#DIV/0!</v>
      </c>
      <c r="BC68" s="87" t="e">
        <f t="shared" si="162"/>
        <v>#DIV/0!</v>
      </c>
      <c r="BD68" s="87" t="e">
        <f t="shared" si="162"/>
        <v>#DIV/0!</v>
      </c>
      <c r="BE68" s="87" t="e">
        <f t="shared" si="162"/>
        <v>#DIV/0!</v>
      </c>
      <c r="BF68" s="87" t="e">
        <f t="shared" si="162"/>
        <v>#DIV/0!</v>
      </c>
      <c r="BG68" s="87" t="e">
        <f t="shared" si="162"/>
        <v>#DIV/0!</v>
      </c>
      <c r="BH68" s="87" t="e">
        <f t="shared" si="162"/>
        <v>#DIV/0!</v>
      </c>
      <c r="BI68" s="87" t="e">
        <f t="shared" si="162"/>
        <v>#DIV/0!</v>
      </c>
      <c r="BJ68" s="87" t="e">
        <f t="shared" si="162"/>
        <v>#DIV/0!</v>
      </c>
      <c r="BK68" s="114" t="s">
        <v>10</v>
      </c>
      <c r="BL68" s="82">
        <f t="shared" ref="BL68:CY68" si="163">AVERAGEIF($E$5:$E$41,$E68,BL$5:BL$41)</f>
        <v>0.4367484492738215</v>
      </c>
      <c r="BM68" s="82">
        <f t="shared" si="163"/>
        <v>0.80028595342680386</v>
      </c>
      <c r="BN68" s="82">
        <f t="shared" si="163"/>
        <v>1</v>
      </c>
      <c r="BO68" s="82">
        <f t="shared" si="163"/>
        <v>1.1593980985027454</v>
      </c>
      <c r="BP68" s="82">
        <f t="shared" si="163"/>
        <v>1.2567221370236514</v>
      </c>
      <c r="BQ68" s="82">
        <f t="shared" si="163"/>
        <v>1.2277203857176646</v>
      </c>
      <c r="BR68" s="82">
        <f t="shared" si="163"/>
        <v>1.6309386008588302</v>
      </c>
      <c r="BS68" s="82">
        <f t="shared" si="163"/>
        <v>1.5972941505368852</v>
      </c>
      <c r="BT68" s="82">
        <f t="shared" si="163"/>
        <v>2.2653643937538925</v>
      </c>
      <c r="BU68" s="82">
        <f t="shared" si="163"/>
        <v>1.9180086889677608</v>
      </c>
      <c r="BV68" s="82">
        <f t="shared" si="163"/>
        <v>3.8038226913648239</v>
      </c>
      <c r="BW68" s="82">
        <f t="shared" si="163"/>
        <v>4.6684451834938852</v>
      </c>
      <c r="BX68" s="82">
        <f t="shared" si="163"/>
        <v>5.6731293313924525</v>
      </c>
      <c r="BY68" s="82">
        <f t="shared" si="163"/>
        <v>6.060257989240827</v>
      </c>
      <c r="BZ68" s="82">
        <f t="shared" si="163"/>
        <v>6.3373953022018741</v>
      </c>
      <c r="CA68" s="82">
        <f t="shared" si="163"/>
        <v>7.7743751018842637</v>
      </c>
      <c r="CB68" s="82">
        <f t="shared" si="163"/>
        <v>8.5570388721940898</v>
      </c>
      <c r="CC68" s="82">
        <f t="shared" si="163"/>
        <v>7.8941952185450086</v>
      </c>
      <c r="CD68" s="82">
        <f t="shared" si="163"/>
        <v>9.7863837506263671</v>
      </c>
      <c r="CE68" s="82">
        <f t="shared" si="163"/>
        <v>12.51751093294461</v>
      </c>
      <c r="CF68" s="82">
        <f t="shared" si="163"/>
        <v>10.514285714285714</v>
      </c>
      <c r="CG68" s="82">
        <f t="shared" si="163"/>
        <v>12.321205357142857</v>
      </c>
      <c r="CH68" s="82" t="e">
        <f t="shared" si="163"/>
        <v>#DIV/0!</v>
      </c>
      <c r="CI68" s="82" t="e">
        <f t="shared" si="163"/>
        <v>#DIV/0!</v>
      </c>
      <c r="CJ68" s="82" t="e">
        <f t="shared" si="163"/>
        <v>#DIV/0!</v>
      </c>
      <c r="CK68" s="82" t="e">
        <f t="shared" si="163"/>
        <v>#DIV/0!</v>
      </c>
      <c r="CL68" s="82" t="e">
        <f t="shared" si="163"/>
        <v>#DIV/0!</v>
      </c>
      <c r="CM68" s="82" t="e">
        <f t="shared" si="163"/>
        <v>#DIV/0!</v>
      </c>
      <c r="CN68" s="82" t="e">
        <f t="shared" si="163"/>
        <v>#DIV/0!</v>
      </c>
      <c r="CO68" s="82" t="e">
        <f t="shared" si="163"/>
        <v>#DIV/0!</v>
      </c>
      <c r="CP68" s="82" t="e">
        <f t="shared" si="163"/>
        <v>#DIV/0!</v>
      </c>
      <c r="CQ68" s="82" t="e">
        <f t="shared" si="163"/>
        <v>#DIV/0!</v>
      </c>
      <c r="CR68" s="82" t="e">
        <f t="shared" si="163"/>
        <v>#DIV/0!</v>
      </c>
      <c r="CS68" s="82" t="e">
        <f t="shared" si="163"/>
        <v>#DIV/0!</v>
      </c>
      <c r="CT68" s="82" t="e">
        <f t="shared" si="163"/>
        <v>#DIV/0!</v>
      </c>
      <c r="CU68" s="82" t="e">
        <f t="shared" si="163"/>
        <v>#DIV/0!</v>
      </c>
      <c r="CV68" s="82" t="e">
        <f t="shared" si="163"/>
        <v>#DIV/0!</v>
      </c>
      <c r="CW68" s="82" t="e">
        <f t="shared" si="163"/>
        <v>#DIV/0!</v>
      </c>
      <c r="CX68" s="82" t="e">
        <f t="shared" si="163"/>
        <v>#DIV/0!</v>
      </c>
      <c r="CY68" s="82" t="e">
        <f t="shared" si="163"/>
        <v>#DIV/0!</v>
      </c>
      <c r="CZ68" s="214" t="e">
        <f>#REF!</f>
        <v>#REF!</v>
      </c>
      <c r="DA68" s="214" t="e">
        <f>#REF!</f>
        <v>#REF!</v>
      </c>
      <c r="DB68" s="214" t="e">
        <f>#REF!</f>
        <v>#REF!</v>
      </c>
      <c r="DC68" s="214" t="e">
        <f>#REF!</f>
        <v>#REF!</v>
      </c>
      <c r="DD68" s="214" t="e">
        <f>#REF!</f>
        <v>#REF!</v>
      </c>
      <c r="DE68" s="214" t="e">
        <f>#REF!</f>
        <v>#REF!</v>
      </c>
      <c r="DF68" s="214" t="e">
        <f>#REF!</f>
        <v>#REF!</v>
      </c>
      <c r="DG68" s="195" t="e">
        <f>#REF!</f>
        <v>#REF!</v>
      </c>
    </row>
    <row r="69" spans="1:111" ht="14.25" customHeight="1">
      <c r="A69" s="129"/>
      <c r="E69" s="134"/>
      <c r="H69" s="104"/>
      <c r="I69" s="120">
        <f t="array" ref="I69">_xlfn.STDEV.P(IF($E$5:$E$41=$E68,I$5:I$41))</f>
        <v>1.192308684863111</v>
      </c>
      <c r="J69" s="120"/>
      <c r="K69" s="120"/>
      <c r="L69" s="120"/>
      <c r="M69" s="120">
        <f t="array" ref="M69">_xlfn.STDEV.P(IF($E$5:$E$41=$E68,M$5:M$41))</f>
        <v>25.97407376056788</v>
      </c>
      <c r="N69" s="120"/>
      <c r="O69" s="120">
        <f t="array" ref="O69">_xlfn.STDEV.P(IF($E$5:$E$41=$E68,O$5:O$41))</f>
        <v>259.74073760568064</v>
      </c>
      <c r="P69" s="120">
        <f t="array" ref="P69">_xlfn.STDEV.P(IF($E$5:$E$41=$E68,P$5:P$41))</f>
        <v>8.6580245868559711</v>
      </c>
      <c r="Q69" s="120">
        <f t="array" ref="Q69">_xlfn.STDEV.P(IF($E$5:$E$41=$E68,Q$5:Q$41))</f>
        <v>256.37971838661497</v>
      </c>
      <c r="R69" s="188">
        <f t="array" ref="R69">_xlfn.STDEV.P(IF($E$5:$E$41=$E68,R$5:R$41))</f>
        <v>1.0950156076305946</v>
      </c>
      <c r="S69" s="120">
        <f t="array" ref="S69">_xlfn.STDEV.P(IF($E$5:$E$41=$E68,S$5:S$41))</f>
        <v>0.10950156076305842</v>
      </c>
      <c r="T69" s="120">
        <f t="array" ref="T69">_xlfn.STDEV.P(IF($E$5:$E$41=$E68,T$5:T$41))</f>
        <v>3.2850468228917578</v>
      </c>
      <c r="U69" s="120">
        <f t="array" ref="U69">_xlfn.STDEV.P(IF($E$5:$E$41=$E68,U$5:U$41))</f>
        <v>0</v>
      </c>
      <c r="V69" s="81" t="s">
        <v>12</v>
      </c>
      <c r="W69" s="90">
        <f t="array" ref="W69">_xlfn.STDEV.P(IF($E$5:$E$41=$E68,W$5:W$41))</f>
        <v>20.30690465893646</v>
      </c>
      <c r="X69" s="90">
        <f t="array" ref="X69">_xlfn.STDEV.P(IF($E$5:$E$41=$E68,X$5:X$41))</f>
        <v>32.076355644553935</v>
      </c>
      <c r="Y69" s="90">
        <f t="array" ref="Y69">_xlfn.STDEV.P(IF($E$5:$E$41=$E68,Y$5:Y$41))</f>
        <v>25.97407376056788</v>
      </c>
      <c r="Z69" s="90">
        <f t="array" ref="Z69">_xlfn.STDEV.P(IF($E$5:$E$41=$E68,Z$5:Z$41))</f>
        <v>51.096819871802772</v>
      </c>
      <c r="AA69" s="90">
        <f t="array" ref="AA69">_xlfn.STDEV.P(IF($E$5:$E$41=$E68,AA$5:AA$41))</f>
        <v>61.645221014988863</v>
      </c>
      <c r="AB69" s="90">
        <f t="array" ref="AB69">_xlfn.STDEV.P(IF($E$5:$E$41=$E68,AB$5:AB$41))</f>
        <v>58.503892744495865</v>
      </c>
      <c r="AC69" s="90">
        <f t="array" ref="AC69">_xlfn.STDEV.P(IF($E$5:$E$41=$E68,AC$5:AC$41))</f>
        <v>31.980224214082451</v>
      </c>
      <c r="AD69" s="90">
        <f t="array" ref="AD69">_xlfn.STDEV.P(IF($E$5:$E$41=$E68,AD$5:AD$41))</f>
        <v>148.8843182791378</v>
      </c>
      <c r="AE69" s="90">
        <f t="array" ref="AE69">_xlfn.STDEV.P(IF($E$5:$E$41=$E68,AE$5:AE$41))</f>
        <v>136.89576334715969</v>
      </c>
      <c r="AF69" s="90">
        <f t="array" ref="AF69">_xlfn.STDEV.P(IF($E$5:$E$41=$E68,AF$5:AF$41))</f>
        <v>214.77232549428467</v>
      </c>
      <c r="AG69" s="90">
        <f t="array" ref="AG69">_xlfn.STDEV.P(IF($E$5:$E$41=$E68,AG$5:AG$41))</f>
        <v>406.20082904230981</v>
      </c>
      <c r="AH69" s="90">
        <f t="array" ref="AH69">_xlfn.STDEV.P(IF($E$5:$E$41=$E68,AH$5:AH$41))</f>
        <v>452.21783569281433</v>
      </c>
      <c r="AI69" s="90">
        <f t="array" ref="AI69">_xlfn.STDEV.P(IF($E$5:$E$41=$E68,AI$5:AI$41))</f>
        <v>546.73434296866708</v>
      </c>
      <c r="AJ69" s="90">
        <f t="array" ref="AJ69">_xlfn.STDEV.P(IF($E$5:$E$41=$E68,AJ$5:AJ$41))</f>
        <v>591.41628200219418</v>
      </c>
      <c r="AK69" s="90">
        <f t="array" ref="AK69">_xlfn.STDEV.P(IF($E$5:$E$41=$E68,AK$5:AK$41))</f>
        <v>540.84703826848806</v>
      </c>
      <c r="AL69" s="90">
        <f t="array" ref="AL69">_xlfn.STDEV.P(IF($E$5:$E$41=$E68,AL$5:AL$41))</f>
        <v>693.70825836682093</v>
      </c>
      <c r="AM69" s="90">
        <f t="array" ref="AM69">_xlfn.STDEV.P(IF($E$5:$E$41=$E68,AM$5:AM$41))</f>
        <v>676.20012860134125</v>
      </c>
      <c r="AN69" s="90">
        <f t="array" ref="AN69">_xlfn.STDEV.P(IF($E$5:$E$41=$E68,AN$5:AN$41))</f>
        <v>497.43771873834868</v>
      </c>
      <c r="AO69" s="90">
        <f t="array" ref="AO69">_xlfn.STDEV.P(IF($E$5:$E$41=$E68,AO$5:AO$41))</f>
        <v>618.31812089549817</v>
      </c>
      <c r="AP69" s="90">
        <f t="array" ref="AP69">_xlfn.STDEV.P(IF($E$5:$E$41=$E68,AP$5:AP$41))</f>
        <v>788.78183337289602</v>
      </c>
      <c r="AQ69" s="90">
        <f t="array" ref="AQ69">_xlfn.STDEV.P(IF($E$5:$E$41=$E68,AQ$5:AQ$41))</f>
        <v>627.04844800000001</v>
      </c>
      <c r="AR69" s="90">
        <f t="array" ref="AR69">_xlfn.STDEV.P(IF($E$5:$E$41=$E68,AR$5:AR$41))</f>
        <v>734.80908799999986</v>
      </c>
      <c r="AS69" s="90">
        <f t="array" ref="AS69">_xlfn.STDEV.P(IF($E$5:$E$41=$E68,AS$5:AS$41))</f>
        <v>0</v>
      </c>
      <c r="AT69" s="90">
        <f t="array" ref="AT69">_xlfn.STDEV.P(IF($E$5:$E$41=$E68,AT$5:AT$41))</f>
        <v>0</v>
      </c>
      <c r="AU69" s="90">
        <f t="array" ref="AU69">_xlfn.STDEV.P(IF($E$5:$E$41=$E68,AU$5:AU$41))</f>
        <v>0</v>
      </c>
      <c r="AV69" s="90">
        <f t="array" ref="AV69">_xlfn.STDEV.P(IF($E$5:$E$41=$E68,AV$5:AV$41))</f>
        <v>0</v>
      </c>
      <c r="AW69" s="90">
        <f t="array" ref="AW69">_xlfn.STDEV.P(IF($E$5:$E$41=$E68,AW$5:AW$41))</f>
        <v>0</v>
      </c>
      <c r="AX69" s="90">
        <f t="array" ref="AX69">_xlfn.STDEV.P(IF($E$5:$E$41=$E68,AX$5:AX$41))</f>
        <v>0</v>
      </c>
      <c r="AY69" s="90">
        <f t="array" ref="AY69">_xlfn.STDEV.P(IF($E$5:$E$41=$E68,AY$5:AY$41))</f>
        <v>0</v>
      </c>
      <c r="AZ69" s="90">
        <f t="array" ref="AZ69">_xlfn.STDEV.P(IF($E$5:$E$41=$E68,AZ$5:AZ$41))</f>
        <v>0</v>
      </c>
      <c r="BA69" s="90">
        <f t="array" ref="BA69">_xlfn.STDEV.P(IF($E$5:$E$41=$E68,BA$5:BA$41))</f>
        <v>0</v>
      </c>
      <c r="BB69" s="90">
        <f t="array" ref="BB69">_xlfn.STDEV.P(IF($E$5:$E$41=$E68,BB$5:BB$41))</f>
        <v>0</v>
      </c>
      <c r="BC69" s="90">
        <f t="array" ref="BC69">_xlfn.STDEV.P(IF($E$5:$E$41=$E68,BC$5:BC$41))</f>
        <v>0</v>
      </c>
      <c r="BD69" s="90">
        <f t="array" ref="BD69">_xlfn.STDEV.P(IF($E$5:$E$41=$E68,BD$5:BD$41))</f>
        <v>0</v>
      </c>
      <c r="BE69" s="90">
        <f t="array" ref="BE69">_xlfn.STDEV.P(IF($E$5:$E$41=$E68,BE$5:BE$41))</f>
        <v>0</v>
      </c>
      <c r="BF69" s="90">
        <f t="array" ref="BF69">_xlfn.STDEV.P(IF($E$5:$E$41=$E68,BF$5:BF$41))</f>
        <v>0</v>
      </c>
      <c r="BG69" s="90">
        <f t="array" ref="BG69">_xlfn.STDEV.P(IF($E$5:$E$41=$E68,BG$5:BG$41))</f>
        <v>0</v>
      </c>
      <c r="BH69" s="90">
        <f t="array" ref="BH69">_xlfn.STDEV.P(IF($E$5:$E$41=$E68,BH$5:BH$41))</f>
        <v>0</v>
      </c>
      <c r="BI69" s="90">
        <f t="array" ref="BI69">_xlfn.STDEV.P(IF($E$5:$E$41=$E68,BI$5:BI$41))</f>
        <v>0</v>
      </c>
      <c r="BJ69" s="90">
        <f t="array" ref="BJ69">_xlfn.STDEV.P(IF($E$5:$E$41=$E68,BJ$5:BJ$41))</f>
        <v>0</v>
      </c>
      <c r="BK69" s="115" t="s">
        <v>12</v>
      </c>
      <c r="BL69" s="83">
        <f t="array" ref="BL69">_xlfn.STDEV.P(IF($E$5:$E$41=$E68,BL$5:BL$41))</f>
        <v>0.17112015879940351</v>
      </c>
      <c r="BM69" s="83">
        <f t="array" ref="BM69">_xlfn.STDEV.P(IF($E$5:$E$41=$E68,BM$5:BM$41))</f>
        <v>0.15015796529976569</v>
      </c>
      <c r="BN69" s="83">
        <f t="array" ref="BN69">_xlfn.STDEV.P(IF($E$5:$E$41=$E68,BN$5:BN$41))</f>
        <v>4.9650683064945459E-17</v>
      </c>
      <c r="BO69" s="83">
        <f t="array" ref="BO69">_xlfn.STDEV.P(IF($E$5:$E$41=$E68,BO$5:BO$41))</f>
        <v>0.25177221343156009</v>
      </c>
      <c r="BP69" s="83">
        <f t="array" ref="BP69">_xlfn.STDEV.P(IF($E$5:$E$41=$E68,BP$5:BP$41))</f>
        <v>0.27746412842411383</v>
      </c>
      <c r="BQ69" s="83">
        <f t="array" ref="BQ69">_xlfn.STDEV.P(IF($E$5:$E$41=$E68,BQ$5:BQ$41))</f>
        <v>0.27571132263643683</v>
      </c>
      <c r="BR69" s="83">
        <f t="array" ref="BR69">_xlfn.STDEV.P(IF($E$5:$E$41=$E68,BR$5:BR$41))</f>
        <v>0.13827368269091009</v>
      </c>
      <c r="BS69" s="83">
        <f t="array" ref="BS69">_xlfn.STDEV.P(IF($E$5:$E$41=$E68,BS$5:BS$41))</f>
        <v>0.73520222465435836</v>
      </c>
      <c r="BT69" s="83">
        <f t="array" ref="BT69">_xlfn.STDEV.P(IF($E$5:$E$41=$E68,BT$5:BT$41))</f>
        <v>0.57117302248935387</v>
      </c>
      <c r="BU69" s="83">
        <f t="array" ref="BU69">_xlfn.STDEV.P(IF($E$5:$E$41=$E68,BU$5:BU$41))</f>
        <v>1.1601638060395851</v>
      </c>
      <c r="BV69" s="83">
        <f t="array" ref="BV69">_xlfn.STDEV.P(IF($E$5:$E$41=$E68,BV$5:BV$41))</f>
        <v>2.1848714889836032</v>
      </c>
      <c r="BW69" s="83">
        <f t="array" ref="BW69">_xlfn.STDEV.P(IF($E$5:$E$41=$E68,BW$5:BW$41))</f>
        <v>2.4700393446869331</v>
      </c>
      <c r="BX69" s="83">
        <f t="array" ref="BX69">_xlfn.STDEV.P(IF($E$5:$E$41=$E68,BX$5:BX$41))</f>
        <v>3.0164051390358511</v>
      </c>
      <c r="BY69" s="83">
        <f t="array" ref="BY69">_xlfn.STDEV.P(IF($E$5:$E$41=$E68,BY$5:BY$41))</f>
        <v>3.1532142986683604</v>
      </c>
      <c r="BZ69" s="83">
        <f t="array" ref="BZ69">_xlfn.STDEV.P(IF($E$5:$E$41=$E68,BZ$5:BZ$41))</f>
        <v>2.1764349927434181</v>
      </c>
      <c r="CA69" s="83">
        <f t="array" ref="CA69">_xlfn.STDEV.P(IF($E$5:$E$41=$E68,CA$5:CA$41))</f>
        <v>2.7301938619029191</v>
      </c>
      <c r="CB69" s="83">
        <f t="array" ref="CB69">_xlfn.STDEV.P(IF($E$5:$E$41=$E68,CB$5:CB$41))</f>
        <v>2.5184471057586433</v>
      </c>
      <c r="CC69" s="83">
        <f t="array" ref="CC69">_xlfn.STDEV.P(IF($E$5:$E$41=$E68,CC$5:CC$41))</f>
        <v>1.6591575511342931</v>
      </c>
      <c r="CD69" s="83">
        <f t="array" ref="CD69">_xlfn.STDEV.P(IF($E$5:$E$41=$E68,CD$5:CD$41))</f>
        <v>2.5958319928138676</v>
      </c>
      <c r="CE69" s="83">
        <f t="array" ref="CE69">_xlfn.STDEV.P(IF($E$5:$E$41=$E68,CE$5:CE$41))</f>
        <v>2.573314504373172</v>
      </c>
      <c r="CF69" s="83">
        <f t="array" ref="CF69">_xlfn.STDEV.P(IF($E$5:$E$41=$E68,CF$5:CF$41))</f>
        <v>0</v>
      </c>
      <c r="CG69" s="83">
        <f t="array" ref="CG69">_xlfn.STDEV.P(IF($E$5:$E$41=$E68,CG$5:CG$41))</f>
        <v>0</v>
      </c>
      <c r="CH69" s="83" t="e">
        <f t="array" ref="CH69">_xlfn.STDEV.P(IF($E$5:$E$41=$E68,CH$5:CH$41))</f>
        <v>#DIV/0!</v>
      </c>
      <c r="CI69" s="83" t="e">
        <f t="array" ref="CI69">_xlfn.STDEV.P(IF($E$5:$E$41=$E68,CI$5:CI$41))</f>
        <v>#DIV/0!</v>
      </c>
      <c r="CJ69" s="83" t="e">
        <f t="array" ref="CJ69">_xlfn.STDEV.P(IF($E$5:$E$41=$E68,CJ$5:CJ$41))</f>
        <v>#DIV/0!</v>
      </c>
      <c r="CK69" s="83" t="e">
        <f t="array" ref="CK69">_xlfn.STDEV.P(IF($E$5:$E$41=$E68,CK$5:CK$41))</f>
        <v>#DIV/0!</v>
      </c>
      <c r="CL69" s="83" t="e">
        <f t="array" ref="CL69">_xlfn.STDEV.P(IF($E$5:$E$41=$E68,CL$5:CL$41))</f>
        <v>#DIV/0!</v>
      </c>
      <c r="CM69" s="83" t="e">
        <f t="array" ref="CM69">_xlfn.STDEV.P(IF($E$5:$E$41=$E68,CM$5:CM$41))</f>
        <v>#DIV/0!</v>
      </c>
      <c r="CN69" s="83" t="e">
        <f t="array" ref="CN69">_xlfn.STDEV.P(IF($E$5:$E$41=$E68,CN$5:CN$41))</f>
        <v>#DIV/0!</v>
      </c>
      <c r="CO69" s="83" t="e">
        <f t="array" ref="CO69">_xlfn.STDEV.P(IF($E$5:$E$41=$E68,CO$5:CO$41))</f>
        <v>#DIV/0!</v>
      </c>
      <c r="CP69" s="83" t="e">
        <f t="array" ref="CP69">_xlfn.STDEV.P(IF($E$5:$E$41=$E68,CP$5:CP$41))</f>
        <v>#DIV/0!</v>
      </c>
      <c r="CQ69" s="83" t="e">
        <f t="array" ref="CQ69">_xlfn.STDEV.P(IF($E$5:$E$41=$E68,CQ$5:CQ$41))</f>
        <v>#DIV/0!</v>
      </c>
      <c r="CR69" s="83" t="e">
        <f t="array" ref="CR69">_xlfn.STDEV.P(IF($E$5:$E$41=$E68,CR$5:CR$41))</f>
        <v>#DIV/0!</v>
      </c>
      <c r="CS69" s="83" t="e">
        <f t="array" ref="CS69">_xlfn.STDEV.P(IF($E$5:$E$41=$E68,CS$5:CS$41))</f>
        <v>#DIV/0!</v>
      </c>
      <c r="CT69" s="83" t="e">
        <f t="array" ref="CT69">_xlfn.STDEV.P(IF($E$5:$E$41=$E68,CT$5:CT$41))</f>
        <v>#DIV/0!</v>
      </c>
      <c r="CU69" s="83" t="e">
        <f t="array" ref="CU69">_xlfn.STDEV.P(IF($E$5:$E$41=$E68,CU$5:CU$41))</f>
        <v>#DIV/0!</v>
      </c>
      <c r="CV69" s="83" t="e">
        <f t="array" ref="CV69">_xlfn.STDEV.P(IF($E$5:$E$41=$E68,CV$5:CV$41))</f>
        <v>#DIV/0!</v>
      </c>
      <c r="CW69" s="83" t="e">
        <f t="array" ref="CW69">_xlfn.STDEV.P(IF($E$5:$E$41=$E68,CW$5:CW$41))</f>
        <v>#DIV/0!</v>
      </c>
      <c r="CX69" s="83" t="e">
        <f t="array" ref="CX69">_xlfn.STDEV.P(IF($E$5:$E$41=$E68,CX$5:CX$41))</f>
        <v>#DIV/0!</v>
      </c>
      <c r="CY69" s="83" t="e">
        <f t="array" ref="CY69">_xlfn.STDEV.P(IF($E$5:$E$41=$E68,CY$5:CY$41))</f>
        <v>#DIV/0!</v>
      </c>
      <c r="CZ69" s="214" t="e">
        <f>#REF!</f>
        <v>#REF!</v>
      </c>
      <c r="DA69" s="214" t="e">
        <f>#REF!</f>
        <v>#REF!</v>
      </c>
      <c r="DB69" s="214" t="e">
        <f>#REF!</f>
        <v>#REF!</v>
      </c>
      <c r="DC69" s="214" t="e">
        <f>#REF!</f>
        <v>#REF!</v>
      </c>
      <c r="DD69" s="214" t="e">
        <f>#REF!</f>
        <v>#REF!</v>
      </c>
      <c r="DE69" s="214" t="e">
        <f>#REF!</f>
        <v>#REF!</v>
      </c>
      <c r="DF69" s="214" t="e">
        <f>#REF!</f>
        <v>#REF!</v>
      </c>
      <c r="DG69" s="195" t="e">
        <f>#REF!</f>
        <v>#REF!</v>
      </c>
    </row>
    <row r="70" spans="1:111" ht="15">
      <c r="A70" s="129"/>
      <c r="E70" s="134"/>
      <c r="H70" s="58"/>
      <c r="J70" s="63"/>
      <c r="K70" s="63"/>
      <c r="L70" s="63"/>
      <c r="N70" s="63"/>
      <c r="Q70" s="63"/>
      <c r="R70" s="187"/>
      <c r="S70" s="63"/>
      <c r="T70" s="63"/>
      <c r="U70" s="63"/>
      <c r="CZ70" s="214"/>
      <c r="DA70" s="214"/>
      <c r="DB70" s="214"/>
      <c r="DC70" s="214"/>
      <c r="DD70" s="214"/>
      <c r="DE70" s="214"/>
      <c r="DF70" s="214"/>
    </row>
    <row r="71" spans="1:111" ht="14.25" customHeight="1">
      <c r="A71" s="129"/>
      <c r="E71" s="134" t="str">
        <f>'RAD_DOSE Groups'!C13</f>
        <v>10.0 uCi + CP-PTX</v>
      </c>
      <c r="H71" s="134" t="str">
        <f>E71</f>
        <v>10.0 uCi + CP-PTX</v>
      </c>
      <c r="I71" s="120">
        <f>AVERAGEIF($E$5:$E$41,$E71,I$5:I$41)</f>
        <v>23.099999999999998</v>
      </c>
      <c r="J71" s="120"/>
      <c r="K71" s="120"/>
      <c r="L71" s="120"/>
      <c r="M71" s="120">
        <f>AVERAGEIF($E$5:$E$41,$E71,M$5:M$41)</f>
        <v>134.67922000000002</v>
      </c>
      <c r="N71" s="120"/>
      <c r="O71" s="120">
        <f t="shared" ref="O71:U71" si="164">AVERAGEIF($E$5:$E$41,$E71,O$5:O$41)</f>
        <v>1346.7922000000001</v>
      </c>
      <c r="P71" s="120">
        <f t="shared" si="164"/>
        <v>44.893073333333334</v>
      </c>
      <c r="Q71" s="120">
        <f t="shared" si="164"/>
        <v>1246.5</v>
      </c>
      <c r="R71" s="188">
        <f t="shared" si="164"/>
        <v>9.2510800652557563</v>
      </c>
      <c r="S71" s="120">
        <f t="shared" si="164"/>
        <v>0.92510800652557557</v>
      </c>
      <c r="T71" s="120">
        <f t="shared" si="164"/>
        <v>27.753240195767269</v>
      </c>
      <c r="U71" s="120" t="e">
        <f t="shared" si="164"/>
        <v>#DIV/0!</v>
      </c>
      <c r="V71" s="81" t="s">
        <v>10</v>
      </c>
      <c r="W71" s="87">
        <f t="shared" ref="W71:BJ71" si="165">AVERAGEIF($E$5:$E$41,$E71,W$5:W$41)</f>
        <v>75.900240000000011</v>
      </c>
      <c r="X71" s="87">
        <f t="shared" si="165"/>
        <v>105.25995999999998</v>
      </c>
      <c r="Y71" s="87">
        <f t="shared" si="165"/>
        <v>134.67921999999999</v>
      </c>
      <c r="Z71" s="87">
        <f t="shared" si="165"/>
        <v>164.16985</v>
      </c>
      <c r="AA71" s="87">
        <f t="shared" si="165"/>
        <v>182.58812000000003</v>
      </c>
      <c r="AB71" s="87">
        <f t="shared" si="165"/>
        <v>183.76709</v>
      </c>
      <c r="AC71" s="87">
        <f t="shared" si="165"/>
        <v>165.64860000000004</v>
      </c>
      <c r="AD71" s="87">
        <f t="shared" si="165"/>
        <v>103.83086999999999</v>
      </c>
      <c r="AE71" s="87">
        <f t="shared" si="165"/>
        <v>80.636920000000003</v>
      </c>
      <c r="AF71" s="87">
        <f t="shared" si="165"/>
        <v>4.5863999999999994</v>
      </c>
      <c r="AG71" s="87">
        <f t="shared" si="165"/>
        <v>9.0841400000000014</v>
      </c>
      <c r="AH71" s="87">
        <f t="shared" si="165"/>
        <v>49.577059999999996</v>
      </c>
      <c r="AI71" s="87">
        <f t="shared" si="165"/>
        <v>73.564139999999995</v>
      </c>
      <c r="AJ71" s="87">
        <f t="shared" si="165"/>
        <v>112.45962</v>
      </c>
      <c r="AK71" s="87">
        <f t="shared" si="165"/>
        <v>57.075199999999995</v>
      </c>
      <c r="AL71" s="87">
        <f t="shared" si="165"/>
        <v>230.53693000000001</v>
      </c>
      <c r="AM71" s="87">
        <f t="shared" si="165"/>
        <v>234.21358999999995</v>
      </c>
      <c r="AN71" s="87">
        <f t="shared" si="165"/>
        <v>288.06101999999998</v>
      </c>
      <c r="AO71" s="87">
        <f t="shared" si="165"/>
        <v>405.16164000000003</v>
      </c>
      <c r="AP71" s="87">
        <f t="shared" si="165"/>
        <v>435.26782000000003</v>
      </c>
      <c r="AQ71" s="87">
        <f t="shared" si="165"/>
        <v>516.23038999999994</v>
      </c>
      <c r="AR71" s="87">
        <f t="shared" si="165"/>
        <v>625.06431000000009</v>
      </c>
      <c r="AS71" s="87">
        <f t="shared" si="165"/>
        <v>701.78160000000003</v>
      </c>
      <c r="AT71" s="87">
        <f t="shared" si="165"/>
        <v>430.24314666666669</v>
      </c>
      <c r="AU71" s="87">
        <f t="shared" si="165"/>
        <v>438.21110666666669</v>
      </c>
      <c r="AV71" s="87">
        <f t="shared" si="165"/>
        <v>482.56918666666678</v>
      </c>
      <c r="AW71" s="87">
        <f t="shared" si="165"/>
        <v>640.94541333333336</v>
      </c>
      <c r="AX71" s="87">
        <f t="shared" si="165"/>
        <v>777.07032000000015</v>
      </c>
      <c r="AY71" s="87">
        <f t="shared" si="165"/>
        <v>845.1464666666667</v>
      </c>
      <c r="AZ71" s="87">
        <f t="shared" si="165"/>
        <v>480.20075999999995</v>
      </c>
      <c r="BA71" s="87">
        <f t="shared" si="165"/>
        <v>645.06727999999998</v>
      </c>
      <c r="BB71" s="87">
        <f t="shared" si="165"/>
        <v>1026.2205200000001</v>
      </c>
      <c r="BC71" s="87">
        <f t="shared" si="165"/>
        <v>1079.7352799999999</v>
      </c>
      <c r="BD71" s="87">
        <f t="shared" si="165"/>
        <v>860.52096000000017</v>
      </c>
      <c r="BE71" s="87">
        <f t="shared" si="165"/>
        <v>958.86335999999983</v>
      </c>
      <c r="BF71" s="87">
        <f t="shared" si="165"/>
        <v>1388.5040000000001</v>
      </c>
      <c r="BG71" s="87">
        <f t="shared" si="165"/>
        <v>1535.2739999999999</v>
      </c>
      <c r="BH71" s="87">
        <f t="shared" si="165"/>
        <v>1703.2953600000001</v>
      </c>
      <c r="BI71" s="87" t="e">
        <f t="shared" si="165"/>
        <v>#DIV/0!</v>
      </c>
      <c r="BJ71" s="87" t="e">
        <f t="shared" si="165"/>
        <v>#DIV/0!</v>
      </c>
      <c r="BK71" s="114" t="s">
        <v>10</v>
      </c>
      <c r="BL71" s="82">
        <f t="shared" ref="BL71:CY71" si="166">AVERAGEIF($E$5:$E$41,$E71,BL$5:BL$41)</f>
        <v>0.56073713875343634</v>
      </c>
      <c r="BM71" s="82">
        <f t="shared" si="166"/>
        <v>0.81904093240979015</v>
      </c>
      <c r="BN71" s="82">
        <f t="shared" si="166"/>
        <v>0.99999999999999978</v>
      </c>
      <c r="BO71" s="82">
        <f t="shared" si="166"/>
        <v>1.3413025246826429</v>
      </c>
      <c r="BP71" s="82">
        <f t="shared" si="166"/>
        <v>1.3568152736178622</v>
      </c>
      <c r="BQ71" s="82">
        <f t="shared" si="166"/>
        <v>1.366588563642972</v>
      </c>
      <c r="BR71" s="82">
        <f t="shared" si="166"/>
        <v>1.2635132208974189</v>
      </c>
      <c r="BS71" s="82">
        <f t="shared" si="166"/>
        <v>0.90060020511705718</v>
      </c>
      <c r="BT71" s="82">
        <f t="shared" si="166"/>
        <v>0.6239088016285711</v>
      </c>
      <c r="BU71" s="82">
        <f t="shared" si="166"/>
        <v>3.4507042253521122E-2</v>
      </c>
      <c r="BV71" s="82">
        <f t="shared" si="166"/>
        <v>7.3555717417798566E-2</v>
      </c>
      <c r="BW71" s="82">
        <f t="shared" si="166"/>
        <v>0.37670840138362044</v>
      </c>
      <c r="BX71" s="82">
        <f t="shared" si="166"/>
        <v>0.63263965323203564</v>
      </c>
      <c r="BY71" s="82">
        <f t="shared" si="166"/>
        <v>0.97891716115425731</v>
      </c>
      <c r="BZ71" s="82">
        <f t="shared" si="166"/>
        <v>0.48376830796276271</v>
      </c>
      <c r="CA71" s="82">
        <f t="shared" si="166"/>
        <v>2.0200362773088218</v>
      </c>
      <c r="CB71" s="82">
        <f t="shared" si="166"/>
        <v>1.9532075353935383</v>
      </c>
      <c r="CC71" s="82">
        <f t="shared" si="166"/>
        <v>2.4443204785448303</v>
      </c>
      <c r="CD71" s="82">
        <f t="shared" si="166"/>
        <v>3.415138684564587</v>
      </c>
      <c r="CE71" s="82">
        <f t="shared" si="166"/>
        <v>3.7186579291207034</v>
      </c>
      <c r="CF71" s="82">
        <f t="shared" si="166"/>
        <v>4.5313692730992505</v>
      </c>
      <c r="CG71" s="82">
        <f t="shared" si="166"/>
        <v>5.5206691751291377</v>
      </c>
      <c r="CH71" s="82">
        <f t="shared" si="166"/>
        <v>6.1685534529340087</v>
      </c>
      <c r="CI71" s="82">
        <f t="shared" si="166"/>
        <v>3.0837748759858301</v>
      </c>
      <c r="CJ71" s="82">
        <f t="shared" si="166"/>
        <v>3.1318041311680798</v>
      </c>
      <c r="CK71" s="82">
        <f t="shared" si="166"/>
        <v>3.4530216831797156</v>
      </c>
      <c r="CL71" s="82">
        <f t="shared" si="166"/>
        <v>4.587049814567985</v>
      </c>
      <c r="CM71" s="82">
        <f t="shared" si="166"/>
        <v>5.5447116680671611</v>
      </c>
      <c r="CN71" s="82">
        <f t="shared" si="166"/>
        <v>6.039344800556961</v>
      </c>
      <c r="CO71" s="82">
        <f t="shared" si="166"/>
        <v>3.4649246107624778</v>
      </c>
      <c r="CP71" s="82">
        <f t="shared" si="166"/>
        <v>4.6249126980827908</v>
      </c>
      <c r="CQ71" s="82">
        <f t="shared" si="166"/>
        <v>7.3841195321680182</v>
      </c>
      <c r="CR71" s="82">
        <f t="shared" si="166"/>
        <v>7.8719317354360223</v>
      </c>
      <c r="CS71" s="82">
        <f t="shared" si="166"/>
        <v>5.2629757785467142</v>
      </c>
      <c r="CT71" s="82">
        <f t="shared" si="166"/>
        <v>5.8644412782413999</v>
      </c>
      <c r="CU71" s="82">
        <f t="shared" si="166"/>
        <v>8.4921382047628757</v>
      </c>
      <c r="CV71" s="82">
        <f t="shared" si="166"/>
        <v>9.3897885711377977</v>
      </c>
      <c r="CW71" s="82">
        <f t="shared" si="166"/>
        <v>10.417412985955629</v>
      </c>
      <c r="CX71" s="82" t="e">
        <f t="shared" si="166"/>
        <v>#DIV/0!</v>
      </c>
      <c r="CY71" s="82" t="e">
        <f t="shared" si="166"/>
        <v>#DIV/0!</v>
      </c>
      <c r="CZ71" s="215" t="e">
        <f t="shared" ref="CZ71:DF71" si="167">SQRT(CZ50*CZ69-(CZ49^2*CZ68^2))</f>
        <v>#REF!</v>
      </c>
      <c r="DA71" s="215" t="e">
        <f t="shared" si="167"/>
        <v>#REF!</v>
      </c>
      <c r="DB71" s="215" t="e">
        <f t="shared" si="167"/>
        <v>#REF!</v>
      </c>
      <c r="DC71" s="215" t="e">
        <f t="shared" si="167"/>
        <v>#REF!</v>
      </c>
      <c r="DD71" s="215" t="e">
        <f t="shared" si="167"/>
        <v>#REF!</v>
      </c>
      <c r="DE71" s="215" t="e">
        <f t="shared" si="167"/>
        <v>#REF!</v>
      </c>
      <c r="DF71" s="215" t="e">
        <f t="shared" si="167"/>
        <v>#REF!</v>
      </c>
      <c r="DG71" s="176" t="e">
        <f t="shared" ref="DG71" si="168">SQRT(DG58*DG69-(DG57^2*DG68^2))</f>
        <v>#REF!</v>
      </c>
    </row>
    <row r="72" spans="1:111" ht="14.25" customHeight="1">
      <c r="A72" s="129"/>
      <c r="E72" s="104"/>
      <c r="H72" s="104"/>
      <c r="I72" s="120">
        <f t="array" ref="I72">_xlfn.STDEV.P(IF($E$5:$E$41=$E71,I$5:I$41))</f>
        <v>2.0223748416156693</v>
      </c>
      <c r="J72" s="120"/>
      <c r="K72" s="120"/>
      <c r="L72" s="120"/>
      <c r="M72" s="120">
        <f t="array" ref="M72">_xlfn.STDEV.P(IF($E$5:$E$41=$E71,M$5:M$41))</f>
        <v>21.8222244575662</v>
      </c>
      <c r="N72" s="120"/>
      <c r="O72" s="120">
        <f t="array" ref="O72">_xlfn.STDEV.P(IF($E$5:$E$41=$E71,O$5:O$41))</f>
        <v>218.22224457566162</v>
      </c>
      <c r="P72" s="120">
        <f t="array" ref="P72">_xlfn.STDEV.P(IF($E$5:$E$41=$E71,P$5:P$41))</f>
        <v>7.2740748191887317</v>
      </c>
      <c r="Q72" s="120">
        <f t="array" ref="Q72">_xlfn.STDEV.P(IF($E$5:$E$41=$E71,Q$5:Q$41))</f>
        <v>219.28349231075285</v>
      </c>
      <c r="R72" s="188">
        <f t="array" ref="R72">_xlfn.STDEV.P(IF($E$5:$E$41=$E71,R$5:R$41))</f>
        <v>0.37978792655384835</v>
      </c>
      <c r="S72" s="120">
        <f t="array" ref="S72">_xlfn.STDEV.P(IF($E$5:$E$41=$E71,S$5:S$41))</f>
        <v>3.7978792655384862E-2</v>
      </c>
      <c r="T72" s="120">
        <f t="array" ref="T72">_xlfn.STDEV.P(IF($E$5:$E$41=$E71,T$5:T$41))</f>
        <v>1.1393637796615457</v>
      </c>
      <c r="U72" s="120">
        <f t="array" ref="U72">_xlfn.STDEV.P(IF($E$5:$E$41=$E71,U$5:U$41))</f>
        <v>0</v>
      </c>
      <c r="V72" s="81" t="s">
        <v>12</v>
      </c>
      <c r="W72" s="90">
        <f t="array" ref="W72">_xlfn.STDEV.P(IF($E$5:$E$41=$E71,W$5:W$41))</f>
        <v>40.789104557506541</v>
      </c>
      <c r="X72" s="90">
        <f t="array" ref="X72">_xlfn.STDEV.P(IF($E$5:$E$41=$E71,X$5:X$41))</f>
        <v>54.567680298010671</v>
      </c>
      <c r="Y72" s="90">
        <f t="array" ref="Y72">_xlfn.STDEV.P(IF($E$5:$E$41=$E71,Y$5:Y$41))</f>
        <v>21.8222244575662</v>
      </c>
      <c r="Z72" s="90">
        <f t="array" ref="Z72">_xlfn.STDEV.P(IF($E$5:$E$41=$E71,Z$5:Z$41))</f>
        <v>66.372154220916315</v>
      </c>
      <c r="AA72" s="90">
        <f t="array" ref="AA72">_xlfn.STDEV.P(IF($E$5:$E$41=$E71,AA$5:AA$41))</f>
        <v>43.695542698165312</v>
      </c>
      <c r="AB72" s="90">
        <f t="array" ref="AB72">_xlfn.STDEV.P(IF($E$5:$E$41=$E71,AB$5:AB$41))</f>
        <v>87.857614670763198</v>
      </c>
      <c r="AC72" s="90">
        <f t="array" ref="AC72">_xlfn.STDEV.P(IF($E$5:$E$41=$E71,AC$5:AC$41))</f>
        <v>39.448590668737396</v>
      </c>
      <c r="AD72" s="90">
        <f t="array" ref="AD72">_xlfn.STDEV.P(IF($E$5:$E$41=$E71,AD$5:AD$41))</f>
        <v>83.711724066595949</v>
      </c>
      <c r="AE72" s="90">
        <f t="array" ref="AE72">_xlfn.STDEV.P(IF($E$5:$E$41=$E71,AE$5:AE$41))</f>
        <v>27.860805583859218</v>
      </c>
      <c r="AF72" s="90">
        <f t="array" ref="AF72">_xlfn.STDEV.P(IF($E$5:$E$41=$E71,AF$5:AF$41))</f>
        <v>7.9438778238338976</v>
      </c>
      <c r="AG72" s="90">
        <f t="array" ref="AG72">_xlfn.STDEV.P(IF($E$5:$E$41=$E71,AG$5:AG$41))</f>
        <v>11.044313710339814</v>
      </c>
      <c r="AH72" s="90">
        <f t="array" ref="AH72">_xlfn.STDEV.P(IF($E$5:$E$41=$E71,AH$5:AH$41))</f>
        <v>49.423180465765242</v>
      </c>
      <c r="AI72" s="90">
        <f t="array" ref="AI72">_xlfn.STDEV.P(IF($E$5:$E$41=$E71,AI$5:AI$41))</f>
        <v>71.421236700944888</v>
      </c>
      <c r="AJ72" s="90">
        <f t="array" ref="AJ72">_xlfn.STDEV.P(IF($E$5:$E$41=$E71,AJ$5:AJ$41))</f>
        <v>116.3975799796731</v>
      </c>
      <c r="AK72" s="90">
        <f t="array" ref="AK72">_xlfn.STDEV.P(IF($E$5:$E$41=$E71,AK$5:AK$41))</f>
        <v>57.086846811671066</v>
      </c>
      <c r="AL72" s="90">
        <f t="array" ref="AL72">_xlfn.STDEV.P(IF($E$5:$E$41=$E71,AL$5:AL$41))</f>
        <v>242.70881262357386</v>
      </c>
      <c r="AM72" s="90">
        <f t="array" ref="AM72">_xlfn.STDEV.P(IF($E$5:$E$41=$E71,AM$5:AM$41))</f>
        <v>236.09978334918708</v>
      </c>
      <c r="AN72" s="90">
        <f t="array" ref="AN72">_xlfn.STDEV.P(IF($E$5:$E$41=$E71,AN$5:AN$41))</f>
        <v>284.80570898182719</v>
      </c>
      <c r="AO72" s="90">
        <f t="array" ref="AO72">_xlfn.STDEV.P(IF($E$5:$E$41=$E71,AO$5:AO$41))</f>
        <v>403.17420659745784</v>
      </c>
      <c r="AP72" s="90">
        <f t="array" ref="AP72">_xlfn.STDEV.P(IF($E$5:$E$41=$E71,AP$5:AP$41))</f>
        <v>433.97229602084923</v>
      </c>
      <c r="AQ72" s="90">
        <f t="array" ref="AQ72">_xlfn.STDEV.P(IF($E$5:$E$41=$E71,AQ$5:AQ$41))</f>
        <v>546.24701767291799</v>
      </c>
      <c r="AR72" s="90">
        <f t="array" ref="AR72">_xlfn.STDEV.P(IF($E$5:$E$41=$E71,AR$5:AR$41))</f>
        <v>662.80022150265609</v>
      </c>
      <c r="AS72" s="90">
        <f t="array" ref="AS72">_xlfn.STDEV.P(IF($E$5:$E$41=$E71,AS$5:AS$41))</f>
        <v>729.39781439240051</v>
      </c>
      <c r="AT72" s="90">
        <f t="array" ref="AT72">_xlfn.STDEV.P(IF($E$5:$E$41=$E71,AT$5:AT$41))</f>
        <v>488.62206535529032</v>
      </c>
      <c r="AU72" s="90">
        <f t="array" ref="AU72">_xlfn.STDEV.P(IF($E$5:$E$41=$E71,AU$5:AU$41))</f>
        <v>467.57431791488153</v>
      </c>
      <c r="AV72" s="90">
        <f t="array" ref="AV72">_xlfn.STDEV.P(IF($E$5:$E$41=$E71,AV$5:AV$41))</f>
        <v>461.68120636771215</v>
      </c>
      <c r="AW72" s="90">
        <f t="array" ref="AW72">_xlfn.STDEV.P(IF($E$5:$E$41=$E71,AW$5:AW$41))</f>
        <v>566.9790435453117</v>
      </c>
      <c r="AX72" s="90">
        <f t="array" ref="AX72">_xlfn.STDEV.P(IF($E$5:$E$41=$E71,AX$5:AX$41))</f>
        <v>623.54628466065526</v>
      </c>
      <c r="AY72" s="90">
        <f t="array" ref="AY72">_xlfn.STDEV.P(IF($E$5:$E$41=$E71,AY$5:AY$41))</f>
        <v>705.66594233590183</v>
      </c>
      <c r="AZ72" s="90">
        <f t="array" ref="AZ72">_xlfn.STDEV.P(IF($E$5:$E$41=$E71,AZ$5:AZ$41))</f>
        <v>306.72687983863364</v>
      </c>
      <c r="BA72" s="90">
        <f t="array" ref="BA72">_xlfn.STDEV.P(IF($E$5:$E$41=$E71,BA$5:BA$41))</f>
        <v>394.20728277644599</v>
      </c>
      <c r="BB72" s="90">
        <f t="array" ref="BB72">_xlfn.STDEV.P(IF($E$5:$E$41=$E71,BB$5:BB$41))</f>
        <v>642.79014010257117</v>
      </c>
      <c r="BC72" s="90">
        <f t="array" ref="BC72">_xlfn.STDEV.P(IF($E$5:$E$41=$E71,BC$5:BC$41))</f>
        <v>743.06513755760921</v>
      </c>
      <c r="BD72" s="90">
        <f t="array" ref="BD72">_xlfn.STDEV.P(IF($E$5:$E$41=$E71,BD$5:BD$41))</f>
        <v>372.61650592448649</v>
      </c>
      <c r="BE72" s="90">
        <f t="array" ref="BE72">_xlfn.STDEV.P(IF($E$5:$E$41=$E71,BE$5:BE$41))</f>
        <v>415.20001425905173</v>
      </c>
      <c r="BF72" s="90">
        <f t="array" ref="BF72">_xlfn.STDEV.P(IF($E$5:$E$41=$E71,BF$5:BF$41))</f>
        <v>601.23986862815411</v>
      </c>
      <c r="BG72" s="90">
        <f t="array" ref="BG72">_xlfn.STDEV.P(IF($E$5:$E$41=$E71,BG$5:BG$41))</f>
        <v>664.79314288487501</v>
      </c>
      <c r="BH72" s="90">
        <f t="array" ref="BH72">_xlfn.STDEV.P(IF($E$5:$E$41=$E71,BH$5:BH$41))</f>
        <v>737.54852595408045</v>
      </c>
      <c r="BI72" s="90">
        <f t="array" ref="BI72">_xlfn.STDEV.P(IF($E$5:$E$41=$E71,BI$5:BI$41))</f>
        <v>0</v>
      </c>
      <c r="BJ72" s="90">
        <f t="array" ref="BJ72">_xlfn.STDEV.P(IF($E$5:$E$41=$E71,BJ$5:BJ$41))</f>
        <v>0</v>
      </c>
      <c r="BK72" s="115" t="s">
        <v>12</v>
      </c>
      <c r="BL72" s="83">
        <f t="array" ref="BL72">_xlfn.STDEV.P(IF($E$5:$E$41=$E71,BL$5:BL$41))</f>
        <v>0.16940370631698651</v>
      </c>
      <c r="BM72" s="83">
        <f t="array" ref="BM72">_xlfn.STDEV.P(IF($E$5:$E$41=$E71,BM$5:BM$41))</f>
        <v>0.18166840167637113</v>
      </c>
      <c r="BN72" s="83">
        <f t="array" ref="BN72">_xlfn.STDEV.P(IF($E$5:$E$41=$E71,BN$5:BN$41))</f>
        <v>1.2412670766236366E-16</v>
      </c>
      <c r="BO72" s="83">
        <f t="array" ref="BO72">_xlfn.STDEV.P(IF($E$5:$E$41=$E71,BO$5:BO$41))</f>
        <v>0.77288588639486999</v>
      </c>
      <c r="BP72" s="83">
        <f t="array" ref="BP72">_xlfn.STDEV.P(IF($E$5:$E$41=$E71,BP$5:BP$41))</f>
        <v>0.20892267926062885</v>
      </c>
      <c r="BQ72" s="83">
        <f t="array" ref="BQ72">_xlfn.STDEV.P(IF($E$5:$E$41=$E71,BQ$5:BQ$41))</f>
        <v>0.5694196174689965</v>
      </c>
      <c r="BR72" s="83">
        <f t="array" ref="BR72">_xlfn.STDEV.P(IF($E$5:$E$41=$E71,BR$5:BR$41))</f>
        <v>0.38029871817659744</v>
      </c>
      <c r="BS72" s="83">
        <f t="array" ref="BS72">_xlfn.STDEV.P(IF($E$5:$E$41=$E71,BS$5:BS$41))</f>
        <v>0.85876273415803706</v>
      </c>
      <c r="BT72" s="83">
        <f t="array" ref="BT72">_xlfn.STDEV.P(IF($E$5:$E$41=$E71,BT$5:BT$41))</f>
        <v>0.22771957208534446</v>
      </c>
      <c r="BU72" s="83">
        <f t="array" ref="BU72">_xlfn.STDEV.P(IF($E$5:$E$41=$E71,BU$5:BU$41))</f>
        <v>5.9767950402024636E-2</v>
      </c>
      <c r="BV72" s="83">
        <f t="array" ref="BV72">_xlfn.STDEV.P(IF($E$5:$E$41=$E71,BV$5:BV$41))</f>
        <v>8.3677426211527656E-2</v>
      </c>
      <c r="BW72" s="83">
        <f t="array" ref="BW72">_xlfn.STDEV.P(IF($E$5:$E$41=$E71,BW$5:BW$41))</f>
        <v>0.35012883063329053</v>
      </c>
      <c r="BX72" s="83">
        <f t="array" ref="BX72">_xlfn.STDEV.P(IF($E$5:$E$41=$E71,BX$5:BX$41))</f>
        <v>0.66585688336922633</v>
      </c>
      <c r="BY72" s="83">
        <f t="array" ref="BY72">_xlfn.STDEV.P(IF($E$5:$E$41=$E71,BY$5:BY$41))</f>
        <v>1.082589529214238</v>
      </c>
      <c r="BZ72" s="83">
        <f t="array" ref="BZ72">_xlfn.STDEV.P(IF($E$5:$E$41=$E71,BZ$5:BZ$41))</f>
        <v>0.49737043970474182</v>
      </c>
      <c r="CA72" s="83">
        <f t="array" ref="CA72">_xlfn.STDEV.P(IF($E$5:$E$41=$E71,CA$5:CA$41))</f>
        <v>2.2855049648357286</v>
      </c>
      <c r="CB72" s="83">
        <f t="array" ref="CB72">_xlfn.STDEV.P(IF($E$5:$E$41=$E71,CB$5:CB$41))</f>
        <v>1.9616823778176085</v>
      </c>
      <c r="CC72" s="83">
        <f t="array" ref="CC72">_xlfn.STDEV.P(IF($E$5:$E$41=$E71,CC$5:CC$41))</f>
        <v>2.5063245726482446</v>
      </c>
      <c r="CD72" s="83">
        <f t="array" ref="CD72">_xlfn.STDEV.P(IF($E$5:$E$41=$E71,CD$5:CD$41))</f>
        <v>3.4670672723677729</v>
      </c>
      <c r="CE72" s="83">
        <f t="array" ref="CE72">_xlfn.STDEV.P(IF($E$5:$E$41=$E71,CE$5:CE$41))</f>
        <v>3.8814823235988705</v>
      </c>
      <c r="CF72" s="83">
        <f t="array" ref="CF72">_xlfn.STDEV.P(IF($E$5:$E$41=$E71,CF$5:CF$41))</f>
        <v>5.1593975075169043</v>
      </c>
      <c r="CG72" s="83">
        <f t="array" ref="CG72">_xlfn.STDEV.P(IF($E$5:$E$41=$E71,CG$5:CG$41))</f>
        <v>6.3761883341637704</v>
      </c>
      <c r="CH72" s="83">
        <f t="array" ref="CH72">_xlfn.STDEV.P(IF($E$5:$E$41=$E71,CH$5:CH$41))</f>
        <v>6.9725934745595222</v>
      </c>
      <c r="CI72" s="83">
        <f t="array" ref="CI72">_xlfn.STDEV.P(IF($E$5:$E$41=$E71,CI$5:CI$41))</f>
        <v>3.7232848936300913</v>
      </c>
      <c r="CJ72" s="83">
        <f t="array" ref="CJ72">_xlfn.STDEV.P(IF($E$5:$E$41=$E71,CJ$5:CJ$41))</f>
        <v>3.5296878392092088</v>
      </c>
      <c r="CK72" s="83">
        <f t="array" ref="CK72">_xlfn.STDEV.P(IF($E$5:$E$41=$E71,CK$5:CK$41))</f>
        <v>3.4038770728087879</v>
      </c>
      <c r="CL72" s="83">
        <f t="array" ref="CL72">_xlfn.STDEV.P(IF($E$5:$E$41=$E71,CL$5:CL$41))</f>
        <v>4.0963392149556741</v>
      </c>
      <c r="CM72" s="83">
        <f t="array" ref="CM72">_xlfn.STDEV.P(IF($E$5:$E$41=$E71,CM$5:CM$41))</f>
        <v>4.3742400593962882</v>
      </c>
      <c r="CN72" s="83">
        <f t="array" ref="CN72">_xlfn.STDEV.P(IF($E$5:$E$41=$E71,CN$5:CN$41))</f>
        <v>5.0142123977251467</v>
      </c>
      <c r="CO72" s="83">
        <f t="array" ref="CO72">_xlfn.STDEV.P(IF($E$5:$E$41=$E71,CO$5:CO$41))</f>
        <v>2.1789486286741413</v>
      </c>
      <c r="CP72" s="83">
        <f t="array" ref="CP72">_xlfn.STDEV.P(IF($E$5:$E$41=$E71,CP$5:CP$41))</f>
        <v>2.6400638277388051</v>
      </c>
      <c r="CQ72" s="83">
        <f t="array" ref="CQ72">_xlfn.STDEV.P(IF($E$5:$E$41=$E71,CQ$5:CQ$41))</f>
        <v>4.4564594975659437</v>
      </c>
      <c r="CR72" s="83">
        <f t="array" ref="CR72">_xlfn.STDEV.P(IF($E$5:$E$41=$E71,CR$5:CR$41))</f>
        <v>5.6844062927329899</v>
      </c>
      <c r="CS72" s="83">
        <f t="array" ref="CS72">_xlfn.STDEV.P(IF($E$5:$E$41=$E71,CS$5:CS$41))</f>
        <v>0</v>
      </c>
      <c r="CT72" s="83">
        <f t="array" ref="CT72">_xlfn.STDEV.P(IF($E$5:$E$41=$E71,CT$5:CT$41))</f>
        <v>0</v>
      </c>
      <c r="CU72" s="83">
        <f t="array" ref="CU72">_xlfn.STDEV.P(IF($E$5:$E$41=$E71,CU$5:CU$41))</f>
        <v>0</v>
      </c>
      <c r="CV72" s="83">
        <f t="array" ref="CV72">_xlfn.STDEV.P(IF($E$5:$E$41=$E71,CV$5:CV$41))</f>
        <v>0</v>
      </c>
      <c r="CW72" s="83">
        <f t="array" ref="CW72">_xlfn.STDEV.P(IF($E$5:$E$41=$E71,CW$5:CW$41))</f>
        <v>0</v>
      </c>
      <c r="CX72" s="83" t="e">
        <f t="array" ref="CX72">_xlfn.STDEV.P(IF($E$5:$E$41=$E71,CX$5:CX$41))</f>
        <v>#DIV/0!</v>
      </c>
      <c r="CY72" s="83" t="e">
        <f t="array" ref="CY72">_xlfn.STDEV.P(IF($E$5:$E$41=$E71,CY$5:CY$41))</f>
        <v>#DIV/0!</v>
      </c>
    </row>
    <row r="73" spans="1:111" s="195" customFormat="1" ht="14.25" customHeight="1">
      <c r="A73" s="191"/>
      <c r="B73" s="192"/>
      <c r="C73" s="193"/>
      <c r="D73" s="192"/>
      <c r="E73" s="194"/>
      <c r="H73" s="196"/>
      <c r="I73" s="197"/>
      <c r="J73" s="197"/>
      <c r="K73" s="197"/>
      <c r="L73" s="197"/>
      <c r="M73" s="197"/>
      <c r="N73" s="197"/>
      <c r="O73" s="197"/>
      <c r="P73" s="197"/>
      <c r="Q73" s="197"/>
      <c r="R73" s="198"/>
      <c r="S73" s="197"/>
      <c r="T73" s="197"/>
      <c r="U73" s="197"/>
      <c r="V73" s="199"/>
      <c r="W73" s="200"/>
      <c r="X73" s="200"/>
      <c r="Y73" s="200"/>
      <c r="Z73" s="200"/>
      <c r="AA73" s="200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200"/>
      <c r="BC73" s="200"/>
      <c r="BD73" s="200"/>
      <c r="BE73" s="200"/>
      <c r="BF73" s="200"/>
      <c r="BG73" s="200"/>
      <c r="BH73" s="200"/>
      <c r="BI73" s="200"/>
      <c r="BJ73" s="200"/>
      <c r="BK73" s="189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</row>
    <row r="74" spans="1:111" s="206" customFormat="1" ht="14.25" customHeight="1">
      <c r="A74" s="202"/>
      <c r="B74" s="203"/>
      <c r="C74" s="204"/>
      <c r="D74" s="203"/>
      <c r="E74" s="205"/>
      <c r="H74" s="207"/>
      <c r="I74" s="208"/>
      <c r="J74" s="208"/>
      <c r="K74" s="208"/>
      <c r="L74" s="208"/>
      <c r="M74" s="208"/>
      <c r="N74" s="208"/>
      <c r="O74" s="208"/>
      <c r="P74" s="208"/>
      <c r="Q74" s="208"/>
      <c r="R74" s="209"/>
      <c r="S74" s="208"/>
      <c r="T74" s="208"/>
      <c r="U74" s="208"/>
      <c r="V74" s="210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2"/>
      <c r="BL74" s="201"/>
      <c r="BM74" s="201"/>
      <c r="BN74" s="201"/>
      <c r="BO74" s="201"/>
      <c r="BP74" s="201"/>
      <c r="BQ74" s="201"/>
      <c r="BR74" s="201"/>
      <c r="BS74" s="201"/>
      <c r="BT74" s="201"/>
      <c r="BU74" s="201"/>
      <c r="BV74" s="201"/>
      <c r="BW74" s="201"/>
      <c r="BX74" s="201"/>
      <c r="BY74" s="201"/>
      <c r="BZ74" s="201"/>
      <c r="CA74" s="201"/>
      <c r="CB74" s="201"/>
      <c r="CC74" s="201"/>
      <c r="CD74" s="201"/>
      <c r="CE74" s="201"/>
      <c r="CF74" s="201"/>
      <c r="CG74" s="201"/>
      <c r="CH74" s="201"/>
      <c r="CI74" s="201"/>
      <c r="CJ74" s="201"/>
      <c r="CK74" s="201"/>
      <c r="CL74" s="201"/>
      <c r="CM74" s="201"/>
      <c r="CN74" s="201"/>
      <c r="CO74" s="201"/>
      <c r="CP74" s="201"/>
      <c r="CQ74" s="201"/>
      <c r="CR74" s="201"/>
      <c r="CS74" s="201"/>
      <c r="CT74" s="201"/>
      <c r="CU74" s="201"/>
      <c r="CV74" s="201"/>
      <c r="CW74" s="201"/>
      <c r="CX74" s="201"/>
      <c r="CY74" s="201"/>
    </row>
    <row r="75" spans="1:111" ht="15">
      <c r="A75" s="129"/>
      <c r="E75" s="58"/>
      <c r="H75" s="58"/>
      <c r="J75" s="63"/>
      <c r="K75" s="63"/>
      <c r="L75" s="63"/>
      <c r="N75" s="63"/>
      <c r="Q75" s="63"/>
      <c r="R75" s="187"/>
      <c r="S75" s="63"/>
      <c r="T75" s="63"/>
      <c r="U75" s="63"/>
    </row>
    <row r="76" spans="1:111" ht="14.25" customHeight="1">
      <c r="A76" s="129"/>
      <c r="E76" s="134" t="str">
        <f>'RAD_DOSE Groups'!C14</f>
        <v>Group 9</v>
      </c>
      <c r="H76" s="134" t="str">
        <f>E76</f>
        <v>Group 9</v>
      </c>
      <c r="I76" s="120" t="e">
        <f>AVERAGEIF($E$5:$E$41,$E76,I$5:I$41)</f>
        <v>#DIV/0!</v>
      </c>
      <c r="J76" s="120"/>
      <c r="K76" s="120"/>
      <c r="L76" s="120"/>
      <c r="M76" s="120" t="e">
        <f>AVERAGEIF($E$5:$E$41,$E76,M$5:M$41)</f>
        <v>#DIV/0!</v>
      </c>
      <c r="N76" s="120"/>
      <c r="O76" s="120" t="e">
        <f t="shared" ref="O76:U76" si="169">AVERAGEIF($E$5:$E$41,$E76,O$5:O$41)</f>
        <v>#DIV/0!</v>
      </c>
      <c r="P76" s="120" t="e">
        <f t="shared" si="169"/>
        <v>#DIV/0!</v>
      </c>
      <c r="Q76" s="120" t="e">
        <f t="shared" si="169"/>
        <v>#DIV/0!</v>
      </c>
      <c r="R76" s="188" t="e">
        <f t="shared" si="169"/>
        <v>#DIV/0!</v>
      </c>
      <c r="S76" s="120" t="e">
        <f t="shared" si="169"/>
        <v>#DIV/0!</v>
      </c>
      <c r="T76" s="120" t="e">
        <f t="shared" si="169"/>
        <v>#DIV/0!</v>
      </c>
      <c r="U76" s="120" t="e">
        <f t="shared" si="169"/>
        <v>#DIV/0!</v>
      </c>
      <c r="V76" s="81" t="s">
        <v>10</v>
      </c>
      <c r="W76" s="87" t="e">
        <f t="shared" ref="W76:BJ76" si="170">AVERAGEIF($E$5:$E$41,$E76,W$5:W$41)</f>
        <v>#DIV/0!</v>
      </c>
      <c r="X76" s="87" t="e">
        <f t="shared" si="170"/>
        <v>#DIV/0!</v>
      </c>
      <c r="Y76" s="87" t="e">
        <f t="shared" si="170"/>
        <v>#DIV/0!</v>
      </c>
      <c r="Z76" s="87" t="e">
        <f t="shared" si="170"/>
        <v>#DIV/0!</v>
      </c>
      <c r="AA76" s="87" t="e">
        <f t="shared" si="170"/>
        <v>#DIV/0!</v>
      </c>
      <c r="AB76" s="87" t="e">
        <f t="shared" si="170"/>
        <v>#DIV/0!</v>
      </c>
      <c r="AC76" s="87" t="e">
        <f t="shared" si="170"/>
        <v>#DIV/0!</v>
      </c>
      <c r="AD76" s="87" t="e">
        <f t="shared" si="170"/>
        <v>#DIV/0!</v>
      </c>
      <c r="AE76" s="87" t="e">
        <f t="shared" si="170"/>
        <v>#DIV/0!</v>
      </c>
      <c r="AF76" s="87" t="e">
        <f t="shared" si="170"/>
        <v>#DIV/0!</v>
      </c>
      <c r="AG76" s="87" t="e">
        <f t="shared" si="170"/>
        <v>#DIV/0!</v>
      </c>
      <c r="AH76" s="87" t="e">
        <f t="shared" si="170"/>
        <v>#DIV/0!</v>
      </c>
      <c r="AI76" s="87" t="e">
        <f t="shared" si="170"/>
        <v>#DIV/0!</v>
      </c>
      <c r="AJ76" s="87" t="e">
        <f t="shared" si="170"/>
        <v>#DIV/0!</v>
      </c>
      <c r="AK76" s="87" t="e">
        <f t="shared" si="170"/>
        <v>#DIV/0!</v>
      </c>
      <c r="AL76" s="87" t="e">
        <f t="shared" si="170"/>
        <v>#DIV/0!</v>
      </c>
      <c r="AM76" s="87" t="e">
        <f t="shared" si="170"/>
        <v>#DIV/0!</v>
      </c>
      <c r="AN76" s="87" t="e">
        <f t="shared" si="170"/>
        <v>#DIV/0!</v>
      </c>
      <c r="AO76" s="87" t="e">
        <f t="shared" si="170"/>
        <v>#DIV/0!</v>
      </c>
      <c r="AP76" s="87" t="e">
        <f t="shared" si="170"/>
        <v>#DIV/0!</v>
      </c>
      <c r="AQ76" s="87" t="e">
        <f t="shared" si="170"/>
        <v>#DIV/0!</v>
      </c>
      <c r="AR76" s="87" t="e">
        <f t="shared" si="170"/>
        <v>#DIV/0!</v>
      </c>
      <c r="AS76" s="87" t="e">
        <f t="shared" si="170"/>
        <v>#DIV/0!</v>
      </c>
      <c r="AT76" s="87" t="e">
        <f t="shared" si="170"/>
        <v>#DIV/0!</v>
      </c>
      <c r="AU76" s="87" t="e">
        <f t="shared" si="170"/>
        <v>#DIV/0!</v>
      </c>
      <c r="AV76" s="87" t="e">
        <f t="shared" si="170"/>
        <v>#DIV/0!</v>
      </c>
      <c r="AW76" s="87" t="e">
        <f t="shared" si="170"/>
        <v>#DIV/0!</v>
      </c>
      <c r="AX76" s="87" t="e">
        <f t="shared" si="170"/>
        <v>#DIV/0!</v>
      </c>
      <c r="AY76" s="87" t="e">
        <f t="shared" si="170"/>
        <v>#DIV/0!</v>
      </c>
      <c r="AZ76" s="87" t="e">
        <f t="shared" si="170"/>
        <v>#DIV/0!</v>
      </c>
      <c r="BA76" s="87" t="e">
        <f t="shared" si="170"/>
        <v>#DIV/0!</v>
      </c>
      <c r="BB76" s="87" t="e">
        <f t="shared" si="170"/>
        <v>#DIV/0!</v>
      </c>
      <c r="BC76" s="87" t="e">
        <f t="shared" si="170"/>
        <v>#DIV/0!</v>
      </c>
      <c r="BD76" s="87" t="e">
        <f t="shared" si="170"/>
        <v>#DIV/0!</v>
      </c>
      <c r="BE76" s="87" t="e">
        <f t="shared" si="170"/>
        <v>#DIV/0!</v>
      </c>
      <c r="BF76" s="87" t="e">
        <f t="shared" si="170"/>
        <v>#DIV/0!</v>
      </c>
      <c r="BG76" s="87" t="e">
        <f t="shared" si="170"/>
        <v>#DIV/0!</v>
      </c>
      <c r="BH76" s="87" t="e">
        <f t="shared" si="170"/>
        <v>#DIV/0!</v>
      </c>
      <c r="BI76" s="87" t="e">
        <f t="shared" si="170"/>
        <v>#DIV/0!</v>
      </c>
      <c r="BJ76" s="87" t="e">
        <f t="shared" si="170"/>
        <v>#DIV/0!</v>
      </c>
      <c r="BK76" s="114" t="s">
        <v>10</v>
      </c>
      <c r="BL76" s="82" t="e">
        <f t="shared" ref="BL76:CY76" si="171">AVERAGEIF($E$5:$E$41,$E76,BL$5:BL$41)</f>
        <v>#DIV/0!</v>
      </c>
      <c r="BM76" s="82" t="e">
        <f t="shared" si="171"/>
        <v>#DIV/0!</v>
      </c>
      <c r="BN76" s="82" t="e">
        <f t="shared" si="171"/>
        <v>#DIV/0!</v>
      </c>
      <c r="BO76" s="82" t="e">
        <f t="shared" si="171"/>
        <v>#DIV/0!</v>
      </c>
      <c r="BP76" s="82" t="e">
        <f t="shared" si="171"/>
        <v>#DIV/0!</v>
      </c>
      <c r="BQ76" s="82" t="e">
        <f t="shared" si="171"/>
        <v>#DIV/0!</v>
      </c>
      <c r="BR76" s="82" t="e">
        <f t="shared" si="171"/>
        <v>#DIV/0!</v>
      </c>
      <c r="BS76" s="82" t="e">
        <f t="shared" si="171"/>
        <v>#DIV/0!</v>
      </c>
      <c r="BT76" s="82" t="e">
        <f t="shared" si="171"/>
        <v>#DIV/0!</v>
      </c>
      <c r="BU76" s="82" t="e">
        <f t="shared" si="171"/>
        <v>#DIV/0!</v>
      </c>
      <c r="BV76" s="82" t="e">
        <f t="shared" si="171"/>
        <v>#DIV/0!</v>
      </c>
      <c r="BW76" s="82" t="e">
        <f t="shared" si="171"/>
        <v>#DIV/0!</v>
      </c>
      <c r="BX76" s="82" t="e">
        <f t="shared" si="171"/>
        <v>#DIV/0!</v>
      </c>
      <c r="BY76" s="82" t="e">
        <f t="shared" si="171"/>
        <v>#DIV/0!</v>
      </c>
      <c r="BZ76" s="82" t="e">
        <f t="shared" si="171"/>
        <v>#DIV/0!</v>
      </c>
      <c r="CA76" s="82" t="e">
        <f t="shared" si="171"/>
        <v>#DIV/0!</v>
      </c>
      <c r="CB76" s="82" t="e">
        <f t="shared" si="171"/>
        <v>#DIV/0!</v>
      </c>
      <c r="CC76" s="82" t="e">
        <f t="shared" si="171"/>
        <v>#DIV/0!</v>
      </c>
      <c r="CD76" s="82" t="e">
        <f t="shared" si="171"/>
        <v>#DIV/0!</v>
      </c>
      <c r="CE76" s="82" t="e">
        <f t="shared" si="171"/>
        <v>#DIV/0!</v>
      </c>
      <c r="CF76" s="82" t="e">
        <f t="shared" si="171"/>
        <v>#DIV/0!</v>
      </c>
      <c r="CG76" s="82" t="e">
        <f t="shared" si="171"/>
        <v>#DIV/0!</v>
      </c>
      <c r="CH76" s="82" t="e">
        <f t="shared" si="171"/>
        <v>#DIV/0!</v>
      </c>
      <c r="CI76" s="82" t="e">
        <f t="shared" si="171"/>
        <v>#DIV/0!</v>
      </c>
      <c r="CJ76" s="82" t="e">
        <f t="shared" si="171"/>
        <v>#DIV/0!</v>
      </c>
      <c r="CK76" s="82" t="e">
        <f t="shared" si="171"/>
        <v>#DIV/0!</v>
      </c>
      <c r="CL76" s="82" t="e">
        <f t="shared" si="171"/>
        <v>#DIV/0!</v>
      </c>
      <c r="CM76" s="82" t="e">
        <f t="shared" si="171"/>
        <v>#DIV/0!</v>
      </c>
      <c r="CN76" s="82" t="e">
        <f t="shared" si="171"/>
        <v>#DIV/0!</v>
      </c>
      <c r="CO76" s="82" t="e">
        <f t="shared" si="171"/>
        <v>#DIV/0!</v>
      </c>
      <c r="CP76" s="82" t="e">
        <f t="shared" si="171"/>
        <v>#DIV/0!</v>
      </c>
      <c r="CQ76" s="82" t="e">
        <f t="shared" si="171"/>
        <v>#DIV/0!</v>
      </c>
      <c r="CR76" s="82" t="e">
        <f t="shared" si="171"/>
        <v>#DIV/0!</v>
      </c>
      <c r="CS76" s="82" t="e">
        <f t="shared" si="171"/>
        <v>#DIV/0!</v>
      </c>
      <c r="CT76" s="82" t="e">
        <f t="shared" si="171"/>
        <v>#DIV/0!</v>
      </c>
      <c r="CU76" s="82" t="e">
        <f t="shared" si="171"/>
        <v>#DIV/0!</v>
      </c>
      <c r="CV76" s="82" t="e">
        <f t="shared" si="171"/>
        <v>#DIV/0!</v>
      </c>
      <c r="CW76" s="82" t="e">
        <f t="shared" si="171"/>
        <v>#DIV/0!</v>
      </c>
      <c r="CX76" s="82" t="e">
        <f t="shared" si="171"/>
        <v>#DIV/0!</v>
      </c>
      <c r="CY76" s="82" t="e">
        <f t="shared" si="171"/>
        <v>#DIV/0!</v>
      </c>
    </row>
    <row r="77" spans="1:111" ht="14.25" customHeight="1">
      <c r="A77" s="129"/>
      <c r="E77" s="134"/>
      <c r="H77" s="104"/>
      <c r="I77" s="120" t="e">
        <f t="array" ref="I77">_xlfn.STDEV.P(IF($E$5:$E$41=$E76,I$5:I$41))</f>
        <v>#DIV/0!</v>
      </c>
      <c r="J77" s="120"/>
      <c r="K77" s="120"/>
      <c r="L77" s="120"/>
      <c r="M77" s="120" t="e">
        <f t="array" ref="M77">_xlfn.STDEV.P(IF($E$5:$E$41=$E76,M$5:M$41))</f>
        <v>#DIV/0!</v>
      </c>
      <c r="N77" s="120"/>
      <c r="O77" s="120" t="e">
        <f t="array" ref="O77">_xlfn.STDEV.P(IF($E$5:$E$41=$E76,O$5:O$41))</f>
        <v>#DIV/0!</v>
      </c>
      <c r="P77" s="120" t="e">
        <f t="array" ref="P77">_xlfn.STDEV.P(IF($E$5:$E$41=$E76,P$5:P$41))</f>
        <v>#DIV/0!</v>
      </c>
      <c r="Q77" s="120" t="e">
        <f t="array" ref="Q77">_xlfn.STDEV.P(IF($E$5:$E$41=$E76,Q$5:Q$41))</f>
        <v>#DIV/0!</v>
      </c>
      <c r="R77" s="188" t="e">
        <f t="array" ref="R77">_xlfn.STDEV.P(IF($E$5:$E$41=$E76,R$5:R$41))</f>
        <v>#DIV/0!</v>
      </c>
      <c r="S77" s="120" t="e">
        <f t="array" ref="S77">_xlfn.STDEV.P(IF($E$5:$E$41=$E76,S$5:S$41))</f>
        <v>#DIV/0!</v>
      </c>
      <c r="T77" s="120" t="e">
        <f t="array" ref="T77">_xlfn.STDEV.P(IF($E$5:$E$41=$E76,T$5:T$41))</f>
        <v>#DIV/0!</v>
      </c>
      <c r="U77" s="120" t="e">
        <f t="array" ref="U77">_xlfn.STDEV.P(IF($E$5:$E$41=$E76,U$5:U$41))</f>
        <v>#DIV/0!</v>
      </c>
      <c r="V77" s="81" t="s">
        <v>12</v>
      </c>
      <c r="W77" s="90" t="e">
        <f t="array" ref="W77">_xlfn.STDEV.P(IF($E$5:$E$41=$E76,W$5:W$41))</f>
        <v>#DIV/0!</v>
      </c>
      <c r="X77" s="90" t="e">
        <f t="array" ref="X77">_xlfn.STDEV.P(IF($E$5:$E$41=$E76,X$5:X$41))</f>
        <v>#DIV/0!</v>
      </c>
      <c r="Y77" s="90" t="e">
        <f t="array" ref="Y77">_xlfn.STDEV.P(IF($E$5:$E$41=$E76,Y$5:Y$41))</f>
        <v>#DIV/0!</v>
      </c>
      <c r="Z77" s="90" t="e">
        <f t="array" ref="Z77">_xlfn.STDEV.P(IF($E$5:$E$41=$E76,Z$5:Z$41))</f>
        <v>#DIV/0!</v>
      </c>
      <c r="AA77" s="90" t="e">
        <f t="array" ref="AA77">_xlfn.STDEV.P(IF($E$5:$E$41=$E76,AA$5:AA$41))</f>
        <v>#DIV/0!</v>
      </c>
      <c r="AB77" s="90" t="e">
        <f t="array" ref="AB77">_xlfn.STDEV.P(IF($E$5:$E$41=$E76,AB$5:AB$41))</f>
        <v>#DIV/0!</v>
      </c>
      <c r="AC77" s="90" t="e">
        <f t="array" ref="AC77">_xlfn.STDEV.P(IF($E$5:$E$41=$E76,AC$5:AC$41))</f>
        <v>#DIV/0!</v>
      </c>
      <c r="AD77" s="90" t="e">
        <f t="array" ref="AD77">_xlfn.STDEV.P(IF($E$5:$E$41=$E76,AD$5:AD$41))</f>
        <v>#DIV/0!</v>
      </c>
      <c r="AE77" s="90" t="e">
        <f t="array" ref="AE77">_xlfn.STDEV.P(IF($E$5:$E$41=$E76,AE$5:AE$41))</f>
        <v>#DIV/0!</v>
      </c>
      <c r="AF77" s="90" t="e">
        <f t="array" ref="AF77">_xlfn.STDEV.P(IF($E$5:$E$41=$E76,AF$5:AF$41))</f>
        <v>#DIV/0!</v>
      </c>
      <c r="AG77" s="90" t="e">
        <f t="array" ref="AG77">_xlfn.STDEV.P(IF($E$5:$E$41=$E76,AG$5:AG$41))</f>
        <v>#DIV/0!</v>
      </c>
      <c r="AH77" s="90" t="e">
        <f t="array" ref="AH77">_xlfn.STDEV.P(IF($E$5:$E$41=$E76,AH$5:AH$41))</f>
        <v>#DIV/0!</v>
      </c>
      <c r="AI77" s="90" t="e">
        <f t="array" ref="AI77">_xlfn.STDEV.P(IF($E$5:$E$41=$E76,AI$5:AI$41))</f>
        <v>#DIV/0!</v>
      </c>
      <c r="AJ77" s="90" t="e">
        <f t="array" ref="AJ77">_xlfn.STDEV.P(IF($E$5:$E$41=$E76,AJ$5:AJ$41))</f>
        <v>#DIV/0!</v>
      </c>
      <c r="AK77" s="90" t="e">
        <f t="array" ref="AK77">_xlfn.STDEV.P(IF($E$5:$E$41=$E76,AK$5:AK$41))</f>
        <v>#DIV/0!</v>
      </c>
      <c r="AL77" s="90" t="e">
        <f t="array" ref="AL77">_xlfn.STDEV.P(IF($E$5:$E$41=$E76,AL$5:AL$41))</f>
        <v>#DIV/0!</v>
      </c>
      <c r="AM77" s="90" t="e">
        <f t="array" ref="AM77">_xlfn.STDEV.P(IF($E$5:$E$41=$E76,AM$5:AM$41))</f>
        <v>#DIV/0!</v>
      </c>
      <c r="AN77" s="90" t="e">
        <f t="array" ref="AN77">_xlfn.STDEV.P(IF($E$5:$E$41=$E76,AN$5:AN$41))</f>
        <v>#DIV/0!</v>
      </c>
      <c r="AO77" s="90" t="e">
        <f t="array" ref="AO77">_xlfn.STDEV.P(IF($E$5:$E$41=$E76,AO$5:AO$41))</f>
        <v>#DIV/0!</v>
      </c>
      <c r="AP77" s="90" t="e">
        <f t="array" ref="AP77">_xlfn.STDEV.P(IF($E$5:$E$41=$E76,AP$5:AP$41))</f>
        <v>#DIV/0!</v>
      </c>
      <c r="AQ77" s="90" t="e">
        <f t="array" ref="AQ77">_xlfn.STDEV.P(IF($E$5:$E$41=$E76,AQ$5:AQ$41))</f>
        <v>#DIV/0!</v>
      </c>
      <c r="AR77" s="90" t="e">
        <f t="array" ref="AR77">_xlfn.STDEV.P(IF($E$5:$E$41=$E76,AR$5:AR$41))</f>
        <v>#DIV/0!</v>
      </c>
      <c r="AS77" s="90" t="e">
        <f t="array" ref="AS77">_xlfn.STDEV.P(IF($E$5:$E$41=$E76,AS$5:AS$41))</f>
        <v>#DIV/0!</v>
      </c>
      <c r="AT77" s="90" t="e">
        <f t="array" ref="AT77">_xlfn.STDEV.P(IF($E$5:$E$41=$E76,AT$5:AT$41))</f>
        <v>#DIV/0!</v>
      </c>
      <c r="AU77" s="90" t="e">
        <f t="array" ref="AU77">_xlfn.STDEV.P(IF($E$5:$E$41=$E76,AU$5:AU$41))</f>
        <v>#DIV/0!</v>
      </c>
      <c r="AV77" s="90" t="e">
        <f t="array" ref="AV77">_xlfn.STDEV.P(IF($E$5:$E$41=$E76,AV$5:AV$41))</f>
        <v>#DIV/0!</v>
      </c>
      <c r="AW77" s="90" t="e">
        <f t="array" ref="AW77">_xlfn.STDEV.P(IF($E$5:$E$41=$E76,AW$5:AW$41))</f>
        <v>#DIV/0!</v>
      </c>
      <c r="AX77" s="90" t="e">
        <f t="array" ref="AX77">_xlfn.STDEV.P(IF($E$5:$E$41=$E76,AX$5:AX$41))</f>
        <v>#DIV/0!</v>
      </c>
      <c r="AY77" s="90" t="e">
        <f t="array" ref="AY77">_xlfn.STDEV.P(IF($E$5:$E$41=$E76,AY$5:AY$41))</f>
        <v>#DIV/0!</v>
      </c>
      <c r="AZ77" s="90" t="e">
        <f t="array" ref="AZ77">_xlfn.STDEV.P(IF($E$5:$E$41=$E76,AZ$5:AZ$41))</f>
        <v>#DIV/0!</v>
      </c>
      <c r="BA77" s="90" t="e">
        <f t="array" ref="BA77">_xlfn.STDEV.P(IF($E$5:$E$41=$E76,BA$5:BA$41))</f>
        <v>#DIV/0!</v>
      </c>
      <c r="BB77" s="90" t="e">
        <f t="array" ref="BB77">_xlfn.STDEV.P(IF($E$5:$E$41=$E76,BB$5:BB$41))</f>
        <v>#DIV/0!</v>
      </c>
      <c r="BC77" s="90" t="e">
        <f t="array" ref="BC77">_xlfn.STDEV.P(IF($E$5:$E$41=$E76,BC$5:BC$41))</f>
        <v>#DIV/0!</v>
      </c>
      <c r="BD77" s="90" t="e">
        <f t="array" ref="BD77">_xlfn.STDEV.P(IF($E$5:$E$41=$E76,BD$5:BD$41))</f>
        <v>#DIV/0!</v>
      </c>
      <c r="BE77" s="90" t="e">
        <f t="array" ref="BE77">_xlfn.STDEV.P(IF($E$5:$E$41=$E76,BE$5:BE$41))</f>
        <v>#DIV/0!</v>
      </c>
      <c r="BF77" s="90" t="e">
        <f t="array" ref="BF77">_xlfn.STDEV.P(IF($E$5:$E$41=$E76,BF$5:BF$41))</f>
        <v>#DIV/0!</v>
      </c>
      <c r="BG77" s="90" t="e">
        <f t="array" ref="BG77">_xlfn.STDEV.P(IF($E$5:$E$41=$E76,BG$5:BG$41))</f>
        <v>#DIV/0!</v>
      </c>
      <c r="BH77" s="90" t="e">
        <f t="array" ref="BH77">_xlfn.STDEV.P(IF($E$5:$E$41=$E76,BH$5:BH$41))</f>
        <v>#DIV/0!</v>
      </c>
      <c r="BI77" s="90" t="e">
        <f t="array" ref="BI77">_xlfn.STDEV.P(IF($E$5:$E$41=$E76,BI$5:BI$41))</f>
        <v>#DIV/0!</v>
      </c>
      <c r="BJ77" s="90" t="e">
        <f t="array" ref="BJ77">_xlfn.STDEV.P(IF($E$5:$E$41=$E76,BJ$5:BJ$41))</f>
        <v>#DIV/0!</v>
      </c>
      <c r="BK77" s="115" t="s">
        <v>12</v>
      </c>
      <c r="BL77" s="83" t="e">
        <f t="array" ref="BL77">_xlfn.STDEV.P(IF($E$5:$E$41=$E76,BL$5:BL$41))</f>
        <v>#DIV/0!</v>
      </c>
      <c r="BM77" s="83" t="e">
        <f t="array" ref="BM77">_xlfn.STDEV.P(IF($E$5:$E$41=$E76,BM$5:BM$41))</f>
        <v>#DIV/0!</v>
      </c>
      <c r="BN77" s="83" t="e">
        <f t="array" ref="BN77">_xlfn.STDEV.P(IF($E$5:$E$41=$E76,BN$5:BN$41))</f>
        <v>#DIV/0!</v>
      </c>
      <c r="BO77" s="83" t="e">
        <f t="array" ref="BO77">_xlfn.STDEV.P(IF($E$5:$E$41=$E76,BO$5:BO$41))</f>
        <v>#DIV/0!</v>
      </c>
      <c r="BP77" s="83" t="e">
        <f t="array" ref="BP77">_xlfn.STDEV.P(IF($E$5:$E$41=$E76,BP$5:BP$41))</f>
        <v>#DIV/0!</v>
      </c>
      <c r="BQ77" s="83" t="e">
        <f t="array" ref="BQ77">_xlfn.STDEV.P(IF($E$5:$E$41=$E76,BQ$5:BQ$41))</f>
        <v>#DIV/0!</v>
      </c>
      <c r="BR77" s="83" t="e">
        <f t="array" ref="BR77">_xlfn.STDEV.P(IF($E$5:$E$41=$E76,BR$5:BR$41))</f>
        <v>#DIV/0!</v>
      </c>
      <c r="BS77" s="83" t="e">
        <f t="array" ref="BS77">_xlfn.STDEV.P(IF($E$5:$E$41=$E76,BS$5:BS$41))</f>
        <v>#DIV/0!</v>
      </c>
      <c r="BT77" s="83" t="e">
        <f t="array" ref="BT77">_xlfn.STDEV.P(IF($E$5:$E$41=$E76,BT$5:BT$41))</f>
        <v>#DIV/0!</v>
      </c>
      <c r="BU77" s="83" t="e">
        <f t="array" ref="BU77">_xlfn.STDEV.P(IF($E$5:$E$41=$E76,BU$5:BU$41))</f>
        <v>#DIV/0!</v>
      </c>
      <c r="BV77" s="83" t="e">
        <f t="array" ref="BV77">_xlfn.STDEV.P(IF($E$5:$E$41=$E76,BV$5:BV$41))</f>
        <v>#DIV/0!</v>
      </c>
      <c r="BW77" s="83" t="e">
        <f t="array" ref="BW77">_xlfn.STDEV.P(IF($E$5:$E$41=$E76,BW$5:BW$41))</f>
        <v>#DIV/0!</v>
      </c>
      <c r="BX77" s="83" t="e">
        <f t="array" ref="BX77">_xlfn.STDEV.P(IF($E$5:$E$41=$E76,BX$5:BX$41))</f>
        <v>#DIV/0!</v>
      </c>
      <c r="BY77" s="83" t="e">
        <f t="array" ref="BY77">_xlfn.STDEV.P(IF($E$5:$E$41=$E76,BY$5:BY$41))</f>
        <v>#DIV/0!</v>
      </c>
      <c r="BZ77" s="83" t="e">
        <f t="array" ref="BZ77">_xlfn.STDEV.P(IF($E$5:$E$41=$E76,BZ$5:BZ$41))</f>
        <v>#DIV/0!</v>
      </c>
      <c r="CA77" s="83" t="e">
        <f t="array" ref="CA77">_xlfn.STDEV.P(IF($E$5:$E$41=$E76,CA$5:CA$41))</f>
        <v>#DIV/0!</v>
      </c>
      <c r="CB77" s="83" t="e">
        <f t="array" ref="CB77">_xlfn.STDEV.P(IF($E$5:$E$41=$E76,CB$5:CB$41))</f>
        <v>#DIV/0!</v>
      </c>
      <c r="CC77" s="83" t="e">
        <f t="array" ref="CC77">_xlfn.STDEV.P(IF($E$5:$E$41=$E76,CC$5:CC$41))</f>
        <v>#DIV/0!</v>
      </c>
      <c r="CD77" s="83" t="e">
        <f t="array" ref="CD77">_xlfn.STDEV.P(IF($E$5:$E$41=$E76,CD$5:CD$41))</f>
        <v>#DIV/0!</v>
      </c>
      <c r="CE77" s="83" t="e">
        <f t="array" ref="CE77">_xlfn.STDEV.P(IF($E$5:$E$41=$E76,CE$5:CE$41))</f>
        <v>#DIV/0!</v>
      </c>
      <c r="CF77" s="83" t="e">
        <f t="array" ref="CF77">_xlfn.STDEV.P(IF($E$5:$E$41=$E76,CF$5:CF$41))</f>
        <v>#DIV/0!</v>
      </c>
      <c r="CG77" s="83" t="e">
        <f t="array" ref="CG77">_xlfn.STDEV.P(IF($E$5:$E$41=$E76,CG$5:CG$41))</f>
        <v>#DIV/0!</v>
      </c>
      <c r="CH77" s="83" t="e">
        <f t="array" ref="CH77">_xlfn.STDEV.P(IF($E$5:$E$41=$E76,CH$5:CH$41))</f>
        <v>#DIV/0!</v>
      </c>
      <c r="CI77" s="83" t="e">
        <f t="array" ref="CI77">_xlfn.STDEV.P(IF($E$5:$E$41=$E76,CI$5:CI$41))</f>
        <v>#DIV/0!</v>
      </c>
      <c r="CJ77" s="83" t="e">
        <f t="array" ref="CJ77">_xlfn.STDEV.P(IF($E$5:$E$41=$E76,CJ$5:CJ$41))</f>
        <v>#DIV/0!</v>
      </c>
      <c r="CK77" s="83" t="e">
        <f t="array" ref="CK77">_xlfn.STDEV.P(IF($E$5:$E$41=$E76,CK$5:CK$41))</f>
        <v>#DIV/0!</v>
      </c>
      <c r="CL77" s="83" t="e">
        <f t="array" ref="CL77">_xlfn.STDEV.P(IF($E$5:$E$41=$E76,CL$5:CL$41))</f>
        <v>#DIV/0!</v>
      </c>
      <c r="CM77" s="83" t="e">
        <f t="array" ref="CM77">_xlfn.STDEV.P(IF($E$5:$E$41=$E76,CM$5:CM$41))</f>
        <v>#DIV/0!</v>
      </c>
      <c r="CN77" s="83" t="e">
        <f t="array" ref="CN77">_xlfn.STDEV.P(IF($E$5:$E$41=$E76,CN$5:CN$41))</f>
        <v>#DIV/0!</v>
      </c>
      <c r="CO77" s="83" t="e">
        <f t="array" ref="CO77">_xlfn.STDEV.P(IF($E$5:$E$41=$E76,CO$5:CO$41))</f>
        <v>#DIV/0!</v>
      </c>
      <c r="CP77" s="83" t="e">
        <f t="array" ref="CP77">_xlfn.STDEV.P(IF($E$5:$E$41=$E76,CP$5:CP$41))</f>
        <v>#DIV/0!</v>
      </c>
      <c r="CQ77" s="83" t="e">
        <f t="array" ref="CQ77">_xlfn.STDEV.P(IF($E$5:$E$41=$E76,CQ$5:CQ$41))</f>
        <v>#DIV/0!</v>
      </c>
      <c r="CR77" s="83" t="e">
        <f t="array" ref="CR77">_xlfn.STDEV.P(IF($E$5:$E$41=$E76,CR$5:CR$41))</f>
        <v>#DIV/0!</v>
      </c>
      <c r="CS77" s="83" t="e">
        <f t="array" ref="CS77">_xlfn.STDEV.P(IF($E$5:$E$41=$E76,CS$5:CS$41))</f>
        <v>#DIV/0!</v>
      </c>
      <c r="CT77" s="83" t="e">
        <f t="array" ref="CT77">_xlfn.STDEV.P(IF($E$5:$E$41=$E76,CT$5:CT$41))</f>
        <v>#DIV/0!</v>
      </c>
      <c r="CU77" s="83" t="e">
        <f t="array" ref="CU77">_xlfn.STDEV.P(IF($E$5:$E$41=$E76,CU$5:CU$41))</f>
        <v>#DIV/0!</v>
      </c>
      <c r="CV77" s="83" t="e">
        <f t="array" ref="CV77">_xlfn.STDEV.P(IF($E$5:$E$41=$E76,CV$5:CV$41))</f>
        <v>#DIV/0!</v>
      </c>
      <c r="CW77" s="83" t="e">
        <f t="array" ref="CW77">_xlfn.STDEV.P(IF($E$5:$E$41=$E76,CW$5:CW$41))</f>
        <v>#DIV/0!</v>
      </c>
      <c r="CX77" s="83" t="e">
        <f t="array" ref="CX77">_xlfn.STDEV.P(IF($E$5:$E$41=$E76,CX$5:CX$41))</f>
        <v>#DIV/0!</v>
      </c>
      <c r="CY77" s="83" t="e">
        <f t="array" ref="CY77">_xlfn.STDEV.P(IF($E$5:$E$41=$E76,CY$5:CY$41))</f>
        <v>#DIV/0!</v>
      </c>
    </row>
    <row r="78" spans="1:111" ht="15">
      <c r="A78" s="129"/>
      <c r="E78" s="134"/>
      <c r="H78" s="58"/>
      <c r="J78" s="63"/>
      <c r="K78" s="63"/>
      <c r="L78" s="63"/>
      <c r="N78" s="63"/>
      <c r="Q78" s="63"/>
      <c r="R78" s="187"/>
      <c r="S78" s="63"/>
      <c r="T78" s="63"/>
      <c r="U78" s="63"/>
    </row>
    <row r="79" spans="1:111" ht="14.25" customHeight="1">
      <c r="A79" s="129"/>
      <c r="E79" s="134" t="str">
        <f>'RAD_DOSE Groups'!C15</f>
        <v>Group 10</v>
      </c>
      <c r="H79" s="134" t="str">
        <f>E79</f>
        <v>Group 10</v>
      </c>
      <c r="I79" s="120" t="e">
        <f>AVERAGEIF($E$5:$E$41,$E79,I$5:I$41)</f>
        <v>#DIV/0!</v>
      </c>
      <c r="J79" s="120"/>
      <c r="K79" s="120"/>
      <c r="L79" s="120"/>
      <c r="M79" s="120" t="e">
        <f>AVERAGEIF($E$5:$E$41,$E79,M$5:M$41)</f>
        <v>#DIV/0!</v>
      </c>
      <c r="N79" s="120"/>
      <c r="O79" s="120" t="e">
        <f t="shared" ref="O79:U79" si="172">AVERAGEIF($E$5:$E$41,$E79,O$5:O$41)</f>
        <v>#DIV/0!</v>
      </c>
      <c r="P79" s="120" t="e">
        <f t="shared" si="172"/>
        <v>#DIV/0!</v>
      </c>
      <c r="Q79" s="120" t="e">
        <f t="shared" si="172"/>
        <v>#DIV/0!</v>
      </c>
      <c r="R79" s="188" t="e">
        <f t="shared" si="172"/>
        <v>#DIV/0!</v>
      </c>
      <c r="S79" s="120" t="e">
        <f t="shared" si="172"/>
        <v>#DIV/0!</v>
      </c>
      <c r="T79" s="120" t="e">
        <f t="shared" si="172"/>
        <v>#DIV/0!</v>
      </c>
      <c r="U79" s="120" t="e">
        <f t="shared" si="172"/>
        <v>#DIV/0!</v>
      </c>
      <c r="V79" s="81" t="s">
        <v>10</v>
      </c>
      <c r="W79" s="87" t="e">
        <f t="shared" ref="W79:BJ79" si="173">AVERAGEIF($E$5:$E$41,$E79,W$5:W$41)</f>
        <v>#DIV/0!</v>
      </c>
      <c r="X79" s="87" t="e">
        <f t="shared" si="173"/>
        <v>#DIV/0!</v>
      </c>
      <c r="Y79" s="87" t="e">
        <f t="shared" si="173"/>
        <v>#DIV/0!</v>
      </c>
      <c r="Z79" s="87" t="e">
        <f t="shared" si="173"/>
        <v>#DIV/0!</v>
      </c>
      <c r="AA79" s="87" t="e">
        <f t="shared" si="173"/>
        <v>#DIV/0!</v>
      </c>
      <c r="AB79" s="87" t="e">
        <f t="shared" si="173"/>
        <v>#DIV/0!</v>
      </c>
      <c r="AC79" s="87" t="e">
        <f t="shared" si="173"/>
        <v>#DIV/0!</v>
      </c>
      <c r="AD79" s="87" t="e">
        <f t="shared" si="173"/>
        <v>#DIV/0!</v>
      </c>
      <c r="AE79" s="87" t="e">
        <f t="shared" si="173"/>
        <v>#DIV/0!</v>
      </c>
      <c r="AF79" s="87" t="e">
        <f t="shared" si="173"/>
        <v>#DIV/0!</v>
      </c>
      <c r="AG79" s="87" t="e">
        <f t="shared" si="173"/>
        <v>#DIV/0!</v>
      </c>
      <c r="AH79" s="87" t="e">
        <f t="shared" si="173"/>
        <v>#DIV/0!</v>
      </c>
      <c r="AI79" s="87" t="e">
        <f t="shared" si="173"/>
        <v>#DIV/0!</v>
      </c>
      <c r="AJ79" s="87" t="e">
        <f t="shared" si="173"/>
        <v>#DIV/0!</v>
      </c>
      <c r="AK79" s="87" t="e">
        <f t="shared" si="173"/>
        <v>#DIV/0!</v>
      </c>
      <c r="AL79" s="87" t="e">
        <f t="shared" si="173"/>
        <v>#DIV/0!</v>
      </c>
      <c r="AM79" s="87" t="e">
        <f t="shared" si="173"/>
        <v>#DIV/0!</v>
      </c>
      <c r="AN79" s="87" t="e">
        <f t="shared" si="173"/>
        <v>#DIV/0!</v>
      </c>
      <c r="AO79" s="87" t="e">
        <f t="shared" si="173"/>
        <v>#DIV/0!</v>
      </c>
      <c r="AP79" s="87" t="e">
        <f t="shared" si="173"/>
        <v>#DIV/0!</v>
      </c>
      <c r="AQ79" s="87" t="e">
        <f t="shared" si="173"/>
        <v>#DIV/0!</v>
      </c>
      <c r="AR79" s="87" t="e">
        <f t="shared" si="173"/>
        <v>#DIV/0!</v>
      </c>
      <c r="AS79" s="87" t="e">
        <f t="shared" si="173"/>
        <v>#DIV/0!</v>
      </c>
      <c r="AT79" s="87" t="e">
        <f t="shared" si="173"/>
        <v>#DIV/0!</v>
      </c>
      <c r="AU79" s="87" t="e">
        <f t="shared" si="173"/>
        <v>#DIV/0!</v>
      </c>
      <c r="AV79" s="87" t="e">
        <f t="shared" si="173"/>
        <v>#DIV/0!</v>
      </c>
      <c r="AW79" s="87" t="e">
        <f t="shared" si="173"/>
        <v>#DIV/0!</v>
      </c>
      <c r="AX79" s="87" t="e">
        <f t="shared" si="173"/>
        <v>#DIV/0!</v>
      </c>
      <c r="AY79" s="87" t="e">
        <f t="shared" si="173"/>
        <v>#DIV/0!</v>
      </c>
      <c r="AZ79" s="87" t="e">
        <f t="shared" si="173"/>
        <v>#DIV/0!</v>
      </c>
      <c r="BA79" s="87" t="e">
        <f t="shared" si="173"/>
        <v>#DIV/0!</v>
      </c>
      <c r="BB79" s="87" t="e">
        <f t="shared" si="173"/>
        <v>#DIV/0!</v>
      </c>
      <c r="BC79" s="87" t="e">
        <f t="shared" si="173"/>
        <v>#DIV/0!</v>
      </c>
      <c r="BD79" s="87" t="e">
        <f t="shared" si="173"/>
        <v>#DIV/0!</v>
      </c>
      <c r="BE79" s="87" t="e">
        <f t="shared" si="173"/>
        <v>#DIV/0!</v>
      </c>
      <c r="BF79" s="87" t="e">
        <f t="shared" si="173"/>
        <v>#DIV/0!</v>
      </c>
      <c r="BG79" s="87" t="e">
        <f t="shared" si="173"/>
        <v>#DIV/0!</v>
      </c>
      <c r="BH79" s="87" t="e">
        <f t="shared" si="173"/>
        <v>#DIV/0!</v>
      </c>
      <c r="BI79" s="87" t="e">
        <f t="shared" si="173"/>
        <v>#DIV/0!</v>
      </c>
      <c r="BJ79" s="87" t="e">
        <f t="shared" si="173"/>
        <v>#DIV/0!</v>
      </c>
      <c r="BK79" s="114" t="s">
        <v>10</v>
      </c>
      <c r="BL79" s="82" t="e">
        <f t="shared" ref="BL79:CY79" si="174">AVERAGEIF($E$5:$E$41,$E79,BL$5:BL$41)</f>
        <v>#DIV/0!</v>
      </c>
      <c r="BM79" s="82" t="e">
        <f t="shared" si="174"/>
        <v>#DIV/0!</v>
      </c>
      <c r="BN79" s="82" t="e">
        <f t="shared" si="174"/>
        <v>#DIV/0!</v>
      </c>
      <c r="BO79" s="82" t="e">
        <f t="shared" si="174"/>
        <v>#DIV/0!</v>
      </c>
      <c r="BP79" s="82" t="e">
        <f t="shared" si="174"/>
        <v>#DIV/0!</v>
      </c>
      <c r="BQ79" s="82" t="e">
        <f t="shared" si="174"/>
        <v>#DIV/0!</v>
      </c>
      <c r="BR79" s="82" t="e">
        <f t="shared" si="174"/>
        <v>#DIV/0!</v>
      </c>
      <c r="BS79" s="82" t="e">
        <f t="shared" si="174"/>
        <v>#DIV/0!</v>
      </c>
      <c r="BT79" s="82" t="e">
        <f t="shared" si="174"/>
        <v>#DIV/0!</v>
      </c>
      <c r="BU79" s="82" t="e">
        <f t="shared" si="174"/>
        <v>#DIV/0!</v>
      </c>
      <c r="BV79" s="82" t="e">
        <f t="shared" si="174"/>
        <v>#DIV/0!</v>
      </c>
      <c r="BW79" s="82" t="e">
        <f t="shared" si="174"/>
        <v>#DIV/0!</v>
      </c>
      <c r="BX79" s="82" t="e">
        <f t="shared" si="174"/>
        <v>#DIV/0!</v>
      </c>
      <c r="BY79" s="82" t="e">
        <f t="shared" si="174"/>
        <v>#DIV/0!</v>
      </c>
      <c r="BZ79" s="82" t="e">
        <f t="shared" si="174"/>
        <v>#DIV/0!</v>
      </c>
      <c r="CA79" s="82" t="e">
        <f t="shared" si="174"/>
        <v>#DIV/0!</v>
      </c>
      <c r="CB79" s="82" t="e">
        <f t="shared" si="174"/>
        <v>#DIV/0!</v>
      </c>
      <c r="CC79" s="82" t="e">
        <f t="shared" si="174"/>
        <v>#DIV/0!</v>
      </c>
      <c r="CD79" s="82" t="e">
        <f t="shared" si="174"/>
        <v>#DIV/0!</v>
      </c>
      <c r="CE79" s="82" t="e">
        <f t="shared" si="174"/>
        <v>#DIV/0!</v>
      </c>
      <c r="CF79" s="82" t="e">
        <f t="shared" si="174"/>
        <v>#DIV/0!</v>
      </c>
      <c r="CG79" s="82" t="e">
        <f t="shared" si="174"/>
        <v>#DIV/0!</v>
      </c>
      <c r="CH79" s="82" t="e">
        <f t="shared" si="174"/>
        <v>#DIV/0!</v>
      </c>
      <c r="CI79" s="82" t="e">
        <f t="shared" si="174"/>
        <v>#DIV/0!</v>
      </c>
      <c r="CJ79" s="82" t="e">
        <f t="shared" si="174"/>
        <v>#DIV/0!</v>
      </c>
      <c r="CK79" s="82" t="e">
        <f t="shared" si="174"/>
        <v>#DIV/0!</v>
      </c>
      <c r="CL79" s="82" t="e">
        <f t="shared" si="174"/>
        <v>#DIV/0!</v>
      </c>
      <c r="CM79" s="82" t="e">
        <f t="shared" si="174"/>
        <v>#DIV/0!</v>
      </c>
      <c r="CN79" s="82" t="e">
        <f t="shared" si="174"/>
        <v>#DIV/0!</v>
      </c>
      <c r="CO79" s="82" t="e">
        <f t="shared" si="174"/>
        <v>#DIV/0!</v>
      </c>
      <c r="CP79" s="82" t="e">
        <f t="shared" si="174"/>
        <v>#DIV/0!</v>
      </c>
      <c r="CQ79" s="82" t="e">
        <f t="shared" si="174"/>
        <v>#DIV/0!</v>
      </c>
      <c r="CR79" s="82" t="e">
        <f t="shared" si="174"/>
        <v>#DIV/0!</v>
      </c>
      <c r="CS79" s="82" t="e">
        <f t="shared" si="174"/>
        <v>#DIV/0!</v>
      </c>
      <c r="CT79" s="82" t="e">
        <f t="shared" si="174"/>
        <v>#DIV/0!</v>
      </c>
      <c r="CU79" s="82" t="e">
        <f t="shared" si="174"/>
        <v>#DIV/0!</v>
      </c>
      <c r="CV79" s="82" t="e">
        <f t="shared" si="174"/>
        <v>#DIV/0!</v>
      </c>
      <c r="CW79" s="82" t="e">
        <f t="shared" si="174"/>
        <v>#DIV/0!</v>
      </c>
      <c r="CX79" s="82" t="e">
        <f t="shared" si="174"/>
        <v>#DIV/0!</v>
      </c>
      <c r="CY79" s="82" t="e">
        <f t="shared" si="174"/>
        <v>#DIV/0!</v>
      </c>
    </row>
    <row r="80" spans="1:111" ht="14.25" customHeight="1">
      <c r="A80" s="129"/>
      <c r="E80" s="104"/>
      <c r="H80" s="104"/>
      <c r="I80" s="120" t="e">
        <f t="array" ref="I80">_xlfn.STDEV.P(IF($E$5:$E$41=$E79,I$5:I$41))</f>
        <v>#DIV/0!</v>
      </c>
      <c r="J80" s="120"/>
      <c r="K80" s="120"/>
      <c r="L80" s="120"/>
      <c r="M80" s="120" t="e">
        <f t="array" ref="M80">_xlfn.STDEV.P(IF($E$5:$E$41=$E79,M$5:M$41))</f>
        <v>#DIV/0!</v>
      </c>
      <c r="N80" s="120"/>
      <c r="O80" s="120" t="e">
        <f t="array" ref="O80">_xlfn.STDEV.P(IF($E$5:$E$41=$E79,O$5:O$41))</f>
        <v>#DIV/0!</v>
      </c>
      <c r="P80" s="120" t="e">
        <f t="array" ref="P80">_xlfn.STDEV.P(IF($E$5:$E$41=$E79,P$5:P$41))</f>
        <v>#DIV/0!</v>
      </c>
      <c r="Q80" s="120" t="e">
        <f t="array" ref="Q80">_xlfn.STDEV.P(IF($E$5:$E$41=$E79,Q$5:Q$41))</f>
        <v>#DIV/0!</v>
      </c>
      <c r="R80" s="188" t="e">
        <f t="array" ref="R80">_xlfn.STDEV.P(IF($E$5:$E$41=$E79,R$5:R$41))</f>
        <v>#DIV/0!</v>
      </c>
      <c r="S80" s="120" t="e">
        <f t="array" ref="S80">_xlfn.STDEV.P(IF($E$5:$E$41=$E79,S$5:S$41))</f>
        <v>#DIV/0!</v>
      </c>
      <c r="T80" s="120" t="e">
        <f t="array" ref="T80">_xlfn.STDEV.P(IF($E$5:$E$41=$E79,T$5:T$41))</f>
        <v>#DIV/0!</v>
      </c>
      <c r="U80" s="120" t="e">
        <f t="array" ref="U80">_xlfn.STDEV.P(IF($E$5:$E$41=$E79,U$5:U$41))</f>
        <v>#DIV/0!</v>
      </c>
      <c r="V80" s="81" t="s">
        <v>12</v>
      </c>
      <c r="W80" s="90" t="e">
        <f t="array" ref="W80">_xlfn.STDEV.P(IF($E$5:$E$41=$E79,W$5:W$41))</f>
        <v>#DIV/0!</v>
      </c>
      <c r="X80" s="90" t="e">
        <f t="array" ref="X80">_xlfn.STDEV.P(IF($E$5:$E$41=$E79,X$5:X$41))</f>
        <v>#DIV/0!</v>
      </c>
      <c r="Y80" s="90" t="e">
        <f t="array" ref="Y80">_xlfn.STDEV.P(IF($E$5:$E$41=$E79,Y$5:Y$41))</f>
        <v>#DIV/0!</v>
      </c>
      <c r="Z80" s="90" t="e">
        <f t="array" ref="Z80">_xlfn.STDEV.P(IF($E$5:$E$41=$E79,Z$5:Z$41))</f>
        <v>#DIV/0!</v>
      </c>
      <c r="AA80" s="90" t="e">
        <f t="array" ref="AA80">_xlfn.STDEV.P(IF($E$5:$E$41=$E79,AA$5:AA$41))</f>
        <v>#DIV/0!</v>
      </c>
      <c r="AB80" s="90" t="e">
        <f t="array" ref="AB80">_xlfn.STDEV.P(IF($E$5:$E$41=$E79,AB$5:AB$41))</f>
        <v>#DIV/0!</v>
      </c>
      <c r="AC80" s="90" t="e">
        <f t="array" ref="AC80">_xlfn.STDEV.P(IF($E$5:$E$41=$E79,AC$5:AC$41))</f>
        <v>#DIV/0!</v>
      </c>
      <c r="AD80" s="90" t="e">
        <f t="array" ref="AD80">_xlfn.STDEV.P(IF($E$5:$E$41=$E79,AD$5:AD$41))</f>
        <v>#DIV/0!</v>
      </c>
      <c r="AE80" s="90" t="e">
        <f t="array" ref="AE80">_xlfn.STDEV.P(IF($E$5:$E$41=$E79,AE$5:AE$41))</f>
        <v>#DIV/0!</v>
      </c>
      <c r="AF80" s="90" t="e">
        <f t="array" ref="AF80">_xlfn.STDEV.P(IF($E$5:$E$41=$E79,AF$5:AF$41))</f>
        <v>#DIV/0!</v>
      </c>
      <c r="AG80" s="90" t="e">
        <f t="array" ref="AG80">_xlfn.STDEV.P(IF($E$5:$E$41=$E79,AG$5:AG$41))</f>
        <v>#DIV/0!</v>
      </c>
      <c r="AH80" s="90" t="e">
        <f t="array" ref="AH80">_xlfn.STDEV.P(IF($E$5:$E$41=$E79,AH$5:AH$41))</f>
        <v>#DIV/0!</v>
      </c>
      <c r="AI80" s="90" t="e">
        <f t="array" ref="AI80">_xlfn.STDEV.P(IF($E$5:$E$41=$E79,AI$5:AI$41))</f>
        <v>#DIV/0!</v>
      </c>
      <c r="AJ80" s="90" t="e">
        <f t="array" ref="AJ80">_xlfn.STDEV.P(IF($E$5:$E$41=$E79,AJ$5:AJ$41))</f>
        <v>#DIV/0!</v>
      </c>
      <c r="AK80" s="90" t="e">
        <f t="array" ref="AK80">_xlfn.STDEV.P(IF($E$5:$E$41=$E79,AK$5:AK$41))</f>
        <v>#DIV/0!</v>
      </c>
      <c r="AL80" s="90" t="e">
        <f t="array" ref="AL80">_xlfn.STDEV.P(IF($E$5:$E$41=$E79,AL$5:AL$41))</f>
        <v>#DIV/0!</v>
      </c>
      <c r="AM80" s="90" t="e">
        <f t="array" ref="AM80">_xlfn.STDEV.P(IF($E$5:$E$41=$E79,AM$5:AM$41))</f>
        <v>#DIV/0!</v>
      </c>
      <c r="AN80" s="90" t="e">
        <f t="array" ref="AN80">_xlfn.STDEV.P(IF($E$5:$E$41=$E79,AN$5:AN$41))</f>
        <v>#DIV/0!</v>
      </c>
      <c r="AO80" s="90" t="e">
        <f t="array" ref="AO80">_xlfn.STDEV.P(IF($E$5:$E$41=$E79,AO$5:AO$41))</f>
        <v>#DIV/0!</v>
      </c>
      <c r="AP80" s="90" t="e">
        <f t="array" ref="AP80">_xlfn.STDEV.P(IF($E$5:$E$41=$E79,AP$5:AP$41))</f>
        <v>#DIV/0!</v>
      </c>
      <c r="AQ80" s="90" t="e">
        <f t="array" ref="AQ80">_xlfn.STDEV.P(IF($E$5:$E$41=$E79,AQ$5:AQ$41))</f>
        <v>#DIV/0!</v>
      </c>
      <c r="AR80" s="90" t="e">
        <f t="array" ref="AR80">_xlfn.STDEV.P(IF($E$5:$E$41=$E79,AR$5:AR$41))</f>
        <v>#DIV/0!</v>
      </c>
      <c r="AS80" s="90" t="e">
        <f t="array" ref="AS80">_xlfn.STDEV.P(IF($E$5:$E$41=$E79,AS$5:AS$41))</f>
        <v>#DIV/0!</v>
      </c>
      <c r="AT80" s="90" t="e">
        <f t="array" ref="AT80">_xlfn.STDEV.P(IF($E$5:$E$41=$E79,AT$5:AT$41))</f>
        <v>#DIV/0!</v>
      </c>
      <c r="AU80" s="90" t="e">
        <f t="array" ref="AU80">_xlfn.STDEV.P(IF($E$5:$E$41=$E79,AU$5:AU$41))</f>
        <v>#DIV/0!</v>
      </c>
      <c r="AV80" s="90" t="e">
        <f t="array" ref="AV80">_xlfn.STDEV.P(IF($E$5:$E$41=$E79,AV$5:AV$41))</f>
        <v>#DIV/0!</v>
      </c>
      <c r="AW80" s="90" t="e">
        <f t="array" ref="AW80">_xlfn.STDEV.P(IF($E$5:$E$41=$E79,AW$5:AW$41))</f>
        <v>#DIV/0!</v>
      </c>
      <c r="AX80" s="90" t="e">
        <f t="array" ref="AX80">_xlfn.STDEV.P(IF($E$5:$E$41=$E79,AX$5:AX$41))</f>
        <v>#DIV/0!</v>
      </c>
      <c r="AY80" s="90" t="e">
        <f t="array" ref="AY80">_xlfn.STDEV.P(IF($E$5:$E$41=$E79,AY$5:AY$41))</f>
        <v>#DIV/0!</v>
      </c>
      <c r="AZ80" s="90" t="e">
        <f t="array" ref="AZ80">_xlfn.STDEV.P(IF($E$5:$E$41=$E79,AZ$5:AZ$41))</f>
        <v>#DIV/0!</v>
      </c>
      <c r="BA80" s="90" t="e">
        <f t="array" ref="BA80">_xlfn.STDEV.P(IF($E$5:$E$41=$E79,BA$5:BA$41))</f>
        <v>#DIV/0!</v>
      </c>
      <c r="BB80" s="90" t="e">
        <f t="array" ref="BB80">_xlfn.STDEV.P(IF($E$5:$E$41=$E79,BB$5:BB$41))</f>
        <v>#DIV/0!</v>
      </c>
      <c r="BC80" s="90" t="e">
        <f t="array" ref="BC80">_xlfn.STDEV.P(IF($E$5:$E$41=$E79,BC$5:BC$41))</f>
        <v>#DIV/0!</v>
      </c>
      <c r="BD80" s="90" t="e">
        <f t="array" ref="BD80">_xlfn.STDEV.P(IF($E$5:$E$41=$E79,BD$5:BD$41))</f>
        <v>#DIV/0!</v>
      </c>
      <c r="BE80" s="90" t="e">
        <f t="array" ref="BE80">_xlfn.STDEV.P(IF($E$5:$E$41=$E79,BE$5:BE$41))</f>
        <v>#DIV/0!</v>
      </c>
      <c r="BF80" s="90" t="e">
        <f t="array" ref="BF80">_xlfn.STDEV.P(IF($E$5:$E$41=$E79,BF$5:BF$41))</f>
        <v>#DIV/0!</v>
      </c>
      <c r="BG80" s="90" t="e">
        <f t="array" ref="BG80">_xlfn.STDEV.P(IF($E$5:$E$41=$E79,BG$5:BG$41))</f>
        <v>#DIV/0!</v>
      </c>
      <c r="BH80" s="90" t="e">
        <f t="array" ref="BH80">_xlfn.STDEV.P(IF($E$5:$E$41=$E79,BH$5:BH$41))</f>
        <v>#DIV/0!</v>
      </c>
      <c r="BI80" s="90" t="e">
        <f t="array" ref="BI80">_xlfn.STDEV.P(IF($E$5:$E$41=$E79,BI$5:BI$41))</f>
        <v>#DIV/0!</v>
      </c>
      <c r="BJ80" s="90" t="e">
        <f t="array" ref="BJ80">_xlfn.STDEV.P(IF($E$5:$E$41=$E79,BJ$5:BJ$41))</f>
        <v>#DIV/0!</v>
      </c>
      <c r="BK80" s="115" t="s">
        <v>12</v>
      </c>
      <c r="BL80" s="83" t="e">
        <f t="array" ref="BL80">_xlfn.STDEV.P(IF($E$5:$E$41=$E79,BL$5:BL$41))</f>
        <v>#DIV/0!</v>
      </c>
      <c r="BM80" s="83" t="e">
        <f t="array" ref="BM80">_xlfn.STDEV.P(IF($E$5:$E$41=$E79,BM$5:BM$41))</f>
        <v>#DIV/0!</v>
      </c>
      <c r="BN80" s="83" t="e">
        <f t="array" ref="BN80">_xlfn.STDEV.P(IF($E$5:$E$41=$E79,BN$5:BN$41))</f>
        <v>#DIV/0!</v>
      </c>
      <c r="BO80" s="83" t="e">
        <f t="array" ref="BO80">_xlfn.STDEV.P(IF($E$5:$E$41=$E79,BO$5:BO$41))</f>
        <v>#DIV/0!</v>
      </c>
      <c r="BP80" s="83" t="e">
        <f t="array" ref="BP80">_xlfn.STDEV.P(IF($E$5:$E$41=$E79,BP$5:BP$41))</f>
        <v>#DIV/0!</v>
      </c>
      <c r="BQ80" s="83" t="e">
        <f t="array" ref="BQ80">_xlfn.STDEV.P(IF($E$5:$E$41=$E79,BQ$5:BQ$41))</f>
        <v>#DIV/0!</v>
      </c>
      <c r="BR80" s="83" t="e">
        <f t="array" ref="BR80">_xlfn.STDEV.P(IF($E$5:$E$41=$E79,BR$5:BR$41))</f>
        <v>#DIV/0!</v>
      </c>
      <c r="BS80" s="83" t="e">
        <f t="array" ref="BS80">_xlfn.STDEV.P(IF($E$5:$E$41=$E79,BS$5:BS$41))</f>
        <v>#DIV/0!</v>
      </c>
      <c r="BT80" s="83" t="e">
        <f t="array" ref="BT80">_xlfn.STDEV.P(IF($E$5:$E$41=$E79,BT$5:BT$41))</f>
        <v>#DIV/0!</v>
      </c>
      <c r="BU80" s="83" t="e">
        <f t="array" ref="BU80">_xlfn.STDEV.P(IF($E$5:$E$41=$E79,BU$5:BU$41))</f>
        <v>#DIV/0!</v>
      </c>
      <c r="BV80" s="83" t="e">
        <f t="array" ref="BV80">_xlfn.STDEV.P(IF($E$5:$E$41=$E79,BV$5:BV$41))</f>
        <v>#DIV/0!</v>
      </c>
      <c r="BW80" s="83" t="e">
        <f t="array" ref="BW80">_xlfn.STDEV.P(IF($E$5:$E$41=$E79,BW$5:BW$41))</f>
        <v>#DIV/0!</v>
      </c>
      <c r="BX80" s="83" t="e">
        <f t="array" ref="BX80">_xlfn.STDEV.P(IF($E$5:$E$41=$E79,BX$5:BX$41))</f>
        <v>#DIV/0!</v>
      </c>
      <c r="BY80" s="83" t="e">
        <f t="array" ref="BY80">_xlfn.STDEV.P(IF($E$5:$E$41=$E79,BY$5:BY$41))</f>
        <v>#DIV/0!</v>
      </c>
      <c r="BZ80" s="83" t="e">
        <f t="array" ref="BZ80">_xlfn.STDEV.P(IF($E$5:$E$41=$E79,BZ$5:BZ$41))</f>
        <v>#DIV/0!</v>
      </c>
      <c r="CA80" s="83" t="e">
        <f t="array" ref="CA80">_xlfn.STDEV.P(IF($E$5:$E$41=$E79,CA$5:CA$41))</f>
        <v>#DIV/0!</v>
      </c>
      <c r="CB80" s="83" t="e">
        <f t="array" ref="CB80">_xlfn.STDEV.P(IF($E$5:$E$41=$E79,CB$5:CB$41))</f>
        <v>#DIV/0!</v>
      </c>
      <c r="CC80" s="83" t="e">
        <f t="array" ref="CC80">_xlfn.STDEV.P(IF($E$5:$E$41=$E79,CC$5:CC$41))</f>
        <v>#DIV/0!</v>
      </c>
      <c r="CD80" s="83" t="e">
        <f t="array" ref="CD80">_xlfn.STDEV.P(IF($E$5:$E$41=$E79,CD$5:CD$41))</f>
        <v>#DIV/0!</v>
      </c>
      <c r="CE80" s="83" t="e">
        <f t="array" ref="CE80">_xlfn.STDEV.P(IF($E$5:$E$41=$E79,CE$5:CE$41))</f>
        <v>#DIV/0!</v>
      </c>
      <c r="CF80" s="83" t="e">
        <f t="array" ref="CF80">_xlfn.STDEV.P(IF($E$5:$E$41=$E79,CF$5:CF$41))</f>
        <v>#DIV/0!</v>
      </c>
      <c r="CG80" s="83" t="e">
        <f t="array" ref="CG80">_xlfn.STDEV.P(IF($E$5:$E$41=$E79,CG$5:CG$41))</f>
        <v>#DIV/0!</v>
      </c>
      <c r="CH80" s="83" t="e">
        <f t="array" ref="CH80">_xlfn.STDEV.P(IF($E$5:$E$41=$E79,CH$5:CH$41))</f>
        <v>#DIV/0!</v>
      </c>
      <c r="CI80" s="83" t="e">
        <f t="array" ref="CI80">_xlfn.STDEV.P(IF($E$5:$E$41=$E79,CI$5:CI$41))</f>
        <v>#DIV/0!</v>
      </c>
      <c r="CJ80" s="83" t="e">
        <f t="array" ref="CJ80">_xlfn.STDEV.P(IF($E$5:$E$41=$E79,CJ$5:CJ$41))</f>
        <v>#DIV/0!</v>
      </c>
      <c r="CK80" s="83" t="e">
        <f t="array" ref="CK80">_xlfn.STDEV.P(IF($E$5:$E$41=$E79,CK$5:CK$41))</f>
        <v>#DIV/0!</v>
      </c>
      <c r="CL80" s="83" t="e">
        <f t="array" ref="CL80">_xlfn.STDEV.P(IF($E$5:$E$41=$E79,CL$5:CL$41))</f>
        <v>#DIV/0!</v>
      </c>
      <c r="CM80" s="83" t="e">
        <f t="array" ref="CM80">_xlfn.STDEV.P(IF($E$5:$E$41=$E79,CM$5:CM$41))</f>
        <v>#DIV/0!</v>
      </c>
      <c r="CN80" s="83" t="e">
        <f t="array" ref="CN80">_xlfn.STDEV.P(IF($E$5:$E$41=$E79,CN$5:CN$41))</f>
        <v>#DIV/0!</v>
      </c>
      <c r="CO80" s="83" t="e">
        <f t="array" ref="CO80">_xlfn.STDEV.P(IF($E$5:$E$41=$E79,CO$5:CO$41))</f>
        <v>#DIV/0!</v>
      </c>
      <c r="CP80" s="83" t="e">
        <f t="array" ref="CP80">_xlfn.STDEV.P(IF($E$5:$E$41=$E79,CP$5:CP$41))</f>
        <v>#DIV/0!</v>
      </c>
      <c r="CQ80" s="83" t="e">
        <f t="array" ref="CQ80">_xlfn.STDEV.P(IF($E$5:$E$41=$E79,CQ$5:CQ$41))</f>
        <v>#DIV/0!</v>
      </c>
      <c r="CR80" s="83" t="e">
        <f t="array" ref="CR80">_xlfn.STDEV.P(IF($E$5:$E$41=$E79,CR$5:CR$41))</f>
        <v>#DIV/0!</v>
      </c>
      <c r="CS80" s="83" t="e">
        <f t="array" ref="CS80">_xlfn.STDEV.P(IF($E$5:$E$41=$E79,CS$5:CS$41))</f>
        <v>#DIV/0!</v>
      </c>
      <c r="CT80" s="83" t="e">
        <f t="array" ref="CT80">_xlfn.STDEV.P(IF($E$5:$E$41=$E79,CT$5:CT$41))</f>
        <v>#DIV/0!</v>
      </c>
      <c r="CU80" s="83" t="e">
        <f t="array" ref="CU80">_xlfn.STDEV.P(IF($E$5:$E$41=$E79,CU$5:CU$41))</f>
        <v>#DIV/0!</v>
      </c>
      <c r="CV80" s="83" t="e">
        <f t="array" ref="CV80">_xlfn.STDEV.P(IF($E$5:$E$41=$E79,CV$5:CV$41))</f>
        <v>#DIV/0!</v>
      </c>
      <c r="CW80" s="83" t="e">
        <f t="array" ref="CW80">_xlfn.STDEV.P(IF($E$5:$E$41=$E79,CW$5:CW$41))</f>
        <v>#DIV/0!</v>
      </c>
      <c r="CX80" s="83" t="e">
        <f t="array" ref="CX80">_xlfn.STDEV.P(IF($E$5:$E$41=$E79,CX$5:CX$41))</f>
        <v>#DIV/0!</v>
      </c>
      <c r="CY80" s="83" t="e">
        <f t="array" ref="CY80">_xlfn.STDEV.P(IF($E$5:$E$41=$E79,CY$5:CY$41))</f>
        <v>#DIV/0!</v>
      </c>
    </row>
    <row r="81" spans="1:103" ht="15">
      <c r="A81" s="129"/>
      <c r="E81" s="134"/>
      <c r="H81" s="58"/>
      <c r="J81" s="63"/>
      <c r="K81" s="63"/>
      <c r="L81" s="63"/>
      <c r="N81" s="63"/>
      <c r="Q81" s="63"/>
      <c r="R81" s="187"/>
      <c r="S81" s="63"/>
      <c r="T81" s="63"/>
      <c r="U81" s="63"/>
    </row>
    <row r="82" spans="1:103" ht="14.25" customHeight="1">
      <c r="A82" s="129"/>
      <c r="E82" s="134" t="str">
        <f>'RAD_DOSE Groups'!C16</f>
        <v>Group 11</v>
      </c>
      <c r="H82" s="134" t="str">
        <f>E82</f>
        <v>Group 11</v>
      </c>
      <c r="I82" s="120" t="e">
        <f>AVERAGEIF($E$5:$E$41,$E82,I$5:I$41)</f>
        <v>#DIV/0!</v>
      </c>
      <c r="J82" s="120"/>
      <c r="K82" s="120"/>
      <c r="L82" s="120"/>
      <c r="M82" s="120" t="e">
        <f>AVERAGEIF($E$5:$E$41,$E82,M$5:M$41)</f>
        <v>#DIV/0!</v>
      </c>
      <c r="N82" s="120"/>
      <c r="O82" s="120" t="e">
        <f t="shared" ref="O82:U82" si="175">AVERAGEIF($E$5:$E$41,$E82,O$5:O$41)</f>
        <v>#DIV/0!</v>
      </c>
      <c r="P82" s="120" t="e">
        <f t="shared" si="175"/>
        <v>#DIV/0!</v>
      </c>
      <c r="Q82" s="120" t="e">
        <f t="shared" si="175"/>
        <v>#DIV/0!</v>
      </c>
      <c r="R82" s="188" t="e">
        <f t="shared" si="175"/>
        <v>#DIV/0!</v>
      </c>
      <c r="S82" s="120" t="e">
        <f t="shared" si="175"/>
        <v>#DIV/0!</v>
      </c>
      <c r="T82" s="120" t="e">
        <f t="shared" si="175"/>
        <v>#DIV/0!</v>
      </c>
      <c r="U82" s="120" t="e">
        <f t="shared" si="175"/>
        <v>#DIV/0!</v>
      </c>
      <c r="V82" s="81" t="s">
        <v>10</v>
      </c>
      <c r="W82" s="87" t="e">
        <f t="shared" ref="W82:BJ82" si="176">AVERAGEIF($E$5:$E$41,$E82,W$5:W$41)</f>
        <v>#DIV/0!</v>
      </c>
      <c r="X82" s="87" t="e">
        <f t="shared" si="176"/>
        <v>#DIV/0!</v>
      </c>
      <c r="Y82" s="87" t="e">
        <f t="shared" si="176"/>
        <v>#DIV/0!</v>
      </c>
      <c r="Z82" s="87" t="e">
        <f t="shared" si="176"/>
        <v>#DIV/0!</v>
      </c>
      <c r="AA82" s="87" t="e">
        <f t="shared" si="176"/>
        <v>#DIV/0!</v>
      </c>
      <c r="AB82" s="87" t="e">
        <f t="shared" si="176"/>
        <v>#DIV/0!</v>
      </c>
      <c r="AC82" s="87" t="e">
        <f t="shared" si="176"/>
        <v>#DIV/0!</v>
      </c>
      <c r="AD82" s="87" t="e">
        <f t="shared" si="176"/>
        <v>#DIV/0!</v>
      </c>
      <c r="AE82" s="87" t="e">
        <f t="shared" si="176"/>
        <v>#DIV/0!</v>
      </c>
      <c r="AF82" s="87" t="e">
        <f t="shared" si="176"/>
        <v>#DIV/0!</v>
      </c>
      <c r="AG82" s="87" t="e">
        <f t="shared" si="176"/>
        <v>#DIV/0!</v>
      </c>
      <c r="AH82" s="87" t="e">
        <f t="shared" si="176"/>
        <v>#DIV/0!</v>
      </c>
      <c r="AI82" s="87" t="e">
        <f t="shared" si="176"/>
        <v>#DIV/0!</v>
      </c>
      <c r="AJ82" s="87" t="e">
        <f t="shared" si="176"/>
        <v>#DIV/0!</v>
      </c>
      <c r="AK82" s="87" t="e">
        <f t="shared" si="176"/>
        <v>#DIV/0!</v>
      </c>
      <c r="AL82" s="87" t="e">
        <f t="shared" si="176"/>
        <v>#DIV/0!</v>
      </c>
      <c r="AM82" s="87" t="e">
        <f t="shared" si="176"/>
        <v>#DIV/0!</v>
      </c>
      <c r="AN82" s="87" t="e">
        <f t="shared" si="176"/>
        <v>#DIV/0!</v>
      </c>
      <c r="AO82" s="87" t="e">
        <f t="shared" si="176"/>
        <v>#DIV/0!</v>
      </c>
      <c r="AP82" s="87" t="e">
        <f t="shared" si="176"/>
        <v>#DIV/0!</v>
      </c>
      <c r="AQ82" s="87" t="e">
        <f t="shared" si="176"/>
        <v>#DIV/0!</v>
      </c>
      <c r="AR82" s="87" t="e">
        <f t="shared" si="176"/>
        <v>#DIV/0!</v>
      </c>
      <c r="AS82" s="87" t="e">
        <f t="shared" si="176"/>
        <v>#DIV/0!</v>
      </c>
      <c r="AT82" s="87" t="e">
        <f t="shared" si="176"/>
        <v>#DIV/0!</v>
      </c>
      <c r="AU82" s="87" t="e">
        <f t="shared" si="176"/>
        <v>#DIV/0!</v>
      </c>
      <c r="AV82" s="87" t="e">
        <f t="shared" si="176"/>
        <v>#DIV/0!</v>
      </c>
      <c r="AW82" s="87" t="e">
        <f t="shared" si="176"/>
        <v>#DIV/0!</v>
      </c>
      <c r="AX82" s="87" t="e">
        <f t="shared" si="176"/>
        <v>#DIV/0!</v>
      </c>
      <c r="AY82" s="87" t="e">
        <f t="shared" si="176"/>
        <v>#DIV/0!</v>
      </c>
      <c r="AZ82" s="87" t="e">
        <f t="shared" si="176"/>
        <v>#DIV/0!</v>
      </c>
      <c r="BA82" s="87" t="e">
        <f t="shared" si="176"/>
        <v>#DIV/0!</v>
      </c>
      <c r="BB82" s="87" t="e">
        <f t="shared" si="176"/>
        <v>#DIV/0!</v>
      </c>
      <c r="BC82" s="87" t="e">
        <f t="shared" si="176"/>
        <v>#DIV/0!</v>
      </c>
      <c r="BD82" s="87" t="e">
        <f t="shared" si="176"/>
        <v>#DIV/0!</v>
      </c>
      <c r="BE82" s="87" t="e">
        <f t="shared" si="176"/>
        <v>#DIV/0!</v>
      </c>
      <c r="BF82" s="87" t="e">
        <f t="shared" si="176"/>
        <v>#DIV/0!</v>
      </c>
      <c r="BG82" s="87" t="e">
        <f t="shared" si="176"/>
        <v>#DIV/0!</v>
      </c>
      <c r="BH82" s="87" t="e">
        <f t="shared" si="176"/>
        <v>#DIV/0!</v>
      </c>
      <c r="BI82" s="87" t="e">
        <f t="shared" si="176"/>
        <v>#DIV/0!</v>
      </c>
      <c r="BJ82" s="87" t="e">
        <f t="shared" si="176"/>
        <v>#DIV/0!</v>
      </c>
      <c r="BK82" s="114" t="s">
        <v>10</v>
      </c>
      <c r="BL82" s="82" t="e">
        <f t="shared" ref="BL82:CY82" si="177">AVERAGEIF($E$5:$E$41,$E82,BL$5:BL$41)</f>
        <v>#DIV/0!</v>
      </c>
      <c r="BM82" s="82" t="e">
        <f t="shared" si="177"/>
        <v>#DIV/0!</v>
      </c>
      <c r="BN82" s="82" t="e">
        <f t="shared" si="177"/>
        <v>#DIV/0!</v>
      </c>
      <c r="BO82" s="82" t="e">
        <f t="shared" si="177"/>
        <v>#DIV/0!</v>
      </c>
      <c r="BP82" s="82" t="e">
        <f t="shared" si="177"/>
        <v>#DIV/0!</v>
      </c>
      <c r="BQ82" s="82" t="e">
        <f t="shared" si="177"/>
        <v>#DIV/0!</v>
      </c>
      <c r="BR82" s="82" t="e">
        <f t="shared" si="177"/>
        <v>#DIV/0!</v>
      </c>
      <c r="BS82" s="82" t="e">
        <f t="shared" si="177"/>
        <v>#DIV/0!</v>
      </c>
      <c r="BT82" s="82" t="e">
        <f t="shared" si="177"/>
        <v>#DIV/0!</v>
      </c>
      <c r="BU82" s="82" t="e">
        <f t="shared" si="177"/>
        <v>#DIV/0!</v>
      </c>
      <c r="BV82" s="82" t="e">
        <f t="shared" si="177"/>
        <v>#DIV/0!</v>
      </c>
      <c r="BW82" s="82" t="e">
        <f t="shared" si="177"/>
        <v>#DIV/0!</v>
      </c>
      <c r="BX82" s="82" t="e">
        <f t="shared" si="177"/>
        <v>#DIV/0!</v>
      </c>
      <c r="BY82" s="82" t="e">
        <f t="shared" si="177"/>
        <v>#DIV/0!</v>
      </c>
      <c r="BZ82" s="82" t="e">
        <f t="shared" si="177"/>
        <v>#DIV/0!</v>
      </c>
      <c r="CA82" s="82" t="e">
        <f t="shared" si="177"/>
        <v>#DIV/0!</v>
      </c>
      <c r="CB82" s="82" t="e">
        <f t="shared" si="177"/>
        <v>#DIV/0!</v>
      </c>
      <c r="CC82" s="82" t="e">
        <f t="shared" si="177"/>
        <v>#DIV/0!</v>
      </c>
      <c r="CD82" s="82" t="e">
        <f t="shared" si="177"/>
        <v>#DIV/0!</v>
      </c>
      <c r="CE82" s="82" t="e">
        <f t="shared" si="177"/>
        <v>#DIV/0!</v>
      </c>
      <c r="CF82" s="82" t="e">
        <f t="shared" si="177"/>
        <v>#DIV/0!</v>
      </c>
      <c r="CG82" s="82" t="e">
        <f t="shared" si="177"/>
        <v>#DIV/0!</v>
      </c>
      <c r="CH82" s="82" t="e">
        <f t="shared" si="177"/>
        <v>#DIV/0!</v>
      </c>
      <c r="CI82" s="82" t="e">
        <f t="shared" si="177"/>
        <v>#DIV/0!</v>
      </c>
      <c r="CJ82" s="82" t="e">
        <f t="shared" si="177"/>
        <v>#DIV/0!</v>
      </c>
      <c r="CK82" s="82" t="e">
        <f t="shared" si="177"/>
        <v>#DIV/0!</v>
      </c>
      <c r="CL82" s="82" t="e">
        <f t="shared" si="177"/>
        <v>#DIV/0!</v>
      </c>
      <c r="CM82" s="82" t="e">
        <f t="shared" si="177"/>
        <v>#DIV/0!</v>
      </c>
      <c r="CN82" s="82" t="e">
        <f t="shared" si="177"/>
        <v>#DIV/0!</v>
      </c>
      <c r="CO82" s="82" t="e">
        <f t="shared" si="177"/>
        <v>#DIV/0!</v>
      </c>
      <c r="CP82" s="82" t="e">
        <f t="shared" si="177"/>
        <v>#DIV/0!</v>
      </c>
      <c r="CQ82" s="82" t="e">
        <f t="shared" si="177"/>
        <v>#DIV/0!</v>
      </c>
      <c r="CR82" s="82" t="e">
        <f t="shared" si="177"/>
        <v>#DIV/0!</v>
      </c>
      <c r="CS82" s="82" t="e">
        <f t="shared" si="177"/>
        <v>#DIV/0!</v>
      </c>
      <c r="CT82" s="82" t="e">
        <f t="shared" si="177"/>
        <v>#DIV/0!</v>
      </c>
      <c r="CU82" s="82" t="e">
        <f t="shared" si="177"/>
        <v>#DIV/0!</v>
      </c>
      <c r="CV82" s="82" t="e">
        <f t="shared" si="177"/>
        <v>#DIV/0!</v>
      </c>
      <c r="CW82" s="82" t="e">
        <f t="shared" si="177"/>
        <v>#DIV/0!</v>
      </c>
      <c r="CX82" s="82" t="e">
        <f t="shared" si="177"/>
        <v>#DIV/0!</v>
      </c>
      <c r="CY82" s="82" t="e">
        <f t="shared" si="177"/>
        <v>#DIV/0!</v>
      </c>
    </row>
    <row r="83" spans="1:103" ht="14.25" customHeight="1">
      <c r="A83" s="129"/>
      <c r="E83" s="104"/>
      <c r="H83" s="104"/>
      <c r="I83" s="120" t="e">
        <f t="array" ref="I83">_xlfn.STDEV.P(IF($E$5:$E$41=$E82,I$5:I$41))</f>
        <v>#DIV/0!</v>
      </c>
      <c r="J83" s="120"/>
      <c r="K83" s="120"/>
      <c r="L83" s="120"/>
      <c r="M83" s="120" t="e">
        <f t="array" ref="M83">_xlfn.STDEV.P(IF($E$5:$E$41=$E82,M$5:M$41))</f>
        <v>#DIV/0!</v>
      </c>
      <c r="N83" s="120"/>
      <c r="O83" s="120" t="e">
        <f t="array" ref="O83">_xlfn.STDEV.P(IF($E$5:$E$41=$E82,O$5:O$41))</f>
        <v>#DIV/0!</v>
      </c>
      <c r="P83" s="120" t="e">
        <f t="array" ref="P83">_xlfn.STDEV.P(IF($E$5:$E$41=$E82,P$5:P$41))</f>
        <v>#DIV/0!</v>
      </c>
      <c r="Q83" s="120" t="e">
        <f t="array" ref="Q83">_xlfn.STDEV.P(IF($E$5:$E$41=$E82,Q$5:Q$41))</f>
        <v>#DIV/0!</v>
      </c>
      <c r="R83" s="188" t="e">
        <f t="array" ref="R83">_xlfn.STDEV.P(IF($E$5:$E$41=$E82,R$5:R$41))</f>
        <v>#DIV/0!</v>
      </c>
      <c r="S83" s="120" t="e">
        <f t="array" ref="S83">_xlfn.STDEV.P(IF($E$5:$E$41=$E82,S$5:S$41))</f>
        <v>#DIV/0!</v>
      </c>
      <c r="T83" s="120" t="e">
        <f t="array" ref="T83">_xlfn.STDEV.P(IF($E$5:$E$41=$E82,T$5:T$41))</f>
        <v>#DIV/0!</v>
      </c>
      <c r="U83" s="120" t="e">
        <f t="array" ref="U83">_xlfn.STDEV.P(IF($E$5:$E$41=$E82,U$5:U$41))</f>
        <v>#DIV/0!</v>
      </c>
      <c r="V83" s="81" t="s">
        <v>12</v>
      </c>
      <c r="W83" s="90" t="e">
        <f t="array" ref="W83">_xlfn.STDEV.P(IF($E$5:$E$41=$E82,W$5:W$41))</f>
        <v>#DIV/0!</v>
      </c>
      <c r="X83" s="90" t="e">
        <f t="array" ref="X83">_xlfn.STDEV.P(IF($E$5:$E$41=$E82,X$5:X$41))</f>
        <v>#DIV/0!</v>
      </c>
      <c r="Y83" s="90" t="e">
        <f t="array" ref="Y83">_xlfn.STDEV.P(IF($E$5:$E$41=$E82,Y$5:Y$41))</f>
        <v>#DIV/0!</v>
      </c>
      <c r="Z83" s="90" t="e">
        <f t="array" ref="Z83">_xlfn.STDEV.P(IF($E$5:$E$41=$E82,Z$5:Z$41))</f>
        <v>#DIV/0!</v>
      </c>
      <c r="AA83" s="90" t="e">
        <f t="array" ref="AA83">_xlfn.STDEV.P(IF($E$5:$E$41=$E82,AA$5:AA$41))</f>
        <v>#DIV/0!</v>
      </c>
      <c r="AB83" s="90" t="e">
        <f t="array" ref="AB83">_xlfn.STDEV.P(IF($E$5:$E$41=$E82,AB$5:AB$41))</f>
        <v>#DIV/0!</v>
      </c>
      <c r="AC83" s="90" t="e">
        <f t="array" ref="AC83">_xlfn.STDEV.P(IF($E$5:$E$41=$E82,AC$5:AC$41))</f>
        <v>#DIV/0!</v>
      </c>
      <c r="AD83" s="90" t="e">
        <f t="array" ref="AD83">_xlfn.STDEV.P(IF($E$5:$E$41=$E82,AD$5:AD$41))</f>
        <v>#DIV/0!</v>
      </c>
      <c r="AE83" s="90" t="e">
        <f t="array" ref="AE83">_xlfn.STDEV.P(IF($E$5:$E$41=$E82,AE$5:AE$41))</f>
        <v>#DIV/0!</v>
      </c>
      <c r="AF83" s="90" t="e">
        <f t="array" ref="AF83">_xlfn.STDEV.P(IF($E$5:$E$41=$E82,AF$5:AF$41))</f>
        <v>#DIV/0!</v>
      </c>
      <c r="AG83" s="90" t="e">
        <f t="array" ref="AG83">_xlfn.STDEV.P(IF($E$5:$E$41=$E82,AG$5:AG$41))</f>
        <v>#DIV/0!</v>
      </c>
      <c r="AH83" s="90" t="e">
        <f t="array" ref="AH83">_xlfn.STDEV.P(IF($E$5:$E$41=$E82,AH$5:AH$41))</f>
        <v>#DIV/0!</v>
      </c>
      <c r="AI83" s="90" t="e">
        <f t="array" ref="AI83">_xlfn.STDEV.P(IF($E$5:$E$41=$E82,AI$5:AI$41))</f>
        <v>#DIV/0!</v>
      </c>
      <c r="AJ83" s="90" t="e">
        <f t="array" ref="AJ83">_xlfn.STDEV.P(IF($E$5:$E$41=$E82,AJ$5:AJ$41))</f>
        <v>#DIV/0!</v>
      </c>
      <c r="AK83" s="90" t="e">
        <f t="array" ref="AK83">_xlfn.STDEV.P(IF($E$5:$E$41=$E82,AK$5:AK$41))</f>
        <v>#DIV/0!</v>
      </c>
      <c r="AL83" s="90" t="e">
        <f t="array" ref="AL83">_xlfn.STDEV.P(IF($E$5:$E$41=$E82,AL$5:AL$41))</f>
        <v>#DIV/0!</v>
      </c>
      <c r="AM83" s="90" t="e">
        <f t="array" ref="AM83">_xlfn.STDEV.P(IF($E$5:$E$41=$E82,AM$5:AM$41))</f>
        <v>#DIV/0!</v>
      </c>
      <c r="AN83" s="90" t="e">
        <f t="array" ref="AN83">_xlfn.STDEV.P(IF($E$5:$E$41=$E82,AN$5:AN$41))</f>
        <v>#DIV/0!</v>
      </c>
      <c r="AO83" s="90" t="e">
        <f t="array" ref="AO83">_xlfn.STDEV.P(IF($E$5:$E$41=$E82,AO$5:AO$41))</f>
        <v>#DIV/0!</v>
      </c>
      <c r="AP83" s="90" t="e">
        <f t="array" ref="AP83">_xlfn.STDEV.P(IF($E$5:$E$41=$E82,AP$5:AP$41))</f>
        <v>#DIV/0!</v>
      </c>
      <c r="AQ83" s="90" t="e">
        <f t="array" ref="AQ83">_xlfn.STDEV.P(IF($E$5:$E$41=$E82,AQ$5:AQ$41))</f>
        <v>#DIV/0!</v>
      </c>
      <c r="AR83" s="90" t="e">
        <f t="array" ref="AR83">_xlfn.STDEV.P(IF($E$5:$E$41=$E82,AR$5:AR$41))</f>
        <v>#DIV/0!</v>
      </c>
      <c r="AS83" s="90" t="e">
        <f t="array" ref="AS83">_xlfn.STDEV.P(IF($E$5:$E$41=$E82,AS$5:AS$41))</f>
        <v>#DIV/0!</v>
      </c>
      <c r="AT83" s="90" t="e">
        <f t="array" ref="AT83">_xlfn.STDEV.P(IF($E$5:$E$41=$E82,AT$5:AT$41))</f>
        <v>#DIV/0!</v>
      </c>
      <c r="AU83" s="90" t="e">
        <f t="array" ref="AU83">_xlfn.STDEV.P(IF($E$5:$E$41=$E82,AU$5:AU$41))</f>
        <v>#DIV/0!</v>
      </c>
      <c r="AV83" s="90" t="e">
        <f t="array" ref="AV83">_xlfn.STDEV.P(IF($E$5:$E$41=$E82,AV$5:AV$41))</f>
        <v>#DIV/0!</v>
      </c>
      <c r="AW83" s="90" t="e">
        <f t="array" ref="AW83">_xlfn.STDEV.P(IF($E$5:$E$41=$E82,AW$5:AW$41))</f>
        <v>#DIV/0!</v>
      </c>
      <c r="AX83" s="90" t="e">
        <f t="array" ref="AX83">_xlfn.STDEV.P(IF($E$5:$E$41=$E82,AX$5:AX$41))</f>
        <v>#DIV/0!</v>
      </c>
      <c r="AY83" s="90" t="e">
        <f t="array" ref="AY83">_xlfn.STDEV.P(IF($E$5:$E$41=$E82,AY$5:AY$41))</f>
        <v>#DIV/0!</v>
      </c>
      <c r="AZ83" s="90" t="e">
        <f t="array" ref="AZ83">_xlfn.STDEV.P(IF($E$5:$E$41=$E82,AZ$5:AZ$41))</f>
        <v>#DIV/0!</v>
      </c>
      <c r="BA83" s="90" t="e">
        <f t="array" ref="BA83">_xlfn.STDEV.P(IF($E$5:$E$41=$E82,BA$5:BA$41))</f>
        <v>#DIV/0!</v>
      </c>
      <c r="BB83" s="90" t="e">
        <f t="array" ref="BB83">_xlfn.STDEV.P(IF($E$5:$E$41=$E82,BB$5:BB$41))</f>
        <v>#DIV/0!</v>
      </c>
      <c r="BC83" s="90" t="e">
        <f t="array" ref="BC83">_xlfn.STDEV.P(IF($E$5:$E$41=$E82,BC$5:BC$41))</f>
        <v>#DIV/0!</v>
      </c>
      <c r="BD83" s="90" t="e">
        <f t="array" ref="BD83">_xlfn.STDEV.P(IF($E$5:$E$41=$E82,BD$5:BD$41))</f>
        <v>#DIV/0!</v>
      </c>
      <c r="BE83" s="90" t="e">
        <f t="array" ref="BE83">_xlfn.STDEV.P(IF($E$5:$E$41=$E82,BE$5:BE$41))</f>
        <v>#DIV/0!</v>
      </c>
      <c r="BF83" s="90" t="e">
        <f t="array" ref="BF83">_xlfn.STDEV.P(IF($E$5:$E$41=$E82,BF$5:BF$41))</f>
        <v>#DIV/0!</v>
      </c>
      <c r="BG83" s="90" t="e">
        <f t="array" ref="BG83">_xlfn.STDEV.P(IF($E$5:$E$41=$E82,BG$5:BG$41))</f>
        <v>#DIV/0!</v>
      </c>
      <c r="BH83" s="90" t="e">
        <f t="array" ref="BH83">_xlfn.STDEV.P(IF($E$5:$E$41=$E82,BH$5:BH$41))</f>
        <v>#DIV/0!</v>
      </c>
      <c r="BI83" s="90" t="e">
        <f t="array" ref="BI83">_xlfn.STDEV.P(IF($E$5:$E$41=$E82,BI$5:BI$41))</f>
        <v>#DIV/0!</v>
      </c>
      <c r="BJ83" s="90" t="e">
        <f t="array" ref="BJ83">_xlfn.STDEV.P(IF($E$5:$E$41=$E82,BJ$5:BJ$41))</f>
        <v>#DIV/0!</v>
      </c>
      <c r="BK83" s="115" t="s">
        <v>12</v>
      </c>
      <c r="BL83" s="83" t="e">
        <f t="array" ref="BL83">_xlfn.STDEV.P(IF($E$5:$E$41=$E82,BL$5:BL$41))</f>
        <v>#DIV/0!</v>
      </c>
      <c r="BM83" s="83" t="e">
        <f t="array" ref="BM83">_xlfn.STDEV.P(IF($E$5:$E$41=$E82,BM$5:BM$41))</f>
        <v>#DIV/0!</v>
      </c>
      <c r="BN83" s="83" t="e">
        <f t="array" ref="BN83">_xlfn.STDEV.P(IF($E$5:$E$41=$E82,BN$5:BN$41))</f>
        <v>#DIV/0!</v>
      </c>
      <c r="BO83" s="83" t="e">
        <f t="array" ref="BO83">_xlfn.STDEV.P(IF($E$5:$E$41=$E82,BO$5:BO$41))</f>
        <v>#DIV/0!</v>
      </c>
      <c r="BP83" s="83" t="e">
        <f t="array" ref="BP83">_xlfn.STDEV.P(IF($E$5:$E$41=$E82,BP$5:BP$41))</f>
        <v>#DIV/0!</v>
      </c>
      <c r="BQ83" s="83" t="e">
        <f t="array" ref="BQ83">_xlfn.STDEV.P(IF($E$5:$E$41=$E82,BQ$5:BQ$41))</f>
        <v>#DIV/0!</v>
      </c>
      <c r="BR83" s="83" t="e">
        <f t="array" ref="BR83">_xlfn.STDEV.P(IF($E$5:$E$41=$E82,BR$5:BR$41))</f>
        <v>#DIV/0!</v>
      </c>
      <c r="BS83" s="83" t="e">
        <f t="array" ref="BS83">_xlfn.STDEV.P(IF($E$5:$E$41=$E82,BS$5:BS$41))</f>
        <v>#DIV/0!</v>
      </c>
      <c r="BT83" s="83" t="e">
        <f t="array" ref="BT83">_xlfn.STDEV.P(IF($E$5:$E$41=$E82,BT$5:BT$41))</f>
        <v>#DIV/0!</v>
      </c>
      <c r="BU83" s="83" t="e">
        <f t="array" ref="BU83">_xlfn.STDEV.P(IF($E$5:$E$41=$E82,BU$5:BU$41))</f>
        <v>#DIV/0!</v>
      </c>
      <c r="BV83" s="83" t="e">
        <f t="array" ref="BV83">_xlfn.STDEV.P(IF($E$5:$E$41=$E82,BV$5:BV$41))</f>
        <v>#DIV/0!</v>
      </c>
      <c r="BW83" s="83" t="e">
        <f t="array" ref="BW83">_xlfn.STDEV.P(IF($E$5:$E$41=$E82,BW$5:BW$41))</f>
        <v>#DIV/0!</v>
      </c>
      <c r="BX83" s="83" t="e">
        <f t="array" ref="BX83">_xlfn.STDEV.P(IF($E$5:$E$41=$E82,BX$5:BX$41))</f>
        <v>#DIV/0!</v>
      </c>
      <c r="BY83" s="83" t="e">
        <f t="array" ref="BY83">_xlfn.STDEV.P(IF($E$5:$E$41=$E82,BY$5:BY$41))</f>
        <v>#DIV/0!</v>
      </c>
      <c r="BZ83" s="83" t="e">
        <f t="array" ref="BZ83">_xlfn.STDEV.P(IF($E$5:$E$41=$E82,BZ$5:BZ$41))</f>
        <v>#DIV/0!</v>
      </c>
      <c r="CA83" s="83" t="e">
        <f t="array" ref="CA83">_xlfn.STDEV.P(IF($E$5:$E$41=$E82,CA$5:CA$41))</f>
        <v>#DIV/0!</v>
      </c>
      <c r="CB83" s="83" t="e">
        <f t="array" ref="CB83">_xlfn.STDEV.P(IF($E$5:$E$41=$E82,CB$5:CB$41))</f>
        <v>#DIV/0!</v>
      </c>
      <c r="CC83" s="83" t="e">
        <f t="array" ref="CC83">_xlfn.STDEV.P(IF($E$5:$E$41=$E82,CC$5:CC$41))</f>
        <v>#DIV/0!</v>
      </c>
      <c r="CD83" s="83" t="e">
        <f t="array" ref="CD83">_xlfn.STDEV.P(IF($E$5:$E$41=$E82,CD$5:CD$41))</f>
        <v>#DIV/0!</v>
      </c>
      <c r="CE83" s="83" t="e">
        <f t="array" ref="CE83">_xlfn.STDEV.P(IF($E$5:$E$41=$E82,CE$5:CE$41))</f>
        <v>#DIV/0!</v>
      </c>
      <c r="CF83" s="83" t="e">
        <f t="array" ref="CF83">_xlfn.STDEV.P(IF($E$5:$E$41=$E82,CF$5:CF$41))</f>
        <v>#DIV/0!</v>
      </c>
      <c r="CG83" s="83" t="e">
        <f t="array" ref="CG83">_xlfn.STDEV.P(IF($E$5:$E$41=$E82,CG$5:CG$41))</f>
        <v>#DIV/0!</v>
      </c>
      <c r="CH83" s="83" t="e">
        <f t="array" ref="CH83">_xlfn.STDEV.P(IF($E$5:$E$41=$E82,CH$5:CH$41))</f>
        <v>#DIV/0!</v>
      </c>
      <c r="CI83" s="83" t="e">
        <f t="array" ref="CI83">_xlfn.STDEV.P(IF($E$5:$E$41=$E82,CI$5:CI$41))</f>
        <v>#DIV/0!</v>
      </c>
      <c r="CJ83" s="83" t="e">
        <f t="array" ref="CJ83">_xlfn.STDEV.P(IF($E$5:$E$41=$E82,CJ$5:CJ$41))</f>
        <v>#DIV/0!</v>
      </c>
      <c r="CK83" s="83" t="e">
        <f t="array" ref="CK83">_xlfn.STDEV.P(IF($E$5:$E$41=$E82,CK$5:CK$41))</f>
        <v>#DIV/0!</v>
      </c>
      <c r="CL83" s="83" t="e">
        <f t="array" ref="CL83">_xlfn.STDEV.P(IF($E$5:$E$41=$E82,CL$5:CL$41))</f>
        <v>#DIV/0!</v>
      </c>
      <c r="CM83" s="83" t="e">
        <f t="array" ref="CM83">_xlfn.STDEV.P(IF($E$5:$E$41=$E82,CM$5:CM$41))</f>
        <v>#DIV/0!</v>
      </c>
      <c r="CN83" s="83" t="e">
        <f t="array" ref="CN83">_xlfn.STDEV.P(IF($E$5:$E$41=$E82,CN$5:CN$41))</f>
        <v>#DIV/0!</v>
      </c>
      <c r="CO83" s="83" t="e">
        <f t="array" ref="CO83">_xlfn.STDEV.P(IF($E$5:$E$41=$E82,CO$5:CO$41))</f>
        <v>#DIV/0!</v>
      </c>
      <c r="CP83" s="83" t="e">
        <f t="array" ref="CP83">_xlfn.STDEV.P(IF($E$5:$E$41=$E82,CP$5:CP$41))</f>
        <v>#DIV/0!</v>
      </c>
      <c r="CQ83" s="83" t="e">
        <f t="array" ref="CQ83">_xlfn.STDEV.P(IF($E$5:$E$41=$E82,CQ$5:CQ$41))</f>
        <v>#DIV/0!</v>
      </c>
      <c r="CR83" s="83" t="e">
        <f t="array" ref="CR83">_xlfn.STDEV.P(IF($E$5:$E$41=$E82,CR$5:CR$41))</f>
        <v>#DIV/0!</v>
      </c>
      <c r="CS83" s="83" t="e">
        <f t="array" ref="CS83">_xlfn.STDEV.P(IF($E$5:$E$41=$E82,CS$5:CS$41))</f>
        <v>#DIV/0!</v>
      </c>
      <c r="CT83" s="83" t="e">
        <f t="array" ref="CT83">_xlfn.STDEV.P(IF($E$5:$E$41=$E82,CT$5:CT$41))</f>
        <v>#DIV/0!</v>
      </c>
      <c r="CU83" s="83" t="e">
        <f t="array" ref="CU83">_xlfn.STDEV.P(IF($E$5:$E$41=$E82,CU$5:CU$41))</f>
        <v>#DIV/0!</v>
      </c>
      <c r="CV83" s="83" t="e">
        <f t="array" ref="CV83">_xlfn.STDEV.P(IF($E$5:$E$41=$E82,CV$5:CV$41))</f>
        <v>#DIV/0!</v>
      </c>
      <c r="CW83" s="83" t="e">
        <f t="array" ref="CW83">_xlfn.STDEV.P(IF($E$5:$E$41=$E82,CW$5:CW$41))</f>
        <v>#DIV/0!</v>
      </c>
      <c r="CX83" s="83" t="e">
        <f t="array" ref="CX83">_xlfn.STDEV.P(IF($E$5:$E$41=$E82,CX$5:CX$41))</f>
        <v>#DIV/0!</v>
      </c>
      <c r="CY83" s="83" t="e">
        <f t="array" ref="CY83">_xlfn.STDEV.P(IF($E$5:$E$41=$E82,CY$5:CY$41))</f>
        <v>#DIV/0!</v>
      </c>
    </row>
    <row r="84" spans="1:103" ht="15">
      <c r="A84" s="129"/>
      <c r="E84" s="134"/>
      <c r="H84" s="58"/>
      <c r="J84" s="63"/>
      <c r="K84" s="63"/>
      <c r="L84" s="63"/>
      <c r="N84" s="63"/>
      <c r="Q84" s="63"/>
      <c r="R84" s="187"/>
      <c r="S84" s="63"/>
      <c r="T84" s="63"/>
      <c r="U84" s="63"/>
    </row>
    <row r="85" spans="1:103" ht="14.25" customHeight="1">
      <c r="A85" s="129"/>
      <c r="E85" s="134" t="str">
        <f>'RAD_DOSE Groups'!C17</f>
        <v>Group 12</v>
      </c>
      <c r="H85" s="134" t="str">
        <f>E85</f>
        <v>Group 12</v>
      </c>
      <c r="I85" s="120" t="e">
        <f>AVERAGEIF($E$5:$E$41,$E85,I$5:I$41)</f>
        <v>#DIV/0!</v>
      </c>
      <c r="J85" s="120"/>
      <c r="K85" s="120"/>
      <c r="L85" s="120"/>
      <c r="M85" s="120" t="e">
        <f>AVERAGEIF($E$5:$E$41,$E85,M$5:M$41)</f>
        <v>#DIV/0!</v>
      </c>
      <c r="N85" s="120"/>
      <c r="O85" s="120" t="e">
        <f t="shared" ref="O85:U85" si="178">AVERAGEIF($E$5:$E$41,$E85,O$5:O$41)</f>
        <v>#DIV/0!</v>
      </c>
      <c r="P85" s="120" t="e">
        <f t="shared" si="178"/>
        <v>#DIV/0!</v>
      </c>
      <c r="Q85" s="120" t="e">
        <f t="shared" si="178"/>
        <v>#DIV/0!</v>
      </c>
      <c r="R85" s="188" t="e">
        <f t="shared" si="178"/>
        <v>#DIV/0!</v>
      </c>
      <c r="S85" s="120" t="e">
        <f t="shared" si="178"/>
        <v>#DIV/0!</v>
      </c>
      <c r="T85" s="120" t="e">
        <f t="shared" si="178"/>
        <v>#DIV/0!</v>
      </c>
      <c r="U85" s="120" t="e">
        <f t="shared" si="178"/>
        <v>#DIV/0!</v>
      </c>
      <c r="V85" s="81" t="s">
        <v>10</v>
      </c>
      <c r="W85" s="87" t="e">
        <f t="shared" ref="W85:BJ85" si="179">AVERAGEIF($E$5:$E$41,$E85,W$5:W$41)</f>
        <v>#DIV/0!</v>
      </c>
      <c r="X85" s="87" t="e">
        <f t="shared" si="179"/>
        <v>#DIV/0!</v>
      </c>
      <c r="Y85" s="87" t="e">
        <f t="shared" si="179"/>
        <v>#DIV/0!</v>
      </c>
      <c r="Z85" s="87" t="e">
        <f t="shared" si="179"/>
        <v>#DIV/0!</v>
      </c>
      <c r="AA85" s="87" t="e">
        <f t="shared" si="179"/>
        <v>#DIV/0!</v>
      </c>
      <c r="AB85" s="87" t="e">
        <f t="shared" si="179"/>
        <v>#DIV/0!</v>
      </c>
      <c r="AC85" s="87" t="e">
        <f t="shared" si="179"/>
        <v>#DIV/0!</v>
      </c>
      <c r="AD85" s="87" t="e">
        <f t="shared" si="179"/>
        <v>#DIV/0!</v>
      </c>
      <c r="AE85" s="87" t="e">
        <f t="shared" si="179"/>
        <v>#DIV/0!</v>
      </c>
      <c r="AF85" s="87" t="e">
        <f t="shared" si="179"/>
        <v>#DIV/0!</v>
      </c>
      <c r="AG85" s="87" t="e">
        <f t="shared" si="179"/>
        <v>#DIV/0!</v>
      </c>
      <c r="AH85" s="87" t="e">
        <f t="shared" si="179"/>
        <v>#DIV/0!</v>
      </c>
      <c r="AI85" s="87" t="e">
        <f t="shared" si="179"/>
        <v>#DIV/0!</v>
      </c>
      <c r="AJ85" s="87" t="e">
        <f t="shared" si="179"/>
        <v>#DIV/0!</v>
      </c>
      <c r="AK85" s="87" t="e">
        <f t="shared" si="179"/>
        <v>#DIV/0!</v>
      </c>
      <c r="AL85" s="87" t="e">
        <f t="shared" si="179"/>
        <v>#DIV/0!</v>
      </c>
      <c r="AM85" s="87" t="e">
        <f t="shared" si="179"/>
        <v>#DIV/0!</v>
      </c>
      <c r="AN85" s="87" t="e">
        <f t="shared" si="179"/>
        <v>#DIV/0!</v>
      </c>
      <c r="AO85" s="87" t="e">
        <f t="shared" si="179"/>
        <v>#DIV/0!</v>
      </c>
      <c r="AP85" s="87" t="e">
        <f t="shared" si="179"/>
        <v>#DIV/0!</v>
      </c>
      <c r="AQ85" s="87" t="e">
        <f t="shared" si="179"/>
        <v>#DIV/0!</v>
      </c>
      <c r="AR85" s="87" t="e">
        <f t="shared" si="179"/>
        <v>#DIV/0!</v>
      </c>
      <c r="AS85" s="87" t="e">
        <f t="shared" si="179"/>
        <v>#DIV/0!</v>
      </c>
      <c r="AT85" s="87" t="e">
        <f t="shared" si="179"/>
        <v>#DIV/0!</v>
      </c>
      <c r="AU85" s="87" t="e">
        <f t="shared" si="179"/>
        <v>#DIV/0!</v>
      </c>
      <c r="AV85" s="87" t="e">
        <f t="shared" si="179"/>
        <v>#DIV/0!</v>
      </c>
      <c r="AW85" s="87" t="e">
        <f t="shared" si="179"/>
        <v>#DIV/0!</v>
      </c>
      <c r="AX85" s="87" t="e">
        <f t="shared" si="179"/>
        <v>#DIV/0!</v>
      </c>
      <c r="AY85" s="87" t="e">
        <f t="shared" si="179"/>
        <v>#DIV/0!</v>
      </c>
      <c r="AZ85" s="87" t="e">
        <f t="shared" si="179"/>
        <v>#DIV/0!</v>
      </c>
      <c r="BA85" s="87" t="e">
        <f t="shared" si="179"/>
        <v>#DIV/0!</v>
      </c>
      <c r="BB85" s="87" t="e">
        <f t="shared" si="179"/>
        <v>#DIV/0!</v>
      </c>
      <c r="BC85" s="87" t="e">
        <f t="shared" si="179"/>
        <v>#DIV/0!</v>
      </c>
      <c r="BD85" s="87" t="e">
        <f t="shared" si="179"/>
        <v>#DIV/0!</v>
      </c>
      <c r="BE85" s="87" t="e">
        <f t="shared" si="179"/>
        <v>#DIV/0!</v>
      </c>
      <c r="BF85" s="87" t="e">
        <f t="shared" si="179"/>
        <v>#DIV/0!</v>
      </c>
      <c r="BG85" s="87" t="e">
        <f t="shared" si="179"/>
        <v>#DIV/0!</v>
      </c>
      <c r="BH85" s="87" t="e">
        <f t="shared" si="179"/>
        <v>#DIV/0!</v>
      </c>
      <c r="BI85" s="87" t="e">
        <f t="shared" si="179"/>
        <v>#DIV/0!</v>
      </c>
      <c r="BJ85" s="87" t="e">
        <f t="shared" si="179"/>
        <v>#DIV/0!</v>
      </c>
      <c r="BK85" s="114" t="s">
        <v>10</v>
      </c>
      <c r="BL85" s="82" t="e">
        <f t="shared" ref="BL85:CY85" si="180">AVERAGEIF($E$5:$E$41,$E85,BL$5:BL$41)</f>
        <v>#DIV/0!</v>
      </c>
      <c r="BM85" s="82" t="e">
        <f t="shared" si="180"/>
        <v>#DIV/0!</v>
      </c>
      <c r="BN85" s="82" t="e">
        <f t="shared" si="180"/>
        <v>#DIV/0!</v>
      </c>
      <c r="BO85" s="82" t="e">
        <f t="shared" si="180"/>
        <v>#DIV/0!</v>
      </c>
      <c r="BP85" s="82" t="e">
        <f t="shared" si="180"/>
        <v>#DIV/0!</v>
      </c>
      <c r="BQ85" s="82" t="e">
        <f t="shared" si="180"/>
        <v>#DIV/0!</v>
      </c>
      <c r="BR85" s="82" t="e">
        <f t="shared" si="180"/>
        <v>#DIV/0!</v>
      </c>
      <c r="BS85" s="82" t="e">
        <f t="shared" si="180"/>
        <v>#DIV/0!</v>
      </c>
      <c r="BT85" s="82" t="e">
        <f t="shared" si="180"/>
        <v>#DIV/0!</v>
      </c>
      <c r="BU85" s="82" t="e">
        <f t="shared" si="180"/>
        <v>#DIV/0!</v>
      </c>
      <c r="BV85" s="82" t="e">
        <f t="shared" si="180"/>
        <v>#DIV/0!</v>
      </c>
      <c r="BW85" s="82" t="e">
        <f t="shared" si="180"/>
        <v>#DIV/0!</v>
      </c>
      <c r="BX85" s="82" t="e">
        <f t="shared" si="180"/>
        <v>#DIV/0!</v>
      </c>
      <c r="BY85" s="82" t="e">
        <f t="shared" si="180"/>
        <v>#DIV/0!</v>
      </c>
      <c r="BZ85" s="82" t="e">
        <f t="shared" si="180"/>
        <v>#DIV/0!</v>
      </c>
      <c r="CA85" s="82" t="e">
        <f t="shared" si="180"/>
        <v>#DIV/0!</v>
      </c>
      <c r="CB85" s="82" t="e">
        <f t="shared" si="180"/>
        <v>#DIV/0!</v>
      </c>
      <c r="CC85" s="82" t="e">
        <f t="shared" si="180"/>
        <v>#DIV/0!</v>
      </c>
      <c r="CD85" s="82" t="e">
        <f t="shared" si="180"/>
        <v>#DIV/0!</v>
      </c>
      <c r="CE85" s="82" t="e">
        <f t="shared" si="180"/>
        <v>#DIV/0!</v>
      </c>
      <c r="CF85" s="82" t="e">
        <f t="shared" si="180"/>
        <v>#DIV/0!</v>
      </c>
      <c r="CG85" s="82" t="e">
        <f t="shared" si="180"/>
        <v>#DIV/0!</v>
      </c>
      <c r="CH85" s="82" t="e">
        <f t="shared" si="180"/>
        <v>#DIV/0!</v>
      </c>
      <c r="CI85" s="82" t="e">
        <f t="shared" si="180"/>
        <v>#DIV/0!</v>
      </c>
      <c r="CJ85" s="82" t="e">
        <f t="shared" si="180"/>
        <v>#DIV/0!</v>
      </c>
      <c r="CK85" s="82" t="e">
        <f t="shared" si="180"/>
        <v>#DIV/0!</v>
      </c>
      <c r="CL85" s="82" t="e">
        <f t="shared" si="180"/>
        <v>#DIV/0!</v>
      </c>
      <c r="CM85" s="82" t="e">
        <f t="shared" si="180"/>
        <v>#DIV/0!</v>
      </c>
      <c r="CN85" s="82" t="e">
        <f t="shared" si="180"/>
        <v>#DIV/0!</v>
      </c>
      <c r="CO85" s="82" t="e">
        <f t="shared" si="180"/>
        <v>#DIV/0!</v>
      </c>
      <c r="CP85" s="82" t="e">
        <f t="shared" si="180"/>
        <v>#DIV/0!</v>
      </c>
      <c r="CQ85" s="82" t="e">
        <f t="shared" si="180"/>
        <v>#DIV/0!</v>
      </c>
      <c r="CR85" s="82" t="e">
        <f t="shared" si="180"/>
        <v>#DIV/0!</v>
      </c>
      <c r="CS85" s="82" t="e">
        <f t="shared" si="180"/>
        <v>#DIV/0!</v>
      </c>
      <c r="CT85" s="82" t="e">
        <f t="shared" si="180"/>
        <v>#DIV/0!</v>
      </c>
      <c r="CU85" s="82" t="e">
        <f t="shared" si="180"/>
        <v>#DIV/0!</v>
      </c>
      <c r="CV85" s="82" t="e">
        <f t="shared" si="180"/>
        <v>#DIV/0!</v>
      </c>
      <c r="CW85" s="82" t="e">
        <f t="shared" si="180"/>
        <v>#DIV/0!</v>
      </c>
      <c r="CX85" s="82" t="e">
        <f t="shared" si="180"/>
        <v>#DIV/0!</v>
      </c>
      <c r="CY85" s="82" t="e">
        <f t="shared" si="180"/>
        <v>#DIV/0!</v>
      </c>
    </row>
    <row r="86" spans="1:103" ht="14.25" customHeight="1">
      <c r="A86" s="129"/>
      <c r="E86" s="104"/>
      <c r="H86" s="104"/>
      <c r="I86" s="120" t="e">
        <f t="array" ref="I86">_xlfn.STDEV.P(IF($E$5:$E$41=$E85,I$5:I$41))</f>
        <v>#DIV/0!</v>
      </c>
      <c r="J86" s="120"/>
      <c r="K86" s="120"/>
      <c r="L86" s="120"/>
      <c r="M86" s="120" t="e">
        <f t="array" ref="M86">_xlfn.STDEV.P(IF($E$5:$E$41=$E85,M$5:M$41))</f>
        <v>#DIV/0!</v>
      </c>
      <c r="N86" s="120"/>
      <c r="O86" s="120" t="e">
        <f t="array" ref="O86">_xlfn.STDEV.P(IF($E$5:$E$41=$E85,O$5:O$41))</f>
        <v>#DIV/0!</v>
      </c>
      <c r="P86" s="120" t="e">
        <f t="array" ref="P86">_xlfn.STDEV.P(IF($E$5:$E$41=$E85,P$5:P$41))</f>
        <v>#DIV/0!</v>
      </c>
      <c r="Q86" s="120" t="e">
        <f t="array" ref="Q86">_xlfn.STDEV.P(IF($E$5:$E$41=$E85,Q$5:Q$41))</f>
        <v>#DIV/0!</v>
      </c>
      <c r="R86" s="188" t="e">
        <f t="array" ref="R86">_xlfn.STDEV.P(IF($E$5:$E$41=$E85,R$5:R$41))</f>
        <v>#DIV/0!</v>
      </c>
      <c r="S86" s="120" t="e">
        <f t="array" ref="S86">_xlfn.STDEV.P(IF($E$5:$E$41=$E85,S$5:S$41))</f>
        <v>#DIV/0!</v>
      </c>
      <c r="T86" s="120" t="e">
        <f t="array" ref="T86">_xlfn.STDEV.P(IF($E$5:$E$41=$E85,T$5:T$41))</f>
        <v>#DIV/0!</v>
      </c>
      <c r="U86" s="120" t="e">
        <f t="array" ref="U86">_xlfn.STDEV.P(IF($E$5:$E$41=$E85,U$5:U$41))</f>
        <v>#DIV/0!</v>
      </c>
      <c r="V86" s="81" t="s">
        <v>12</v>
      </c>
      <c r="W86" s="90" t="e">
        <f t="array" ref="W86">_xlfn.STDEV.P(IF($E$5:$E$41=$E85,W$5:W$41))</f>
        <v>#DIV/0!</v>
      </c>
      <c r="X86" s="90" t="e">
        <f t="array" ref="X86">_xlfn.STDEV.P(IF($E$5:$E$41=$E85,X$5:X$41))</f>
        <v>#DIV/0!</v>
      </c>
      <c r="Y86" s="90" t="e">
        <f t="array" ref="Y86">_xlfn.STDEV.P(IF($E$5:$E$41=$E85,Y$5:Y$41))</f>
        <v>#DIV/0!</v>
      </c>
      <c r="Z86" s="90" t="e">
        <f t="array" ref="Z86">_xlfn.STDEV.P(IF($E$5:$E$41=$E85,Z$5:Z$41))</f>
        <v>#DIV/0!</v>
      </c>
      <c r="AA86" s="90" t="e">
        <f t="array" ref="AA86">_xlfn.STDEV.P(IF($E$5:$E$41=$E85,AA$5:AA$41))</f>
        <v>#DIV/0!</v>
      </c>
      <c r="AB86" s="90" t="e">
        <f t="array" ref="AB86">_xlfn.STDEV.P(IF($E$5:$E$41=$E85,AB$5:AB$41))</f>
        <v>#DIV/0!</v>
      </c>
      <c r="AC86" s="90" t="e">
        <f t="array" ref="AC86">_xlfn.STDEV.P(IF($E$5:$E$41=$E85,AC$5:AC$41))</f>
        <v>#DIV/0!</v>
      </c>
      <c r="AD86" s="90" t="e">
        <f t="array" ref="AD86">_xlfn.STDEV.P(IF($E$5:$E$41=$E85,AD$5:AD$41))</f>
        <v>#DIV/0!</v>
      </c>
      <c r="AE86" s="90" t="e">
        <f t="array" ref="AE86">_xlfn.STDEV.P(IF($E$5:$E$41=$E85,AE$5:AE$41))</f>
        <v>#DIV/0!</v>
      </c>
      <c r="AF86" s="90" t="e">
        <f t="array" ref="AF86">_xlfn.STDEV.P(IF($E$5:$E$41=$E85,AF$5:AF$41))</f>
        <v>#DIV/0!</v>
      </c>
      <c r="AG86" s="90" t="e">
        <f t="array" ref="AG86">_xlfn.STDEV.P(IF($E$5:$E$41=$E85,AG$5:AG$41))</f>
        <v>#DIV/0!</v>
      </c>
      <c r="AH86" s="90" t="e">
        <f t="array" ref="AH86">_xlfn.STDEV.P(IF($E$5:$E$41=$E85,AH$5:AH$41))</f>
        <v>#DIV/0!</v>
      </c>
      <c r="AI86" s="90" t="e">
        <f t="array" ref="AI86">_xlfn.STDEV.P(IF($E$5:$E$41=$E85,AI$5:AI$41))</f>
        <v>#DIV/0!</v>
      </c>
      <c r="AJ86" s="90" t="e">
        <f t="array" ref="AJ86">_xlfn.STDEV.P(IF($E$5:$E$41=$E85,AJ$5:AJ$41))</f>
        <v>#DIV/0!</v>
      </c>
      <c r="AK86" s="90" t="e">
        <f t="array" ref="AK86">_xlfn.STDEV.P(IF($E$5:$E$41=$E85,AK$5:AK$41))</f>
        <v>#DIV/0!</v>
      </c>
      <c r="AL86" s="90" t="e">
        <f t="array" ref="AL86">_xlfn.STDEV.P(IF($E$5:$E$41=$E85,AL$5:AL$41))</f>
        <v>#DIV/0!</v>
      </c>
      <c r="AM86" s="90" t="e">
        <f t="array" ref="AM86">_xlfn.STDEV.P(IF($E$5:$E$41=$E85,AM$5:AM$41))</f>
        <v>#DIV/0!</v>
      </c>
      <c r="AN86" s="90" t="e">
        <f t="array" ref="AN86">_xlfn.STDEV.P(IF($E$5:$E$41=$E85,AN$5:AN$41))</f>
        <v>#DIV/0!</v>
      </c>
      <c r="AO86" s="90" t="e">
        <f t="array" ref="AO86">_xlfn.STDEV.P(IF($E$5:$E$41=$E85,AO$5:AO$41))</f>
        <v>#DIV/0!</v>
      </c>
      <c r="AP86" s="90" t="e">
        <f t="array" ref="AP86">_xlfn.STDEV.P(IF($E$5:$E$41=$E85,AP$5:AP$41))</f>
        <v>#DIV/0!</v>
      </c>
      <c r="AQ86" s="90" t="e">
        <f t="array" ref="AQ86">_xlfn.STDEV.P(IF($E$5:$E$41=$E85,AQ$5:AQ$41))</f>
        <v>#DIV/0!</v>
      </c>
      <c r="AR86" s="90" t="e">
        <f t="array" ref="AR86">_xlfn.STDEV.P(IF($E$5:$E$41=$E85,AR$5:AR$41))</f>
        <v>#DIV/0!</v>
      </c>
      <c r="AS86" s="90" t="e">
        <f t="array" ref="AS86">_xlfn.STDEV.P(IF($E$5:$E$41=$E85,AS$5:AS$41))</f>
        <v>#DIV/0!</v>
      </c>
      <c r="AT86" s="90" t="e">
        <f t="array" ref="AT86">_xlfn.STDEV.P(IF($E$5:$E$41=$E85,AT$5:AT$41))</f>
        <v>#DIV/0!</v>
      </c>
      <c r="AU86" s="90" t="e">
        <f t="array" ref="AU86">_xlfn.STDEV.P(IF($E$5:$E$41=$E85,AU$5:AU$41))</f>
        <v>#DIV/0!</v>
      </c>
      <c r="AV86" s="90" t="e">
        <f t="array" ref="AV86">_xlfn.STDEV.P(IF($E$5:$E$41=$E85,AV$5:AV$41))</f>
        <v>#DIV/0!</v>
      </c>
      <c r="AW86" s="90" t="e">
        <f t="array" ref="AW86">_xlfn.STDEV.P(IF($E$5:$E$41=$E85,AW$5:AW$41))</f>
        <v>#DIV/0!</v>
      </c>
      <c r="AX86" s="90" t="e">
        <f t="array" ref="AX86">_xlfn.STDEV.P(IF($E$5:$E$41=$E85,AX$5:AX$41))</f>
        <v>#DIV/0!</v>
      </c>
      <c r="AY86" s="90" t="e">
        <f t="array" ref="AY86">_xlfn.STDEV.P(IF($E$5:$E$41=$E85,AY$5:AY$41))</f>
        <v>#DIV/0!</v>
      </c>
      <c r="AZ86" s="90" t="e">
        <f t="array" ref="AZ86">_xlfn.STDEV.P(IF($E$5:$E$41=$E85,AZ$5:AZ$41))</f>
        <v>#DIV/0!</v>
      </c>
      <c r="BA86" s="90" t="e">
        <f t="array" ref="BA86">_xlfn.STDEV.P(IF($E$5:$E$41=$E85,BA$5:BA$41))</f>
        <v>#DIV/0!</v>
      </c>
      <c r="BB86" s="90" t="e">
        <f t="array" ref="BB86">_xlfn.STDEV.P(IF($E$5:$E$41=$E85,BB$5:BB$41))</f>
        <v>#DIV/0!</v>
      </c>
      <c r="BC86" s="90" t="e">
        <f t="array" ref="BC86">_xlfn.STDEV.P(IF($E$5:$E$41=$E85,BC$5:BC$41))</f>
        <v>#DIV/0!</v>
      </c>
      <c r="BD86" s="90" t="e">
        <f t="array" ref="BD86">_xlfn.STDEV.P(IF($E$5:$E$41=$E85,BD$5:BD$41))</f>
        <v>#DIV/0!</v>
      </c>
      <c r="BE86" s="90" t="e">
        <f t="array" ref="BE86">_xlfn.STDEV.P(IF($E$5:$E$41=$E85,BE$5:BE$41))</f>
        <v>#DIV/0!</v>
      </c>
      <c r="BF86" s="90" t="e">
        <f t="array" ref="BF86">_xlfn.STDEV.P(IF($E$5:$E$41=$E85,BF$5:BF$41))</f>
        <v>#DIV/0!</v>
      </c>
      <c r="BG86" s="90" t="e">
        <f t="array" ref="BG86">_xlfn.STDEV.P(IF($E$5:$E$41=$E85,BG$5:BG$41))</f>
        <v>#DIV/0!</v>
      </c>
      <c r="BH86" s="90" t="e">
        <f t="array" ref="BH86">_xlfn.STDEV.P(IF($E$5:$E$41=$E85,BH$5:BH$41))</f>
        <v>#DIV/0!</v>
      </c>
      <c r="BI86" s="90" t="e">
        <f t="array" ref="BI86">_xlfn.STDEV.P(IF($E$5:$E$41=$E85,BI$5:BI$41))</f>
        <v>#DIV/0!</v>
      </c>
      <c r="BJ86" s="90" t="e">
        <f t="array" ref="BJ86">_xlfn.STDEV.P(IF($E$5:$E$41=$E85,BJ$5:BJ$41))</f>
        <v>#DIV/0!</v>
      </c>
      <c r="BK86" s="115" t="s">
        <v>12</v>
      </c>
      <c r="BL86" s="83" t="e">
        <f t="array" ref="BL86">_xlfn.STDEV.P(IF($E$5:$E$41=$E85,BL$5:BL$41))</f>
        <v>#DIV/0!</v>
      </c>
      <c r="BM86" s="83" t="e">
        <f t="array" ref="BM86">_xlfn.STDEV.P(IF($E$5:$E$41=$E85,BM$5:BM$41))</f>
        <v>#DIV/0!</v>
      </c>
      <c r="BN86" s="83" t="e">
        <f t="array" ref="BN86">_xlfn.STDEV.P(IF($E$5:$E$41=$E85,BN$5:BN$41))</f>
        <v>#DIV/0!</v>
      </c>
      <c r="BO86" s="83" t="e">
        <f t="array" ref="BO86">_xlfn.STDEV.P(IF($E$5:$E$41=$E85,BO$5:BO$41))</f>
        <v>#DIV/0!</v>
      </c>
      <c r="BP86" s="83" t="e">
        <f t="array" ref="BP86">_xlfn.STDEV.P(IF($E$5:$E$41=$E85,BP$5:BP$41))</f>
        <v>#DIV/0!</v>
      </c>
      <c r="BQ86" s="83" t="e">
        <f t="array" ref="BQ86">_xlfn.STDEV.P(IF($E$5:$E$41=$E85,BQ$5:BQ$41))</f>
        <v>#DIV/0!</v>
      </c>
      <c r="BR86" s="83" t="e">
        <f t="array" ref="BR86">_xlfn.STDEV.P(IF($E$5:$E$41=$E85,BR$5:BR$41))</f>
        <v>#DIV/0!</v>
      </c>
      <c r="BS86" s="83" t="e">
        <f t="array" ref="BS86">_xlfn.STDEV.P(IF($E$5:$E$41=$E85,BS$5:BS$41))</f>
        <v>#DIV/0!</v>
      </c>
      <c r="BT86" s="83" t="e">
        <f t="array" ref="BT86">_xlfn.STDEV.P(IF($E$5:$E$41=$E85,BT$5:BT$41))</f>
        <v>#DIV/0!</v>
      </c>
      <c r="BU86" s="83" t="e">
        <f t="array" ref="BU86">_xlfn.STDEV.P(IF($E$5:$E$41=$E85,BU$5:BU$41))</f>
        <v>#DIV/0!</v>
      </c>
      <c r="BV86" s="83" t="e">
        <f t="array" ref="BV86">_xlfn.STDEV.P(IF($E$5:$E$41=$E85,BV$5:BV$41))</f>
        <v>#DIV/0!</v>
      </c>
      <c r="BW86" s="83" t="e">
        <f t="array" ref="BW86">_xlfn.STDEV.P(IF($E$5:$E$41=$E85,BW$5:BW$41))</f>
        <v>#DIV/0!</v>
      </c>
      <c r="BX86" s="83" t="e">
        <f t="array" ref="BX86">_xlfn.STDEV.P(IF($E$5:$E$41=$E85,BX$5:BX$41))</f>
        <v>#DIV/0!</v>
      </c>
      <c r="BY86" s="83" t="e">
        <f t="array" ref="BY86">_xlfn.STDEV.P(IF($E$5:$E$41=$E85,BY$5:BY$41))</f>
        <v>#DIV/0!</v>
      </c>
      <c r="BZ86" s="83" t="e">
        <f t="array" ref="BZ86">_xlfn.STDEV.P(IF($E$5:$E$41=$E85,BZ$5:BZ$41))</f>
        <v>#DIV/0!</v>
      </c>
      <c r="CA86" s="83" t="e">
        <f t="array" ref="CA86">_xlfn.STDEV.P(IF($E$5:$E$41=$E85,CA$5:CA$41))</f>
        <v>#DIV/0!</v>
      </c>
      <c r="CB86" s="83" t="e">
        <f t="array" ref="CB86">_xlfn.STDEV.P(IF($E$5:$E$41=$E85,CB$5:CB$41))</f>
        <v>#DIV/0!</v>
      </c>
      <c r="CC86" s="83" t="e">
        <f t="array" ref="CC86">_xlfn.STDEV.P(IF($E$5:$E$41=$E85,CC$5:CC$41))</f>
        <v>#DIV/0!</v>
      </c>
      <c r="CD86" s="83" t="e">
        <f t="array" ref="CD86">_xlfn.STDEV.P(IF($E$5:$E$41=$E85,CD$5:CD$41))</f>
        <v>#DIV/0!</v>
      </c>
      <c r="CE86" s="83" t="e">
        <f t="array" ref="CE86">_xlfn.STDEV.P(IF($E$5:$E$41=$E85,CE$5:CE$41))</f>
        <v>#DIV/0!</v>
      </c>
      <c r="CF86" s="83" t="e">
        <f t="array" ref="CF86">_xlfn.STDEV.P(IF($E$5:$E$41=$E85,CF$5:CF$41))</f>
        <v>#DIV/0!</v>
      </c>
      <c r="CG86" s="83" t="e">
        <f t="array" ref="CG86">_xlfn.STDEV.P(IF($E$5:$E$41=$E85,CG$5:CG$41))</f>
        <v>#DIV/0!</v>
      </c>
      <c r="CH86" s="83" t="e">
        <f t="array" ref="CH86">_xlfn.STDEV.P(IF($E$5:$E$41=$E85,CH$5:CH$41))</f>
        <v>#DIV/0!</v>
      </c>
      <c r="CI86" s="83" t="e">
        <f t="array" ref="CI86">_xlfn.STDEV.P(IF($E$5:$E$41=$E85,CI$5:CI$41))</f>
        <v>#DIV/0!</v>
      </c>
      <c r="CJ86" s="83" t="e">
        <f t="array" ref="CJ86">_xlfn.STDEV.P(IF($E$5:$E$41=$E85,CJ$5:CJ$41))</f>
        <v>#DIV/0!</v>
      </c>
      <c r="CK86" s="83" t="e">
        <f t="array" ref="CK86">_xlfn.STDEV.P(IF($E$5:$E$41=$E85,CK$5:CK$41))</f>
        <v>#DIV/0!</v>
      </c>
      <c r="CL86" s="83" t="e">
        <f t="array" ref="CL86">_xlfn.STDEV.P(IF($E$5:$E$41=$E85,CL$5:CL$41))</f>
        <v>#DIV/0!</v>
      </c>
      <c r="CM86" s="83" t="e">
        <f t="array" ref="CM86">_xlfn.STDEV.P(IF($E$5:$E$41=$E85,CM$5:CM$41))</f>
        <v>#DIV/0!</v>
      </c>
      <c r="CN86" s="83" t="e">
        <f t="array" ref="CN86">_xlfn.STDEV.P(IF($E$5:$E$41=$E85,CN$5:CN$41))</f>
        <v>#DIV/0!</v>
      </c>
      <c r="CO86" s="83" t="e">
        <f t="array" ref="CO86">_xlfn.STDEV.P(IF($E$5:$E$41=$E85,CO$5:CO$41))</f>
        <v>#DIV/0!</v>
      </c>
      <c r="CP86" s="83" t="e">
        <f t="array" ref="CP86">_xlfn.STDEV.P(IF($E$5:$E$41=$E85,CP$5:CP$41))</f>
        <v>#DIV/0!</v>
      </c>
      <c r="CQ86" s="83" t="e">
        <f t="array" ref="CQ86">_xlfn.STDEV.P(IF($E$5:$E$41=$E85,CQ$5:CQ$41))</f>
        <v>#DIV/0!</v>
      </c>
      <c r="CR86" s="83" t="e">
        <f t="array" ref="CR86">_xlfn.STDEV.P(IF($E$5:$E$41=$E85,CR$5:CR$41))</f>
        <v>#DIV/0!</v>
      </c>
      <c r="CS86" s="83" t="e">
        <f t="array" ref="CS86">_xlfn.STDEV.P(IF($E$5:$E$41=$E85,CS$5:CS$41))</f>
        <v>#DIV/0!</v>
      </c>
      <c r="CT86" s="83" t="e">
        <f t="array" ref="CT86">_xlfn.STDEV.P(IF($E$5:$E$41=$E85,CT$5:CT$41))</f>
        <v>#DIV/0!</v>
      </c>
      <c r="CU86" s="83" t="e">
        <f t="array" ref="CU86">_xlfn.STDEV.P(IF($E$5:$E$41=$E85,CU$5:CU$41))</f>
        <v>#DIV/0!</v>
      </c>
      <c r="CV86" s="83" t="e">
        <f t="array" ref="CV86">_xlfn.STDEV.P(IF($E$5:$E$41=$E85,CV$5:CV$41))</f>
        <v>#DIV/0!</v>
      </c>
      <c r="CW86" s="83" t="e">
        <f t="array" ref="CW86">_xlfn.STDEV.P(IF($E$5:$E$41=$E85,CW$5:CW$41))</f>
        <v>#DIV/0!</v>
      </c>
      <c r="CX86" s="83" t="e">
        <f t="array" ref="CX86">_xlfn.STDEV.P(IF($E$5:$E$41=$E85,CX$5:CX$41))</f>
        <v>#DIV/0!</v>
      </c>
      <c r="CY86" s="83" t="e">
        <f t="array" ref="CY86">_xlfn.STDEV.P(IF($E$5:$E$41=$E85,CY$5:CY$41))</f>
        <v>#DIV/0!</v>
      </c>
    </row>
    <row r="87" spans="1:103" ht="15">
      <c r="A87" s="129"/>
      <c r="E87" s="134"/>
      <c r="H87" s="58"/>
      <c r="J87" s="63"/>
      <c r="K87" s="63"/>
      <c r="L87" s="63"/>
      <c r="N87" s="63"/>
      <c r="Q87" s="63"/>
      <c r="R87" s="187"/>
      <c r="S87" s="63"/>
      <c r="T87" s="63"/>
      <c r="U87" s="63"/>
    </row>
    <row r="88" spans="1:103" ht="14.25" customHeight="1">
      <c r="A88" s="129"/>
      <c r="E88" s="134" t="str">
        <f>'RAD_DOSE Groups'!C18</f>
        <v>Group 13</v>
      </c>
      <c r="H88" s="134" t="str">
        <f>E88</f>
        <v>Group 13</v>
      </c>
      <c r="I88" s="120" t="e">
        <f>AVERAGEIF($E$5:$E$41,$E88,I$5:I$41)</f>
        <v>#DIV/0!</v>
      </c>
      <c r="J88" s="120"/>
      <c r="K88" s="120"/>
      <c r="L88" s="120"/>
      <c r="M88" s="120" t="e">
        <f>AVERAGEIF($E$5:$E$41,$E88,M$5:M$41)</f>
        <v>#DIV/0!</v>
      </c>
      <c r="N88" s="120"/>
      <c r="O88" s="120" t="e">
        <f t="shared" ref="O88:U88" si="181">AVERAGEIF($E$5:$E$41,$E88,O$5:O$41)</f>
        <v>#DIV/0!</v>
      </c>
      <c r="P88" s="120" t="e">
        <f t="shared" si="181"/>
        <v>#DIV/0!</v>
      </c>
      <c r="Q88" s="120" t="e">
        <f t="shared" si="181"/>
        <v>#DIV/0!</v>
      </c>
      <c r="R88" s="188" t="e">
        <f t="shared" si="181"/>
        <v>#DIV/0!</v>
      </c>
      <c r="S88" s="120" t="e">
        <f t="shared" si="181"/>
        <v>#DIV/0!</v>
      </c>
      <c r="T88" s="120" t="e">
        <f t="shared" si="181"/>
        <v>#DIV/0!</v>
      </c>
      <c r="U88" s="120" t="e">
        <f t="shared" si="181"/>
        <v>#DIV/0!</v>
      </c>
      <c r="V88" s="81" t="s">
        <v>10</v>
      </c>
      <c r="W88" s="87" t="e">
        <f t="shared" ref="W88:BJ88" si="182">AVERAGEIF($E$5:$E$41,$E88,W$5:W$41)</f>
        <v>#DIV/0!</v>
      </c>
      <c r="X88" s="87" t="e">
        <f t="shared" si="182"/>
        <v>#DIV/0!</v>
      </c>
      <c r="Y88" s="87" t="e">
        <f t="shared" si="182"/>
        <v>#DIV/0!</v>
      </c>
      <c r="Z88" s="87" t="e">
        <f t="shared" si="182"/>
        <v>#DIV/0!</v>
      </c>
      <c r="AA88" s="87" t="e">
        <f t="shared" si="182"/>
        <v>#DIV/0!</v>
      </c>
      <c r="AB88" s="87" t="e">
        <f t="shared" si="182"/>
        <v>#DIV/0!</v>
      </c>
      <c r="AC88" s="87" t="e">
        <f t="shared" si="182"/>
        <v>#DIV/0!</v>
      </c>
      <c r="AD88" s="87" t="e">
        <f t="shared" si="182"/>
        <v>#DIV/0!</v>
      </c>
      <c r="AE88" s="87" t="e">
        <f t="shared" si="182"/>
        <v>#DIV/0!</v>
      </c>
      <c r="AF88" s="87" t="e">
        <f t="shared" si="182"/>
        <v>#DIV/0!</v>
      </c>
      <c r="AG88" s="87" t="e">
        <f t="shared" si="182"/>
        <v>#DIV/0!</v>
      </c>
      <c r="AH88" s="87" t="e">
        <f t="shared" si="182"/>
        <v>#DIV/0!</v>
      </c>
      <c r="AI88" s="87" t="e">
        <f t="shared" si="182"/>
        <v>#DIV/0!</v>
      </c>
      <c r="AJ88" s="87" t="e">
        <f t="shared" si="182"/>
        <v>#DIV/0!</v>
      </c>
      <c r="AK88" s="87" t="e">
        <f t="shared" si="182"/>
        <v>#DIV/0!</v>
      </c>
      <c r="AL88" s="87" t="e">
        <f t="shared" si="182"/>
        <v>#DIV/0!</v>
      </c>
      <c r="AM88" s="87" t="e">
        <f t="shared" si="182"/>
        <v>#DIV/0!</v>
      </c>
      <c r="AN88" s="87" t="e">
        <f t="shared" si="182"/>
        <v>#DIV/0!</v>
      </c>
      <c r="AO88" s="87" t="e">
        <f t="shared" si="182"/>
        <v>#DIV/0!</v>
      </c>
      <c r="AP88" s="87" t="e">
        <f t="shared" si="182"/>
        <v>#DIV/0!</v>
      </c>
      <c r="AQ88" s="87" t="e">
        <f t="shared" si="182"/>
        <v>#DIV/0!</v>
      </c>
      <c r="AR88" s="87" t="e">
        <f t="shared" si="182"/>
        <v>#DIV/0!</v>
      </c>
      <c r="AS88" s="87" t="e">
        <f t="shared" si="182"/>
        <v>#DIV/0!</v>
      </c>
      <c r="AT88" s="87" t="e">
        <f t="shared" si="182"/>
        <v>#DIV/0!</v>
      </c>
      <c r="AU88" s="87" t="e">
        <f t="shared" si="182"/>
        <v>#DIV/0!</v>
      </c>
      <c r="AV88" s="87" t="e">
        <f t="shared" si="182"/>
        <v>#DIV/0!</v>
      </c>
      <c r="AW88" s="87" t="e">
        <f t="shared" si="182"/>
        <v>#DIV/0!</v>
      </c>
      <c r="AX88" s="87" t="e">
        <f t="shared" si="182"/>
        <v>#DIV/0!</v>
      </c>
      <c r="AY88" s="87" t="e">
        <f t="shared" si="182"/>
        <v>#DIV/0!</v>
      </c>
      <c r="AZ88" s="87" t="e">
        <f t="shared" si="182"/>
        <v>#DIV/0!</v>
      </c>
      <c r="BA88" s="87" t="e">
        <f t="shared" si="182"/>
        <v>#DIV/0!</v>
      </c>
      <c r="BB88" s="87" t="e">
        <f t="shared" si="182"/>
        <v>#DIV/0!</v>
      </c>
      <c r="BC88" s="87" t="e">
        <f t="shared" si="182"/>
        <v>#DIV/0!</v>
      </c>
      <c r="BD88" s="87" t="e">
        <f t="shared" si="182"/>
        <v>#DIV/0!</v>
      </c>
      <c r="BE88" s="87" t="e">
        <f t="shared" si="182"/>
        <v>#DIV/0!</v>
      </c>
      <c r="BF88" s="87" t="e">
        <f t="shared" si="182"/>
        <v>#DIV/0!</v>
      </c>
      <c r="BG88" s="87" t="e">
        <f t="shared" si="182"/>
        <v>#DIV/0!</v>
      </c>
      <c r="BH88" s="87" t="e">
        <f t="shared" si="182"/>
        <v>#DIV/0!</v>
      </c>
      <c r="BI88" s="87" t="e">
        <f t="shared" si="182"/>
        <v>#DIV/0!</v>
      </c>
      <c r="BJ88" s="87" t="e">
        <f t="shared" si="182"/>
        <v>#DIV/0!</v>
      </c>
      <c r="BK88" s="114" t="s">
        <v>10</v>
      </c>
      <c r="BL88" s="82" t="e">
        <f t="shared" ref="BL88:CY88" si="183">AVERAGEIF($E$5:$E$41,$E88,BL$5:BL$41)</f>
        <v>#DIV/0!</v>
      </c>
      <c r="BM88" s="82" t="e">
        <f t="shared" si="183"/>
        <v>#DIV/0!</v>
      </c>
      <c r="BN88" s="82" t="e">
        <f t="shared" si="183"/>
        <v>#DIV/0!</v>
      </c>
      <c r="BO88" s="82" t="e">
        <f t="shared" si="183"/>
        <v>#DIV/0!</v>
      </c>
      <c r="BP88" s="82" t="e">
        <f t="shared" si="183"/>
        <v>#DIV/0!</v>
      </c>
      <c r="BQ88" s="82" t="e">
        <f t="shared" si="183"/>
        <v>#DIV/0!</v>
      </c>
      <c r="BR88" s="82" t="e">
        <f t="shared" si="183"/>
        <v>#DIV/0!</v>
      </c>
      <c r="BS88" s="82" t="e">
        <f t="shared" si="183"/>
        <v>#DIV/0!</v>
      </c>
      <c r="BT88" s="82" t="e">
        <f t="shared" si="183"/>
        <v>#DIV/0!</v>
      </c>
      <c r="BU88" s="82" t="e">
        <f t="shared" si="183"/>
        <v>#DIV/0!</v>
      </c>
      <c r="BV88" s="82" t="e">
        <f t="shared" si="183"/>
        <v>#DIV/0!</v>
      </c>
      <c r="BW88" s="82" t="e">
        <f t="shared" si="183"/>
        <v>#DIV/0!</v>
      </c>
      <c r="BX88" s="82" t="e">
        <f t="shared" si="183"/>
        <v>#DIV/0!</v>
      </c>
      <c r="BY88" s="82" t="e">
        <f t="shared" si="183"/>
        <v>#DIV/0!</v>
      </c>
      <c r="BZ88" s="82" t="e">
        <f t="shared" si="183"/>
        <v>#DIV/0!</v>
      </c>
      <c r="CA88" s="82" t="e">
        <f t="shared" si="183"/>
        <v>#DIV/0!</v>
      </c>
      <c r="CB88" s="82" t="e">
        <f t="shared" si="183"/>
        <v>#DIV/0!</v>
      </c>
      <c r="CC88" s="82" t="e">
        <f t="shared" si="183"/>
        <v>#DIV/0!</v>
      </c>
      <c r="CD88" s="82" t="e">
        <f t="shared" si="183"/>
        <v>#DIV/0!</v>
      </c>
      <c r="CE88" s="82" t="e">
        <f t="shared" si="183"/>
        <v>#DIV/0!</v>
      </c>
      <c r="CF88" s="82" t="e">
        <f t="shared" si="183"/>
        <v>#DIV/0!</v>
      </c>
      <c r="CG88" s="82" t="e">
        <f t="shared" si="183"/>
        <v>#DIV/0!</v>
      </c>
      <c r="CH88" s="82" t="e">
        <f t="shared" si="183"/>
        <v>#DIV/0!</v>
      </c>
      <c r="CI88" s="82" t="e">
        <f t="shared" si="183"/>
        <v>#DIV/0!</v>
      </c>
      <c r="CJ88" s="82" t="e">
        <f t="shared" si="183"/>
        <v>#DIV/0!</v>
      </c>
      <c r="CK88" s="82" t="e">
        <f t="shared" si="183"/>
        <v>#DIV/0!</v>
      </c>
      <c r="CL88" s="82" t="e">
        <f t="shared" si="183"/>
        <v>#DIV/0!</v>
      </c>
      <c r="CM88" s="82" t="e">
        <f t="shared" si="183"/>
        <v>#DIV/0!</v>
      </c>
      <c r="CN88" s="82" t="e">
        <f t="shared" si="183"/>
        <v>#DIV/0!</v>
      </c>
      <c r="CO88" s="82" t="e">
        <f t="shared" si="183"/>
        <v>#DIV/0!</v>
      </c>
      <c r="CP88" s="82" t="e">
        <f t="shared" si="183"/>
        <v>#DIV/0!</v>
      </c>
      <c r="CQ88" s="82" t="e">
        <f t="shared" si="183"/>
        <v>#DIV/0!</v>
      </c>
      <c r="CR88" s="82" t="e">
        <f t="shared" si="183"/>
        <v>#DIV/0!</v>
      </c>
      <c r="CS88" s="82" t="e">
        <f t="shared" si="183"/>
        <v>#DIV/0!</v>
      </c>
      <c r="CT88" s="82" t="e">
        <f t="shared" si="183"/>
        <v>#DIV/0!</v>
      </c>
      <c r="CU88" s="82" t="e">
        <f t="shared" si="183"/>
        <v>#DIV/0!</v>
      </c>
      <c r="CV88" s="82" t="e">
        <f t="shared" si="183"/>
        <v>#DIV/0!</v>
      </c>
      <c r="CW88" s="82" t="e">
        <f t="shared" si="183"/>
        <v>#DIV/0!</v>
      </c>
      <c r="CX88" s="82" t="e">
        <f t="shared" si="183"/>
        <v>#DIV/0!</v>
      </c>
      <c r="CY88" s="82" t="e">
        <f t="shared" si="183"/>
        <v>#DIV/0!</v>
      </c>
    </row>
    <row r="89" spans="1:103" ht="14.25" customHeight="1">
      <c r="A89" s="129"/>
      <c r="E89" s="104"/>
      <c r="H89" s="104"/>
      <c r="I89" s="120" t="e">
        <f t="array" ref="I89">_xlfn.STDEV.P(IF($E$5:$E$41=$E88,I$5:I$41))</f>
        <v>#DIV/0!</v>
      </c>
      <c r="J89" s="120"/>
      <c r="K89" s="120"/>
      <c r="L89" s="120"/>
      <c r="M89" s="120" t="e">
        <f t="array" ref="M89">_xlfn.STDEV.P(IF($E$5:$E$41=$E88,M$5:M$41))</f>
        <v>#DIV/0!</v>
      </c>
      <c r="N89" s="120"/>
      <c r="O89" s="120" t="e">
        <f t="array" ref="O89">_xlfn.STDEV.P(IF($E$5:$E$41=$E88,O$5:O$41))</f>
        <v>#DIV/0!</v>
      </c>
      <c r="P89" s="120" t="e">
        <f t="array" ref="P89">_xlfn.STDEV.P(IF($E$5:$E$41=$E88,P$5:P$41))</f>
        <v>#DIV/0!</v>
      </c>
      <c r="Q89" s="120" t="e">
        <f t="array" ref="Q89">_xlfn.STDEV.P(IF($E$5:$E$41=$E88,Q$5:Q$41))</f>
        <v>#DIV/0!</v>
      </c>
      <c r="R89" s="188" t="e">
        <f t="array" ref="R89">_xlfn.STDEV.P(IF($E$5:$E$41=$E88,R$5:R$41))</f>
        <v>#DIV/0!</v>
      </c>
      <c r="S89" s="120" t="e">
        <f t="array" ref="S89">_xlfn.STDEV.P(IF($E$5:$E$41=$E88,S$5:S$41))</f>
        <v>#DIV/0!</v>
      </c>
      <c r="T89" s="120" t="e">
        <f t="array" ref="T89">_xlfn.STDEV.P(IF($E$5:$E$41=$E88,T$5:T$41))</f>
        <v>#DIV/0!</v>
      </c>
      <c r="U89" s="120" t="e">
        <f t="array" ref="U89">_xlfn.STDEV.P(IF($E$5:$E$41=$E88,U$5:U$41))</f>
        <v>#DIV/0!</v>
      </c>
      <c r="V89" s="81" t="s">
        <v>12</v>
      </c>
      <c r="W89" s="90" t="e">
        <f t="array" ref="W89">_xlfn.STDEV.P(IF($E$5:$E$41=$E88,W$5:W$41))</f>
        <v>#DIV/0!</v>
      </c>
      <c r="X89" s="90" t="e">
        <f t="array" ref="X89">_xlfn.STDEV.P(IF($E$5:$E$41=$E88,X$5:X$41))</f>
        <v>#DIV/0!</v>
      </c>
      <c r="Y89" s="90" t="e">
        <f t="array" ref="Y89">_xlfn.STDEV.P(IF($E$5:$E$41=$E88,Y$5:Y$41))</f>
        <v>#DIV/0!</v>
      </c>
      <c r="Z89" s="90" t="e">
        <f t="array" ref="Z89">_xlfn.STDEV.P(IF($E$5:$E$41=$E88,Z$5:Z$41))</f>
        <v>#DIV/0!</v>
      </c>
      <c r="AA89" s="90" t="e">
        <f t="array" ref="AA89">_xlfn.STDEV.P(IF($E$5:$E$41=$E88,AA$5:AA$41))</f>
        <v>#DIV/0!</v>
      </c>
      <c r="AB89" s="90" t="e">
        <f t="array" ref="AB89">_xlfn.STDEV.P(IF($E$5:$E$41=$E88,AB$5:AB$41))</f>
        <v>#DIV/0!</v>
      </c>
      <c r="AC89" s="90" t="e">
        <f t="array" ref="AC89">_xlfn.STDEV.P(IF($E$5:$E$41=$E88,AC$5:AC$41))</f>
        <v>#DIV/0!</v>
      </c>
      <c r="AD89" s="90" t="e">
        <f t="array" ref="AD89">_xlfn.STDEV.P(IF($E$5:$E$41=$E88,AD$5:AD$41))</f>
        <v>#DIV/0!</v>
      </c>
      <c r="AE89" s="90" t="e">
        <f t="array" ref="AE89">_xlfn.STDEV.P(IF($E$5:$E$41=$E88,AE$5:AE$41))</f>
        <v>#DIV/0!</v>
      </c>
      <c r="AF89" s="90" t="e">
        <f t="array" ref="AF89">_xlfn.STDEV.P(IF($E$5:$E$41=$E88,AF$5:AF$41))</f>
        <v>#DIV/0!</v>
      </c>
      <c r="AG89" s="90" t="e">
        <f t="array" ref="AG89">_xlfn.STDEV.P(IF($E$5:$E$41=$E88,AG$5:AG$41))</f>
        <v>#DIV/0!</v>
      </c>
      <c r="AH89" s="90" t="e">
        <f t="array" ref="AH89">_xlfn.STDEV.P(IF($E$5:$E$41=$E88,AH$5:AH$41))</f>
        <v>#DIV/0!</v>
      </c>
      <c r="AI89" s="90" t="e">
        <f t="array" ref="AI89">_xlfn.STDEV.P(IF($E$5:$E$41=$E88,AI$5:AI$41))</f>
        <v>#DIV/0!</v>
      </c>
      <c r="AJ89" s="90" t="e">
        <f t="array" ref="AJ89">_xlfn.STDEV.P(IF($E$5:$E$41=$E88,AJ$5:AJ$41))</f>
        <v>#DIV/0!</v>
      </c>
      <c r="AK89" s="90" t="e">
        <f t="array" ref="AK89">_xlfn.STDEV.P(IF($E$5:$E$41=$E88,AK$5:AK$41))</f>
        <v>#DIV/0!</v>
      </c>
      <c r="AL89" s="90" t="e">
        <f t="array" ref="AL89">_xlfn.STDEV.P(IF($E$5:$E$41=$E88,AL$5:AL$41))</f>
        <v>#DIV/0!</v>
      </c>
      <c r="AM89" s="90" t="e">
        <f t="array" ref="AM89">_xlfn.STDEV.P(IF($E$5:$E$41=$E88,AM$5:AM$41))</f>
        <v>#DIV/0!</v>
      </c>
      <c r="AN89" s="90" t="e">
        <f t="array" ref="AN89">_xlfn.STDEV.P(IF($E$5:$E$41=$E88,AN$5:AN$41))</f>
        <v>#DIV/0!</v>
      </c>
      <c r="AO89" s="90" t="e">
        <f t="array" ref="AO89">_xlfn.STDEV.P(IF($E$5:$E$41=$E88,AO$5:AO$41))</f>
        <v>#DIV/0!</v>
      </c>
      <c r="AP89" s="90" t="e">
        <f t="array" ref="AP89">_xlfn.STDEV.P(IF($E$5:$E$41=$E88,AP$5:AP$41))</f>
        <v>#DIV/0!</v>
      </c>
      <c r="AQ89" s="90" t="e">
        <f t="array" ref="AQ89">_xlfn.STDEV.P(IF($E$5:$E$41=$E88,AQ$5:AQ$41))</f>
        <v>#DIV/0!</v>
      </c>
      <c r="AR89" s="90" t="e">
        <f t="array" ref="AR89">_xlfn.STDEV.P(IF($E$5:$E$41=$E88,AR$5:AR$41))</f>
        <v>#DIV/0!</v>
      </c>
      <c r="AS89" s="90" t="e">
        <f t="array" ref="AS89">_xlfn.STDEV.P(IF($E$5:$E$41=$E88,AS$5:AS$41))</f>
        <v>#DIV/0!</v>
      </c>
      <c r="AT89" s="90" t="e">
        <f t="array" ref="AT89">_xlfn.STDEV.P(IF($E$5:$E$41=$E88,AT$5:AT$41))</f>
        <v>#DIV/0!</v>
      </c>
      <c r="AU89" s="90" t="e">
        <f t="array" ref="AU89">_xlfn.STDEV.P(IF($E$5:$E$41=$E88,AU$5:AU$41))</f>
        <v>#DIV/0!</v>
      </c>
      <c r="AV89" s="90" t="e">
        <f t="array" ref="AV89">_xlfn.STDEV.P(IF($E$5:$E$41=$E88,AV$5:AV$41))</f>
        <v>#DIV/0!</v>
      </c>
      <c r="AW89" s="90" t="e">
        <f t="array" ref="AW89">_xlfn.STDEV.P(IF($E$5:$E$41=$E88,AW$5:AW$41))</f>
        <v>#DIV/0!</v>
      </c>
      <c r="AX89" s="90" t="e">
        <f t="array" ref="AX89">_xlfn.STDEV.P(IF($E$5:$E$41=$E88,AX$5:AX$41))</f>
        <v>#DIV/0!</v>
      </c>
      <c r="AY89" s="90" t="e">
        <f t="array" ref="AY89">_xlfn.STDEV.P(IF($E$5:$E$41=$E88,AY$5:AY$41))</f>
        <v>#DIV/0!</v>
      </c>
      <c r="AZ89" s="90" t="e">
        <f t="array" ref="AZ89">_xlfn.STDEV.P(IF($E$5:$E$41=$E88,AZ$5:AZ$41))</f>
        <v>#DIV/0!</v>
      </c>
      <c r="BA89" s="90" t="e">
        <f t="array" ref="BA89">_xlfn.STDEV.P(IF($E$5:$E$41=$E88,BA$5:BA$41))</f>
        <v>#DIV/0!</v>
      </c>
      <c r="BB89" s="90" t="e">
        <f t="array" ref="BB89">_xlfn.STDEV.P(IF($E$5:$E$41=$E88,BB$5:BB$41))</f>
        <v>#DIV/0!</v>
      </c>
      <c r="BC89" s="90" t="e">
        <f t="array" ref="BC89">_xlfn.STDEV.P(IF($E$5:$E$41=$E88,BC$5:BC$41))</f>
        <v>#DIV/0!</v>
      </c>
      <c r="BD89" s="90" t="e">
        <f t="array" ref="BD89">_xlfn.STDEV.P(IF($E$5:$E$41=$E88,BD$5:BD$41))</f>
        <v>#DIV/0!</v>
      </c>
      <c r="BE89" s="90" t="e">
        <f t="array" ref="BE89">_xlfn.STDEV.P(IF($E$5:$E$41=$E88,BE$5:BE$41))</f>
        <v>#DIV/0!</v>
      </c>
      <c r="BF89" s="90" t="e">
        <f t="array" ref="BF89">_xlfn.STDEV.P(IF($E$5:$E$41=$E88,BF$5:BF$41))</f>
        <v>#DIV/0!</v>
      </c>
      <c r="BG89" s="90" t="e">
        <f t="array" ref="BG89">_xlfn.STDEV.P(IF($E$5:$E$41=$E88,BG$5:BG$41))</f>
        <v>#DIV/0!</v>
      </c>
      <c r="BH89" s="90" t="e">
        <f t="array" ref="BH89">_xlfn.STDEV.P(IF($E$5:$E$41=$E88,BH$5:BH$41))</f>
        <v>#DIV/0!</v>
      </c>
      <c r="BI89" s="90" t="e">
        <f t="array" ref="BI89">_xlfn.STDEV.P(IF($E$5:$E$41=$E88,BI$5:BI$41))</f>
        <v>#DIV/0!</v>
      </c>
      <c r="BJ89" s="90" t="e">
        <f t="array" ref="BJ89">_xlfn.STDEV.P(IF($E$5:$E$41=$E88,BJ$5:BJ$41))</f>
        <v>#DIV/0!</v>
      </c>
      <c r="BK89" s="115" t="s">
        <v>12</v>
      </c>
      <c r="BL89" s="83" t="e">
        <f t="array" ref="BL89">_xlfn.STDEV.P(IF($E$5:$E$41=$E88,BL$5:BL$41))</f>
        <v>#DIV/0!</v>
      </c>
      <c r="BM89" s="83" t="e">
        <f t="array" ref="BM89">_xlfn.STDEV.P(IF($E$5:$E$41=$E88,BM$5:BM$41))</f>
        <v>#DIV/0!</v>
      </c>
      <c r="BN89" s="83" t="e">
        <f t="array" ref="BN89">_xlfn.STDEV.P(IF($E$5:$E$41=$E88,BN$5:BN$41))</f>
        <v>#DIV/0!</v>
      </c>
      <c r="BO89" s="83" t="e">
        <f t="array" ref="BO89">_xlfn.STDEV.P(IF($E$5:$E$41=$E88,BO$5:BO$41))</f>
        <v>#DIV/0!</v>
      </c>
      <c r="BP89" s="83" t="e">
        <f t="array" ref="BP89">_xlfn.STDEV.P(IF($E$5:$E$41=$E88,BP$5:BP$41))</f>
        <v>#DIV/0!</v>
      </c>
      <c r="BQ89" s="83" t="e">
        <f t="array" ref="BQ89">_xlfn.STDEV.P(IF($E$5:$E$41=$E88,BQ$5:BQ$41))</f>
        <v>#DIV/0!</v>
      </c>
      <c r="BR89" s="83" t="e">
        <f t="array" ref="BR89">_xlfn.STDEV.P(IF($E$5:$E$41=$E88,BR$5:BR$41))</f>
        <v>#DIV/0!</v>
      </c>
      <c r="BS89" s="83" t="e">
        <f t="array" ref="BS89">_xlfn.STDEV.P(IF($E$5:$E$41=$E88,BS$5:BS$41))</f>
        <v>#DIV/0!</v>
      </c>
      <c r="BT89" s="83" t="e">
        <f t="array" ref="BT89">_xlfn.STDEV.P(IF($E$5:$E$41=$E88,BT$5:BT$41))</f>
        <v>#DIV/0!</v>
      </c>
      <c r="BU89" s="83" t="e">
        <f t="array" ref="BU89">_xlfn.STDEV.P(IF($E$5:$E$41=$E88,BU$5:BU$41))</f>
        <v>#DIV/0!</v>
      </c>
      <c r="BV89" s="83" t="e">
        <f t="array" ref="BV89">_xlfn.STDEV.P(IF($E$5:$E$41=$E88,BV$5:BV$41))</f>
        <v>#DIV/0!</v>
      </c>
      <c r="BW89" s="83" t="e">
        <f t="array" ref="BW89">_xlfn.STDEV.P(IF($E$5:$E$41=$E88,BW$5:BW$41))</f>
        <v>#DIV/0!</v>
      </c>
      <c r="BX89" s="83" t="e">
        <f t="array" ref="BX89">_xlfn.STDEV.P(IF($E$5:$E$41=$E88,BX$5:BX$41))</f>
        <v>#DIV/0!</v>
      </c>
      <c r="BY89" s="83" t="e">
        <f t="array" ref="BY89">_xlfn.STDEV.P(IF($E$5:$E$41=$E88,BY$5:BY$41))</f>
        <v>#DIV/0!</v>
      </c>
      <c r="BZ89" s="83" t="e">
        <f t="array" ref="BZ89">_xlfn.STDEV.P(IF($E$5:$E$41=$E88,BZ$5:BZ$41))</f>
        <v>#DIV/0!</v>
      </c>
      <c r="CA89" s="83" t="e">
        <f t="array" ref="CA89">_xlfn.STDEV.P(IF($E$5:$E$41=$E88,CA$5:CA$41))</f>
        <v>#DIV/0!</v>
      </c>
      <c r="CB89" s="83" t="e">
        <f t="array" ref="CB89">_xlfn.STDEV.P(IF($E$5:$E$41=$E88,CB$5:CB$41))</f>
        <v>#DIV/0!</v>
      </c>
      <c r="CC89" s="83" t="e">
        <f t="array" ref="CC89">_xlfn.STDEV.P(IF($E$5:$E$41=$E88,CC$5:CC$41))</f>
        <v>#DIV/0!</v>
      </c>
      <c r="CD89" s="83" t="e">
        <f t="array" ref="CD89">_xlfn.STDEV.P(IF($E$5:$E$41=$E88,CD$5:CD$41))</f>
        <v>#DIV/0!</v>
      </c>
      <c r="CE89" s="83" t="e">
        <f t="array" ref="CE89">_xlfn.STDEV.P(IF($E$5:$E$41=$E88,CE$5:CE$41))</f>
        <v>#DIV/0!</v>
      </c>
      <c r="CF89" s="83" t="e">
        <f t="array" ref="CF89">_xlfn.STDEV.P(IF($E$5:$E$41=$E88,CF$5:CF$41))</f>
        <v>#DIV/0!</v>
      </c>
      <c r="CG89" s="83" t="e">
        <f t="array" ref="CG89">_xlfn.STDEV.P(IF($E$5:$E$41=$E88,CG$5:CG$41))</f>
        <v>#DIV/0!</v>
      </c>
      <c r="CH89" s="83" t="e">
        <f t="array" ref="CH89">_xlfn.STDEV.P(IF($E$5:$E$41=$E88,CH$5:CH$41))</f>
        <v>#DIV/0!</v>
      </c>
      <c r="CI89" s="83" t="e">
        <f t="array" ref="CI89">_xlfn.STDEV.P(IF($E$5:$E$41=$E88,CI$5:CI$41))</f>
        <v>#DIV/0!</v>
      </c>
      <c r="CJ89" s="83" t="e">
        <f t="array" ref="CJ89">_xlfn.STDEV.P(IF($E$5:$E$41=$E88,CJ$5:CJ$41))</f>
        <v>#DIV/0!</v>
      </c>
      <c r="CK89" s="83" t="e">
        <f t="array" ref="CK89">_xlfn.STDEV.P(IF($E$5:$E$41=$E88,CK$5:CK$41))</f>
        <v>#DIV/0!</v>
      </c>
      <c r="CL89" s="83" t="e">
        <f t="array" ref="CL89">_xlfn.STDEV.P(IF($E$5:$E$41=$E88,CL$5:CL$41))</f>
        <v>#DIV/0!</v>
      </c>
      <c r="CM89" s="83" t="e">
        <f t="array" ref="CM89">_xlfn.STDEV.P(IF($E$5:$E$41=$E88,CM$5:CM$41))</f>
        <v>#DIV/0!</v>
      </c>
      <c r="CN89" s="83" t="e">
        <f t="array" ref="CN89">_xlfn.STDEV.P(IF($E$5:$E$41=$E88,CN$5:CN$41))</f>
        <v>#DIV/0!</v>
      </c>
      <c r="CO89" s="83" t="e">
        <f t="array" ref="CO89">_xlfn.STDEV.P(IF($E$5:$E$41=$E88,CO$5:CO$41))</f>
        <v>#DIV/0!</v>
      </c>
      <c r="CP89" s="83" t="e">
        <f t="array" ref="CP89">_xlfn.STDEV.P(IF($E$5:$E$41=$E88,CP$5:CP$41))</f>
        <v>#DIV/0!</v>
      </c>
      <c r="CQ89" s="83" t="e">
        <f t="array" ref="CQ89">_xlfn.STDEV.P(IF($E$5:$E$41=$E88,CQ$5:CQ$41))</f>
        <v>#DIV/0!</v>
      </c>
      <c r="CR89" s="83" t="e">
        <f t="array" ref="CR89">_xlfn.STDEV.P(IF($E$5:$E$41=$E88,CR$5:CR$41))</f>
        <v>#DIV/0!</v>
      </c>
      <c r="CS89" s="83" t="e">
        <f t="array" ref="CS89">_xlfn.STDEV.P(IF($E$5:$E$41=$E88,CS$5:CS$41))</f>
        <v>#DIV/0!</v>
      </c>
      <c r="CT89" s="83" t="e">
        <f t="array" ref="CT89">_xlfn.STDEV.P(IF($E$5:$E$41=$E88,CT$5:CT$41))</f>
        <v>#DIV/0!</v>
      </c>
      <c r="CU89" s="83" t="e">
        <f t="array" ref="CU89">_xlfn.STDEV.P(IF($E$5:$E$41=$E88,CU$5:CU$41))</f>
        <v>#DIV/0!</v>
      </c>
      <c r="CV89" s="83" t="e">
        <f t="array" ref="CV89">_xlfn.STDEV.P(IF($E$5:$E$41=$E88,CV$5:CV$41))</f>
        <v>#DIV/0!</v>
      </c>
      <c r="CW89" s="83" t="e">
        <f t="array" ref="CW89">_xlfn.STDEV.P(IF($E$5:$E$41=$E88,CW$5:CW$41))</f>
        <v>#DIV/0!</v>
      </c>
      <c r="CX89" s="83" t="e">
        <f t="array" ref="CX89">_xlfn.STDEV.P(IF($E$5:$E$41=$E88,CX$5:CX$41))</f>
        <v>#DIV/0!</v>
      </c>
      <c r="CY89" s="83" t="e">
        <f t="array" ref="CY89">_xlfn.STDEV.P(IF($E$5:$E$41=$E88,CY$5:CY$41))</f>
        <v>#DIV/0!</v>
      </c>
    </row>
    <row r="90" spans="1:103" ht="15">
      <c r="A90" s="129"/>
      <c r="E90" s="134"/>
      <c r="H90" s="58"/>
      <c r="J90" s="63"/>
      <c r="K90" s="63"/>
      <c r="L90" s="63"/>
      <c r="N90" s="63"/>
      <c r="Q90" s="63"/>
      <c r="R90" s="187"/>
      <c r="S90" s="63"/>
      <c r="T90" s="63"/>
      <c r="U90" s="63"/>
    </row>
    <row r="91" spans="1:103" ht="14.25" customHeight="1">
      <c r="A91" s="129"/>
      <c r="E91" s="134" t="str">
        <f>'RAD_DOSE Groups'!C19</f>
        <v>Group 14</v>
      </c>
      <c r="H91" s="134" t="str">
        <f>E91</f>
        <v>Group 14</v>
      </c>
      <c r="I91" s="120" t="e">
        <f>AVERAGEIF($E$5:$E$41,$E91,I$5:I$41)</f>
        <v>#DIV/0!</v>
      </c>
      <c r="J91" s="120"/>
      <c r="K91" s="120"/>
      <c r="L91" s="120"/>
      <c r="M91" s="120" t="e">
        <f>AVERAGEIF($E$5:$E$41,$E91,M$5:M$41)</f>
        <v>#DIV/0!</v>
      </c>
      <c r="N91" s="120"/>
      <c r="O91" s="120" t="e">
        <f t="shared" ref="O91:U91" si="184">AVERAGEIF($E$5:$E$41,$E91,O$5:O$41)</f>
        <v>#DIV/0!</v>
      </c>
      <c r="P91" s="120" t="e">
        <f t="shared" si="184"/>
        <v>#DIV/0!</v>
      </c>
      <c r="Q91" s="120" t="e">
        <f t="shared" si="184"/>
        <v>#DIV/0!</v>
      </c>
      <c r="R91" s="188" t="e">
        <f t="shared" si="184"/>
        <v>#DIV/0!</v>
      </c>
      <c r="S91" s="120" t="e">
        <f t="shared" si="184"/>
        <v>#DIV/0!</v>
      </c>
      <c r="T91" s="120" t="e">
        <f t="shared" si="184"/>
        <v>#DIV/0!</v>
      </c>
      <c r="U91" s="120" t="e">
        <f t="shared" si="184"/>
        <v>#DIV/0!</v>
      </c>
      <c r="V91" s="81" t="s">
        <v>10</v>
      </c>
      <c r="W91" s="87" t="e">
        <f t="shared" ref="W91:BJ91" si="185">AVERAGEIF($E$5:$E$41,$E91,W$5:W$41)</f>
        <v>#DIV/0!</v>
      </c>
      <c r="X91" s="87" t="e">
        <f t="shared" si="185"/>
        <v>#DIV/0!</v>
      </c>
      <c r="Y91" s="87" t="e">
        <f t="shared" si="185"/>
        <v>#DIV/0!</v>
      </c>
      <c r="Z91" s="87" t="e">
        <f t="shared" si="185"/>
        <v>#DIV/0!</v>
      </c>
      <c r="AA91" s="87" t="e">
        <f t="shared" si="185"/>
        <v>#DIV/0!</v>
      </c>
      <c r="AB91" s="87" t="e">
        <f t="shared" si="185"/>
        <v>#DIV/0!</v>
      </c>
      <c r="AC91" s="87" t="e">
        <f t="shared" si="185"/>
        <v>#DIV/0!</v>
      </c>
      <c r="AD91" s="87" t="e">
        <f t="shared" si="185"/>
        <v>#DIV/0!</v>
      </c>
      <c r="AE91" s="87" t="e">
        <f t="shared" si="185"/>
        <v>#DIV/0!</v>
      </c>
      <c r="AF91" s="87" t="e">
        <f t="shared" si="185"/>
        <v>#DIV/0!</v>
      </c>
      <c r="AG91" s="87" t="e">
        <f t="shared" si="185"/>
        <v>#DIV/0!</v>
      </c>
      <c r="AH91" s="87" t="e">
        <f t="shared" si="185"/>
        <v>#DIV/0!</v>
      </c>
      <c r="AI91" s="87" t="e">
        <f t="shared" si="185"/>
        <v>#DIV/0!</v>
      </c>
      <c r="AJ91" s="87" t="e">
        <f t="shared" si="185"/>
        <v>#DIV/0!</v>
      </c>
      <c r="AK91" s="87" t="e">
        <f t="shared" si="185"/>
        <v>#DIV/0!</v>
      </c>
      <c r="AL91" s="87" t="e">
        <f t="shared" si="185"/>
        <v>#DIV/0!</v>
      </c>
      <c r="AM91" s="87" t="e">
        <f t="shared" si="185"/>
        <v>#DIV/0!</v>
      </c>
      <c r="AN91" s="87" t="e">
        <f t="shared" si="185"/>
        <v>#DIV/0!</v>
      </c>
      <c r="AO91" s="87" t="e">
        <f t="shared" si="185"/>
        <v>#DIV/0!</v>
      </c>
      <c r="AP91" s="87" t="e">
        <f t="shared" si="185"/>
        <v>#DIV/0!</v>
      </c>
      <c r="AQ91" s="87" t="e">
        <f t="shared" si="185"/>
        <v>#DIV/0!</v>
      </c>
      <c r="AR91" s="87" t="e">
        <f t="shared" si="185"/>
        <v>#DIV/0!</v>
      </c>
      <c r="AS91" s="87" t="e">
        <f t="shared" si="185"/>
        <v>#DIV/0!</v>
      </c>
      <c r="AT91" s="87" t="e">
        <f t="shared" si="185"/>
        <v>#DIV/0!</v>
      </c>
      <c r="AU91" s="87" t="e">
        <f t="shared" si="185"/>
        <v>#DIV/0!</v>
      </c>
      <c r="AV91" s="87" t="e">
        <f t="shared" si="185"/>
        <v>#DIV/0!</v>
      </c>
      <c r="AW91" s="87" t="e">
        <f t="shared" si="185"/>
        <v>#DIV/0!</v>
      </c>
      <c r="AX91" s="87" t="e">
        <f t="shared" si="185"/>
        <v>#DIV/0!</v>
      </c>
      <c r="AY91" s="87" t="e">
        <f t="shared" si="185"/>
        <v>#DIV/0!</v>
      </c>
      <c r="AZ91" s="87" t="e">
        <f t="shared" si="185"/>
        <v>#DIV/0!</v>
      </c>
      <c r="BA91" s="87" t="e">
        <f t="shared" si="185"/>
        <v>#DIV/0!</v>
      </c>
      <c r="BB91" s="87" t="e">
        <f t="shared" si="185"/>
        <v>#DIV/0!</v>
      </c>
      <c r="BC91" s="87" t="e">
        <f t="shared" si="185"/>
        <v>#DIV/0!</v>
      </c>
      <c r="BD91" s="87" t="e">
        <f t="shared" si="185"/>
        <v>#DIV/0!</v>
      </c>
      <c r="BE91" s="87" t="e">
        <f t="shared" si="185"/>
        <v>#DIV/0!</v>
      </c>
      <c r="BF91" s="87" t="e">
        <f t="shared" si="185"/>
        <v>#DIV/0!</v>
      </c>
      <c r="BG91" s="87" t="e">
        <f t="shared" si="185"/>
        <v>#DIV/0!</v>
      </c>
      <c r="BH91" s="87" t="e">
        <f t="shared" si="185"/>
        <v>#DIV/0!</v>
      </c>
      <c r="BI91" s="87" t="e">
        <f t="shared" si="185"/>
        <v>#DIV/0!</v>
      </c>
      <c r="BJ91" s="87" t="e">
        <f t="shared" si="185"/>
        <v>#DIV/0!</v>
      </c>
      <c r="BK91" s="114" t="s">
        <v>10</v>
      </c>
      <c r="BL91" s="82" t="e">
        <f t="shared" ref="BL91:CY91" si="186">AVERAGEIF($E$5:$E$41,$E91,BL$5:BL$41)</f>
        <v>#DIV/0!</v>
      </c>
      <c r="BM91" s="82" t="e">
        <f t="shared" si="186"/>
        <v>#DIV/0!</v>
      </c>
      <c r="BN91" s="82" t="e">
        <f t="shared" si="186"/>
        <v>#DIV/0!</v>
      </c>
      <c r="BO91" s="82" t="e">
        <f t="shared" si="186"/>
        <v>#DIV/0!</v>
      </c>
      <c r="BP91" s="82" t="e">
        <f t="shared" si="186"/>
        <v>#DIV/0!</v>
      </c>
      <c r="BQ91" s="82" t="e">
        <f t="shared" si="186"/>
        <v>#DIV/0!</v>
      </c>
      <c r="BR91" s="82" t="e">
        <f t="shared" si="186"/>
        <v>#DIV/0!</v>
      </c>
      <c r="BS91" s="82" t="e">
        <f t="shared" si="186"/>
        <v>#DIV/0!</v>
      </c>
      <c r="BT91" s="82" t="e">
        <f t="shared" si="186"/>
        <v>#DIV/0!</v>
      </c>
      <c r="BU91" s="82" t="e">
        <f t="shared" si="186"/>
        <v>#DIV/0!</v>
      </c>
      <c r="BV91" s="82" t="e">
        <f t="shared" si="186"/>
        <v>#DIV/0!</v>
      </c>
      <c r="BW91" s="82" t="e">
        <f t="shared" si="186"/>
        <v>#DIV/0!</v>
      </c>
      <c r="BX91" s="82" t="e">
        <f t="shared" si="186"/>
        <v>#DIV/0!</v>
      </c>
      <c r="BY91" s="82" t="e">
        <f t="shared" si="186"/>
        <v>#DIV/0!</v>
      </c>
      <c r="BZ91" s="82" t="e">
        <f t="shared" si="186"/>
        <v>#DIV/0!</v>
      </c>
      <c r="CA91" s="82" t="e">
        <f t="shared" si="186"/>
        <v>#DIV/0!</v>
      </c>
      <c r="CB91" s="82" t="e">
        <f t="shared" si="186"/>
        <v>#DIV/0!</v>
      </c>
      <c r="CC91" s="82" t="e">
        <f t="shared" si="186"/>
        <v>#DIV/0!</v>
      </c>
      <c r="CD91" s="82" t="e">
        <f t="shared" si="186"/>
        <v>#DIV/0!</v>
      </c>
      <c r="CE91" s="82" t="e">
        <f t="shared" si="186"/>
        <v>#DIV/0!</v>
      </c>
      <c r="CF91" s="82" t="e">
        <f t="shared" si="186"/>
        <v>#DIV/0!</v>
      </c>
      <c r="CG91" s="82" t="e">
        <f t="shared" si="186"/>
        <v>#DIV/0!</v>
      </c>
      <c r="CH91" s="82" t="e">
        <f t="shared" si="186"/>
        <v>#DIV/0!</v>
      </c>
      <c r="CI91" s="82" t="e">
        <f t="shared" si="186"/>
        <v>#DIV/0!</v>
      </c>
      <c r="CJ91" s="82" t="e">
        <f t="shared" si="186"/>
        <v>#DIV/0!</v>
      </c>
      <c r="CK91" s="82" t="e">
        <f t="shared" si="186"/>
        <v>#DIV/0!</v>
      </c>
      <c r="CL91" s="82" t="e">
        <f t="shared" si="186"/>
        <v>#DIV/0!</v>
      </c>
      <c r="CM91" s="82" t="e">
        <f t="shared" si="186"/>
        <v>#DIV/0!</v>
      </c>
      <c r="CN91" s="82" t="e">
        <f t="shared" si="186"/>
        <v>#DIV/0!</v>
      </c>
      <c r="CO91" s="82" t="e">
        <f t="shared" si="186"/>
        <v>#DIV/0!</v>
      </c>
      <c r="CP91" s="82" t="e">
        <f t="shared" si="186"/>
        <v>#DIV/0!</v>
      </c>
      <c r="CQ91" s="82" t="e">
        <f t="shared" si="186"/>
        <v>#DIV/0!</v>
      </c>
      <c r="CR91" s="82" t="e">
        <f t="shared" si="186"/>
        <v>#DIV/0!</v>
      </c>
      <c r="CS91" s="82" t="e">
        <f t="shared" si="186"/>
        <v>#DIV/0!</v>
      </c>
      <c r="CT91" s="82" t="e">
        <f t="shared" si="186"/>
        <v>#DIV/0!</v>
      </c>
      <c r="CU91" s="82" t="e">
        <f t="shared" si="186"/>
        <v>#DIV/0!</v>
      </c>
      <c r="CV91" s="82" t="e">
        <f t="shared" si="186"/>
        <v>#DIV/0!</v>
      </c>
      <c r="CW91" s="82" t="e">
        <f t="shared" si="186"/>
        <v>#DIV/0!</v>
      </c>
      <c r="CX91" s="82" t="e">
        <f t="shared" si="186"/>
        <v>#DIV/0!</v>
      </c>
      <c r="CY91" s="82" t="e">
        <f t="shared" si="186"/>
        <v>#DIV/0!</v>
      </c>
    </row>
    <row r="92" spans="1:103" ht="14.25" customHeight="1">
      <c r="A92" s="129"/>
      <c r="E92" s="104"/>
      <c r="H92" s="104"/>
      <c r="I92" s="120" t="e">
        <f t="array" ref="I92">_xlfn.STDEV.P(IF($E$5:$E$41=$E91,I$5:I$41))</f>
        <v>#DIV/0!</v>
      </c>
      <c r="J92" s="120"/>
      <c r="K92" s="120"/>
      <c r="L92" s="120"/>
      <c r="M92" s="120" t="e">
        <f t="array" ref="M92">_xlfn.STDEV.P(IF($E$5:$E$41=$E91,M$5:M$41))</f>
        <v>#DIV/0!</v>
      </c>
      <c r="N92" s="120"/>
      <c r="O92" s="120" t="e">
        <f t="array" ref="O92">_xlfn.STDEV.P(IF($E$5:$E$41=$E91,O$5:O$41))</f>
        <v>#DIV/0!</v>
      </c>
      <c r="P92" s="120" t="e">
        <f t="array" ref="P92">_xlfn.STDEV.P(IF($E$5:$E$41=$E91,P$5:P$41))</f>
        <v>#DIV/0!</v>
      </c>
      <c r="Q92" s="120" t="e">
        <f t="array" ref="Q92">_xlfn.STDEV.P(IF($E$5:$E$41=$E91,Q$5:Q$41))</f>
        <v>#DIV/0!</v>
      </c>
      <c r="R92" s="188" t="e">
        <f t="array" ref="R92">_xlfn.STDEV.P(IF($E$5:$E$41=$E91,R$5:R$41))</f>
        <v>#DIV/0!</v>
      </c>
      <c r="S92" s="120" t="e">
        <f t="array" ref="S92">_xlfn.STDEV.P(IF($E$5:$E$41=$E91,S$5:S$41))</f>
        <v>#DIV/0!</v>
      </c>
      <c r="T92" s="120" t="e">
        <f t="array" ref="T92">_xlfn.STDEV.P(IF($E$5:$E$41=$E91,T$5:T$41))</f>
        <v>#DIV/0!</v>
      </c>
      <c r="U92" s="120" t="e">
        <f t="array" ref="U92">_xlfn.STDEV.P(IF($E$5:$E$41=$E91,U$5:U$41))</f>
        <v>#DIV/0!</v>
      </c>
      <c r="V92" s="81" t="s">
        <v>12</v>
      </c>
      <c r="W92" s="90" t="e">
        <f t="array" ref="W92">_xlfn.STDEV.P(IF($E$5:$E$41=$E91,W$5:W$41))</f>
        <v>#DIV/0!</v>
      </c>
      <c r="X92" s="90" t="e">
        <f t="array" ref="X92">_xlfn.STDEV.P(IF($E$5:$E$41=$E91,X$5:X$41))</f>
        <v>#DIV/0!</v>
      </c>
      <c r="Y92" s="90" t="e">
        <f t="array" ref="Y92">_xlfn.STDEV.P(IF($E$5:$E$41=$E91,Y$5:Y$41))</f>
        <v>#DIV/0!</v>
      </c>
      <c r="Z92" s="90" t="e">
        <f t="array" ref="Z92">_xlfn.STDEV.P(IF($E$5:$E$41=$E91,Z$5:Z$41))</f>
        <v>#DIV/0!</v>
      </c>
      <c r="AA92" s="90" t="e">
        <f t="array" ref="AA92">_xlfn.STDEV.P(IF($E$5:$E$41=$E91,AA$5:AA$41))</f>
        <v>#DIV/0!</v>
      </c>
      <c r="AB92" s="90" t="e">
        <f t="array" ref="AB92">_xlfn.STDEV.P(IF($E$5:$E$41=$E91,AB$5:AB$41))</f>
        <v>#DIV/0!</v>
      </c>
      <c r="AC92" s="90" t="e">
        <f t="array" ref="AC92">_xlfn.STDEV.P(IF($E$5:$E$41=$E91,AC$5:AC$41))</f>
        <v>#DIV/0!</v>
      </c>
      <c r="AD92" s="90" t="e">
        <f t="array" ref="AD92">_xlfn.STDEV.P(IF($E$5:$E$41=$E91,AD$5:AD$41))</f>
        <v>#DIV/0!</v>
      </c>
      <c r="AE92" s="90" t="e">
        <f t="array" ref="AE92">_xlfn.STDEV.P(IF($E$5:$E$41=$E91,AE$5:AE$41))</f>
        <v>#DIV/0!</v>
      </c>
      <c r="AF92" s="90" t="e">
        <f t="array" ref="AF92">_xlfn.STDEV.P(IF($E$5:$E$41=$E91,AF$5:AF$41))</f>
        <v>#DIV/0!</v>
      </c>
      <c r="AG92" s="90" t="e">
        <f t="array" ref="AG92">_xlfn.STDEV.P(IF($E$5:$E$41=$E91,AG$5:AG$41))</f>
        <v>#DIV/0!</v>
      </c>
      <c r="AH92" s="90" t="e">
        <f t="array" ref="AH92">_xlfn.STDEV.P(IF($E$5:$E$41=$E91,AH$5:AH$41))</f>
        <v>#DIV/0!</v>
      </c>
      <c r="AI92" s="90" t="e">
        <f t="array" ref="AI92">_xlfn.STDEV.P(IF($E$5:$E$41=$E91,AI$5:AI$41))</f>
        <v>#DIV/0!</v>
      </c>
      <c r="AJ92" s="90" t="e">
        <f t="array" ref="AJ92">_xlfn.STDEV.P(IF($E$5:$E$41=$E91,AJ$5:AJ$41))</f>
        <v>#DIV/0!</v>
      </c>
      <c r="AK92" s="90" t="e">
        <f t="array" ref="AK92">_xlfn.STDEV.P(IF($E$5:$E$41=$E91,AK$5:AK$41))</f>
        <v>#DIV/0!</v>
      </c>
      <c r="AL92" s="90" t="e">
        <f t="array" ref="AL92">_xlfn.STDEV.P(IF($E$5:$E$41=$E91,AL$5:AL$41))</f>
        <v>#DIV/0!</v>
      </c>
      <c r="AM92" s="90" t="e">
        <f t="array" ref="AM92">_xlfn.STDEV.P(IF($E$5:$E$41=$E91,AM$5:AM$41))</f>
        <v>#DIV/0!</v>
      </c>
      <c r="AN92" s="90" t="e">
        <f t="array" ref="AN92">_xlfn.STDEV.P(IF($E$5:$E$41=$E91,AN$5:AN$41))</f>
        <v>#DIV/0!</v>
      </c>
      <c r="AO92" s="90" t="e">
        <f t="array" ref="AO92">_xlfn.STDEV.P(IF($E$5:$E$41=$E91,AO$5:AO$41))</f>
        <v>#DIV/0!</v>
      </c>
      <c r="AP92" s="90" t="e">
        <f t="array" ref="AP92">_xlfn.STDEV.P(IF($E$5:$E$41=$E91,AP$5:AP$41))</f>
        <v>#DIV/0!</v>
      </c>
      <c r="AQ92" s="90" t="e">
        <f t="array" ref="AQ92">_xlfn.STDEV.P(IF($E$5:$E$41=$E91,AQ$5:AQ$41))</f>
        <v>#DIV/0!</v>
      </c>
      <c r="AR92" s="90" t="e">
        <f t="array" ref="AR92">_xlfn.STDEV.P(IF($E$5:$E$41=$E91,AR$5:AR$41))</f>
        <v>#DIV/0!</v>
      </c>
      <c r="AS92" s="90" t="e">
        <f t="array" ref="AS92">_xlfn.STDEV.P(IF($E$5:$E$41=$E91,AS$5:AS$41))</f>
        <v>#DIV/0!</v>
      </c>
      <c r="AT92" s="90" t="e">
        <f t="array" ref="AT92">_xlfn.STDEV.P(IF($E$5:$E$41=$E91,AT$5:AT$41))</f>
        <v>#DIV/0!</v>
      </c>
      <c r="AU92" s="90" t="e">
        <f t="array" ref="AU92">_xlfn.STDEV.P(IF($E$5:$E$41=$E91,AU$5:AU$41))</f>
        <v>#DIV/0!</v>
      </c>
      <c r="AV92" s="90" t="e">
        <f t="array" ref="AV92">_xlfn.STDEV.P(IF($E$5:$E$41=$E91,AV$5:AV$41))</f>
        <v>#DIV/0!</v>
      </c>
      <c r="AW92" s="90" t="e">
        <f t="array" ref="AW92">_xlfn.STDEV.P(IF($E$5:$E$41=$E91,AW$5:AW$41))</f>
        <v>#DIV/0!</v>
      </c>
      <c r="AX92" s="90" t="e">
        <f t="array" ref="AX92">_xlfn.STDEV.P(IF($E$5:$E$41=$E91,AX$5:AX$41))</f>
        <v>#DIV/0!</v>
      </c>
      <c r="AY92" s="90" t="e">
        <f t="array" ref="AY92">_xlfn.STDEV.P(IF($E$5:$E$41=$E91,AY$5:AY$41))</f>
        <v>#DIV/0!</v>
      </c>
      <c r="AZ92" s="90" t="e">
        <f t="array" ref="AZ92">_xlfn.STDEV.P(IF($E$5:$E$41=$E91,AZ$5:AZ$41))</f>
        <v>#DIV/0!</v>
      </c>
      <c r="BA92" s="90" t="e">
        <f t="array" ref="BA92">_xlfn.STDEV.P(IF($E$5:$E$41=$E91,BA$5:BA$41))</f>
        <v>#DIV/0!</v>
      </c>
      <c r="BB92" s="90" t="e">
        <f t="array" ref="BB92">_xlfn.STDEV.P(IF($E$5:$E$41=$E91,BB$5:BB$41))</f>
        <v>#DIV/0!</v>
      </c>
      <c r="BC92" s="90" t="e">
        <f t="array" ref="BC92">_xlfn.STDEV.P(IF($E$5:$E$41=$E91,BC$5:BC$41))</f>
        <v>#DIV/0!</v>
      </c>
      <c r="BD92" s="90" t="e">
        <f t="array" ref="BD92">_xlfn.STDEV.P(IF($E$5:$E$41=$E91,BD$5:BD$41))</f>
        <v>#DIV/0!</v>
      </c>
      <c r="BE92" s="90" t="e">
        <f t="array" ref="BE92">_xlfn.STDEV.P(IF($E$5:$E$41=$E91,BE$5:BE$41))</f>
        <v>#DIV/0!</v>
      </c>
      <c r="BF92" s="90" t="e">
        <f t="array" ref="BF92">_xlfn.STDEV.P(IF($E$5:$E$41=$E91,BF$5:BF$41))</f>
        <v>#DIV/0!</v>
      </c>
      <c r="BG92" s="90" t="e">
        <f t="array" ref="BG92">_xlfn.STDEV.P(IF($E$5:$E$41=$E91,BG$5:BG$41))</f>
        <v>#DIV/0!</v>
      </c>
      <c r="BH92" s="90" t="e">
        <f t="array" ref="BH92">_xlfn.STDEV.P(IF($E$5:$E$41=$E91,BH$5:BH$41))</f>
        <v>#DIV/0!</v>
      </c>
      <c r="BI92" s="90" t="e">
        <f t="array" ref="BI92">_xlfn.STDEV.P(IF($E$5:$E$41=$E91,BI$5:BI$41))</f>
        <v>#DIV/0!</v>
      </c>
      <c r="BJ92" s="90" t="e">
        <f t="array" ref="BJ92">_xlfn.STDEV.P(IF($E$5:$E$41=$E91,BJ$5:BJ$41))</f>
        <v>#DIV/0!</v>
      </c>
      <c r="BK92" s="115" t="s">
        <v>12</v>
      </c>
      <c r="BL92" s="83" t="e">
        <f t="array" ref="BL92">_xlfn.STDEV.P(IF($E$5:$E$41=$E91,BL$5:BL$41))</f>
        <v>#DIV/0!</v>
      </c>
      <c r="BM92" s="83" t="e">
        <f t="array" ref="BM92">_xlfn.STDEV.P(IF($E$5:$E$41=$E91,BM$5:BM$41))</f>
        <v>#DIV/0!</v>
      </c>
      <c r="BN92" s="83" t="e">
        <f t="array" ref="BN92">_xlfn.STDEV.P(IF($E$5:$E$41=$E91,BN$5:BN$41))</f>
        <v>#DIV/0!</v>
      </c>
      <c r="BO92" s="83" t="e">
        <f t="array" ref="BO92">_xlfn.STDEV.P(IF($E$5:$E$41=$E91,BO$5:BO$41))</f>
        <v>#DIV/0!</v>
      </c>
      <c r="BP92" s="83" t="e">
        <f t="array" ref="BP92">_xlfn.STDEV.P(IF($E$5:$E$41=$E91,BP$5:BP$41))</f>
        <v>#DIV/0!</v>
      </c>
      <c r="BQ92" s="83" t="e">
        <f t="array" ref="BQ92">_xlfn.STDEV.P(IF($E$5:$E$41=$E91,BQ$5:BQ$41))</f>
        <v>#DIV/0!</v>
      </c>
      <c r="BR92" s="83" t="e">
        <f t="array" ref="BR92">_xlfn.STDEV.P(IF($E$5:$E$41=$E91,BR$5:BR$41))</f>
        <v>#DIV/0!</v>
      </c>
      <c r="BS92" s="83" t="e">
        <f t="array" ref="BS92">_xlfn.STDEV.P(IF($E$5:$E$41=$E91,BS$5:BS$41))</f>
        <v>#DIV/0!</v>
      </c>
      <c r="BT92" s="83" t="e">
        <f t="array" ref="BT92">_xlfn.STDEV.P(IF($E$5:$E$41=$E91,BT$5:BT$41))</f>
        <v>#DIV/0!</v>
      </c>
      <c r="BU92" s="83" t="e">
        <f t="array" ref="BU92">_xlfn.STDEV.P(IF($E$5:$E$41=$E91,BU$5:BU$41))</f>
        <v>#DIV/0!</v>
      </c>
      <c r="BV92" s="83" t="e">
        <f t="array" ref="BV92">_xlfn.STDEV.P(IF($E$5:$E$41=$E91,BV$5:BV$41))</f>
        <v>#DIV/0!</v>
      </c>
      <c r="BW92" s="83" t="e">
        <f t="array" ref="BW92">_xlfn.STDEV.P(IF($E$5:$E$41=$E91,BW$5:BW$41))</f>
        <v>#DIV/0!</v>
      </c>
      <c r="BX92" s="83" t="e">
        <f t="array" ref="BX92">_xlfn.STDEV.P(IF($E$5:$E$41=$E91,BX$5:BX$41))</f>
        <v>#DIV/0!</v>
      </c>
      <c r="BY92" s="83" t="e">
        <f t="array" ref="BY92">_xlfn.STDEV.P(IF($E$5:$E$41=$E91,BY$5:BY$41))</f>
        <v>#DIV/0!</v>
      </c>
      <c r="BZ92" s="83" t="e">
        <f t="array" ref="BZ92">_xlfn.STDEV.P(IF($E$5:$E$41=$E91,BZ$5:BZ$41))</f>
        <v>#DIV/0!</v>
      </c>
      <c r="CA92" s="83" t="e">
        <f t="array" ref="CA92">_xlfn.STDEV.P(IF($E$5:$E$41=$E91,CA$5:CA$41))</f>
        <v>#DIV/0!</v>
      </c>
      <c r="CB92" s="83" t="e">
        <f t="array" ref="CB92">_xlfn.STDEV.P(IF($E$5:$E$41=$E91,CB$5:CB$41))</f>
        <v>#DIV/0!</v>
      </c>
      <c r="CC92" s="83" t="e">
        <f t="array" ref="CC92">_xlfn.STDEV.P(IF($E$5:$E$41=$E91,CC$5:CC$41))</f>
        <v>#DIV/0!</v>
      </c>
      <c r="CD92" s="83" t="e">
        <f t="array" ref="CD92">_xlfn.STDEV.P(IF($E$5:$E$41=$E91,CD$5:CD$41))</f>
        <v>#DIV/0!</v>
      </c>
      <c r="CE92" s="83" t="e">
        <f t="array" ref="CE92">_xlfn.STDEV.P(IF($E$5:$E$41=$E91,CE$5:CE$41))</f>
        <v>#DIV/0!</v>
      </c>
      <c r="CF92" s="83" t="e">
        <f t="array" ref="CF92">_xlfn.STDEV.P(IF($E$5:$E$41=$E91,CF$5:CF$41))</f>
        <v>#DIV/0!</v>
      </c>
      <c r="CG92" s="83" t="e">
        <f t="array" ref="CG92">_xlfn.STDEV.P(IF($E$5:$E$41=$E91,CG$5:CG$41))</f>
        <v>#DIV/0!</v>
      </c>
      <c r="CH92" s="83" t="e">
        <f t="array" ref="CH92">_xlfn.STDEV.P(IF($E$5:$E$41=$E91,CH$5:CH$41))</f>
        <v>#DIV/0!</v>
      </c>
      <c r="CI92" s="83" t="e">
        <f t="array" ref="CI92">_xlfn.STDEV.P(IF($E$5:$E$41=$E91,CI$5:CI$41))</f>
        <v>#DIV/0!</v>
      </c>
      <c r="CJ92" s="83" t="e">
        <f t="array" ref="CJ92">_xlfn.STDEV.P(IF($E$5:$E$41=$E91,CJ$5:CJ$41))</f>
        <v>#DIV/0!</v>
      </c>
      <c r="CK92" s="83" t="e">
        <f t="array" ref="CK92">_xlfn.STDEV.P(IF($E$5:$E$41=$E91,CK$5:CK$41))</f>
        <v>#DIV/0!</v>
      </c>
      <c r="CL92" s="83" t="e">
        <f t="array" ref="CL92">_xlfn.STDEV.P(IF($E$5:$E$41=$E91,CL$5:CL$41))</f>
        <v>#DIV/0!</v>
      </c>
      <c r="CM92" s="83" t="e">
        <f t="array" ref="CM92">_xlfn.STDEV.P(IF($E$5:$E$41=$E91,CM$5:CM$41))</f>
        <v>#DIV/0!</v>
      </c>
      <c r="CN92" s="83" t="e">
        <f t="array" ref="CN92">_xlfn.STDEV.P(IF($E$5:$E$41=$E91,CN$5:CN$41))</f>
        <v>#DIV/0!</v>
      </c>
      <c r="CO92" s="83" t="e">
        <f t="array" ref="CO92">_xlfn.STDEV.P(IF($E$5:$E$41=$E91,CO$5:CO$41))</f>
        <v>#DIV/0!</v>
      </c>
      <c r="CP92" s="83" t="e">
        <f t="array" ref="CP92">_xlfn.STDEV.P(IF($E$5:$E$41=$E91,CP$5:CP$41))</f>
        <v>#DIV/0!</v>
      </c>
      <c r="CQ92" s="83" t="e">
        <f t="array" ref="CQ92">_xlfn.STDEV.P(IF($E$5:$E$41=$E91,CQ$5:CQ$41))</f>
        <v>#DIV/0!</v>
      </c>
      <c r="CR92" s="83" t="e">
        <f t="array" ref="CR92">_xlfn.STDEV.P(IF($E$5:$E$41=$E91,CR$5:CR$41))</f>
        <v>#DIV/0!</v>
      </c>
      <c r="CS92" s="83" t="e">
        <f t="array" ref="CS92">_xlfn.STDEV.P(IF($E$5:$E$41=$E91,CS$5:CS$41))</f>
        <v>#DIV/0!</v>
      </c>
      <c r="CT92" s="83" t="e">
        <f t="array" ref="CT92">_xlfn.STDEV.P(IF($E$5:$E$41=$E91,CT$5:CT$41))</f>
        <v>#DIV/0!</v>
      </c>
      <c r="CU92" s="83" t="e">
        <f t="array" ref="CU92">_xlfn.STDEV.P(IF($E$5:$E$41=$E91,CU$5:CU$41))</f>
        <v>#DIV/0!</v>
      </c>
      <c r="CV92" s="83" t="e">
        <f t="array" ref="CV92">_xlfn.STDEV.P(IF($E$5:$E$41=$E91,CV$5:CV$41))</f>
        <v>#DIV/0!</v>
      </c>
      <c r="CW92" s="83" t="e">
        <f t="array" ref="CW92">_xlfn.STDEV.P(IF($E$5:$E$41=$E91,CW$5:CW$41))</f>
        <v>#DIV/0!</v>
      </c>
      <c r="CX92" s="83" t="e">
        <f t="array" ref="CX92">_xlfn.STDEV.P(IF($E$5:$E$41=$E91,CX$5:CX$41))</f>
        <v>#DIV/0!</v>
      </c>
      <c r="CY92" s="83" t="e">
        <f t="array" ref="CY92">_xlfn.STDEV.P(IF($E$5:$E$41=$E91,CY$5:CY$41))</f>
        <v>#DIV/0!</v>
      </c>
    </row>
    <row r="93" spans="1:103">
      <c r="J93" s="63"/>
      <c r="K93" s="63"/>
      <c r="L93" s="63"/>
      <c r="N93" s="63"/>
      <c r="Q93" s="63"/>
      <c r="R93" s="187"/>
      <c r="S93" s="63"/>
      <c r="T93" s="63"/>
      <c r="U93" s="63"/>
    </row>
    <row r="94" spans="1:103" ht="14.25" customHeight="1">
      <c r="A94" s="129"/>
      <c r="E94" s="134" t="str">
        <f>'RAD_DOSE Groups'!C20</f>
        <v>Group 15</v>
      </c>
      <c r="H94" s="134" t="str">
        <f>E94</f>
        <v>Group 15</v>
      </c>
      <c r="I94" s="120" t="e">
        <f>AVERAGEIF($E$5:$E$41,$E94,I$5:I$41)</f>
        <v>#DIV/0!</v>
      </c>
      <c r="J94" s="120"/>
      <c r="K94" s="120"/>
      <c r="L94" s="120"/>
      <c r="M94" s="120" t="e">
        <f>AVERAGEIF($E$5:$E$41,$E94,M$5:M$41)</f>
        <v>#DIV/0!</v>
      </c>
      <c r="N94" s="120"/>
      <c r="O94" s="120" t="e">
        <f t="shared" ref="O94:U94" si="187">AVERAGEIF($E$5:$E$41,$E94,O$5:O$41)</f>
        <v>#DIV/0!</v>
      </c>
      <c r="P94" s="120" t="e">
        <f t="shared" si="187"/>
        <v>#DIV/0!</v>
      </c>
      <c r="Q94" s="120" t="e">
        <f t="shared" si="187"/>
        <v>#DIV/0!</v>
      </c>
      <c r="R94" s="188" t="e">
        <f t="shared" si="187"/>
        <v>#DIV/0!</v>
      </c>
      <c r="S94" s="120" t="e">
        <f t="shared" si="187"/>
        <v>#DIV/0!</v>
      </c>
      <c r="T94" s="120" t="e">
        <f t="shared" si="187"/>
        <v>#DIV/0!</v>
      </c>
      <c r="U94" s="120" t="e">
        <f t="shared" si="187"/>
        <v>#DIV/0!</v>
      </c>
      <c r="V94" s="81" t="s">
        <v>10</v>
      </c>
      <c r="W94" s="87" t="e">
        <f t="shared" ref="W94:BJ94" si="188">AVERAGEIF($E$5:$E$41,$E94,W$5:W$41)</f>
        <v>#DIV/0!</v>
      </c>
      <c r="X94" s="87" t="e">
        <f t="shared" si="188"/>
        <v>#DIV/0!</v>
      </c>
      <c r="Y94" s="87" t="e">
        <f t="shared" si="188"/>
        <v>#DIV/0!</v>
      </c>
      <c r="Z94" s="87" t="e">
        <f t="shared" si="188"/>
        <v>#DIV/0!</v>
      </c>
      <c r="AA94" s="87" t="e">
        <f t="shared" si="188"/>
        <v>#DIV/0!</v>
      </c>
      <c r="AB94" s="87" t="e">
        <f t="shared" si="188"/>
        <v>#DIV/0!</v>
      </c>
      <c r="AC94" s="87" t="e">
        <f t="shared" si="188"/>
        <v>#DIV/0!</v>
      </c>
      <c r="AD94" s="87" t="e">
        <f t="shared" si="188"/>
        <v>#DIV/0!</v>
      </c>
      <c r="AE94" s="87" t="e">
        <f t="shared" si="188"/>
        <v>#DIV/0!</v>
      </c>
      <c r="AF94" s="87" t="e">
        <f t="shared" si="188"/>
        <v>#DIV/0!</v>
      </c>
      <c r="AG94" s="87" t="e">
        <f t="shared" si="188"/>
        <v>#DIV/0!</v>
      </c>
      <c r="AH94" s="87" t="e">
        <f t="shared" si="188"/>
        <v>#DIV/0!</v>
      </c>
      <c r="AI94" s="87" t="e">
        <f t="shared" si="188"/>
        <v>#DIV/0!</v>
      </c>
      <c r="AJ94" s="87" t="e">
        <f t="shared" si="188"/>
        <v>#DIV/0!</v>
      </c>
      <c r="AK94" s="87" t="e">
        <f t="shared" si="188"/>
        <v>#DIV/0!</v>
      </c>
      <c r="AL94" s="87" t="e">
        <f t="shared" si="188"/>
        <v>#DIV/0!</v>
      </c>
      <c r="AM94" s="87" t="e">
        <f t="shared" si="188"/>
        <v>#DIV/0!</v>
      </c>
      <c r="AN94" s="87" t="e">
        <f t="shared" si="188"/>
        <v>#DIV/0!</v>
      </c>
      <c r="AO94" s="87" t="e">
        <f t="shared" si="188"/>
        <v>#DIV/0!</v>
      </c>
      <c r="AP94" s="87" t="e">
        <f t="shared" si="188"/>
        <v>#DIV/0!</v>
      </c>
      <c r="AQ94" s="87" t="e">
        <f t="shared" si="188"/>
        <v>#DIV/0!</v>
      </c>
      <c r="AR94" s="87" t="e">
        <f t="shared" si="188"/>
        <v>#DIV/0!</v>
      </c>
      <c r="AS94" s="87" t="e">
        <f t="shared" si="188"/>
        <v>#DIV/0!</v>
      </c>
      <c r="AT94" s="87" t="e">
        <f t="shared" si="188"/>
        <v>#DIV/0!</v>
      </c>
      <c r="AU94" s="87" t="e">
        <f t="shared" si="188"/>
        <v>#DIV/0!</v>
      </c>
      <c r="AV94" s="87" t="e">
        <f t="shared" si="188"/>
        <v>#DIV/0!</v>
      </c>
      <c r="AW94" s="87" t="e">
        <f t="shared" si="188"/>
        <v>#DIV/0!</v>
      </c>
      <c r="AX94" s="87" t="e">
        <f t="shared" si="188"/>
        <v>#DIV/0!</v>
      </c>
      <c r="AY94" s="87" t="e">
        <f t="shared" si="188"/>
        <v>#DIV/0!</v>
      </c>
      <c r="AZ94" s="87" t="e">
        <f t="shared" si="188"/>
        <v>#DIV/0!</v>
      </c>
      <c r="BA94" s="87" t="e">
        <f t="shared" si="188"/>
        <v>#DIV/0!</v>
      </c>
      <c r="BB94" s="87" t="e">
        <f t="shared" si="188"/>
        <v>#DIV/0!</v>
      </c>
      <c r="BC94" s="87" t="e">
        <f t="shared" si="188"/>
        <v>#DIV/0!</v>
      </c>
      <c r="BD94" s="87" t="e">
        <f t="shared" si="188"/>
        <v>#DIV/0!</v>
      </c>
      <c r="BE94" s="87" t="e">
        <f t="shared" si="188"/>
        <v>#DIV/0!</v>
      </c>
      <c r="BF94" s="87" t="e">
        <f t="shared" si="188"/>
        <v>#DIV/0!</v>
      </c>
      <c r="BG94" s="87" t="e">
        <f t="shared" si="188"/>
        <v>#DIV/0!</v>
      </c>
      <c r="BH94" s="87" t="e">
        <f t="shared" si="188"/>
        <v>#DIV/0!</v>
      </c>
      <c r="BI94" s="87" t="e">
        <f t="shared" si="188"/>
        <v>#DIV/0!</v>
      </c>
      <c r="BJ94" s="87" t="e">
        <f t="shared" si="188"/>
        <v>#DIV/0!</v>
      </c>
      <c r="BK94" s="114" t="s">
        <v>10</v>
      </c>
      <c r="BL94" s="82" t="e">
        <f t="shared" ref="BL94:CY94" si="189">AVERAGEIF($E$5:$E$41,$E94,BL$5:BL$41)</f>
        <v>#DIV/0!</v>
      </c>
      <c r="BM94" s="82" t="e">
        <f t="shared" si="189"/>
        <v>#DIV/0!</v>
      </c>
      <c r="BN94" s="82" t="e">
        <f t="shared" si="189"/>
        <v>#DIV/0!</v>
      </c>
      <c r="BO94" s="82" t="e">
        <f t="shared" si="189"/>
        <v>#DIV/0!</v>
      </c>
      <c r="BP94" s="82" t="e">
        <f t="shared" si="189"/>
        <v>#DIV/0!</v>
      </c>
      <c r="BQ94" s="82" t="e">
        <f t="shared" si="189"/>
        <v>#DIV/0!</v>
      </c>
      <c r="BR94" s="82" t="e">
        <f t="shared" si="189"/>
        <v>#DIV/0!</v>
      </c>
      <c r="BS94" s="82" t="e">
        <f t="shared" si="189"/>
        <v>#DIV/0!</v>
      </c>
      <c r="BT94" s="82" t="e">
        <f t="shared" si="189"/>
        <v>#DIV/0!</v>
      </c>
      <c r="BU94" s="82" t="e">
        <f t="shared" si="189"/>
        <v>#DIV/0!</v>
      </c>
      <c r="BV94" s="82" t="e">
        <f t="shared" si="189"/>
        <v>#DIV/0!</v>
      </c>
      <c r="BW94" s="82" t="e">
        <f t="shared" si="189"/>
        <v>#DIV/0!</v>
      </c>
      <c r="BX94" s="82" t="e">
        <f t="shared" si="189"/>
        <v>#DIV/0!</v>
      </c>
      <c r="BY94" s="82" t="e">
        <f t="shared" si="189"/>
        <v>#DIV/0!</v>
      </c>
      <c r="BZ94" s="82" t="e">
        <f t="shared" si="189"/>
        <v>#DIV/0!</v>
      </c>
      <c r="CA94" s="82" t="e">
        <f t="shared" si="189"/>
        <v>#DIV/0!</v>
      </c>
      <c r="CB94" s="82" t="e">
        <f t="shared" si="189"/>
        <v>#DIV/0!</v>
      </c>
      <c r="CC94" s="82" t="e">
        <f t="shared" si="189"/>
        <v>#DIV/0!</v>
      </c>
      <c r="CD94" s="82" t="e">
        <f t="shared" si="189"/>
        <v>#DIV/0!</v>
      </c>
      <c r="CE94" s="82" t="e">
        <f t="shared" si="189"/>
        <v>#DIV/0!</v>
      </c>
      <c r="CF94" s="82" t="e">
        <f t="shared" si="189"/>
        <v>#DIV/0!</v>
      </c>
      <c r="CG94" s="82" t="e">
        <f t="shared" si="189"/>
        <v>#DIV/0!</v>
      </c>
      <c r="CH94" s="82" t="e">
        <f t="shared" si="189"/>
        <v>#DIV/0!</v>
      </c>
      <c r="CI94" s="82" t="e">
        <f t="shared" si="189"/>
        <v>#DIV/0!</v>
      </c>
      <c r="CJ94" s="82" t="e">
        <f t="shared" si="189"/>
        <v>#DIV/0!</v>
      </c>
      <c r="CK94" s="82" t="e">
        <f t="shared" si="189"/>
        <v>#DIV/0!</v>
      </c>
      <c r="CL94" s="82" t="e">
        <f t="shared" si="189"/>
        <v>#DIV/0!</v>
      </c>
      <c r="CM94" s="82" t="e">
        <f t="shared" si="189"/>
        <v>#DIV/0!</v>
      </c>
      <c r="CN94" s="82" t="e">
        <f t="shared" si="189"/>
        <v>#DIV/0!</v>
      </c>
      <c r="CO94" s="82" t="e">
        <f t="shared" si="189"/>
        <v>#DIV/0!</v>
      </c>
      <c r="CP94" s="82" t="e">
        <f t="shared" si="189"/>
        <v>#DIV/0!</v>
      </c>
      <c r="CQ94" s="82" t="e">
        <f t="shared" si="189"/>
        <v>#DIV/0!</v>
      </c>
      <c r="CR94" s="82" t="e">
        <f t="shared" si="189"/>
        <v>#DIV/0!</v>
      </c>
      <c r="CS94" s="82" t="e">
        <f t="shared" si="189"/>
        <v>#DIV/0!</v>
      </c>
      <c r="CT94" s="82" t="e">
        <f t="shared" si="189"/>
        <v>#DIV/0!</v>
      </c>
      <c r="CU94" s="82" t="e">
        <f t="shared" si="189"/>
        <v>#DIV/0!</v>
      </c>
      <c r="CV94" s="82" t="e">
        <f t="shared" si="189"/>
        <v>#DIV/0!</v>
      </c>
      <c r="CW94" s="82" t="e">
        <f t="shared" si="189"/>
        <v>#DIV/0!</v>
      </c>
      <c r="CX94" s="82" t="e">
        <f t="shared" si="189"/>
        <v>#DIV/0!</v>
      </c>
      <c r="CY94" s="82" t="e">
        <f t="shared" si="189"/>
        <v>#DIV/0!</v>
      </c>
    </row>
    <row r="95" spans="1:103" ht="14.25" customHeight="1">
      <c r="A95" s="129"/>
      <c r="E95" s="104"/>
      <c r="H95" s="104"/>
      <c r="I95" s="120" t="e">
        <f t="array" ref="I95">_xlfn.STDEV.P(IF($E$5:$E$41=$E94,I$5:I$41))</f>
        <v>#DIV/0!</v>
      </c>
      <c r="J95" s="120"/>
      <c r="K95" s="120"/>
      <c r="L95" s="120"/>
      <c r="M95" s="120" t="e">
        <f t="array" ref="M95">_xlfn.STDEV.P(IF($E$5:$E$41=$E94,M$5:M$41))</f>
        <v>#DIV/0!</v>
      </c>
      <c r="N95" s="120"/>
      <c r="O95" s="120" t="e">
        <f t="array" ref="O95">_xlfn.STDEV.P(IF($E$5:$E$41=$E94,O$5:O$41))</f>
        <v>#DIV/0!</v>
      </c>
      <c r="P95" s="120" t="e">
        <f t="array" ref="P95">_xlfn.STDEV.P(IF($E$5:$E$41=$E94,P$5:P$41))</f>
        <v>#DIV/0!</v>
      </c>
      <c r="Q95" s="120" t="e">
        <f t="array" ref="Q95">_xlfn.STDEV.P(IF($E$5:$E$41=$E94,Q$5:Q$41))</f>
        <v>#DIV/0!</v>
      </c>
      <c r="R95" s="188" t="e">
        <f t="array" ref="R95">_xlfn.STDEV.P(IF($E$5:$E$41=$E94,R$5:R$41))</f>
        <v>#DIV/0!</v>
      </c>
      <c r="S95" s="120" t="e">
        <f t="array" ref="S95">_xlfn.STDEV.P(IF($E$5:$E$41=$E94,S$5:S$41))</f>
        <v>#DIV/0!</v>
      </c>
      <c r="T95" s="120" t="e">
        <f t="array" ref="T95">_xlfn.STDEV.P(IF($E$5:$E$41=$E94,T$5:T$41))</f>
        <v>#DIV/0!</v>
      </c>
      <c r="U95" s="120" t="e">
        <f t="array" ref="U95">_xlfn.STDEV.P(IF($E$5:$E$41=$E94,U$5:U$41))</f>
        <v>#DIV/0!</v>
      </c>
      <c r="V95" s="81" t="s">
        <v>12</v>
      </c>
      <c r="W95" s="90" t="e">
        <f t="array" ref="W95">_xlfn.STDEV.P(IF($E$5:$E$41=$E94,W$5:W$41))</f>
        <v>#DIV/0!</v>
      </c>
      <c r="X95" s="90" t="e">
        <f t="array" ref="X95">_xlfn.STDEV.P(IF($E$5:$E$41=$E94,X$5:X$41))</f>
        <v>#DIV/0!</v>
      </c>
      <c r="Y95" s="90" t="e">
        <f t="array" ref="Y95">_xlfn.STDEV.P(IF($E$5:$E$41=$E94,Y$5:Y$41))</f>
        <v>#DIV/0!</v>
      </c>
      <c r="Z95" s="90" t="e">
        <f t="array" ref="Z95">_xlfn.STDEV.P(IF($E$5:$E$41=$E94,Z$5:Z$41))</f>
        <v>#DIV/0!</v>
      </c>
      <c r="AA95" s="90" t="e">
        <f t="array" ref="AA95">_xlfn.STDEV.P(IF($E$5:$E$41=$E94,AA$5:AA$41))</f>
        <v>#DIV/0!</v>
      </c>
      <c r="AB95" s="90" t="e">
        <f t="array" ref="AB95">_xlfn.STDEV.P(IF($E$5:$E$41=$E94,AB$5:AB$41))</f>
        <v>#DIV/0!</v>
      </c>
      <c r="AC95" s="90" t="e">
        <f t="array" ref="AC95">_xlfn.STDEV.P(IF($E$5:$E$41=$E94,AC$5:AC$41))</f>
        <v>#DIV/0!</v>
      </c>
      <c r="AD95" s="90" t="e">
        <f t="array" ref="AD95">_xlfn.STDEV.P(IF($E$5:$E$41=$E94,AD$5:AD$41))</f>
        <v>#DIV/0!</v>
      </c>
      <c r="AE95" s="90" t="e">
        <f t="array" ref="AE95">_xlfn.STDEV.P(IF($E$5:$E$41=$E94,AE$5:AE$41))</f>
        <v>#DIV/0!</v>
      </c>
      <c r="AF95" s="90" t="e">
        <f t="array" ref="AF95">_xlfn.STDEV.P(IF($E$5:$E$41=$E94,AF$5:AF$41))</f>
        <v>#DIV/0!</v>
      </c>
      <c r="AG95" s="90" t="e">
        <f t="array" ref="AG95">_xlfn.STDEV.P(IF($E$5:$E$41=$E94,AG$5:AG$41))</f>
        <v>#DIV/0!</v>
      </c>
      <c r="AH95" s="90" t="e">
        <f t="array" ref="AH95">_xlfn.STDEV.P(IF($E$5:$E$41=$E94,AH$5:AH$41))</f>
        <v>#DIV/0!</v>
      </c>
      <c r="AI95" s="90" t="e">
        <f t="array" ref="AI95">_xlfn.STDEV.P(IF($E$5:$E$41=$E94,AI$5:AI$41))</f>
        <v>#DIV/0!</v>
      </c>
      <c r="AJ95" s="90" t="e">
        <f t="array" ref="AJ95">_xlfn.STDEV.P(IF($E$5:$E$41=$E94,AJ$5:AJ$41))</f>
        <v>#DIV/0!</v>
      </c>
      <c r="AK95" s="90" t="e">
        <f t="array" ref="AK95">_xlfn.STDEV.P(IF($E$5:$E$41=$E94,AK$5:AK$41))</f>
        <v>#DIV/0!</v>
      </c>
      <c r="AL95" s="90" t="e">
        <f t="array" ref="AL95">_xlfn.STDEV.P(IF($E$5:$E$41=$E94,AL$5:AL$41))</f>
        <v>#DIV/0!</v>
      </c>
      <c r="AM95" s="90" t="e">
        <f t="array" ref="AM95">_xlfn.STDEV.P(IF($E$5:$E$41=$E94,AM$5:AM$41))</f>
        <v>#DIV/0!</v>
      </c>
      <c r="AN95" s="90" t="e">
        <f t="array" ref="AN95">_xlfn.STDEV.P(IF($E$5:$E$41=$E94,AN$5:AN$41))</f>
        <v>#DIV/0!</v>
      </c>
      <c r="AO95" s="90" t="e">
        <f t="array" ref="AO95">_xlfn.STDEV.P(IF($E$5:$E$41=$E94,AO$5:AO$41))</f>
        <v>#DIV/0!</v>
      </c>
      <c r="AP95" s="90" t="e">
        <f t="array" ref="AP95">_xlfn.STDEV.P(IF($E$5:$E$41=$E94,AP$5:AP$41))</f>
        <v>#DIV/0!</v>
      </c>
      <c r="AQ95" s="90" t="e">
        <f t="array" ref="AQ95">_xlfn.STDEV.P(IF($E$5:$E$41=$E94,AQ$5:AQ$41))</f>
        <v>#DIV/0!</v>
      </c>
      <c r="AR95" s="90" t="e">
        <f t="array" ref="AR95">_xlfn.STDEV.P(IF($E$5:$E$41=$E94,AR$5:AR$41))</f>
        <v>#DIV/0!</v>
      </c>
      <c r="AS95" s="90" t="e">
        <f t="array" ref="AS95">_xlfn.STDEV.P(IF($E$5:$E$41=$E94,AS$5:AS$41))</f>
        <v>#DIV/0!</v>
      </c>
      <c r="AT95" s="90" t="e">
        <f t="array" ref="AT95">_xlfn.STDEV.P(IF($E$5:$E$41=$E94,AT$5:AT$41))</f>
        <v>#DIV/0!</v>
      </c>
      <c r="AU95" s="90" t="e">
        <f t="array" ref="AU95">_xlfn.STDEV.P(IF($E$5:$E$41=$E94,AU$5:AU$41))</f>
        <v>#DIV/0!</v>
      </c>
      <c r="AV95" s="90" t="e">
        <f t="array" ref="AV95">_xlfn.STDEV.P(IF($E$5:$E$41=$E94,AV$5:AV$41))</f>
        <v>#DIV/0!</v>
      </c>
      <c r="AW95" s="90" t="e">
        <f t="array" ref="AW95">_xlfn.STDEV.P(IF($E$5:$E$41=$E94,AW$5:AW$41))</f>
        <v>#DIV/0!</v>
      </c>
      <c r="AX95" s="90" t="e">
        <f t="array" ref="AX95">_xlfn.STDEV.P(IF($E$5:$E$41=$E94,AX$5:AX$41))</f>
        <v>#DIV/0!</v>
      </c>
      <c r="AY95" s="90" t="e">
        <f t="array" ref="AY95">_xlfn.STDEV.P(IF($E$5:$E$41=$E94,AY$5:AY$41))</f>
        <v>#DIV/0!</v>
      </c>
      <c r="AZ95" s="90" t="e">
        <f t="array" ref="AZ95">_xlfn.STDEV.P(IF($E$5:$E$41=$E94,AZ$5:AZ$41))</f>
        <v>#DIV/0!</v>
      </c>
      <c r="BA95" s="90" t="e">
        <f t="array" ref="BA95">_xlfn.STDEV.P(IF($E$5:$E$41=$E94,BA$5:BA$41))</f>
        <v>#DIV/0!</v>
      </c>
      <c r="BB95" s="90" t="e">
        <f t="array" ref="BB95">_xlfn.STDEV.P(IF($E$5:$E$41=$E94,BB$5:BB$41))</f>
        <v>#DIV/0!</v>
      </c>
      <c r="BC95" s="90" t="e">
        <f t="array" ref="BC95">_xlfn.STDEV.P(IF($E$5:$E$41=$E94,BC$5:BC$41))</f>
        <v>#DIV/0!</v>
      </c>
      <c r="BD95" s="90" t="e">
        <f t="array" ref="BD95">_xlfn.STDEV.P(IF($E$5:$E$41=$E94,BD$5:BD$41))</f>
        <v>#DIV/0!</v>
      </c>
      <c r="BE95" s="90" t="e">
        <f t="array" ref="BE95">_xlfn.STDEV.P(IF($E$5:$E$41=$E94,BE$5:BE$41))</f>
        <v>#DIV/0!</v>
      </c>
      <c r="BF95" s="90" t="e">
        <f t="array" ref="BF95">_xlfn.STDEV.P(IF($E$5:$E$41=$E94,BF$5:BF$41))</f>
        <v>#DIV/0!</v>
      </c>
      <c r="BG95" s="90" t="e">
        <f t="array" ref="BG95">_xlfn.STDEV.P(IF($E$5:$E$41=$E94,BG$5:BG$41))</f>
        <v>#DIV/0!</v>
      </c>
      <c r="BH95" s="90" t="e">
        <f t="array" ref="BH95">_xlfn.STDEV.P(IF($E$5:$E$41=$E94,BH$5:BH$41))</f>
        <v>#DIV/0!</v>
      </c>
      <c r="BI95" s="90" t="e">
        <f t="array" ref="BI95">_xlfn.STDEV.P(IF($E$5:$E$41=$E94,BI$5:BI$41))</f>
        <v>#DIV/0!</v>
      </c>
      <c r="BJ95" s="90" t="e">
        <f t="array" ref="BJ95">_xlfn.STDEV.P(IF($E$5:$E$41=$E94,BJ$5:BJ$41))</f>
        <v>#DIV/0!</v>
      </c>
      <c r="BK95" s="115" t="s">
        <v>12</v>
      </c>
      <c r="BL95" s="83" t="e">
        <f t="array" ref="BL95">_xlfn.STDEV.P(IF($E$5:$E$41=$E94,BL$5:BL$41))</f>
        <v>#DIV/0!</v>
      </c>
      <c r="BM95" s="83" t="e">
        <f t="array" ref="BM95">_xlfn.STDEV.P(IF($E$5:$E$41=$E94,BM$5:BM$41))</f>
        <v>#DIV/0!</v>
      </c>
      <c r="BN95" s="83" t="e">
        <f t="array" ref="BN95">_xlfn.STDEV.P(IF($E$5:$E$41=$E94,BN$5:BN$41))</f>
        <v>#DIV/0!</v>
      </c>
      <c r="BO95" s="83" t="e">
        <f t="array" ref="BO95">_xlfn.STDEV.P(IF($E$5:$E$41=$E94,BO$5:BO$41))</f>
        <v>#DIV/0!</v>
      </c>
      <c r="BP95" s="83" t="e">
        <f t="array" ref="BP95">_xlfn.STDEV.P(IF($E$5:$E$41=$E94,BP$5:BP$41))</f>
        <v>#DIV/0!</v>
      </c>
      <c r="BQ95" s="83" t="e">
        <f t="array" ref="BQ95">_xlfn.STDEV.P(IF($E$5:$E$41=$E94,BQ$5:BQ$41))</f>
        <v>#DIV/0!</v>
      </c>
      <c r="BR95" s="83" t="e">
        <f t="array" ref="BR95">_xlfn.STDEV.P(IF($E$5:$E$41=$E94,BR$5:BR$41))</f>
        <v>#DIV/0!</v>
      </c>
      <c r="BS95" s="83" t="e">
        <f t="array" ref="BS95">_xlfn.STDEV.P(IF($E$5:$E$41=$E94,BS$5:BS$41))</f>
        <v>#DIV/0!</v>
      </c>
      <c r="BT95" s="83" t="e">
        <f t="array" ref="BT95">_xlfn.STDEV.P(IF($E$5:$E$41=$E94,BT$5:BT$41))</f>
        <v>#DIV/0!</v>
      </c>
      <c r="BU95" s="83" t="e">
        <f t="array" ref="BU95">_xlfn.STDEV.P(IF($E$5:$E$41=$E94,BU$5:BU$41))</f>
        <v>#DIV/0!</v>
      </c>
      <c r="BV95" s="83" t="e">
        <f t="array" ref="BV95">_xlfn.STDEV.P(IF($E$5:$E$41=$E94,BV$5:BV$41))</f>
        <v>#DIV/0!</v>
      </c>
      <c r="BW95" s="83" t="e">
        <f t="array" ref="BW95">_xlfn.STDEV.P(IF($E$5:$E$41=$E94,BW$5:BW$41))</f>
        <v>#DIV/0!</v>
      </c>
      <c r="BX95" s="83" t="e">
        <f t="array" ref="BX95">_xlfn.STDEV.P(IF($E$5:$E$41=$E94,BX$5:BX$41))</f>
        <v>#DIV/0!</v>
      </c>
      <c r="BY95" s="83" t="e">
        <f t="array" ref="BY95">_xlfn.STDEV.P(IF($E$5:$E$41=$E94,BY$5:BY$41))</f>
        <v>#DIV/0!</v>
      </c>
      <c r="BZ95" s="83" t="e">
        <f t="array" ref="BZ95">_xlfn.STDEV.P(IF($E$5:$E$41=$E94,BZ$5:BZ$41))</f>
        <v>#DIV/0!</v>
      </c>
      <c r="CA95" s="83" t="e">
        <f t="array" ref="CA95">_xlfn.STDEV.P(IF($E$5:$E$41=$E94,CA$5:CA$41))</f>
        <v>#DIV/0!</v>
      </c>
      <c r="CB95" s="83" t="e">
        <f t="array" ref="CB95">_xlfn.STDEV.P(IF($E$5:$E$41=$E94,CB$5:CB$41))</f>
        <v>#DIV/0!</v>
      </c>
      <c r="CC95" s="83" t="e">
        <f t="array" ref="CC95">_xlfn.STDEV.P(IF($E$5:$E$41=$E94,CC$5:CC$41))</f>
        <v>#DIV/0!</v>
      </c>
      <c r="CD95" s="83" t="e">
        <f t="array" ref="CD95">_xlfn.STDEV.P(IF($E$5:$E$41=$E94,CD$5:CD$41))</f>
        <v>#DIV/0!</v>
      </c>
      <c r="CE95" s="83" t="e">
        <f t="array" ref="CE95">_xlfn.STDEV.P(IF($E$5:$E$41=$E94,CE$5:CE$41))</f>
        <v>#DIV/0!</v>
      </c>
      <c r="CF95" s="83" t="e">
        <f t="array" ref="CF95">_xlfn.STDEV.P(IF($E$5:$E$41=$E94,CF$5:CF$41))</f>
        <v>#DIV/0!</v>
      </c>
      <c r="CG95" s="83" t="e">
        <f t="array" ref="CG95">_xlfn.STDEV.P(IF($E$5:$E$41=$E94,CG$5:CG$41))</f>
        <v>#DIV/0!</v>
      </c>
      <c r="CH95" s="83" t="e">
        <f t="array" ref="CH95">_xlfn.STDEV.P(IF($E$5:$E$41=$E94,CH$5:CH$41))</f>
        <v>#DIV/0!</v>
      </c>
      <c r="CI95" s="83" t="e">
        <f t="array" ref="CI95">_xlfn.STDEV.P(IF($E$5:$E$41=$E94,CI$5:CI$41))</f>
        <v>#DIV/0!</v>
      </c>
      <c r="CJ95" s="83" t="e">
        <f t="array" ref="CJ95">_xlfn.STDEV.P(IF($E$5:$E$41=$E94,CJ$5:CJ$41))</f>
        <v>#DIV/0!</v>
      </c>
      <c r="CK95" s="83" t="e">
        <f t="array" ref="CK95">_xlfn.STDEV.P(IF($E$5:$E$41=$E94,CK$5:CK$41))</f>
        <v>#DIV/0!</v>
      </c>
      <c r="CL95" s="83" t="e">
        <f t="array" ref="CL95">_xlfn.STDEV.P(IF($E$5:$E$41=$E94,CL$5:CL$41))</f>
        <v>#DIV/0!</v>
      </c>
      <c r="CM95" s="83" t="e">
        <f t="array" ref="CM95">_xlfn.STDEV.P(IF($E$5:$E$41=$E94,CM$5:CM$41))</f>
        <v>#DIV/0!</v>
      </c>
      <c r="CN95" s="83" t="e">
        <f t="array" ref="CN95">_xlfn.STDEV.P(IF($E$5:$E$41=$E94,CN$5:CN$41))</f>
        <v>#DIV/0!</v>
      </c>
      <c r="CO95" s="83" t="e">
        <f t="array" ref="CO95">_xlfn.STDEV.P(IF($E$5:$E$41=$E94,CO$5:CO$41))</f>
        <v>#DIV/0!</v>
      </c>
      <c r="CP95" s="83" t="e">
        <f t="array" ref="CP95">_xlfn.STDEV.P(IF($E$5:$E$41=$E94,CP$5:CP$41))</f>
        <v>#DIV/0!</v>
      </c>
      <c r="CQ95" s="83" t="e">
        <f t="array" ref="CQ95">_xlfn.STDEV.P(IF($E$5:$E$41=$E94,CQ$5:CQ$41))</f>
        <v>#DIV/0!</v>
      </c>
      <c r="CR95" s="83" t="e">
        <f t="array" ref="CR95">_xlfn.STDEV.P(IF($E$5:$E$41=$E94,CR$5:CR$41))</f>
        <v>#DIV/0!</v>
      </c>
      <c r="CS95" s="83" t="e">
        <f t="array" ref="CS95">_xlfn.STDEV.P(IF($E$5:$E$41=$E94,CS$5:CS$41))</f>
        <v>#DIV/0!</v>
      </c>
      <c r="CT95" s="83" t="e">
        <f t="array" ref="CT95">_xlfn.STDEV.P(IF($E$5:$E$41=$E94,CT$5:CT$41))</f>
        <v>#DIV/0!</v>
      </c>
      <c r="CU95" s="83" t="e">
        <f t="array" ref="CU95">_xlfn.STDEV.P(IF($E$5:$E$41=$E94,CU$5:CU$41))</f>
        <v>#DIV/0!</v>
      </c>
      <c r="CV95" s="83" t="e">
        <f t="array" ref="CV95">_xlfn.STDEV.P(IF($E$5:$E$41=$E94,CV$5:CV$41))</f>
        <v>#DIV/0!</v>
      </c>
      <c r="CW95" s="83" t="e">
        <f t="array" ref="CW95">_xlfn.STDEV.P(IF($E$5:$E$41=$E94,CW$5:CW$41))</f>
        <v>#DIV/0!</v>
      </c>
      <c r="CX95" s="83" t="e">
        <f t="array" ref="CX95">_xlfn.STDEV.P(IF($E$5:$E$41=$E94,CX$5:CX$41))</f>
        <v>#DIV/0!</v>
      </c>
      <c r="CY95" s="83" t="e">
        <f t="array" ref="CY95">_xlfn.STDEV.P(IF($E$5:$E$41=$E94,CY$5:CY$41))</f>
        <v>#DIV/0!</v>
      </c>
    </row>
    <row r="96" spans="1:103" ht="15">
      <c r="A96" s="129"/>
      <c r="E96" s="134"/>
      <c r="H96" s="58"/>
      <c r="J96" s="63"/>
      <c r="K96" s="63"/>
      <c r="L96" s="63"/>
      <c r="N96" s="63"/>
      <c r="Q96" s="63"/>
      <c r="R96" s="187"/>
      <c r="S96" s="63"/>
      <c r="T96" s="63"/>
      <c r="U96" s="63"/>
    </row>
    <row r="97" spans="1:103" ht="14.25" customHeight="1">
      <c r="A97" s="129"/>
      <c r="E97" s="134" t="str">
        <f>'RAD_DOSE Groups'!C21</f>
        <v>Group 16</v>
      </c>
      <c r="H97" s="134" t="str">
        <f>E97</f>
        <v>Group 16</v>
      </c>
      <c r="I97" s="120" t="e">
        <f>AVERAGEIF($E$5:$E$41,$E97,I$5:I$41)</f>
        <v>#DIV/0!</v>
      </c>
      <c r="J97" s="120"/>
      <c r="K97" s="120"/>
      <c r="L97" s="120"/>
      <c r="M97" s="120" t="e">
        <f>AVERAGEIF($E$5:$E$41,$E97,M$5:M$41)</f>
        <v>#DIV/0!</v>
      </c>
      <c r="N97" s="120"/>
      <c r="O97" s="120" t="e">
        <f t="shared" ref="O97:U97" si="190">AVERAGEIF($E$5:$E$41,$E97,O$5:O$41)</f>
        <v>#DIV/0!</v>
      </c>
      <c r="P97" s="120" t="e">
        <f t="shared" si="190"/>
        <v>#DIV/0!</v>
      </c>
      <c r="Q97" s="120" t="e">
        <f t="shared" si="190"/>
        <v>#DIV/0!</v>
      </c>
      <c r="R97" s="188" t="e">
        <f t="shared" si="190"/>
        <v>#DIV/0!</v>
      </c>
      <c r="S97" s="120" t="e">
        <f t="shared" si="190"/>
        <v>#DIV/0!</v>
      </c>
      <c r="T97" s="120" t="e">
        <f t="shared" si="190"/>
        <v>#DIV/0!</v>
      </c>
      <c r="U97" s="120" t="e">
        <f t="shared" si="190"/>
        <v>#DIV/0!</v>
      </c>
      <c r="V97" s="81" t="s">
        <v>10</v>
      </c>
      <c r="W97" s="87" t="e">
        <f t="shared" ref="W97:BJ97" si="191">AVERAGEIF($E$5:$E$41,$E97,W$5:W$41)</f>
        <v>#DIV/0!</v>
      </c>
      <c r="X97" s="87" t="e">
        <f t="shared" si="191"/>
        <v>#DIV/0!</v>
      </c>
      <c r="Y97" s="87" t="e">
        <f t="shared" si="191"/>
        <v>#DIV/0!</v>
      </c>
      <c r="Z97" s="87" t="e">
        <f t="shared" si="191"/>
        <v>#DIV/0!</v>
      </c>
      <c r="AA97" s="87" t="e">
        <f t="shared" si="191"/>
        <v>#DIV/0!</v>
      </c>
      <c r="AB97" s="87" t="e">
        <f t="shared" si="191"/>
        <v>#DIV/0!</v>
      </c>
      <c r="AC97" s="87" t="e">
        <f t="shared" si="191"/>
        <v>#DIV/0!</v>
      </c>
      <c r="AD97" s="87" t="e">
        <f t="shared" si="191"/>
        <v>#DIV/0!</v>
      </c>
      <c r="AE97" s="87" t="e">
        <f t="shared" si="191"/>
        <v>#DIV/0!</v>
      </c>
      <c r="AF97" s="87" t="e">
        <f t="shared" si="191"/>
        <v>#DIV/0!</v>
      </c>
      <c r="AG97" s="87" t="e">
        <f t="shared" si="191"/>
        <v>#DIV/0!</v>
      </c>
      <c r="AH97" s="87" t="e">
        <f t="shared" si="191"/>
        <v>#DIV/0!</v>
      </c>
      <c r="AI97" s="87" t="e">
        <f t="shared" si="191"/>
        <v>#DIV/0!</v>
      </c>
      <c r="AJ97" s="87" t="e">
        <f t="shared" si="191"/>
        <v>#DIV/0!</v>
      </c>
      <c r="AK97" s="87" t="e">
        <f t="shared" si="191"/>
        <v>#DIV/0!</v>
      </c>
      <c r="AL97" s="87" t="e">
        <f t="shared" si="191"/>
        <v>#DIV/0!</v>
      </c>
      <c r="AM97" s="87" t="e">
        <f t="shared" si="191"/>
        <v>#DIV/0!</v>
      </c>
      <c r="AN97" s="87" t="e">
        <f t="shared" si="191"/>
        <v>#DIV/0!</v>
      </c>
      <c r="AO97" s="87" t="e">
        <f t="shared" si="191"/>
        <v>#DIV/0!</v>
      </c>
      <c r="AP97" s="87" t="e">
        <f t="shared" si="191"/>
        <v>#DIV/0!</v>
      </c>
      <c r="AQ97" s="87" t="e">
        <f t="shared" si="191"/>
        <v>#DIV/0!</v>
      </c>
      <c r="AR97" s="87" t="e">
        <f t="shared" si="191"/>
        <v>#DIV/0!</v>
      </c>
      <c r="AS97" s="87" t="e">
        <f t="shared" si="191"/>
        <v>#DIV/0!</v>
      </c>
      <c r="AT97" s="87" t="e">
        <f t="shared" si="191"/>
        <v>#DIV/0!</v>
      </c>
      <c r="AU97" s="87" t="e">
        <f t="shared" si="191"/>
        <v>#DIV/0!</v>
      </c>
      <c r="AV97" s="87" t="e">
        <f t="shared" si="191"/>
        <v>#DIV/0!</v>
      </c>
      <c r="AW97" s="87" t="e">
        <f t="shared" si="191"/>
        <v>#DIV/0!</v>
      </c>
      <c r="AX97" s="87" t="e">
        <f t="shared" si="191"/>
        <v>#DIV/0!</v>
      </c>
      <c r="AY97" s="87" t="e">
        <f t="shared" si="191"/>
        <v>#DIV/0!</v>
      </c>
      <c r="AZ97" s="87" t="e">
        <f t="shared" si="191"/>
        <v>#DIV/0!</v>
      </c>
      <c r="BA97" s="87" t="e">
        <f t="shared" si="191"/>
        <v>#DIV/0!</v>
      </c>
      <c r="BB97" s="87" t="e">
        <f t="shared" si="191"/>
        <v>#DIV/0!</v>
      </c>
      <c r="BC97" s="87" t="e">
        <f t="shared" si="191"/>
        <v>#DIV/0!</v>
      </c>
      <c r="BD97" s="87" t="e">
        <f t="shared" si="191"/>
        <v>#DIV/0!</v>
      </c>
      <c r="BE97" s="87" t="e">
        <f t="shared" si="191"/>
        <v>#DIV/0!</v>
      </c>
      <c r="BF97" s="87" t="e">
        <f t="shared" si="191"/>
        <v>#DIV/0!</v>
      </c>
      <c r="BG97" s="87" t="e">
        <f t="shared" si="191"/>
        <v>#DIV/0!</v>
      </c>
      <c r="BH97" s="87" t="e">
        <f t="shared" si="191"/>
        <v>#DIV/0!</v>
      </c>
      <c r="BI97" s="87" t="e">
        <f t="shared" si="191"/>
        <v>#DIV/0!</v>
      </c>
      <c r="BJ97" s="87" t="e">
        <f t="shared" si="191"/>
        <v>#DIV/0!</v>
      </c>
      <c r="BK97" s="114" t="s">
        <v>10</v>
      </c>
      <c r="BL97" s="82" t="e">
        <f t="shared" ref="BL97:CY97" si="192">AVERAGEIF($E$5:$E$41,$E97,BL$5:BL$41)</f>
        <v>#DIV/0!</v>
      </c>
      <c r="BM97" s="82" t="e">
        <f t="shared" si="192"/>
        <v>#DIV/0!</v>
      </c>
      <c r="BN97" s="82" t="e">
        <f t="shared" si="192"/>
        <v>#DIV/0!</v>
      </c>
      <c r="BO97" s="82" t="e">
        <f t="shared" si="192"/>
        <v>#DIV/0!</v>
      </c>
      <c r="BP97" s="82" t="e">
        <f t="shared" si="192"/>
        <v>#DIV/0!</v>
      </c>
      <c r="BQ97" s="82" t="e">
        <f t="shared" si="192"/>
        <v>#DIV/0!</v>
      </c>
      <c r="BR97" s="82" t="e">
        <f t="shared" si="192"/>
        <v>#DIV/0!</v>
      </c>
      <c r="BS97" s="82" t="e">
        <f t="shared" si="192"/>
        <v>#DIV/0!</v>
      </c>
      <c r="BT97" s="82" t="e">
        <f t="shared" si="192"/>
        <v>#DIV/0!</v>
      </c>
      <c r="BU97" s="82" t="e">
        <f t="shared" si="192"/>
        <v>#DIV/0!</v>
      </c>
      <c r="BV97" s="82" t="e">
        <f t="shared" si="192"/>
        <v>#DIV/0!</v>
      </c>
      <c r="BW97" s="82" t="e">
        <f t="shared" si="192"/>
        <v>#DIV/0!</v>
      </c>
      <c r="BX97" s="82" t="e">
        <f t="shared" si="192"/>
        <v>#DIV/0!</v>
      </c>
      <c r="BY97" s="82" t="e">
        <f t="shared" si="192"/>
        <v>#DIV/0!</v>
      </c>
      <c r="BZ97" s="82" t="e">
        <f t="shared" si="192"/>
        <v>#DIV/0!</v>
      </c>
      <c r="CA97" s="82" t="e">
        <f t="shared" si="192"/>
        <v>#DIV/0!</v>
      </c>
      <c r="CB97" s="82" t="e">
        <f t="shared" si="192"/>
        <v>#DIV/0!</v>
      </c>
      <c r="CC97" s="82" t="e">
        <f t="shared" si="192"/>
        <v>#DIV/0!</v>
      </c>
      <c r="CD97" s="82" t="e">
        <f t="shared" si="192"/>
        <v>#DIV/0!</v>
      </c>
      <c r="CE97" s="82" t="e">
        <f t="shared" si="192"/>
        <v>#DIV/0!</v>
      </c>
      <c r="CF97" s="82" t="e">
        <f t="shared" si="192"/>
        <v>#DIV/0!</v>
      </c>
      <c r="CG97" s="82" t="e">
        <f t="shared" si="192"/>
        <v>#DIV/0!</v>
      </c>
      <c r="CH97" s="82" t="e">
        <f t="shared" si="192"/>
        <v>#DIV/0!</v>
      </c>
      <c r="CI97" s="82" t="e">
        <f t="shared" si="192"/>
        <v>#DIV/0!</v>
      </c>
      <c r="CJ97" s="82" t="e">
        <f t="shared" si="192"/>
        <v>#DIV/0!</v>
      </c>
      <c r="CK97" s="82" t="e">
        <f t="shared" si="192"/>
        <v>#DIV/0!</v>
      </c>
      <c r="CL97" s="82" t="e">
        <f t="shared" si="192"/>
        <v>#DIV/0!</v>
      </c>
      <c r="CM97" s="82" t="e">
        <f t="shared" si="192"/>
        <v>#DIV/0!</v>
      </c>
      <c r="CN97" s="82" t="e">
        <f t="shared" si="192"/>
        <v>#DIV/0!</v>
      </c>
      <c r="CO97" s="82" t="e">
        <f t="shared" si="192"/>
        <v>#DIV/0!</v>
      </c>
      <c r="CP97" s="82" t="e">
        <f t="shared" si="192"/>
        <v>#DIV/0!</v>
      </c>
      <c r="CQ97" s="82" t="e">
        <f t="shared" si="192"/>
        <v>#DIV/0!</v>
      </c>
      <c r="CR97" s="82" t="e">
        <f t="shared" si="192"/>
        <v>#DIV/0!</v>
      </c>
      <c r="CS97" s="82" t="e">
        <f t="shared" si="192"/>
        <v>#DIV/0!</v>
      </c>
      <c r="CT97" s="82" t="e">
        <f t="shared" si="192"/>
        <v>#DIV/0!</v>
      </c>
      <c r="CU97" s="82" t="e">
        <f t="shared" si="192"/>
        <v>#DIV/0!</v>
      </c>
      <c r="CV97" s="82" t="e">
        <f t="shared" si="192"/>
        <v>#DIV/0!</v>
      </c>
      <c r="CW97" s="82" t="e">
        <f t="shared" si="192"/>
        <v>#DIV/0!</v>
      </c>
      <c r="CX97" s="82" t="e">
        <f t="shared" si="192"/>
        <v>#DIV/0!</v>
      </c>
      <c r="CY97" s="82" t="e">
        <f t="shared" si="192"/>
        <v>#DIV/0!</v>
      </c>
    </row>
    <row r="98" spans="1:103" ht="14.25" customHeight="1">
      <c r="A98" s="129"/>
      <c r="E98" s="104"/>
      <c r="H98" s="104"/>
      <c r="I98" s="120" t="e">
        <f t="array" ref="I98">_xlfn.STDEV.P(IF($E$5:$E$41=$E97,I$5:I$41))</f>
        <v>#DIV/0!</v>
      </c>
      <c r="J98" s="120"/>
      <c r="K98" s="120"/>
      <c r="L98" s="120"/>
      <c r="M98" s="120" t="e">
        <f t="array" ref="M98">_xlfn.STDEV.P(IF($E$5:$E$41=$E97,M$5:M$41))</f>
        <v>#DIV/0!</v>
      </c>
      <c r="N98" s="120"/>
      <c r="O98" s="120" t="e">
        <f t="array" ref="O98">_xlfn.STDEV.P(IF($E$5:$E$41=$E97,O$5:O$41))</f>
        <v>#DIV/0!</v>
      </c>
      <c r="P98" s="120" t="e">
        <f t="array" ref="P98">_xlfn.STDEV.P(IF($E$5:$E$41=$E97,P$5:P$41))</f>
        <v>#DIV/0!</v>
      </c>
      <c r="Q98" s="120" t="e">
        <f t="array" ref="Q98">_xlfn.STDEV.P(IF($E$5:$E$41=$E97,Q$5:Q$41))</f>
        <v>#DIV/0!</v>
      </c>
      <c r="R98" s="188" t="e">
        <f t="array" ref="R98">_xlfn.STDEV.P(IF($E$5:$E$41=$E97,R$5:R$41))</f>
        <v>#DIV/0!</v>
      </c>
      <c r="S98" s="120" t="e">
        <f t="array" ref="S98">_xlfn.STDEV.P(IF($E$5:$E$41=$E97,S$5:S$41))</f>
        <v>#DIV/0!</v>
      </c>
      <c r="T98" s="120" t="e">
        <f t="array" ref="T98">_xlfn.STDEV.P(IF($E$5:$E$41=$E97,T$5:T$41))</f>
        <v>#DIV/0!</v>
      </c>
      <c r="U98" s="120" t="e">
        <f t="array" ref="U98">_xlfn.STDEV.P(IF($E$5:$E$41=$E97,U$5:U$41))</f>
        <v>#DIV/0!</v>
      </c>
      <c r="V98" s="81" t="s">
        <v>12</v>
      </c>
      <c r="W98" s="90" t="e">
        <f t="array" ref="W98">_xlfn.STDEV.P(IF($E$5:$E$41=$E97,W$5:W$41))</f>
        <v>#DIV/0!</v>
      </c>
      <c r="X98" s="90" t="e">
        <f t="array" ref="X98">_xlfn.STDEV.P(IF($E$5:$E$41=$E97,X$5:X$41))</f>
        <v>#DIV/0!</v>
      </c>
      <c r="Y98" s="90" t="e">
        <f t="array" ref="Y98">_xlfn.STDEV.P(IF($E$5:$E$41=$E97,Y$5:Y$41))</f>
        <v>#DIV/0!</v>
      </c>
      <c r="Z98" s="90" t="e">
        <f t="array" ref="Z98">_xlfn.STDEV.P(IF($E$5:$E$41=$E97,Z$5:Z$41))</f>
        <v>#DIV/0!</v>
      </c>
      <c r="AA98" s="90" t="e">
        <f t="array" ref="AA98">_xlfn.STDEV.P(IF($E$5:$E$41=$E97,AA$5:AA$41))</f>
        <v>#DIV/0!</v>
      </c>
      <c r="AB98" s="90" t="e">
        <f t="array" ref="AB98">_xlfn.STDEV.P(IF($E$5:$E$41=$E97,AB$5:AB$41))</f>
        <v>#DIV/0!</v>
      </c>
      <c r="AC98" s="90" t="e">
        <f t="array" ref="AC98">_xlfn.STDEV.P(IF($E$5:$E$41=$E97,AC$5:AC$41))</f>
        <v>#DIV/0!</v>
      </c>
      <c r="AD98" s="90" t="e">
        <f t="array" ref="AD98">_xlfn.STDEV.P(IF($E$5:$E$41=$E97,AD$5:AD$41))</f>
        <v>#DIV/0!</v>
      </c>
      <c r="AE98" s="90" t="e">
        <f t="array" ref="AE98">_xlfn.STDEV.P(IF($E$5:$E$41=$E97,AE$5:AE$41))</f>
        <v>#DIV/0!</v>
      </c>
      <c r="AF98" s="90" t="e">
        <f t="array" ref="AF98">_xlfn.STDEV.P(IF($E$5:$E$41=$E97,AF$5:AF$41))</f>
        <v>#DIV/0!</v>
      </c>
      <c r="AG98" s="90" t="e">
        <f t="array" ref="AG98">_xlfn.STDEV.P(IF($E$5:$E$41=$E97,AG$5:AG$41))</f>
        <v>#DIV/0!</v>
      </c>
      <c r="AH98" s="90" t="e">
        <f t="array" ref="AH98">_xlfn.STDEV.P(IF($E$5:$E$41=$E97,AH$5:AH$41))</f>
        <v>#DIV/0!</v>
      </c>
      <c r="AI98" s="90" t="e">
        <f t="array" ref="AI98">_xlfn.STDEV.P(IF($E$5:$E$41=$E97,AI$5:AI$41))</f>
        <v>#DIV/0!</v>
      </c>
      <c r="AJ98" s="90" t="e">
        <f t="array" ref="AJ98">_xlfn.STDEV.P(IF($E$5:$E$41=$E97,AJ$5:AJ$41))</f>
        <v>#DIV/0!</v>
      </c>
      <c r="AK98" s="90" t="e">
        <f t="array" ref="AK98">_xlfn.STDEV.P(IF($E$5:$E$41=$E97,AK$5:AK$41))</f>
        <v>#DIV/0!</v>
      </c>
      <c r="AL98" s="90" t="e">
        <f t="array" ref="AL98">_xlfn.STDEV.P(IF($E$5:$E$41=$E97,AL$5:AL$41))</f>
        <v>#DIV/0!</v>
      </c>
      <c r="AM98" s="90" t="e">
        <f t="array" ref="AM98">_xlfn.STDEV.P(IF($E$5:$E$41=$E97,AM$5:AM$41))</f>
        <v>#DIV/0!</v>
      </c>
      <c r="AN98" s="90" t="e">
        <f t="array" ref="AN98">_xlfn.STDEV.P(IF($E$5:$E$41=$E97,AN$5:AN$41))</f>
        <v>#DIV/0!</v>
      </c>
      <c r="AO98" s="90" t="e">
        <f t="array" ref="AO98">_xlfn.STDEV.P(IF($E$5:$E$41=$E97,AO$5:AO$41))</f>
        <v>#DIV/0!</v>
      </c>
      <c r="AP98" s="90" t="e">
        <f t="array" ref="AP98">_xlfn.STDEV.P(IF($E$5:$E$41=$E97,AP$5:AP$41))</f>
        <v>#DIV/0!</v>
      </c>
      <c r="AQ98" s="90" t="e">
        <f t="array" ref="AQ98">_xlfn.STDEV.P(IF($E$5:$E$41=$E97,AQ$5:AQ$41))</f>
        <v>#DIV/0!</v>
      </c>
      <c r="AR98" s="90" t="e">
        <f t="array" ref="AR98">_xlfn.STDEV.P(IF($E$5:$E$41=$E97,AR$5:AR$41))</f>
        <v>#DIV/0!</v>
      </c>
      <c r="AS98" s="90" t="e">
        <f t="array" ref="AS98">_xlfn.STDEV.P(IF($E$5:$E$41=$E97,AS$5:AS$41))</f>
        <v>#DIV/0!</v>
      </c>
      <c r="AT98" s="90" t="e">
        <f t="array" ref="AT98">_xlfn.STDEV.P(IF($E$5:$E$41=$E97,AT$5:AT$41))</f>
        <v>#DIV/0!</v>
      </c>
      <c r="AU98" s="90" t="e">
        <f t="array" ref="AU98">_xlfn.STDEV.P(IF($E$5:$E$41=$E97,AU$5:AU$41))</f>
        <v>#DIV/0!</v>
      </c>
      <c r="AV98" s="90" t="e">
        <f t="array" ref="AV98">_xlfn.STDEV.P(IF($E$5:$E$41=$E97,AV$5:AV$41))</f>
        <v>#DIV/0!</v>
      </c>
      <c r="AW98" s="90" t="e">
        <f t="array" ref="AW98">_xlfn.STDEV.P(IF($E$5:$E$41=$E97,AW$5:AW$41))</f>
        <v>#DIV/0!</v>
      </c>
      <c r="AX98" s="90" t="e">
        <f t="array" ref="AX98">_xlfn.STDEV.P(IF($E$5:$E$41=$E97,AX$5:AX$41))</f>
        <v>#DIV/0!</v>
      </c>
      <c r="AY98" s="90" t="e">
        <f t="array" ref="AY98">_xlfn.STDEV.P(IF($E$5:$E$41=$E97,AY$5:AY$41))</f>
        <v>#DIV/0!</v>
      </c>
      <c r="AZ98" s="90" t="e">
        <f t="array" ref="AZ98">_xlfn.STDEV.P(IF($E$5:$E$41=$E97,AZ$5:AZ$41))</f>
        <v>#DIV/0!</v>
      </c>
      <c r="BA98" s="90" t="e">
        <f t="array" ref="BA98">_xlfn.STDEV.P(IF($E$5:$E$41=$E97,BA$5:BA$41))</f>
        <v>#DIV/0!</v>
      </c>
      <c r="BB98" s="90" t="e">
        <f t="array" ref="BB98">_xlfn.STDEV.P(IF($E$5:$E$41=$E97,BB$5:BB$41))</f>
        <v>#DIV/0!</v>
      </c>
      <c r="BC98" s="90" t="e">
        <f t="array" ref="BC98">_xlfn.STDEV.P(IF($E$5:$E$41=$E97,BC$5:BC$41))</f>
        <v>#DIV/0!</v>
      </c>
      <c r="BD98" s="90" t="e">
        <f t="array" ref="BD98">_xlfn.STDEV.P(IF($E$5:$E$41=$E97,BD$5:BD$41))</f>
        <v>#DIV/0!</v>
      </c>
      <c r="BE98" s="90" t="e">
        <f t="array" ref="BE98">_xlfn.STDEV.P(IF($E$5:$E$41=$E97,BE$5:BE$41))</f>
        <v>#DIV/0!</v>
      </c>
      <c r="BF98" s="90" t="e">
        <f t="array" ref="BF98">_xlfn.STDEV.P(IF($E$5:$E$41=$E97,BF$5:BF$41))</f>
        <v>#DIV/0!</v>
      </c>
      <c r="BG98" s="90" t="e">
        <f t="array" ref="BG98">_xlfn.STDEV.P(IF($E$5:$E$41=$E97,BG$5:BG$41))</f>
        <v>#DIV/0!</v>
      </c>
      <c r="BH98" s="90" t="e">
        <f t="array" ref="BH98">_xlfn.STDEV.P(IF($E$5:$E$41=$E97,BH$5:BH$41))</f>
        <v>#DIV/0!</v>
      </c>
      <c r="BI98" s="90" t="e">
        <f t="array" ref="BI98">_xlfn.STDEV.P(IF($E$5:$E$41=$E97,BI$5:BI$41))</f>
        <v>#DIV/0!</v>
      </c>
      <c r="BJ98" s="90" t="e">
        <f t="array" ref="BJ98">_xlfn.STDEV.P(IF($E$5:$E$41=$E97,BJ$5:BJ$41))</f>
        <v>#DIV/0!</v>
      </c>
      <c r="BK98" s="115" t="s">
        <v>12</v>
      </c>
      <c r="BL98" s="83" t="e">
        <f t="array" ref="BL98">_xlfn.STDEV.P(IF($E$5:$E$41=$E97,BL$5:BL$41))</f>
        <v>#DIV/0!</v>
      </c>
      <c r="BM98" s="83" t="e">
        <f t="array" ref="BM98">_xlfn.STDEV.P(IF($E$5:$E$41=$E97,BM$5:BM$41))</f>
        <v>#DIV/0!</v>
      </c>
      <c r="BN98" s="83" t="e">
        <f t="array" ref="BN98">_xlfn.STDEV.P(IF($E$5:$E$41=$E97,BN$5:BN$41))</f>
        <v>#DIV/0!</v>
      </c>
      <c r="BO98" s="83" t="e">
        <f t="array" ref="BO98">_xlfn.STDEV.P(IF($E$5:$E$41=$E97,BO$5:BO$41))</f>
        <v>#DIV/0!</v>
      </c>
      <c r="BP98" s="83" t="e">
        <f t="array" ref="BP98">_xlfn.STDEV.P(IF($E$5:$E$41=$E97,BP$5:BP$41))</f>
        <v>#DIV/0!</v>
      </c>
      <c r="BQ98" s="83" t="e">
        <f t="array" ref="BQ98">_xlfn.STDEV.P(IF($E$5:$E$41=$E97,BQ$5:BQ$41))</f>
        <v>#DIV/0!</v>
      </c>
      <c r="BR98" s="83" t="e">
        <f t="array" ref="BR98">_xlfn.STDEV.P(IF($E$5:$E$41=$E97,BR$5:BR$41))</f>
        <v>#DIV/0!</v>
      </c>
      <c r="BS98" s="83" t="e">
        <f t="array" ref="BS98">_xlfn.STDEV.P(IF($E$5:$E$41=$E97,BS$5:BS$41))</f>
        <v>#DIV/0!</v>
      </c>
      <c r="BT98" s="83" t="e">
        <f t="array" ref="BT98">_xlfn.STDEV.P(IF($E$5:$E$41=$E97,BT$5:BT$41))</f>
        <v>#DIV/0!</v>
      </c>
      <c r="BU98" s="83" t="e">
        <f t="array" ref="BU98">_xlfn.STDEV.P(IF($E$5:$E$41=$E97,BU$5:BU$41))</f>
        <v>#DIV/0!</v>
      </c>
      <c r="BV98" s="83" t="e">
        <f t="array" ref="BV98">_xlfn.STDEV.P(IF($E$5:$E$41=$E97,BV$5:BV$41))</f>
        <v>#DIV/0!</v>
      </c>
      <c r="BW98" s="83" t="e">
        <f t="array" ref="BW98">_xlfn.STDEV.P(IF($E$5:$E$41=$E97,BW$5:BW$41))</f>
        <v>#DIV/0!</v>
      </c>
      <c r="BX98" s="83" t="e">
        <f t="array" ref="BX98">_xlfn.STDEV.P(IF($E$5:$E$41=$E97,BX$5:BX$41))</f>
        <v>#DIV/0!</v>
      </c>
      <c r="BY98" s="83" t="e">
        <f t="array" ref="BY98">_xlfn.STDEV.P(IF($E$5:$E$41=$E97,BY$5:BY$41))</f>
        <v>#DIV/0!</v>
      </c>
      <c r="BZ98" s="83" t="e">
        <f t="array" ref="BZ98">_xlfn.STDEV.P(IF($E$5:$E$41=$E97,BZ$5:BZ$41))</f>
        <v>#DIV/0!</v>
      </c>
      <c r="CA98" s="83" t="e">
        <f t="array" ref="CA98">_xlfn.STDEV.P(IF($E$5:$E$41=$E97,CA$5:CA$41))</f>
        <v>#DIV/0!</v>
      </c>
      <c r="CB98" s="83" t="e">
        <f t="array" ref="CB98">_xlfn.STDEV.P(IF($E$5:$E$41=$E97,CB$5:CB$41))</f>
        <v>#DIV/0!</v>
      </c>
      <c r="CC98" s="83" t="e">
        <f t="array" ref="CC98">_xlfn.STDEV.P(IF($E$5:$E$41=$E97,CC$5:CC$41))</f>
        <v>#DIV/0!</v>
      </c>
      <c r="CD98" s="83" t="e">
        <f t="array" ref="CD98">_xlfn.STDEV.P(IF($E$5:$E$41=$E97,CD$5:CD$41))</f>
        <v>#DIV/0!</v>
      </c>
      <c r="CE98" s="83" t="e">
        <f t="array" ref="CE98">_xlfn.STDEV.P(IF($E$5:$E$41=$E97,CE$5:CE$41))</f>
        <v>#DIV/0!</v>
      </c>
      <c r="CF98" s="83" t="e">
        <f t="array" ref="CF98">_xlfn.STDEV.P(IF($E$5:$E$41=$E97,CF$5:CF$41))</f>
        <v>#DIV/0!</v>
      </c>
      <c r="CG98" s="83" t="e">
        <f t="array" ref="CG98">_xlfn.STDEV.P(IF($E$5:$E$41=$E97,CG$5:CG$41))</f>
        <v>#DIV/0!</v>
      </c>
      <c r="CH98" s="83" t="e">
        <f t="array" ref="CH98">_xlfn.STDEV.P(IF($E$5:$E$41=$E97,CH$5:CH$41))</f>
        <v>#DIV/0!</v>
      </c>
      <c r="CI98" s="83" t="e">
        <f t="array" ref="CI98">_xlfn.STDEV.P(IF($E$5:$E$41=$E97,CI$5:CI$41))</f>
        <v>#DIV/0!</v>
      </c>
      <c r="CJ98" s="83" t="e">
        <f t="array" ref="CJ98">_xlfn.STDEV.P(IF($E$5:$E$41=$E97,CJ$5:CJ$41))</f>
        <v>#DIV/0!</v>
      </c>
      <c r="CK98" s="83" t="e">
        <f t="array" ref="CK98">_xlfn.STDEV.P(IF($E$5:$E$41=$E97,CK$5:CK$41))</f>
        <v>#DIV/0!</v>
      </c>
      <c r="CL98" s="83" t="e">
        <f t="array" ref="CL98">_xlfn.STDEV.P(IF($E$5:$E$41=$E97,CL$5:CL$41))</f>
        <v>#DIV/0!</v>
      </c>
      <c r="CM98" s="83" t="e">
        <f t="array" ref="CM98">_xlfn.STDEV.P(IF($E$5:$E$41=$E97,CM$5:CM$41))</f>
        <v>#DIV/0!</v>
      </c>
      <c r="CN98" s="83" t="e">
        <f t="array" ref="CN98">_xlfn.STDEV.P(IF($E$5:$E$41=$E97,CN$5:CN$41))</f>
        <v>#DIV/0!</v>
      </c>
      <c r="CO98" s="83" t="e">
        <f t="array" ref="CO98">_xlfn.STDEV.P(IF($E$5:$E$41=$E97,CO$5:CO$41))</f>
        <v>#DIV/0!</v>
      </c>
      <c r="CP98" s="83" t="e">
        <f t="array" ref="CP98">_xlfn.STDEV.P(IF($E$5:$E$41=$E97,CP$5:CP$41))</f>
        <v>#DIV/0!</v>
      </c>
      <c r="CQ98" s="83" t="e">
        <f t="array" ref="CQ98">_xlfn.STDEV.P(IF($E$5:$E$41=$E97,CQ$5:CQ$41))</f>
        <v>#DIV/0!</v>
      </c>
      <c r="CR98" s="83" t="e">
        <f t="array" ref="CR98">_xlfn.STDEV.P(IF($E$5:$E$41=$E97,CR$5:CR$41))</f>
        <v>#DIV/0!</v>
      </c>
      <c r="CS98" s="83" t="e">
        <f t="array" ref="CS98">_xlfn.STDEV.P(IF($E$5:$E$41=$E97,CS$5:CS$41))</f>
        <v>#DIV/0!</v>
      </c>
      <c r="CT98" s="83" t="e">
        <f t="array" ref="CT98">_xlfn.STDEV.P(IF($E$5:$E$41=$E97,CT$5:CT$41))</f>
        <v>#DIV/0!</v>
      </c>
      <c r="CU98" s="83" t="e">
        <f t="array" ref="CU98">_xlfn.STDEV.P(IF($E$5:$E$41=$E97,CU$5:CU$41))</f>
        <v>#DIV/0!</v>
      </c>
      <c r="CV98" s="83" t="e">
        <f t="array" ref="CV98">_xlfn.STDEV.P(IF($E$5:$E$41=$E97,CV$5:CV$41))</f>
        <v>#DIV/0!</v>
      </c>
      <c r="CW98" s="83" t="e">
        <f t="array" ref="CW98">_xlfn.STDEV.P(IF($E$5:$E$41=$E97,CW$5:CW$41))</f>
        <v>#DIV/0!</v>
      </c>
      <c r="CX98" s="83" t="e">
        <f t="array" ref="CX98">_xlfn.STDEV.P(IF($E$5:$E$41=$E97,CX$5:CX$41))</f>
        <v>#DIV/0!</v>
      </c>
      <c r="CY98" s="83" t="e">
        <f t="array" ref="CY98">_xlfn.STDEV.P(IF($E$5:$E$41=$E97,CY$5:CY$41))</f>
        <v>#DIV/0!</v>
      </c>
    </row>
    <row r="99" spans="1:103">
      <c r="R99" s="185"/>
    </row>
    <row r="100" spans="1:103">
      <c r="R100" s="185"/>
    </row>
    <row r="101" spans="1:103">
      <c r="R101" s="185"/>
    </row>
    <row r="102" spans="1:103">
      <c r="R102" s="185"/>
    </row>
    <row r="103" spans="1:103">
      <c r="R103" s="185"/>
    </row>
    <row r="104" spans="1:103">
      <c r="R104" s="185"/>
    </row>
    <row r="105" spans="1:103">
      <c r="R105" s="185"/>
    </row>
    <row r="106" spans="1:103">
      <c r="R106" s="185"/>
    </row>
    <row r="107" spans="1:103">
      <c r="R107" s="185"/>
    </row>
    <row r="108" spans="1:103">
      <c r="R108" s="185"/>
    </row>
    <row r="109" spans="1:103">
      <c r="R109" s="185"/>
    </row>
    <row r="110" spans="1:103">
      <c r="R110" s="185"/>
    </row>
    <row r="111" spans="1:103">
      <c r="R111" s="185"/>
    </row>
    <row r="112" spans="1:103">
      <c r="R112" s="185"/>
    </row>
    <row r="113" spans="18:18">
      <c r="R113" s="185"/>
    </row>
    <row r="114" spans="18:18">
      <c r="R114" s="185"/>
    </row>
    <row r="115" spans="18:18">
      <c r="R115" s="185"/>
    </row>
    <row r="116" spans="18:18">
      <c r="R116" s="185"/>
    </row>
    <row r="117" spans="18:18">
      <c r="R117" s="185"/>
    </row>
    <row r="118" spans="18:18">
      <c r="R118" s="185"/>
    </row>
    <row r="119" spans="18:18">
      <c r="R119" s="185"/>
    </row>
    <row r="120" spans="18:18">
      <c r="R120" s="185"/>
    </row>
    <row r="121" spans="18:18">
      <c r="R121" s="185"/>
    </row>
    <row r="122" spans="18:18">
      <c r="R122" s="185"/>
    </row>
    <row r="123" spans="18:18">
      <c r="R123" s="185"/>
    </row>
    <row r="124" spans="18:18">
      <c r="R124" s="185"/>
    </row>
    <row r="125" spans="18:18">
      <c r="R125" s="185"/>
    </row>
    <row r="126" spans="18:18">
      <c r="R126" s="185"/>
    </row>
    <row r="127" spans="18:18">
      <c r="R127" s="185"/>
    </row>
    <row r="128" spans="18:18">
      <c r="R128" s="185"/>
    </row>
    <row r="129" spans="18:18">
      <c r="R129" s="185"/>
    </row>
    <row r="130" spans="18:18">
      <c r="R130" s="185"/>
    </row>
    <row r="131" spans="18:18">
      <c r="R131" s="185"/>
    </row>
    <row r="132" spans="18:18">
      <c r="R132" s="185"/>
    </row>
    <row r="133" spans="18:18">
      <c r="R133" s="185"/>
    </row>
    <row r="134" spans="18:18">
      <c r="R134" s="185"/>
    </row>
    <row r="135" spans="18:18">
      <c r="R135" s="185"/>
    </row>
    <row r="136" spans="18:18">
      <c r="R136" s="185"/>
    </row>
    <row r="137" spans="18:18">
      <c r="R137" s="185"/>
    </row>
    <row r="138" spans="18:18">
      <c r="R138" s="185"/>
    </row>
    <row r="139" spans="18:18">
      <c r="R139" s="185"/>
    </row>
    <row r="140" spans="18:18">
      <c r="R140" s="185"/>
    </row>
    <row r="141" spans="18:18">
      <c r="R141" s="185"/>
    </row>
    <row r="142" spans="18:18">
      <c r="R142" s="185"/>
    </row>
    <row r="143" spans="18:18">
      <c r="R143" s="185"/>
    </row>
    <row r="144" spans="18:18">
      <c r="R144" s="185"/>
    </row>
    <row r="145" spans="18:18">
      <c r="R145" s="185"/>
    </row>
    <row r="146" spans="18:18">
      <c r="R146" s="185"/>
    </row>
    <row r="147" spans="18:18">
      <c r="R147" s="185"/>
    </row>
    <row r="148" spans="18:18">
      <c r="R148" s="185"/>
    </row>
    <row r="149" spans="18:18">
      <c r="R149" s="185"/>
    </row>
    <row r="150" spans="18:18">
      <c r="R150" s="185"/>
    </row>
    <row r="151" spans="18:18">
      <c r="R151" s="185"/>
    </row>
    <row r="152" spans="18:18">
      <c r="R152" s="185"/>
    </row>
    <row r="153" spans="18:18">
      <c r="R153" s="185"/>
    </row>
    <row r="154" spans="18:18">
      <c r="R154" s="185"/>
    </row>
    <row r="155" spans="18:18">
      <c r="R155" s="185"/>
    </row>
    <row r="156" spans="18:18">
      <c r="R156" s="185"/>
    </row>
    <row r="157" spans="18:18">
      <c r="R157" s="185"/>
    </row>
    <row r="158" spans="18:18">
      <c r="R158" s="185"/>
    </row>
    <row r="159" spans="18:18">
      <c r="R159" s="185"/>
    </row>
    <row r="160" spans="18:18">
      <c r="R160" s="185"/>
    </row>
    <row r="161" spans="18:18">
      <c r="R161" s="185"/>
    </row>
    <row r="162" spans="18:18">
      <c r="R162" s="185"/>
    </row>
    <row r="163" spans="18:18">
      <c r="R163" s="185"/>
    </row>
    <row r="164" spans="18:18">
      <c r="R164" s="185"/>
    </row>
    <row r="165" spans="18:18">
      <c r="R165" s="185"/>
    </row>
    <row r="166" spans="18:18">
      <c r="R166" s="185"/>
    </row>
    <row r="167" spans="18:18">
      <c r="R167" s="185"/>
    </row>
    <row r="168" spans="18:18">
      <c r="R168" s="185"/>
    </row>
    <row r="169" spans="18:18">
      <c r="R169" s="185"/>
    </row>
    <row r="170" spans="18:18">
      <c r="R170" s="185"/>
    </row>
    <row r="171" spans="18:18">
      <c r="R171" s="185"/>
    </row>
    <row r="172" spans="18:18">
      <c r="R172" s="185"/>
    </row>
    <row r="173" spans="18:18">
      <c r="R173" s="185"/>
    </row>
    <row r="174" spans="18:18">
      <c r="R174" s="185"/>
    </row>
    <row r="175" spans="18:18">
      <c r="R175" s="185"/>
    </row>
    <row r="176" spans="18:18">
      <c r="R176" s="185"/>
    </row>
    <row r="177" spans="18:18">
      <c r="R177" s="185"/>
    </row>
    <row r="178" spans="18:18">
      <c r="R178" s="185"/>
    </row>
  </sheetData>
  <autoFilter ref="A4:CY41" xr:uid="{00000000-0009-0000-0000-000000000000}">
    <sortState xmlns:xlrd2="http://schemas.microsoft.com/office/spreadsheetml/2017/richdata2" ref="A5:CI41">
      <sortCondition ref="B4:B41"/>
    </sortState>
  </autoFilter>
  <mergeCells count="3">
    <mergeCell ref="F2:G3"/>
    <mergeCell ref="H43:H44"/>
    <mergeCell ref="H2:U3"/>
  </mergeCells>
  <conditionalFormatting sqref="W5:BJ41">
    <cfRule type="cellIs" dxfId="9" priority="7" operator="greaterThan">
      <formula>1650</formula>
    </cfRule>
    <cfRule type="cellIs" dxfId="8" priority="8" operator="between">
      <formula>1000</formula>
      <formula>1650</formula>
    </cfRule>
  </conditionalFormatting>
  <dataValidations count="1">
    <dataValidation type="list" allowBlank="1" showInputMessage="1" showErrorMessage="1" sqref="E46:E1048576 E5:E41" xr:uid="{00000000-0002-0000-00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'RAD_DOSE Groups'!$C$6:$C$21</xm:f>
          </x14:formula1>
          <xm:sqref>H46:H92 H94:H98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8B41-0D4A-416A-9D7E-D46ABAF95E1C}">
  <dimension ref="A1:K21"/>
  <sheetViews>
    <sheetView workbookViewId="0">
      <selection sqref="A1:D1"/>
    </sheetView>
  </sheetViews>
  <sheetFormatPr defaultRowHeight="15"/>
  <cols>
    <col min="1" max="1" width="9.140625" style="129"/>
    <col min="2" max="2" width="7.140625" style="130" customWidth="1"/>
    <col min="3" max="3" width="24.85546875" style="129" bestFit="1" customWidth="1"/>
    <col min="4" max="4" width="11" style="129" customWidth="1"/>
    <col min="5" max="5" width="9.140625" style="129"/>
    <col min="6" max="7" width="9.140625" style="133"/>
    <col min="8" max="9" width="10" style="133" customWidth="1"/>
    <col min="10" max="10" width="11.85546875" style="129" customWidth="1"/>
    <col min="11" max="11" width="11.140625" style="129" customWidth="1"/>
    <col min="12" max="16384" width="9.140625" style="129"/>
  </cols>
  <sheetData>
    <row r="1" spans="1:11" ht="23.25">
      <c r="A1" s="288" t="s">
        <v>96</v>
      </c>
      <c r="B1" s="288"/>
      <c r="C1" s="288"/>
      <c r="D1" s="288"/>
    </row>
    <row r="2" spans="1:11" ht="24" thickBot="1">
      <c r="A2" s="289" t="s">
        <v>36</v>
      </c>
      <c r="B2" s="289"/>
      <c r="C2" s="289"/>
      <c r="D2" s="289"/>
    </row>
    <row r="3" spans="1:11" s="132" customFormat="1">
      <c r="B3" s="131"/>
      <c r="F3" s="284"/>
      <c r="G3" s="284"/>
      <c r="H3" s="284"/>
      <c r="I3" s="284"/>
    </row>
    <row r="4" spans="1:11" ht="33.75" customHeight="1">
      <c r="F4" s="281" t="s">
        <v>61</v>
      </c>
      <c r="G4" s="283"/>
      <c r="H4" s="282" t="s">
        <v>59</v>
      </c>
      <c r="I4" s="283"/>
      <c r="J4" s="281" t="s">
        <v>60</v>
      </c>
      <c r="K4" s="281"/>
    </row>
    <row r="5" spans="1:11">
      <c r="B5" s="131" t="s">
        <v>33</v>
      </c>
      <c r="C5" s="132" t="s">
        <v>62</v>
      </c>
      <c r="E5" s="131" t="s">
        <v>33</v>
      </c>
      <c r="F5" s="217" t="s">
        <v>37</v>
      </c>
      <c r="G5" s="178" t="s">
        <v>38</v>
      </c>
      <c r="H5" s="181" t="s">
        <v>37</v>
      </c>
      <c r="I5" s="178" t="s">
        <v>38</v>
      </c>
      <c r="J5" s="217" t="s">
        <v>37</v>
      </c>
      <c r="K5" s="217" t="s">
        <v>38</v>
      </c>
    </row>
    <row r="6" spans="1:11">
      <c r="B6" s="130">
        <v>1</v>
      </c>
      <c r="C6" s="129" t="s">
        <v>34</v>
      </c>
      <c r="E6" s="135">
        <f>COUNTIF('PTX_DOSE Tumor Size'!E$5:E$53,'PTX_DOSE Groups'!C6)</f>
        <v>4</v>
      </c>
      <c r="F6" s="156">
        <f>AVERAGEIF('PTX_DOSE Body Weight'!E$5:E$53,'PTX_DOSE Groups'!C6,'PTX_DOSE Body Weight'!M$5:M$53)</f>
        <v>28.375</v>
      </c>
      <c r="G6" s="180">
        <f t="array" ref="G6">_xlfn.STDEV.P(IF('PTX_DOSE Body Weight'!E$5:E$53='PTX_DOSE Groups'!C6,'PTX_DOSE Body Weight'!M$5:M$53))</f>
        <v>2.0547201755956932</v>
      </c>
      <c r="H6" s="182">
        <f>AVERAGEIF('PTX_DOSE Tumor Size'!E$5:E$53,'PTX_DOSE Groups'!C6,'PTX_DOSE Tumor Size'!M$5:M$53)</f>
        <v>110.82916</v>
      </c>
      <c r="I6" s="180">
        <f t="array" ref="I6">_xlfn.STDEV.P(IF('PTX_DOSE Tumor Size'!E$5:E$53='PTX_DOSE Groups'!C6,'PTX_DOSE Tumor Size'!M$5:M$53))</f>
        <v>25.733341098069637</v>
      </c>
      <c r="J6" s="156">
        <f>AVERAGEIF('PTX_DOSE Tumor Size'!E$5:E$53,'PTX_DOSE Groups'!C6,'PTX_DOSE Tumor Size'!S$5:S$53)</f>
        <v>0</v>
      </c>
      <c r="K6" s="156">
        <f t="array" ref="K6">_xlfn.STDEV.P(IF('PTX_DOSE Tumor Size'!E$5:E$53='PTX_DOSE Groups'!C6,'PTX_DOSE Tumor Size'!S$5:S$53))</f>
        <v>0</v>
      </c>
    </row>
    <row r="7" spans="1:11">
      <c r="B7" s="130">
        <v>2</v>
      </c>
      <c r="C7" s="129" t="s">
        <v>90</v>
      </c>
      <c r="E7" s="135">
        <f>COUNTIF('PTX_DOSE Tumor Size'!E$5:E$53,'PTX_DOSE Groups'!C7)</f>
        <v>5</v>
      </c>
      <c r="F7" s="156">
        <f>AVERAGEIF('PTX_DOSE Body Weight'!E$5:E$53,'PTX_DOSE Groups'!C7,'PTX_DOSE Body Weight'!M$5:M$53)</f>
        <v>27.860000000000003</v>
      </c>
      <c r="G7" s="180">
        <f t="array" ref="G7">_xlfn.STDEV.P(IF('PTX_DOSE Body Weight'!E$5:E$53='PTX_DOSE Groups'!C7,'PTX_DOSE Body Weight'!M$5:M$53))</f>
        <v>2.297476876923902</v>
      </c>
      <c r="H7" s="182">
        <f>AVERAGEIF('PTX_DOSE Tumor Size'!E$5:E$53,'PTX_DOSE Groups'!C7,'PTX_DOSE Tumor Size'!M$5:M$53)</f>
        <v>119.29788000000001</v>
      </c>
      <c r="I7" s="180">
        <f t="array" ref="I7">_xlfn.STDEV.P(IF('PTX_DOSE Tumor Size'!E$5:E$53='PTX_DOSE Groups'!C7,'PTX_DOSE Tumor Size'!M$5:M$53))</f>
        <v>20.465995839577463</v>
      </c>
      <c r="J7" s="156">
        <f>AVERAGEIF('PTX_DOSE Tumor Size'!E$5:E$53,'PTX_DOSE Groups'!C7,'PTX_DOSE Tumor Size'!S$5:S$53)</f>
        <v>2.8248804450597289</v>
      </c>
      <c r="K7" s="156">
        <f t="array" ref="K7">_xlfn.STDEV.P(IF('PTX_DOSE Tumor Size'!E$5:E$53='PTX_DOSE Groups'!C7,'PTX_DOSE Tumor Size'!S$5:S$53))</f>
        <v>0.25907218202009036</v>
      </c>
    </row>
    <row r="8" spans="1:11">
      <c r="B8" s="130">
        <v>3</v>
      </c>
      <c r="C8" s="129" t="s">
        <v>83</v>
      </c>
      <c r="E8" s="135">
        <f>COUNTIF('PTX_DOSE Tumor Size'!E$5:E$53,'PTX_DOSE Groups'!C8)</f>
        <v>6</v>
      </c>
      <c r="F8" s="156">
        <f>AVERAGEIF('PTX_DOSE Body Weight'!E$5:E$53,'PTX_DOSE Groups'!C8,'PTX_DOSE Body Weight'!M$5:M$53)</f>
        <v>28.266666666666666</v>
      </c>
      <c r="G8" s="180">
        <f t="array" ref="G8">_xlfn.STDEV.P(IF('PTX_DOSE Body Weight'!E$5:E$53='PTX_DOSE Groups'!C8,'PTX_DOSE Body Weight'!M$5:M$53))</f>
        <v>2.6468010041473762</v>
      </c>
      <c r="H8" s="182">
        <f>AVERAGEIF('PTX_DOSE Tumor Size'!E$5:E$53,'PTX_DOSE Groups'!C8,'PTX_DOSE Tumor Size'!M$5:M$53)</f>
        <v>123.14267333333333</v>
      </c>
      <c r="I8" s="180">
        <f t="array" ref="I8">_xlfn.STDEV.P(IF('PTX_DOSE Tumor Size'!E$5:E$53='PTX_DOSE Groups'!C8,'PTX_DOSE Tumor Size'!M$5:M$53))</f>
        <v>10.626004820788577</v>
      </c>
      <c r="J8" s="156">
        <f>AVERAGEIF('PTX_DOSE Tumor Size'!E$5:E$53,'PTX_DOSE Groups'!C8,'PTX_DOSE Tumor Size'!S$5:S$53)</f>
        <v>0</v>
      </c>
      <c r="K8" s="156">
        <f t="array" ref="K8">_xlfn.STDEV.P(IF('PTX_DOSE Tumor Size'!E$5:E$53='PTX_DOSE Groups'!C8,'PTX_DOSE Tumor Size'!S$5:S$53))</f>
        <v>0</v>
      </c>
    </row>
    <row r="9" spans="1:11">
      <c r="B9" s="130">
        <v>4</v>
      </c>
      <c r="C9" s="129" t="s">
        <v>87</v>
      </c>
      <c r="E9" s="135">
        <f>COUNTIF('PTX_DOSE Tumor Size'!E$5:E$53,'PTX_DOSE Groups'!C9)</f>
        <v>4</v>
      </c>
      <c r="F9" s="156">
        <f>AVERAGEIF('PTX_DOSE Body Weight'!E$5:E$53,'PTX_DOSE Groups'!C9,'PTX_DOSE Body Weight'!M$5:M$53)</f>
        <v>29.375</v>
      </c>
      <c r="G9" s="180">
        <f t="array" ref="G9">_xlfn.STDEV.P(IF('PTX_DOSE Body Weight'!E$5:E$53='PTX_DOSE Groups'!C9,'PTX_DOSE Body Weight'!M$5:M$53))</f>
        <v>1.200780995852283</v>
      </c>
      <c r="H9" s="182">
        <f>AVERAGEIF('PTX_DOSE Tumor Size'!E$5:E$53,'PTX_DOSE Groups'!C9,'PTX_DOSE Tumor Size'!M$5:M$53)</f>
        <v>110.44345000000001</v>
      </c>
      <c r="I9" s="180">
        <f t="array" ref="I9">_xlfn.STDEV.P(IF('PTX_DOSE Tumor Size'!E$5:E$53='PTX_DOSE Groups'!C9,'PTX_DOSE Tumor Size'!M$5:M$53))</f>
        <v>54.681667634280316</v>
      </c>
      <c r="J9" s="156">
        <f>AVERAGEIF('PTX_DOSE Tumor Size'!E$5:E$53,'PTX_DOSE Groups'!C9,'PTX_DOSE Tumor Size'!S$5:S$53)</f>
        <v>2.838019570597758</v>
      </c>
      <c r="K9" s="156">
        <f t="array" ref="K9">_xlfn.STDEV.P(IF('PTX_DOSE Tumor Size'!E$5:E$53='PTX_DOSE Groups'!C9,'PTX_DOSE Tumor Size'!S$5:S$53))</f>
        <v>0.68978837561427053</v>
      </c>
    </row>
    <row r="10" spans="1:11">
      <c r="B10" s="130">
        <v>5</v>
      </c>
      <c r="C10" s="129" t="s">
        <v>88</v>
      </c>
      <c r="E10" s="135">
        <f>COUNTIF('PTX_DOSE Tumor Size'!E$5:E$53,'PTX_DOSE Groups'!C10)</f>
        <v>4</v>
      </c>
      <c r="F10" s="156">
        <f>AVERAGEIF('PTX_DOSE Body Weight'!E$5:E$53,'PTX_DOSE Groups'!C10,'PTX_DOSE Body Weight'!M$5:M$53)</f>
        <v>30.674999999999997</v>
      </c>
      <c r="G10" s="180">
        <f t="array" ref="G10">_xlfn.STDEV.P(IF('PTX_DOSE Body Weight'!E$5:E$53='PTX_DOSE Groups'!C10,'PTX_DOSE Body Weight'!M$5:M$53))</f>
        <v>1.5546301811041754</v>
      </c>
      <c r="H10" s="182">
        <f>AVERAGEIF('PTX_DOSE Tumor Size'!E$5:E$53,'PTX_DOSE Groups'!C10,'PTX_DOSE Tumor Size'!M$5:M$53)</f>
        <v>118.43546000000001</v>
      </c>
      <c r="I10" s="180">
        <f t="array" ref="I10">_xlfn.STDEV.P(IF('PTX_DOSE Tumor Size'!E$5:E$53='PTX_DOSE Groups'!C10,'PTX_DOSE Tumor Size'!M$5:M$53))</f>
        <v>4.3176191282233383</v>
      </c>
      <c r="J10" s="156">
        <f>AVERAGEIF('PTX_DOSE Tumor Size'!E$5:E$53,'PTX_DOSE Groups'!C10,'PTX_DOSE Tumor Size'!S$5:S$53)</f>
        <v>0</v>
      </c>
      <c r="K10" s="156">
        <f t="array" ref="K10">_xlfn.STDEV.P(IF('PTX_DOSE Tumor Size'!E$5:E$53='PTX_DOSE Groups'!C10,'PTX_DOSE Tumor Size'!S$5:S$53))</f>
        <v>0</v>
      </c>
    </row>
    <row r="11" spans="1:11">
      <c r="B11" s="130">
        <v>6</v>
      </c>
      <c r="C11" s="129" t="s">
        <v>86</v>
      </c>
      <c r="E11" s="135">
        <f>COUNTIF('PTX_DOSE Tumor Size'!E$5:E$53,'PTX_DOSE Groups'!C11)</f>
        <v>5</v>
      </c>
      <c r="F11" s="156">
        <f>AVERAGEIF('PTX_DOSE Body Weight'!E$5:E$53,'PTX_DOSE Groups'!C11,'PTX_DOSE Body Weight'!M$5:M$53)</f>
        <v>28.22</v>
      </c>
      <c r="G11" s="180">
        <f t="array" ref="G11">_xlfn.STDEV.P(IF('PTX_DOSE Body Weight'!E$5:E$53='PTX_DOSE Groups'!C11,'PTX_DOSE Body Weight'!M$5:M$53))</f>
        <v>1.2592060990957759</v>
      </c>
      <c r="H11" s="182">
        <f>AVERAGEIF('PTX_DOSE Tumor Size'!E$5:E$53,'PTX_DOSE Groups'!C11,'PTX_DOSE Tumor Size'!M$5:M$53)</f>
        <v>98.016255999999998</v>
      </c>
      <c r="I11" s="180">
        <f t="array" ref="I11">_xlfn.STDEV.P(IF('PTX_DOSE Tumor Size'!E$5:E$53='PTX_DOSE Groups'!C11,'PTX_DOSE Tumor Size'!M$5:M$53))</f>
        <v>30.912204905082795</v>
      </c>
      <c r="J11" s="156">
        <f>AVERAGEIF('PTX_DOSE Tumor Size'!E$5:E$53,'PTX_DOSE Groups'!C11,'PTX_DOSE Tumor Size'!S$5:S$53)</f>
        <v>2.7883280139927802</v>
      </c>
      <c r="K11" s="156">
        <f t="array" ref="K11">_xlfn.STDEV.P(IF('PTX_DOSE Tumor Size'!E$5:E$53='PTX_DOSE Groups'!C11,'PTX_DOSE Tumor Size'!S$5:S$53))</f>
        <v>0.3412022271682551</v>
      </c>
    </row>
    <row r="12" spans="1:11">
      <c r="B12" s="130">
        <v>7</v>
      </c>
      <c r="C12" s="129" t="s">
        <v>85</v>
      </c>
      <c r="E12" s="135">
        <f>COUNTIF('PTX_DOSE Tumor Size'!E$5:E$53,'PTX_DOSE Groups'!C12)</f>
        <v>5</v>
      </c>
      <c r="F12" s="156">
        <f>AVERAGEIF('PTX_DOSE Body Weight'!E$5:E$53,'PTX_DOSE Groups'!C12,'PTX_DOSE Body Weight'!M$5:M$53)</f>
        <v>27.22</v>
      </c>
      <c r="G12" s="180">
        <f t="array" ref="G12">_xlfn.STDEV.P(IF('PTX_DOSE Body Weight'!E$5:E$53='PTX_DOSE Groups'!C12,'PTX_DOSE Body Weight'!M$5:M$53))</f>
        <v>2.6551082840441742</v>
      </c>
      <c r="H12" s="182">
        <f>AVERAGEIF('PTX_DOSE Tumor Size'!E$5:E$53,'PTX_DOSE Groups'!C12,'PTX_DOSE Tumor Size'!M$5:M$53)</f>
        <v>82.64703200000001</v>
      </c>
      <c r="I12" s="180">
        <f t="array" ref="I12">_xlfn.STDEV.P(IF('PTX_DOSE Tumor Size'!E$5:E$53='PTX_DOSE Groups'!C12,'PTX_DOSE Tumor Size'!M$5:M$53))</f>
        <v>23.210049334302024</v>
      </c>
      <c r="J12" s="156">
        <f>AVERAGEIF('PTX_DOSE Tumor Size'!E$5:E$53,'PTX_DOSE Groups'!C12,'PTX_DOSE Tumor Size'!S$5:S$53)</f>
        <v>0</v>
      </c>
      <c r="K12" s="156">
        <f t="array" ref="K12">_xlfn.STDEV.P(IF('PTX_DOSE Tumor Size'!E$5:E$53='PTX_DOSE Groups'!C12,'PTX_DOSE Tumor Size'!S$5:S$53))</f>
        <v>0</v>
      </c>
    </row>
    <row r="13" spans="1:11">
      <c r="B13" s="130">
        <v>8</v>
      </c>
      <c r="C13" s="129" t="s">
        <v>89</v>
      </c>
      <c r="E13" s="135">
        <f>COUNTIF('PTX_DOSE Tumor Size'!E$5:E$53,'PTX_DOSE Groups'!C13)</f>
        <v>5</v>
      </c>
      <c r="F13" s="156">
        <f>AVERAGEIF('PTX_DOSE Body Weight'!E$5:E$53,'PTX_DOSE Groups'!C13,'PTX_DOSE Body Weight'!M$5:M$53)</f>
        <v>27.119999999999997</v>
      </c>
      <c r="G13" s="180">
        <f t="array" ref="G13">_xlfn.STDEV.P(IF('PTX_DOSE Body Weight'!E$5:E$53='PTX_DOSE Groups'!C13,'PTX_DOSE Body Weight'!M$5:M$53))</f>
        <v>2.3111901695879551</v>
      </c>
      <c r="H13" s="182">
        <f>AVERAGEIF('PTX_DOSE Tumor Size'!E$5:E$53,'PTX_DOSE Groups'!C13,'PTX_DOSE Tumor Size'!M$5:M$53)</f>
        <v>105.46848</v>
      </c>
      <c r="I13" s="180">
        <f t="array" ref="I13">_xlfn.STDEV.P(IF('PTX_DOSE Tumor Size'!E$5:E$53='PTX_DOSE Groups'!C13,'PTX_DOSE Tumor Size'!M$5:M$53))</f>
        <v>33.235471029522643</v>
      </c>
      <c r="J13" s="156">
        <f>AVERAGEIF('PTX_DOSE Tumor Size'!E$5:E$53,'PTX_DOSE Groups'!C13,'PTX_DOSE Tumor Size'!S$5:S$53)</f>
        <v>2.9632094296344</v>
      </c>
      <c r="K13" s="156">
        <f t="array" ref="K13">_xlfn.STDEV.P(IF('PTX_DOSE Tumor Size'!E$5:E$53='PTX_DOSE Groups'!C13,'PTX_DOSE Tumor Size'!S$5:S$53))</f>
        <v>0.31235095466902524</v>
      </c>
    </row>
    <row r="14" spans="1:11">
      <c r="B14" s="130">
        <v>9</v>
      </c>
      <c r="C14" s="129" t="s">
        <v>84</v>
      </c>
      <c r="D14" s="129" t="s">
        <v>95</v>
      </c>
      <c r="E14" s="135">
        <f>COUNTIF('PTX_DOSE Tumor Size'!E$5:E$53,'PTX_DOSE Groups'!C14)</f>
        <v>5</v>
      </c>
      <c r="F14" s="156">
        <f>AVERAGEIF('PTX_DOSE Body Weight'!E$5:E$53,'PTX_DOSE Groups'!C14,'PTX_DOSE Body Weight'!M$5:M$53)</f>
        <v>27.4</v>
      </c>
      <c r="G14" s="180">
        <f t="array" ref="G14">_xlfn.STDEV.P(IF('PTX_DOSE Body Weight'!E$5:E$53='PTX_DOSE Groups'!C14,'PTX_DOSE Body Weight'!M$5:M$53))</f>
        <v>3.2954514106567943</v>
      </c>
      <c r="H14" s="182">
        <f>AVERAGEIF('PTX_DOSE Tumor Size'!E$5:E$53,'PTX_DOSE Groups'!C14,'PTX_DOSE Tumor Size'!M$5:M$53)</f>
        <v>112.657584</v>
      </c>
      <c r="I14" s="180">
        <f t="array" ref="I14">_xlfn.STDEV.P(IF('PTX_DOSE Tumor Size'!E$5:E$53='PTX_DOSE Groups'!C14,'PTX_DOSE Tumor Size'!M$5:M$53))</f>
        <v>44.552110957301892</v>
      </c>
      <c r="J14" s="156">
        <f>AVERAGEIF('PTX_DOSE Tumor Size'!E$5:E$53,'PTX_DOSE Groups'!C14,'PTX_DOSE Tumor Size'!S$5:S$53)</f>
        <v>0</v>
      </c>
      <c r="K14" s="156">
        <f t="array" ref="K14">_xlfn.STDEV.P(IF('PTX_DOSE Tumor Size'!E$5:E$53='PTX_DOSE Groups'!C14,'PTX_DOSE Tumor Size'!S$5:S$53))</f>
        <v>0</v>
      </c>
    </row>
    <row r="15" spans="1:11">
      <c r="B15" s="130">
        <v>10</v>
      </c>
      <c r="C15" s="129" t="s">
        <v>82</v>
      </c>
      <c r="D15" s="129" t="s">
        <v>95</v>
      </c>
      <c r="E15" s="135">
        <f>COUNTIF('PTX_DOSE Tumor Size'!E$5:E$53,'PTX_DOSE Groups'!C15)</f>
        <v>5</v>
      </c>
      <c r="F15" s="156">
        <f>AVERAGEIF('PTX_DOSE Body Weight'!E$5:E$53,'PTX_DOSE Groups'!C15,'PTX_DOSE Body Weight'!M$5:M$53)</f>
        <v>28.340000000000003</v>
      </c>
      <c r="G15" s="180">
        <f t="array" ref="G15">_xlfn.STDEV.P(IF('PTX_DOSE Body Weight'!E$5:E$53='PTX_DOSE Groups'!C15,'PTX_DOSE Body Weight'!M$5:M$53))</f>
        <v>2.444258578792351</v>
      </c>
      <c r="H15" s="182">
        <f>AVERAGEIF('PTX_DOSE Tumor Size'!E$5:E$53,'PTX_DOSE Groups'!C15,'PTX_DOSE Tumor Size'!M$5:M$53)</f>
        <v>108.670224</v>
      </c>
      <c r="I15" s="180">
        <f t="array" ref="I15">_xlfn.STDEV.P(IF('PTX_DOSE Tumor Size'!E$5:E$53='PTX_DOSE Groups'!C15,'PTX_DOSE Tumor Size'!M$5:M$53))</f>
        <v>34.555341821856516</v>
      </c>
      <c r="J15" s="156">
        <f>AVERAGEIF('PTX_DOSE Tumor Size'!E$5:E$53,'PTX_DOSE Groups'!C15,'PTX_DOSE Tumor Size'!S$5:S$53)</f>
        <v>3.0364669962173023</v>
      </c>
      <c r="K15" s="156">
        <f t="array" ref="K15">_xlfn.STDEV.P(IF('PTX_DOSE Tumor Size'!E$5:E$53='PTX_DOSE Groups'!C15,'PTX_DOSE Tumor Size'!S$5:S$53))</f>
        <v>0.28846400407626849</v>
      </c>
    </row>
    <row r="16" spans="1:11">
      <c r="B16" s="130">
        <v>11</v>
      </c>
      <c r="C16" s="129" t="s">
        <v>81</v>
      </c>
      <c r="E16" s="135">
        <f>COUNTIF('PTX_DOSE Tumor Size'!E$5:E$53,'PTX_DOSE Groups'!C16)</f>
        <v>1</v>
      </c>
      <c r="F16" s="156">
        <f>AVERAGEIF('PTX_DOSE Body Weight'!E$5:E$53,'PTX_DOSE Groups'!C16,'PTX_DOSE Body Weight'!M$5:M$53)</f>
        <v>30.3</v>
      </c>
      <c r="G16" s="180">
        <f t="array" ref="G16">_xlfn.STDEV.P(IF('PTX_DOSE Body Weight'!E$5:E$53='PTX_DOSE Groups'!C16,'PTX_DOSE Body Weight'!M$5:M$53))</f>
        <v>0</v>
      </c>
      <c r="H16" s="182">
        <f>AVERAGEIF('PTX_DOSE Tumor Size'!E$5:E$53,'PTX_DOSE Groups'!C16,'PTX_DOSE Tumor Size'!M$5:M$53)</f>
        <v>30.576000000000001</v>
      </c>
      <c r="I16" s="180">
        <f t="array" ref="I16">_xlfn.STDEV.P(IF('PTX_DOSE Tumor Size'!E$5:E$53='PTX_DOSE Groups'!C16,'PTX_DOSE Tumor Size'!M$5:M$53))</f>
        <v>0</v>
      </c>
      <c r="J16" s="156">
        <f>AVERAGEIF('PTX_DOSE Tumor Size'!E$5:E$53,'PTX_DOSE Groups'!C16,'PTX_DOSE Tumor Size'!S$5:S$53)</f>
        <v>12.231815803244375</v>
      </c>
      <c r="K16" s="156">
        <f t="array" ref="K16">_xlfn.STDEV.P(IF('PTX_DOSE Tumor Size'!E$5:E$53='PTX_DOSE Groups'!C16,'PTX_DOSE Tumor Size'!S$5:S$53))</f>
        <v>0</v>
      </c>
    </row>
    <row r="17" spans="2:11">
      <c r="B17" s="130">
        <v>12</v>
      </c>
      <c r="C17" s="129" t="s">
        <v>54</v>
      </c>
      <c r="E17" s="135">
        <f>COUNTIF('PTX_DOSE Tumor Size'!E$5:E$53,'PTX_DOSE Groups'!C17)</f>
        <v>0</v>
      </c>
      <c r="F17" s="156" t="e">
        <f>AVERAGEIF('PTX_DOSE Body Weight'!E$5:E$53,'PTX_DOSE Groups'!C17,'PTX_DOSE Body Weight'!M$5:M$53)</f>
        <v>#DIV/0!</v>
      </c>
      <c r="G17" s="180" t="e">
        <f t="array" ref="G17">_xlfn.STDEV.P(IF('PTX_DOSE Body Weight'!E$5:E$53='PTX_DOSE Groups'!C17,'PTX_DOSE Body Weight'!M$5:M$53))</f>
        <v>#DIV/0!</v>
      </c>
      <c r="H17" s="182" t="e">
        <f>AVERAGEIF('PTX_DOSE Tumor Size'!E$5:E$53,'PTX_DOSE Groups'!C17,'PTX_DOSE Tumor Size'!M$5:M$53)</f>
        <v>#DIV/0!</v>
      </c>
      <c r="I17" s="180" t="e">
        <f t="array" ref="I17">_xlfn.STDEV.P(IF('PTX_DOSE Tumor Size'!E$5:E$53='PTX_DOSE Groups'!C17,'PTX_DOSE Tumor Size'!M$5:M$53))</f>
        <v>#DIV/0!</v>
      </c>
      <c r="J17" s="156" t="e">
        <f>AVERAGEIF('PTX_DOSE Tumor Size'!E$5:E$53,'PTX_DOSE Groups'!C17,'PTX_DOSE Tumor Size'!S$5:S$53)</f>
        <v>#DIV/0!</v>
      </c>
      <c r="K17" s="156" t="e">
        <f t="array" ref="K17">_xlfn.STDEV.P(IF('PTX_DOSE Tumor Size'!E$5:E$53='PTX_DOSE Groups'!C17,'PTX_DOSE Tumor Size'!S$5:S$53))</f>
        <v>#DIV/0!</v>
      </c>
    </row>
    <row r="18" spans="2:11">
      <c r="B18" s="130">
        <v>13</v>
      </c>
      <c r="C18" s="129" t="s">
        <v>55</v>
      </c>
      <c r="E18" s="135">
        <f>COUNTIF('PTX_DOSE Tumor Size'!E$5:E$53,'PTX_DOSE Groups'!C18)</f>
        <v>0</v>
      </c>
      <c r="F18" s="156" t="e">
        <f>AVERAGEIF('PTX_DOSE Body Weight'!E$5:E$53,'PTX_DOSE Groups'!C18,'PTX_DOSE Body Weight'!M$5:M$53)</f>
        <v>#DIV/0!</v>
      </c>
      <c r="G18" s="180" t="e">
        <f t="array" ref="G18">_xlfn.STDEV.P(IF('PTX_DOSE Body Weight'!E$5:E$53='PTX_DOSE Groups'!C18,'PTX_DOSE Body Weight'!M$5:M$53))</f>
        <v>#DIV/0!</v>
      </c>
      <c r="H18" s="182" t="e">
        <f>AVERAGEIF('PTX_DOSE Tumor Size'!E$5:E$53,'PTX_DOSE Groups'!C18,'PTX_DOSE Tumor Size'!M$5:M$53)</f>
        <v>#DIV/0!</v>
      </c>
      <c r="I18" s="180" t="e">
        <f t="array" ref="I18">_xlfn.STDEV.P(IF('PTX_DOSE Tumor Size'!E$5:E$53='PTX_DOSE Groups'!C18,'PTX_DOSE Tumor Size'!M$5:M$53))</f>
        <v>#DIV/0!</v>
      </c>
      <c r="J18" s="156" t="e">
        <f>AVERAGEIF('PTX_DOSE Tumor Size'!E$5:E$53,'PTX_DOSE Groups'!C18,'PTX_DOSE Tumor Size'!S$5:S$53)</f>
        <v>#DIV/0!</v>
      </c>
      <c r="K18" s="156" t="e">
        <f t="array" ref="K18">_xlfn.STDEV.P(IF('PTX_DOSE Tumor Size'!E$5:E$53='PTX_DOSE Groups'!C18,'PTX_DOSE Tumor Size'!S$5:S$53))</f>
        <v>#DIV/0!</v>
      </c>
    </row>
    <row r="19" spans="2:11">
      <c r="B19" s="130">
        <v>14</v>
      </c>
      <c r="C19" s="129" t="s">
        <v>56</v>
      </c>
      <c r="E19" s="135">
        <f>COUNTIF('PTX_DOSE Tumor Size'!E$5:E$53,'PTX_DOSE Groups'!C19)</f>
        <v>0</v>
      </c>
      <c r="F19" s="156" t="e">
        <f>AVERAGEIF('PTX_DOSE Body Weight'!E$5:E$53,'PTX_DOSE Groups'!C19,'PTX_DOSE Body Weight'!M$5:M$53)</f>
        <v>#DIV/0!</v>
      </c>
      <c r="G19" s="180" t="e">
        <f t="array" ref="G19">_xlfn.STDEV.P(IF('PTX_DOSE Body Weight'!E$5:E$53='PTX_DOSE Groups'!C19,'PTX_DOSE Body Weight'!M$5:M$53))</f>
        <v>#DIV/0!</v>
      </c>
      <c r="H19" s="182" t="e">
        <f>AVERAGEIF('PTX_DOSE Tumor Size'!E$5:E$53,'PTX_DOSE Groups'!C19,'PTX_DOSE Tumor Size'!M$5:M$53)</f>
        <v>#DIV/0!</v>
      </c>
      <c r="I19" s="180" t="e">
        <f t="array" ref="I19">_xlfn.STDEV.P(IF('PTX_DOSE Tumor Size'!E$5:E$53='PTX_DOSE Groups'!C19,'PTX_DOSE Tumor Size'!M$5:M$53))</f>
        <v>#DIV/0!</v>
      </c>
      <c r="J19" s="156" t="e">
        <f>AVERAGEIF('PTX_DOSE Tumor Size'!E$5:E$53,'PTX_DOSE Groups'!C19,'PTX_DOSE Tumor Size'!S$5:S$53)</f>
        <v>#DIV/0!</v>
      </c>
      <c r="K19" s="156" t="e">
        <f t="array" ref="K19">_xlfn.STDEV.P(IF('PTX_DOSE Tumor Size'!E$5:E$53='PTX_DOSE Groups'!C19,'PTX_DOSE Tumor Size'!S$5:S$53))</f>
        <v>#DIV/0!</v>
      </c>
    </row>
    <row r="20" spans="2:11">
      <c r="B20" s="130">
        <v>15</v>
      </c>
      <c r="C20" s="129" t="s">
        <v>57</v>
      </c>
      <c r="E20" s="135">
        <f>COUNTIF('PTX_DOSE Tumor Size'!E$5:E$53,'PTX_DOSE Groups'!C20)</f>
        <v>0</v>
      </c>
      <c r="F20" s="156" t="e">
        <f>AVERAGEIF('PTX_DOSE Body Weight'!E$5:E$53,'PTX_DOSE Groups'!C20,'PTX_DOSE Body Weight'!M$5:M$53)</f>
        <v>#DIV/0!</v>
      </c>
      <c r="G20" s="180" t="e">
        <f t="array" ref="G20">_xlfn.STDEV.P(IF('PTX_DOSE Body Weight'!E$5:E$53='PTX_DOSE Groups'!C20,'PTX_DOSE Body Weight'!M$5:M$53))</f>
        <v>#DIV/0!</v>
      </c>
      <c r="H20" s="182" t="e">
        <f>AVERAGEIF('PTX_DOSE Tumor Size'!E$5:E$53,'PTX_DOSE Groups'!C20,'PTX_DOSE Tumor Size'!M$5:M$53)</f>
        <v>#DIV/0!</v>
      </c>
      <c r="I20" s="180" t="e">
        <f t="array" ref="I20">_xlfn.STDEV.P(IF('PTX_DOSE Tumor Size'!E$5:E$53='PTX_DOSE Groups'!C20,'PTX_DOSE Tumor Size'!M$5:M$53))</f>
        <v>#DIV/0!</v>
      </c>
      <c r="J20" s="156" t="e">
        <f>AVERAGEIF('PTX_DOSE Tumor Size'!E$5:E$53,'PTX_DOSE Groups'!C20,'PTX_DOSE Tumor Size'!S$5:S$53)</f>
        <v>#DIV/0!</v>
      </c>
      <c r="K20" s="156" t="e">
        <f t="array" ref="K20">_xlfn.STDEV.P(IF('PTX_DOSE Tumor Size'!E$5:E$53='PTX_DOSE Groups'!C20,'PTX_DOSE Tumor Size'!S$5:S$53))</f>
        <v>#DIV/0!</v>
      </c>
    </row>
    <row r="21" spans="2:11">
      <c r="B21" s="130">
        <v>16</v>
      </c>
      <c r="C21" s="129" t="s">
        <v>58</v>
      </c>
      <c r="E21" s="135">
        <f>COUNTIF('PTX_DOSE Tumor Size'!E$5:E$53,'PTX_DOSE Groups'!C21)</f>
        <v>0</v>
      </c>
      <c r="F21" s="156" t="e">
        <f>AVERAGEIF('PTX_DOSE Body Weight'!E$5:E$53,'PTX_DOSE Groups'!C21,'PTX_DOSE Body Weight'!M$5:M$53)</f>
        <v>#DIV/0!</v>
      </c>
      <c r="G21" s="180" t="e">
        <f t="array" ref="G21">_xlfn.STDEV.P(IF('PTX_DOSE Body Weight'!E$5:E$53='PTX_DOSE Groups'!C21,'PTX_DOSE Body Weight'!M$5:M$53))</f>
        <v>#DIV/0!</v>
      </c>
      <c r="H21" s="182" t="e">
        <f>AVERAGEIF('PTX_DOSE Tumor Size'!E$5:E$53,'PTX_DOSE Groups'!C21,'PTX_DOSE Tumor Size'!M$5:M$53)</f>
        <v>#DIV/0!</v>
      </c>
      <c r="I21" s="180" t="e">
        <f t="array" ref="I21">_xlfn.STDEV.P(IF('PTX_DOSE Tumor Size'!E$5:E$53='PTX_DOSE Groups'!C21,'PTX_DOSE Tumor Size'!M$5:M$53))</f>
        <v>#DIV/0!</v>
      </c>
      <c r="J21" s="156" t="e">
        <f>AVERAGEIF('PTX_DOSE Tumor Size'!E$5:E$53,'PTX_DOSE Groups'!C21,'PTX_DOSE Tumor Size'!S$5:S$53)</f>
        <v>#DIV/0!</v>
      </c>
      <c r="K21" s="156" t="e">
        <f t="array" ref="K21">_xlfn.STDEV.P(IF('PTX_DOSE Tumor Size'!E$5:E$53='PTX_DOSE Groups'!C21,'PTX_DOSE Tumor Size'!S$5:S$53))</f>
        <v>#DIV/0!</v>
      </c>
    </row>
  </sheetData>
  <mergeCells count="7">
    <mergeCell ref="A1:D1"/>
    <mergeCell ref="J4:K4"/>
    <mergeCell ref="F3:G3"/>
    <mergeCell ref="H3:I3"/>
    <mergeCell ref="F4:G4"/>
    <mergeCell ref="H4:I4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92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19" style="50" hidden="1" customWidth="1" outlineLevel="1"/>
    <col min="5" max="5" width="17.5703125" style="59" customWidth="1" collapsed="1"/>
    <col min="6" max="6" width="12.7109375" style="62" customWidth="1"/>
    <col min="7" max="7" width="12.7109375" style="63" hidden="1" customWidth="1" outlineLevel="1"/>
    <col min="8" max="8" width="10.7109375" style="62" customWidth="1" collapsed="1"/>
    <col min="9" max="9" width="9.140625" style="63" hidden="1" customWidth="1" outlineLevel="1"/>
    <col min="10" max="10" width="7.85546875" style="50" customWidth="1" collapsed="1"/>
    <col min="11" max="12" width="8.5703125" style="50" customWidth="1"/>
    <col min="13" max="49" width="8.5703125" style="50" customWidth="1" outlineLevel="1"/>
    <col min="50" max="50" width="6.140625" style="51" bestFit="1" customWidth="1"/>
    <col min="51" max="52" width="8.5703125" style="50" customWidth="1"/>
    <col min="53" max="89" width="8.5703125" style="50" customWidth="1" outlineLevel="1"/>
    <col min="90" max="16384" width="9.140625" style="59"/>
  </cols>
  <sheetData>
    <row r="1" spans="1:90" s="7" customFormat="1" ht="28.5">
      <c r="A1" s="6" t="s">
        <v>98</v>
      </c>
      <c r="C1" s="8"/>
      <c r="D1" s="9"/>
      <c r="F1" s="10"/>
      <c r="G1" s="11"/>
      <c r="H1" s="10"/>
      <c r="I1" s="11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3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</row>
    <row r="2" spans="1:90" s="56" customFormat="1" ht="15.75" customHeight="1">
      <c r="A2" s="137" t="s">
        <v>39</v>
      </c>
      <c r="B2" s="14"/>
      <c r="C2" s="15"/>
      <c r="D2" s="14"/>
      <c r="E2" s="16"/>
      <c r="F2" s="275" t="s">
        <v>14</v>
      </c>
      <c r="G2" s="276"/>
      <c r="H2" s="275" t="s">
        <v>0</v>
      </c>
      <c r="I2" s="276"/>
      <c r="J2" s="17"/>
      <c r="K2" s="137" t="s">
        <v>18</v>
      </c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7"/>
      <c r="AX2" s="54"/>
      <c r="AY2" s="137" t="s">
        <v>69</v>
      </c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7"/>
      <c r="CL2" s="55"/>
    </row>
    <row r="3" spans="1:90" s="72" customFormat="1" ht="15.75">
      <c r="A3" s="65"/>
      <c r="B3" s="66"/>
      <c r="C3" s="67"/>
      <c r="D3" s="66"/>
      <c r="E3" s="68"/>
      <c r="F3" s="275"/>
      <c r="G3" s="276"/>
      <c r="H3" s="275"/>
      <c r="I3" s="276"/>
      <c r="J3" s="69" t="s">
        <v>15</v>
      </c>
      <c r="K3" s="108">
        <v>42348</v>
      </c>
      <c r="L3" s="108">
        <v>42349</v>
      </c>
      <c r="M3" s="108">
        <v>42350</v>
      </c>
      <c r="N3" s="108">
        <v>42351</v>
      </c>
      <c r="O3" s="108">
        <v>42352</v>
      </c>
      <c r="P3" s="108">
        <v>42353</v>
      </c>
      <c r="Q3" s="108">
        <v>42355</v>
      </c>
      <c r="R3" s="108">
        <v>42358</v>
      </c>
      <c r="S3" s="108">
        <v>42360</v>
      </c>
      <c r="T3" s="108">
        <v>42365</v>
      </c>
      <c r="U3" s="108">
        <v>42369</v>
      </c>
      <c r="V3" s="108">
        <v>42371</v>
      </c>
      <c r="W3" s="108">
        <v>42373</v>
      </c>
      <c r="X3" s="108">
        <v>42374</v>
      </c>
      <c r="Y3" s="108">
        <v>42376</v>
      </c>
      <c r="Z3" s="108">
        <v>42379</v>
      </c>
      <c r="AA3" s="108">
        <v>42381</v>
      </c>
      <c r="AB3" s="108">
        <v>42383</v>
      </c>
      <c r="AC3" s="108">
        <v>42386</v>
      </c>
      <c r="AD3" s="108">
        <v>42389</v>
      </c>
      <c r="AE3" s="108">
        <v>42393</v>
      </c>
      <c r="AF3" s="108">
        <v>42395</v>
      </c>
      <c r="AG3" s="108">
        <v>42396</v>
      </c>
      <c r="AH3" s="108">
        <v>42398</v>
      </c>
      <c r="AI3" s="108">
        <v>42401</v>
      </c>
      <c r="AJ3" s="108">
        <v>42403</v>
      </c>
      <c r="AK3" s="108">
        <v>42406</v>
      </c>
      <c r="AL3" s="108">
        <v>42409</v>
      </c>
      <c r="AM3" s="108">
        <v>42412</v>
      </c>
      <c r="AN3" s="108">
        <v>42415</v>
      </c>
      <c r="AO3" s="108">
        <v>42420</v>
      </c>
      <c r="AP3" s="108">
        <v>42423</v>
      </c>
      <c r="AQ3" s="108">
        <v>42425</v>
      </c>
      <c r="AR3" s="108">
        <v>42431</v>
      </c>
      <c r="AS3" s="108">
        <v>42433</v>
      </c>
      <c r="AT3" s="108">
        <v>42437</v>
      </c>
      <c r="AU3" s="108">
        <v>42441</v>
      </c>
      <c r="AV3" s="108">
        <v>42444</v>
      </c>
      <c r="AW3" s="108"/>
      <c r="AX3" s="70" t="s">
        <v>15</v>
      </c>
      <c r="AY3" s="108">
        <f t="shared" ref="AY3:BH4" si="0">IF(ISBLANK(K3)="TRUE","",K3)</f>
        <v>42348</v>
      </c>
      <c r="AZ3" s="108">
        <f t="shared" si="0"/>
        <v>42349</v>
      </c>
      <c r="BA3" s="108">
        <f t="shared" si="0"/>
        <v>42350</v>
      </c>
      <c r="BB3" s="108">
        <f t="shared" si="0"/>
        <v>42351</v>
      </c>
      <c r="BC3" s="108">
        <f t="shared" si="0"/>
        <v>42352</v>
      </c>
      <c r="BD3" s="108">
        <f t="shared" si="0"/>
        <v>42353</v>
      </c>
      <c r="BE3" s="108">
        <f t="shared" si="0"/>
        <v>42355</v>
      </c>
      <c r="BF3" s="108">
        <f t="shared" si="0"/>
        <v>42358</v>
      </c>
      <c r="BG3" s="108">
        <f t="shared" si="0"/>
        <v>42360</v>
      </c>
      <c r="BH3" s="108">
        <f t="shared" si="0"/>
        <v>42365</v>
      </c>
      <c r="BI3" s="108">
        <f t="shared" ref="BI3:BR4" si="1">IF(ISBLANK(U3)="TRUE","",U3)</f>
        <v>42369</v>
      </c>
      <c r="BJ3" s="108">
        <f t="shared" si="1"/>
        <v>42371</v>
      </c>
      <c r="BK3" s="108">
        <f t="shared" si="1"/>
        <v>42373</v>
      </c>
      <c r="BL3" s="108">
        <f t="shared" si="1"/>
        <v>42374</v>
      </c>
      <c r="BM3" s="108">
        <f t="shared" si="1"/>
        <v>42376</v>
      </c>
      <c r="BN3" s="108">
        <f t="shared" si="1"/>
        <v>42379</v>
      </c>
      <c r="BO3" s="108">
        <f t="shared" si="1"/>
        <v>42381</v>
      </c>
      <c r="BP3" s="108">
        <f t="shared" si="1"/>
        <v>42383</v>
      </c>
      <c r="BQ3" s="108">
        <f t="shared" si="1"/>
        <v>42386</v>
      </c>
      <c r="BR3" s="108">
        <f t="shared" si="1"/>
        <v>42389</v>
      </c>
      <c r="BS3" s="108">
        <f t="shared" ref="BS3:CB4" si="2">IF(ISBLANK(AE3)="TRUE","",AE3)</f>
        <v>42393</v>
      </c>
      <c r="BT3" s="108">
        <f t="shared" si="2"/>
        <v>42395</v>
      </c>
      <c r="BU3" s="108">
        <f t="shared" si="2"/>
        <v>42396</v>
      </c>
      <c r="BV3" s="108">
        <f t="shared" si="2"/>
        <v>42398</v>
      </c>
      <c r="BW3" s="108">
        <f t="shared" si="2"/>
        <v>42401</v>
      </c>
      <c r="BX3" s="108">
        <f t="shared" si="2"/>
        <v>42403</v>
      </c>
      <c r="BY3" s="108">
        <f t="shared" si="2"/>
        <v>42406</v>
      </c>
      <c r="BZ3" s="108">
        <f t="shared" si="2"/>
        <v>42409</v>
      </c>
      <c r="CA3" s="108">
        <f t="shared" si="2"/>
        <v>42412</v>
      </c>
      <c r="CB3" s="108">
        <f t="shared" si="2"/>
        <v>42415</v>
      </c>
      <c r="CC3" s="108">
        <f t="shared" ref="CC3:CC4" si="3">IF(ISBLANK(AO3)="TRUE","",AO3)</f>
        <v>42420</v>
      </c>
      <c r="CD3" s="108">
        <f t="shared" ref="CD3:CK4" si="4">IF(ISBLANK(AP3)="TRUE","",AP3)</f>
        <v>42423</v>
      </c>
      <c r="CE3" s="108">
        <f t="shared" si="4"/>
        <v>42425</v>
      </c>
      <c r="CF3" s="108">
        <f t="shared" si="4"/>
        <v>42431</v>
      </c>
      <c r="CG3" s="108">
        <f t="shared" si="4"/>
        <v>42433</v>
      </c>
      <c r="CH3" s="108">
        <f t="shared" si="4"/>
        <v>42437</v>
      </c>
      <c r="CI3" s="108">
        <f t="shared" si="4"/>
        <v>42441</v>
      </c>
      <c r="CJ3" s="108">
        <f t="shared" si="4"/>
        <v>42444</v>
      </c>
      <c r="CK3" s="108">
        <f t="shared" si="4"/>
        <v>0</v>
      </c>
      <c r="CL3" s="71"/>
    </row>
    <row r="4" spans="1:90" s="58" customFormat="1" ht="15.75" customHeight="1">
      <c r="A4" s="18" t="s">
        <v>6</v>
      </c>
      <c r="B4" s="19" t="s">
        <v>7</v>
      </c>
      <c r="C4" s="20" t="s">
        <v>8</v>
      </c>
      <c r="D4" s="18" t="s">
        <v>17</v>
      </c>
      <c r="E4" s="21" t="s">
        <v>11</v>
      </c>
      <c r="F4" s="22" t="s">
        <v>1</v>
      </c>
      <c r="G4" s="23" t="s">
        <v>2</v>
      </c>
      <c r="H4" s="22" t="s">
        <v>1</v>
      </c>
      <c r="I4" s="23" t="s">
        <v>2</v>
      </c>
      <c r="J4" s="25" t="s">
        <v>9</v>
      </c>
      <c r="K4" s="136">
        <f>K3-$H5</f>
        <v>-2</v>
      </c>
      <c r="L4" s="136">
        <f>L3-$H5</f>
        <v>-1</v>
      </c>
      <c r="M4" s="136">
        <f t="shared" ref="M4:Z4" si="5">M3-$H5</f>
        <v>0</v>
      </c>
      <c r="N4" s="136">
        <f t="shared" si="5"/>
        <v>1</v>
      </c>
      <c r="O4" s="136">
        <f t="shared" si="5"/>
        <v>2</v>
      </c>
      <c r="P4" s="136">
        <f t="shared" si="5"/>
        <v>3</v>
      </c>
      <c r="Q4" s="136">
        <f t="shared" si="5"/>
        <v>5</v>
      </c>
      <c r="R4" s="136">
        <f t="shared" si="5"/>
        <v>8</v>
      </c>
      <c r="S4" s="136">
        <f t="shared" si="5"/>
        <v>10</v>
      </c>
      <c r="T4" s="136">
        <f t="shared" si="5"/>
        <v>15</v>
      </c>
      <c r="U4" s="136">
        <f t="shared" si="5"/>
        <v>19</v>
      </c>
      <c r="V4" s="136">
        <f t="shared" si="5"/>
        <v>21</v>
      </c>
      <c r="W4" s="136">
        <f t="shared" si="5"/>
        <v>23</v>
      </c>
      <c r="X4" s="136">
        <f t="shared" si="5"/>
        <v>24</v>
      </c>
      <c r="Y4" s="136">
        <f t="shared" si="5"/>
        <v>26</v>
      </c>
      <c r="Z4" s="136">
        <f t="shared" si="5"/>
        <v>29</v>
      </c>
      <c r="AA4" s="136">
        <f t="shared" ref="AA4:AL4" si="6">AA3-$H5</f>
        <v>31</v>
      </c>
      <c r="AB4" s="136">
        <f t="shared" si="6"/>
        <v>33</v>
      </c>
      <c r="AC4" s="136">
        <f t="shared" si="6"/>
        <v>36</v>
      </c>
      <c r="AD4" s="136">
        <f t="shared" si="6"/>
        <v>39</v>
      </c>
      <c r="AE4" s="136">
        <f t="shared" si="6"/>
        <v>43</v>
      </c>
      <c r="AF4" s="136">
        <f t="shared" si="6"/>
        <v>45</v>
      </c>
      <c r="AG4" s="136">
        <f t="shared" si="6"/>
        <v>46</v>
      </c>
      <c r="AH4" s="136">
        <f t="shared" si="6"/>
        <v>48</v>
      </c>
      <c r="AI4" s="136">
        <f t="shared" si="6"/>
        <v>51</v>
      </c>
      <c r="AJ4" s="136">
        <f t="shared" si="6"/>
        <v>53</v>
      </c>
      <c r="AK4" s="136">
        <f t="shared" si="6"/>
        <v>56</v>
      </c>
      <c r="AL4" s="136">
        <f t="shared" si="6"/>
        <v>59</v>
      </c>
      <c r="AM4" s="136">
        <f t="shared" ref="AM4:AW4" si="7">AM3-$H5</f>
        <v>62</v>
      </c>
      <c r="AN4" s="136">
        <f t="shared" si="7"/>
        <v>65</v>
      </c>
      <c r="AO4" s="136">
        <f t="shared" si="7"/>
        <v>70</v>
      </c>
      <c r="AP4" s="136">
        <f t="shared" si="7"/>
        <v>73</v>
      </c>
      <c r="AQ4" s="136">
        <f t="shared" si="7"/>
        <v>75</v>
      </c>
      <c r="AR4" s="136">
        <f t="shared" si="7"/>
        <v>81</v>
      </c>
      <c r="AS4" s="136">
        <f t="shared" si="7"/>
        <v>83</v>
      </c>
      <c r="AT4" s="136">
        <f t="shared" si="7"/>
        <v>87</v>
      </c>
      <c r="AU4" s="136">
        <f t="shared" si="7"/>
        <v>91</v>
      </c>
      <c r="AV4" s="136">
        <f t="shared" si="7"/>
        <v>94</v>
      </c>
      <c r="AW4" s="136">
        <f t="shared" si="7"/>
        <v>-42350</v>
      </c>
      <c r="AX4" s="26" t="s">
        <v>9</v>
      </c>
      <c r="AY4" s="19">
        <f t="shared" si="0"/>
        <v>-2</v>
      </c>
      <c r="AZ4" s="19">
        <f t="shared" si="0"/>
        <v>-1</v>
      </c>
      <c r="BA4" s="19">
        <f t="shared" si="0"/>
        <v>0</v>
      </c>
      <c r="BB4" s="19">
        <f t="shared" si="0"/>
        <v>1</v>
      </c>
      <c r="BC4" s="19">
        <f t="shared" si="0"/>
        <v>2</v>
      </c>
      <c r="BD4" s="19">
        <f t="shared" si="0"/>
        <v>3</v>
      </c>
      <c r="BE4" s="19">
        <f t="shared" si="0"/>
        <v>5</v>
      </c>
      <c r="BF4" s="19">
        <f t="shared" si="0"/>
        <v>8</v>
      </c>
      <c r="BG4" s="19">
        <f t="shared" si="0"/>
        <v>10</v>
      </c>
      <c r="BH4" s="19">
        <f t="shared" si="0"/>
        <v>15</v>
      </c>
      <c r="BI4" s="19">
        <f t="shared" si="1"/>
        <v>19</v>
      </c>
      <c r="BJ4" s="19">
        <f t="shared" si="1"/>
        <v>21</v>
      </c>
      <c r="BK4" s="19">
        <f t="shared" si="1"/>
        <v>23</v>
      </c>
      <c r="BL4" s="19">
        <f t="shared" si="1"/>
        <v>24</v>
      </c>
      <c r="BM4" s="19">
        <f t="shared" si="1"/>
        <v>26</v>
      </c>
      <c r="BN4" s="19">
        <f t="shared" si="1"/>
        <v>29</v>
      </c>
      <c r="BO4" s="19">
        <f t="shared" si="1"/>
        <v>31</v>
      </c>
      <c r="BP4" s="19">
        <f t="shared" si="1"/>
        <v>33</v>
      </c>
      <c r="BQ4" s="19">
        <f t="shared" si="1"/>
        <v>36</v>
      </c>
      <c r="BR4" s="19">
        <f t="shared" si="1"/>
        <v>39</v>
      </c>
      <c r="BS4" s="19">
        <f t="shared" si="2"/>
        <v>43</v>
      </c>
      <c r="BT4" s="19">
        <f t="shared" si="2"/>
        <v>45</v>
      </c>
      <c r="BU4" s="19">
        <f t="shared" si="2"/>
        <v>46</v>
      </c>
      <c r="BV4" s="19">
        <f t="shared" si="2"/>
        <v>48</v>
      </c>
      <c r="BW4" s="19">
        <f t="shared" si="2"/>
        <v>51</v>
      </c>
      <c r="BX4" s="19">
        <f t="shared" si="2"/>
        <v>53</v>
      </c>
      <c r="BY4" s="19">
        <f t="shared" si="2"/>
        <v>56</v>
      </c>
      <c r="BZ4" s="19">
        <f t="shared" si="2"/>
        <v>59</v>
      </c>
      <c r="CA4" s="19">
        <f t="shared" si="2"/>
        <v>62</v>
      </c>
      <c r="CB4" s="19">
        <f t="shared" si="2"/>
        <v>65</v>
      </c>
      <c r="CC4" s="19">
        <f t="shared" si="3"/>
        <v>70</v>
      </c>
      <c r="CD4" s="19">
        <f t="shared" si="4"/>
        <v>73</v>
      </c>
      <c r="CE4" s="19">
        <f t="shared" si="4"/>
        <v>75</v>
      </c>
      <c r="CF4" s="19">
        <f t="shared" si="4"/>
        <v>81</v>
      </c>
      <c r="CG4" s="19">
        <f t="shared" si="4"/>
        <v>83</v>
      </c>
      <c r="CH4" s="19">
        <f t="shared" si="4"/>
        <v>87</v>
      </c>
      <c r="CI4" s="19">
        <f t="shared" si="4"/>
        <v>91</v>
      </c>
      <c r="CJ4" s="19">
        <f t="shared" si="4"/>
        <v>94</v>
      </c>
      <c r="CK4" s="19">
        <f t="shared" si="4"/>
        <v>-42350</v>
      </c>
      <c r="CL4" s="57"/>
    </row>
    <row r="5" spans="1:90">
      <c r="A5" s="27">
        <v>961157</v>
      </c>
      <c r="B5" s="28">
        <v>11</v>
      </c>
      <c r="C5" s="29" t="str">
        <f t="shared" ref="C5:C25" si="8">CONCATENATE(A5,"-",B5)</f>
        <v>961157-11</v>
      </c>
      <c r="D5" s="28" t="s">
        <v>26</v>
      </c>
      <c r="E5" s="30" t="s">
        <v>50</v>
      </c>
      <c r="F5" s="31">
        <v>42340</v>
      </c>
      <c r="G5" s="32"/>
      <c r="H5" s="31">
        <v>42350</v>
      </c>
      <c r="I5" s="32">
        <v>26</v>
      </c>
      <c r="J5" s="35"/>
      <c r="K5" s="87">
        <v>26.1</v>
      </c>
      <c r="L5" s="87">
        <v>26.1</v>
      </c>
      <c r="M5" s="87">
        <v>26</v>
      </c>
      <c r="N5" s="87">
        <v>24.6</v>
      </c>
      <c r="O5" s="87">
        <v>25</v>
      </c>
      <c r="P5" s="87">
        <v>25.2</v>
      </c>
      <c r="Q5" s="87">
        <v>25.6</v>
      </c>
      <c r="R5" s="87">
        <v>26.4</v>
      </c>
      <c r="S5" s="87">
        <v>26.6</v>
      </c>
      <c r="T5" s="87">
        <v>29</v>
      </c>
      <c r="U5" s="87">
        <v>29.1</v>
      </c>
      <c r="V5" s="87">
        <v>28.9</v>
      </c>
      <c r="W5" s="87">
        <v>28.2</v>
      </c>
      <c r="X5" s="87">
        <v>28.4</v>
      </c>
      <c r="Y5" s="87">
        <v>28.1</v>
      </c>
      <c r="Z5" s="87">
        <v>27.7</v>
      </c>
      <c r="AA5" s="87">
        <v>28.1</v>
      </c>
      <c r="AB5" s="87">
        <v>28.6</v>
      </c>
      <c r="AC5" s="87">
        <v>29</v>
      </c>
      <c r="AD5" s="87">
        <v>29.8</v>
      </c>
      <c r="AE5" s="87">
        <v>30</v>
      </c>
      <c r="AF5" s="87">
        <v>29.1</v>
      </c>
      <c r="AG5" s="87">
        <v>28.7</v>
      </c>
      <c r="AH5" s="87">
        <v>29.4</v>
      </c>
      <c r="AI5" s="87">
        <v>30.8</v>
      </c>
      <c r="AJ5" s="87">
        <v>30.6</v>
      </c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36"/>
      <c r="AY5" s="86">
        <f t="shared" ref="AY5:AY25" si="9">IF(OR(ISERROR(K5/$I5)=TRUE,ISBLANK(K5)=TRUE),"",K5/$I5)</f>
        <v>1.0038461538461538</v>
      </c>
      <c r="AZ5" s="86">
        <f t="shared" ref="AZ5:AZ25" si="10">IF(OR(ISERROR(L5/$I5)=TRUE,ISBLANK(L5)=TRUE),"",L5/$I5)</f>
        <v>1.0038461538461538</v>
      </c>
      <c r="BA5" s="86">
        <f t="shared" ref="BA5:BA25" si="11">IF(OR(ISERROR(M5/$I5)=TRUE,ISBLANK(M5)=TRUE),"",M5/$I5)</f>
        <v>1</v>
      </c>
      <c r="BB5" s="86">
        <f t="shared" ref="BB5:BB25" si="12">IF(OR(ISERROR(N5/$I5)=TRUE,ISBLANK(N5)=TRUE),"",N5/$I5)</f>
        <v>0.94615384615384623</v>
      </c>
      <c r="BC5" s="86">
        <f t="shared" ref="BC5:BC25" si="13">IF(OR(ISERROR(O5/$I5)=TRUE,ISBLANK(O5)=TRUE),"",O5/$I5)</f>
        <v>0.96153846153846156</v>
      </c>
      <c r="BD5" s="86">
        <f t="shared" ref="BD5:BD25" si="14">IF(OR(ISERROR(P5/$I5)=TRUE,ISBLANK(P5)=TRUE),"",P5/$I5)</f>
        <v>0.96923076923076923</v>
      </c>
      <c r="BE5" s="86">
        <f t="shared" ref="BE5:BE25" si="15">IF(OR(ISERROR(Q5/$I5)=TRUE,ISBLANK(Q5)=TRUE),"",Q5/$I5)</f>
        <v>0.98461538461538467</v>
      </c>
      <c r="BF5" s="86">
        <f t="shared" ref="BF5:BF25" si="16">IF(OR(ISERROR(R5/$I5)=TRUE,ISBLANK(R5)=TRUE),"",R5/$I5)</f>
        <v>1.0153846153846153</v>
      </c>
      <c r="BG5" s="86">
        <f t="shared" ref="BG5:BG25" si="17">IF(OR(ISERROR(S5/$I5)=TRUE,ISBLANK(S5)=TRUE),"",S5/$I5)</f>
        <v>1.0230769230769232</v>
      </c>
      <c r="BH5" s="86">
        <f t="shared" ref="BH5:BH25" si="18">IF(OR(ISERROR(T5/$I5)=TRUE,ISBLANK(T5)=TRUE),"",T5/$I5)</f>
        <v>1.1153846153846154</v>
      </c>
      <c r="BI5" s="86">
        <f t="shared" ref="BI5:BI21" si="19">IF(OR(ISERROR(U5/$I5)=TRUE,ISBLANK(U5)=TRUE),"",U5/$I5)</f>
        <v>1.1192307692307693</v>
      </c>
      <c r="BJ5" s="86">
        <f t="shared" ref="BJ5:BJ25" si="20">IF(OR(ISERROR(V5/$I5)=TRUE,ISBLANK(V5)=TRUE),"",V5/$I5)</f>
        <v>1.1115384615384616</v>
      </c>
      <c r="BK5" s="86">
        <f t="shared" ref="BK5:BK25" si="21">IF(OR(ISERROR(W5/$I5)=TRUE,ISBLANK(W5)=TRUE),"",W5/$I5)</f>
        <v>1.0846153846153845</v>
      </c>
      <c r="BL5" s="86">
        <f t="shared" ref="BL5:BL25" si="22">IF(OR(ISERROR(X5/$I5)=TRUE,ISBLANK(X5)=TRUE),"",X5/$I5)</f>
        <v>1.0923076923076922</v>
      </c>
      <c r="BM5" s="86">
        <f t="shared" ref="BM5:BM25" si="23">IF(OR(ISERROR(Y5/$I5)=TRUE,ISBLANK(Y5)=TRUE),"",Y5/$I5)</f>
        <v>1.0807692307692309</v>
      </c>
      <c r="BN5" s="86">
        <f t="shared" ref="BN5:BN25" si="24">IF(OR(ISERROR(Z5/$I5)=TRUE,ISBLANK(Z5)=TRUE),"",Z5/$I5)</f>
        <v>1.0653846153846154</v>
      </c>
      <c r="BO5" s="86">
        <f t="shared" ref="BO5:BO41" si="25">IF(OR(ISERROR(AA5/$I5)=TRUE,ISBLANK(AA5)=TRUE),"",AA5/$I5)</f>
        <v>1.0807692307692309</v>
      </c>
      <c r="BP5" s="86">
        <f t="shared" ref="BP5:BP41" si="26">IF(OR(ISERROR(AB5/$I5)=TRUE,ISBLANK(AB5)=TRUE),"",AB5/$I5)</f>
        <v>1.1000000000000001</v>
      </c>
      <c r="BQ5" s="86">
        <f t="shared" ref="BQ5:BQ41" si="27">IF(OR(ISERROR(AC5/$I5)=TRUE,ISBLANK(AC5)=TRUE),"",AC5/$I5)</f>
        <v>1.1153846153846154</v>
      </c>
      <c r="BR5" s="86">
        <f t="shared" ref="BR5:BR41" si="28">IF(OR(ISERROR(AD5/$I5)=TRUE,ISBLANK(AD5)=TRUE),"",AD5/$I5)</f>
        <v>1.1461538461538461</v>
      </c>
      <c r="BS5" s="86">
        <f t="shared" ref="BS5:BS41" si="29">IF(OR(ISERROR(AE5/$I5)=TRUE,ISBLANK(AE5)=TRUE),"",AE5/$I5)</f>
        <v>1.1538461538461537</v>
      </c>
      <c r="BT5" s="86">
        <f t="shared" ref="BT5:BT41" si="30">IF(OR(ISERROR(AF5/$I5)=TRUE,ISBLANK(AF5)=TRUE),"",AF5/$I5)</f>
        <v>1.1192307692307693</v>
      </c>
      <c r="BU5" s="86">
        <f t="shared" ref="BU5:BU41" si="31">IF(OR(ISERROR(AG5/$I5)=TRUE,ISBLANK(AG5)=TRUE),"",AG5/$I5)</f>
        <v>1.1038461538461539</v>
      </c>
      <c r="BV5" s="86">
        <f t="shared" ref="BV5:BV41" si="32">IF(OR(ISERROR(AH5/$I5)=TRUE,ISBLANK(AH5)=TRUE),"",AH5/$I5)</f>
        <v>1.1307692307692307</v>
      </c>
      <c r="BW5" s="86">
        <f t="shared" ref="BW5:BW41" si="33">IF(OR(ISERROR(AI5/$I5)=TRUE,ISBLANK(AI5)=TRUE),"",AI5/$I5)</f>
        <v>1.1846153846153846</v>
      </c>
      <c r="BX5" s="86">
        <f t="shared" ref="BX5:BX41" si="34">IF(OR(ISERROR(AJ5/$I5)=TRUE,ISBLANK(AJ5)=TRUE),"",AJ5/$I5)</f>
        <v>1.176923076923077</v>
      </c>
      <c r="BY5" s="86" t="str">
        <f t="shared" ref="BY5:BY41" si="35">IF(OR(ISERROR(AK5/$I5)=TRUE,ISBLANK(AK5)=TRUE),"",AK5/$I5)</f>
        <v/>
      </c>
      <c r="BZ5" s="86" t="str">
        <f t="shared" ref="BZ5:BZ41" si="36">IF(OR(ISERROR(AL5/$I5)=TRUE,ISBLANK(AL5)=TRUE),"",AL5/$I5)</f>
        <v/>
      </c>
      <c r="CA5" s="86" t="str">
        <f t="shared" ref="CA5:CA41" si="37">IF(OR(ISERROR(AM5/$I5)=TRUE,ISBLANK(AM5)=TRUE),"",AM5/$I5)</f>
        <v/>
      </c>
      <c r="CB5" s="86" t="str">
        <f t="shared" ref="CB5:CB41" si="38">IF(OR(ISERROR(AN5/$I5)=TRUE,ISBLANK(AN5)=TRUE),"",AN5/$I5)</f>
        <v/>
      </c>
      <c r="CC5" s="86" t="str">
        <f t="shared" ref="CC5:CC41" si="39">IF(OR(ISERROR(AO5/$I5)=TRUE,ISBLANK(AO5)=TRUE),"",AO5/$I5)</f>
        <v/>
      </c>
      <c r="CD5" s="86" t="str">
        <f t="shared" ref="CD5:CD41" si="40">IF(OR(ISERROR(AP5/$I5)=TRUE,ISBLANK(AP5)=TRUE),"",AP5/$I5)</f>
        <v/>
      </c>
      <c r="CE5" s="86" t="str">
        <f t="shared" ref="CE5:CE41" si="41">IF(OR(ISERROR(AQ5/$I5)=TRUE,ISBLANK(AQ5)=TRUE),"",AQ5/$I5)</f>
        <v/>
      </c>
      <c r="CF5" s="86" t="str">
        <f t="shared" ref="CF5:CF41" si="42">IF(OR(ISERROR(AR5/$I5)=TRUE,ISBLANK(AR5)=TRUE),"",AR5/$I5)</f>
        <v/>
      </c>
      <c r="CG5" s="86" t="str">
        <f t="shared" ref="CG5:CG41" si="43">IF(OR(ISERROR(AS5/$I5)=TRUE,ISBLANK(AS5)=TRUE),"",AS5/$I5)</f>
        <v/>
      </c>
      <c r="CH5" s="86" t="str">
        <f t="shared" ref="CH5:CH41" si="44">IF(OR(ISERROR(AT5/$I5)=TRUE,ISBLANK(AT5)=TRUE),"",AT5/$I5)</f>
        <v/>
      </c>
      <c r="CI5" s="86" t="str">
        <f t="shared" ref="CI5:CI41" si="45">IF(OR(ISERROR(AU5/$I5)=TRUE,ISBLANK(AU5)=TRUE),"",AU5/$I5)</f>
        <v/>
      </c>
      <c r="CJ5" s="86" t="str">
        <f t="shared" ref="CJ5:CJ41" si="46">IF(OR(ISERROR(AV5/$I5)=TRUE,ISBLANK(AV5)=TRUE),"",AV5/$I5)</f>
        <v/>
      </c>
      <c r="CK5" s="86" t="str">
        <f t="shared" ref="CK5:CK41" si="47">IF(OR(ISERROR(AW5/$I5)=TRUE,ISBLANK(AW5)=TRUE),"",AW5/$I5)</f>
        <v/>
      </c>
      <c r="CL5" s="3"/>
    </row>
    <row r="6" spans="1:90">
      <c r="A6" s="27">
        <v>961157</v>
      </c>
      <c r="B6" s="1">
        <v>12</v>
      </c>
      <c r="C6" s="29" t="str">
        <f t="shared" si="8"/>
        <v>961157-12</v>
      </c>
      <c r="D6" s="28" t="s">
        <v>26</v>
      </c>
      <c r="E6" s="37" t="s">
        <v>48</v>
      </c>
      <c r="F6" s="31">
        <v>42340</v>
      </c>
      <c r="G6" s="38"/>
      <c r="H6" s="31">
        <v>42350</v>
      </c>
      <c r="I6" s="38">
        <v>30.4</v>
      </c>
      <c r="J6" s="40"/>
      <c r="K6" s="87">
        <v>30</v>
      </c>
      <c r="L6" s="93">
        <v>29.8</v>
      </c>
      <c r="M6" s="93">
        <v>30.4</v>
      </c>
      <c r="N6" s="93">
        <v>28.3</v>
      </c>
      <c r="O6" s="93">
        <v>27.5</v>
      </c>
      <c r="P6" s="93">
        <v>25.9</v>
      </c>
      <c r="Q6" s="93">
        <v>26.5</v>
      </c>
      <c r="R6" s="93">
        <v>29.5</v>
      </c>
      <c r="S6" s="93">
        <v>30.8</v>
      </c>
      <c r="T6" s="93">
        <v>34.1</v>
      </c>
      <c r="U6" s="93">
        <v>34.9</v>
      </c>
      <c r="V6" s="93">
        <v>34.6</v>
      </c>
      <c r="W6" s="93">
        <v>33.9</v>
      </c>
      <c r="X6" s="93">
        <v>34.5</v>
      </c>
      <c r="Y6" s="93">
        <v>34.799999999999997</v>
      </c>
      <c r="Z6" s="93">
        <v>35</v>
      </c>
      <c r="AA6" s="93">
        <v>35.4</v>
      </c>
      <c r="AB6" s="93">
        <v>36</v>
      </c>
      <c r="AC6" s="93">
        <v>35.799999999999997</v>
      </c>
      <c r="AD6" s="93">
        <v>36.6</v>
      </c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2"/>
      <c r="AY6" s="82">
        <f t="shared" si="9"/>
        <v>0.98684210526315796</v>
      </c>
      <c r="AZ6" s="82">
        <f t="shared" si="10"/>
        <v>0.98026315789473695</v>
      </c>
      <c r="BA6" s="82">
        <f t="shared" si="11"/>
        <v>1</v>
      </c>
      <c r="BB6" s="82">
        <f t="shared" si="12"/>
        <v>0.93092105263157898</v>
      </c>
      <c r="BC6" s="82">
        <f t="shared" si="13"/>
        <v>0.9046052631578948</v>
      </c>
      <c r="BD6" s="82">
        <f t="shared" si="14"/>
        <v>0.85197368421052633</v>
      </c>
      <c r="BE6" s="82">
        <f t="shared" si="15"/>
        <v>0.87171052631578949</v>
      </c>
      <c r="BF6" s="82">
        <f t="shared" si="16"/>
        <v>0.97039473684210531</v>
      </c>
      <c r="BG6" s="82">
        <f t="shared" si="17"/>
        <v>1.0131578947368423</v>
      </c>
      <c r="BH6" s="82">
        <f t="shared" si="18"/>
        <v>1.1217105263157896</v>
      </c>
      <c r="BI6" s="82">
        <f t="shared" si="19"/>
        <v>1.1480263157894737</v>
      </c>
      <c r="BJ6" s="82">
        <f t="shared" si="20"/>
        <v>1.1381578947368423</v>
      </c>
      <c r="BK6" s="82">
        <f t="shared" si="21"/>
        <v>1.1151315789473684</v>
      </c>
      <c r="BL6" s="82">
        <f t="shared" si="22"/>
        <v>1.1348684210526316</v>
      </c>
      <c r="BM6" s="82">
        <f t="shared" si="23"/>
        <v>1.1447368421052631</v>
      </c>
      <c r="BN6" s="82">
        <f t="shared" si="24"/>
        <v>1.1513157894736843</v>
      </c>
      <c r="BO6" s="82">
        <f t="shared" si="25"/>
        <v>1.1644736842105263</v>
      </c>
      <c r="BP6" s="82">
        <f t="shared" si="26"/>
        <v>1.1842105263157896</v>
      </c>
      <c r="BQ6" s="82">
        <f t="shared" si="27"/>
        <v>1.1776315789473684</v>
      </c>
      <c r="BR6" s="82">
        <f t="shared" si="28"/>
        <v>1.2039473684210527</v>
      </c>
      <c r="BS6" s="82" t="str">
        <f t="shared" si="29"/>
        <v/>
      </c>
      <c r="BT6" s="82" t="str">
        <f t="shared" si="30"/>
        <v/>
      </c>
      <c r="BU6" s="82" t="str">
        <f t="shared" si="31"/>
        <v/>
      </c>
      <c r="BV6" s="82" t="str">
        <f t="shared" si="32"/>
        <v/>
      </c>
      <c r="BW6" s="82" t="str">
        <f t="shared" si="33"/>
        <v/>
      </c>
      <c r="BX6" s="82" t="str">
        <f t="shared" si="34"/>
        <v/>
      </c>
      <c r="BY6" s="82" t="str">
        <f t="shared" si="35"/>
        <v/>
      </c>
      <c r="BZ6" s="82" t="str">
        <f t="shared" si="36"/>
        <v/>
      </c>
      <c r="CA6" s="82" t="str">
        <f t="shared" si="37"/>
        <v/>
      </c>
      <c r="CB6" s="82" t="str">
        <f t="shared" si="38"/>
        <v/>
      </c>
      <c r="CC6" s="82" t="str">
        <f t="shared" si="39"/>
        <v/>
      </c>
      <c r="CD6" s="82" t="str">
        <f t="shared" si="40"/>
        <v/>
      </c>
      <c r="CE6" s="82" t="str">
        <f t="shared" si="41"/>
        <v/>
      </c>
      <c r="CF6" s="82" t="str">
        <f t="shared" si="42"/>
        <v/>
      </c>
      <c r="CG6" s="82" t="str">
        <f t="shared" si="43"/>
        <v/>
      </c>
      <c r="CH6" s="82" t="str">
        <f t="shared" si="44"/>
        <v/>
      </c>
      <c r="CI6" s="82" t="str">
        <f t="shared" si="45"/>
        <v/>
      </c>
      <c r="CJ6" s="82" t="str">
        <f t="shared" si="46"/>
        <v/>
      </c>
      <c r="CK6" s="82" t="str">
        <f t="shared" si="47"/>
        <v/>
      </c>
      <c r="CL6" s="3"/>
    </row>
    <row r="7" spans="1:90">
      <c r="A7" s="27">
        <v>961157</v>
      </c>
      <c r="B7" s="1">
        <v>14</v>
      </c>
      <c r="C7" s="29" t="str">
        <f t="shared" si="8"/>
        <v>961157-14</v>
      </c>
      <c r="D7" s="28" t="s">
        <v>26</v>
      </c>
      <c r="E7" s="37" t="s">
        <v>48</v>
      </c>
      <c r="F7" s="31">
        <v>42340</v>
      </c>
      <c r="G7" s="38"/>
      <c r="H7" s="31">
        <v>42350</v>
      </c>
      <c r="I7" s="38">
        <v>26.1</v>
      </c>
      <c r="J7" s="40"/>
      <c r="K7" s="87">
        <v>25.6</v>
      </c>
      <c r="L7" s="93">
        <v>25.9</v>
      </c>
      <c r="M7" s="93">
        <v>26.1</v>
      </c>
      <c r="N7" s="93">
        <v>25.2</v>
      </c>
      <c r="O7" s="93">
        <v>25.4</v>
      </c>
      <c r="P7" s="93">
        <v>25</v>
      </c>
      <c r="Q7" s="93">
        <v>25.4</v>
      </c>
      <c r="R7" s="93">
        <v>25.7</v>
      </c>
      <c r="S7" s="93">
        <v>26.6</v>
      </c>
      <c r="T7" s="93">
        <v>29.1</v>
      </c>
      <c r="U7" s="93">
        <v>29.6</v>
      </c>
      <c r="V7" s="93">
        <v>29.4</v>
      </c>
      <c r="W7" s="93">
        <v>29.2</v>
      </c>
      <c r="X7" s="93">
        <v>28.9</v>
      </c>
      <c r="Y7" s="93">
        <v>28.7</v>
      </c>
      <c r="Z7" s="93">
        <v>28.9</v>
      </c>
      <c r="AA7" s="93">
        <v>29.1</v>
      </c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2"/>
      <c r="AY7" s="82">
        <f t="shared" si="9"/>
        <v>0.98084291187739459</v>
      </c>
      <c r="AZ7" s="82">
        <f t="shared" si="10"/>
        <v>0.99233716475095779</v>
      </c>
      <c r="BA7" s="82">
        <f t="shared" si="11"/>
        <v>1</v>
      </c>
      <c r="BB7" s="82">
        <f t="shared" si="12"/>
        <v>0.96551724137931028</v>
      </c>
      <c r="BC7" s="82">
        <f t="shared" si="13"/>
        <v>0.97318007662835238</v>
      </c>
      <c r="BD7" s="82">
        <f t="shared" si="14"/>
        <v>0.95785440613026818</v>
      </c>
      <c r="BE7" s="82">
        <f t="shared" si="15"/>
        <v>0.97318007662835238</v>
      </c>
      <c r="BF7" s="82">
        <f t="shared" si="16"/>
        <v>0.98467432950191558</v>
      </c>
      <c r="BG7" s="82">
        <f t="shared" si="17"/>
        <v>1.0191570881226053</v>
      </c>
      <c r="BH7" s="82">
        <f t="shared" si="18"/>
        <v>1.1149425287356323</v>
      </c>
      <c r="BI7" s="82">
        <f t="shared" si="19"/>
        <v>1.1340996168582376</v>
      </c>
      <c r="BJ7" s="82">
        <f t="shared" si="20"/>
        <v>1.1264367816091954</v>
      </c>
      <c r="BK7" s="82">
        <f t="shared" si="21"/>
        <v>1.1187739463601531</v>
      </c>
      <c r="BL7" s="82">
        <f t="shared" si="22"/>
        <v>1.1072796934865898</v>
      </c>
      <c r="BM7" s="82">
        <f t="shared" si="23"/>
        <v>1.0996168582375478</v>
      </c>
      <c r="BN7" s="82">
        <f t="shared" si="24"/>
        <v>1.1072796934865898</v>
      </c>
      <c r="BO7" s="82">
        <f t="shared" si="25"/>
        <v>1.1149425287356323</v>
      </c>
      <c r="BP7" s="82" t="str">
        <f t="shared" si="26"/>
        <v/>
      </c>
      <c r="BQ7" s="82" t="str">
        <f t="shared" si="27"/>
        <v/>
      </c>
      <c r="BR7" s="82" t="str">
        <f t="shared" si="28"/>
        <v/>
      </c>
      <c r="BS7" s="82" t="str">
        <f t="shared" si="29"/>
        <v/>
      </c>
      <c r="BT7" s="82" t="str">
        <f t="shared" si="30"/>
        <v/>
      </c>
      <c r="BU7" s="82" t="str">
        <f t="shared" si="31"/>
        <v/>
      </c>
      <c r="BV7" s="82" t="str">
        <f t="shared" si="32"/>
        <v/>
      </c>
      <c r="BW7" s="82" t="str">
        <f t="shared" si="33"/>
        <v/>
      </c>
      <c r="BX7" s="82" t="str">
        <f t="shared" si="34"/>
        <v/>
      </c>
      <c r="BY7" s="82" t="str">
        <f t="shared" si="35"/>
        <v/>
      </c>
      <c r="BZ7" s="82" t="str">
        <f t="shared" si="36"/>
        <v/>
      </c>
      <c r="CA7" s="82" t="str">
        <f t="shared" si="37"/>
        <v/>
      </c>
      <c r="CB7" s="82" t="str">
        <f t="shared" si="38"/>
        <v/>
      </c>
      <c r="CC7" s="82" t="str">
        <f t="shared" si="39"/>
        <v/>
      </c>
      <c r="CD7" s="82" t="str">
        <f t="shared" si="40"/>
        <v/>
      </c>
      <c r="CE7" s="82" t="str">
        <f t="shared" si="41"/>
        <v/>
      </c>
      <c r="CF7" s="82" t="str">
        <f t="shared" si="42"/>
        <v/>
      </c>
      <c r="CG7" s="82" t="str">
        <f t="shared" si="43"/>
        <v/>
      </c>
      <c r="CH7" s="82" t="str">
        <f t="shared" si="44"/>
        <v/>
      </c>
      <c r="CI7" s="82" t="str">
        <f t="shared" si="45"/>
        <v/>
      </c>
      <c r="CJ7" s="82" t="str">
        <f t="shared" si="46"/>
        <v/>
      </c>
      <c r="CK7" s="82" t="str">
        <f t="shared" si="47"/>
        <v/>
      </c>
      <c r="CL7" s="3"/>
    </row>
    <row r="8" spans="1:90">
      <c r="A8" s="27">
        <v>961157</v>
      </c>
      <c r="B8" s="1">
        <v>15</v>
      </c>
      <c r="C8" s="29" t="str">
        <f t="shared" si="8"/>
        <v>961157-15</v>
      </c>
      <c r="D8" s="28" t="s">
        <v>26</v>
      </c>
      <c r="E8" s="37" t="s">
        <v>49</v>
      </c>
      <c r="F8" s="31">
        <v>42340</v>
      </c>
      <c r="G8" s="38"/>
      <c r="H8" s="31">
        <v>42350</v>
      </c>
      <c r="I8" s="38">
        <v>30.5</v>
      </c>
      <c r="J8" s="40"/>
      <c r="K8" s="87">
        <v>29</v>
      </c>
      <c r="L8" s="93">
        <v>29.4</v>
      </c>
      <c r="M8" s="93">
        <v>30.5</v>
      </c>
      <c r="N8" s="93">
        <v>29.4</v>
      </c>
      <c r="O8" s="93">
        <v>30</v>
      </c>
      <c r="P8" s="93">
        <v>30.2</v>
      </c>
      <c r="Q8" s="93">
        <v>30.3</v>
      </c>
      <c r="R8" s="93">
        <v>29.9</v>
      </c>
      <c r="S8" s="93">
        <v>29.9</v>
      </c>
      <c r="T8" s="93">
        <v>31.9</v>
      </c>
      <c r="U8" s="93">
        <v>31.3</v>
      </c>
      <c r="V8" s="93">
        <v>30.9</v>
      </c>
      <c r="W8" s="93">
        <v>30.9</v>
      </c>
      <c r="X8" s="93">
        <v>30.4</v>
      </c>
      <c r="Y8" s="93">
        <v>31.4</v>
      </c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2"/>
      <c r="AY8" s="82">
        <f t="shared" si="9"/>
        <v>0.95081967213114749</v>
      </c>
      <c r="AZ8" s="82">
        <f t="shared" si="10"/>
        <v>0.9639344262295082</v>
      </c>
      <c r="BA8" s="82">
        <f t="shared" si="11"/>
        <v>1</v>
      </c>
      <c r="BB8" s="82">
        <f t="shared" si="12"/>
        <v>0.9639344262295082</v>
      </c>
      <c r="BC8" s="82">
        <f t="shared" si="13"/>
        <v>0.98360655737704916</v>
      </c>
      <c r="BD8" s="82">
        <f t="shared" si="14"/>
        <v>0.99016393442622952</v>
      </c>
      <c r="BE8" s="82">
        <f t="shared" si="15"/>
        <v>0.99344262295081964</v>
      </c>
      <c r="BF8" s="82">
        <f t="shared" si="16"/>
        <v>0.98032786885245893</v>
      </c>
      <c r="BG8" s="82">
        <f t="shared" si="17"/>
        <v>0.98032786885245893</v>
      </c>
      <c r="BH8" s="82">
        <f t="shared" si="18"/>
        <v>1.0459016393442622</v>
      </c>
      <c r="BI8" s="82">
        <f t="shared" si="19"/>
        <v>1.0262295081967214</v>
      </c>
      <c r="BJ8" s="82">
        <f t="shared" si="20"/>
        <v>1.0131147540983607</v>
      </c>
      <c r="BK8" s="82">
        <f t="shared" si="21"/>
        <v>1.0131147540983607</v>
      </c>
      <c r="BL8" s="82">
        <f t="shared" si="22"/>
        <v>0.99672131147540977</v>
      </c>
      <c r="BM8" s="82">
        <f t="shared" si="23"/>
        <v>1.0295081967213113</v>
      </c>
      <c r="BN8" s="82" t="str">
        <f t="shared" si="24"/>
        <v/>
      </c>
      <c r="BO8" s="82" t="str">
        <f t="shared" si="25"/>
        <v/>
      </c>
      <c r="BP8" s="82" t="str">
        <f t="shared" si="26"/>
        <v/>
      </c>
      <c r="BQ8" s="82" t="str">
        <f t="shared" si="27"/>
        <v/>
      </c>
      <c r="BR8" s="82" t="str">
        <f t="shared" si="28"/>
        <v/>
      </c>
      <c r="BS8" s="82" t="str">
        <f t="shared" si="29"/>
        <v/>
      </c>
      <c r="BT8" s="82" t="str">
        <f t="shared" si="30"/>
        <v/>
      </c>
      <c r="BU8" s="82" t="str">
        <f t="shared" si="31"/>
        <v/>
      </c>
      <c r="BV8" s="82" t="str">
        <f t="shared" si="32"/>
        <v/>
      </c>
      <c r="BW8" s="82" t="str">
        <f t="shared" si="33"/>
        <v/>
      </c>
      <c r="BX8" s="82" t="str">
        <f t="shared" si="34"/>
        <v/>
      </c>
      <c r="BY8" s="82" t="str">
        <f t="shared" si="35"/>
        <v/>
      </c>
      <c r="BZ8" s="82" t="str">
        <f t="shared" si="36"/>
        <v/>
      </c>
      <c r="CA8" s="82" t="str">
        <f t="shared" si="37"/>
        <v/>
      </c>
      <c r="CB8" s="82" t="str">
        <f t="shared" si="38"/>
        <v/>
      </c>
      <c r="CC8" s="82" t="str">
        <f t="shared" si="39"/>
        <v/>
      </c>
      <c r="CD8" s="82" t="str">
        <f t="shared" si="40"/>
        <v/>
      </c>
      <c r="CE8" s="82" t="str">
        <f t="shared" si="41"/>
        <v/>
      </c>
      <c r="CF8" s="82" t="str">
        <f t="shared" si="42"/>
        <v/>
      </c>
      <c r="CG8" s="82" t="str">
        <f t="shared" si="43"/>
        <v/>
      </c>
      <c r="CH8" s="82" t="str">
        <f t="shared" si="44"/>
        <v/>
      </c>
      <c r="CI8" s="82" t="str">
        <f t="shared" si="45"/>
        <v/>
      </c>
      <c r="CJ8" s="82" t="str">
        <f t="shared" si="46"/>
        <v/>
      </c>
      <c r="CK8" s="82" t="str">
        <f t="shared" si="47"/>
        <v/>
      </c>
      <c r="CL8" s="3"/>
    </row>
    <row r="9" spans="1:90">
      <c r="A9" s="41">
        <v>961158</v>
      </c>
      <c r="B9" s="1">
        <v>23</v>
      </c>
      <c r="C9" s="29" t="str">
        <f t="shared" si="8"/>
        <v>961158-23</v>
      </c>
      <c r="D9" s="28" t="s">
        <v>26</v>
      </c>
      <c r="E9" s="37" t="s">
        <v>34</v>
      </c>
      <c r="F9" s="31">
        <v>42340</v>
      </c>
      <c r="G9" s="38"/>
      <c r="H9" s="31">
        <v>42350</v>
      </c>
      <c r="I9" s="38">
        <v>24.8</v>
      </c>
      <c r="J9" s="40"/>
      <c r="K9" s="87">
        <v>24.7</v>
      </c>
      <c r="L9" s="93">
        <v>24.3</v>
      </c>
      <c r="M9" s="93">
        <v>24.8</v>
      </c>
      <c r="N9" s="93">
        <v>24.4</v>
      </c>
      <c r="O9" s="93">
        <v>24.4</v>
      </c>
      <c r="P9" s="93">
        <v>24.6</v>
      </c>
      <c r="Q9" s="93">
        <v>24.5</v>
      </c>
      <c r="R9" s="93">
        <v>23.9</v>
      </c>
      <c r="S9" s="93">
        <v>23.5</v>
      </c>
      <c r="T9" s="93">
        <v>23.9</v>
      </c>
      <c r="U9" s="93">
        <v>23.8</v>
      </c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2"/>
      <c r="AY9" s="82">
        <f t="shared" si="9"/>
        <v>0.99596774193548376</v>
      </c>
      <c r="AZ9" s="82">
        <f t="shared" si="10"/>
        <v>0.97983870967741937</v>
      </c>
      <c r="BA9" s="82">
        <f t="shared" si="11"/>
        <v>1</v>
      </c>
      <c r="BB9" s="82">
        <f t="shared" si="12"/>
        <v>0.98387096774193539</v>
      </c>
      <c r="BC9" s="82">
        <f t="shared" si="13"/>
        <v>0.98387096774193539</v>
      </c>
      <c r="BD9" s="82">
        <f t="shared" si="14"/>
        <v>0.99193548387096775</v>
      </c>
      <c r="BE9" s="82">
        <f t="shared" si="15"/>
        <v>0.98790322580645162</v>
      </c>
      <c r="BF9" s="82">
        <f t="shared" si="16"/>
        <v>0.96370967741935476</v>
      </c>
      <c r="BG9" s="82">
        <f t="shared" si="17"/>
        <v>0.94758064516129026</v>
      </c>
      <c r="BH9" s="82">
        <f t="shared" si="18"/>
        <v>0.96370967741935476</v>
      </c>
      <c r="BI9" s="82">
        <f t="shared" si="19"/>
        <v>0.95967741935483875</v>
      </c>
      <c r="BJ9" s="82" t="str">
        <f t="shared" si="20"/>
        <v/>
      </c>
      <c r="BK9" s="82" t="str">
        <f t="shared" si="21"/>
        <v/>
      </c>
      <c r="BL9" s="82" t="str">
        <f t="shared" si="22"/>
        <v/>
      </c>
      <c r="BM9" s="82" t="str">
        <f t="shared" si="23"/>
        <v/>
      </c>
      <c r="BN9" s="82" t="str">
        <f t="shared" si="24"/>
        <v/>
      </c>
      <c r="BO9" s="82" t="str">
        <f t="shared" si="25"/>
        <v/>
      </c>
      <c r="BP9" s="82" t="str">
        <f t="shared" si="26"/>
        <v/>
      </c>
      <c r="BQ9" s="82" t="str">
        <f t="shared" si="27"/>
        <v/>
      </c>
      <c r="BR9" s="82" t="str">
        <f t="shared" si="28"/>
        <v/>
      </c>
      <c r="BS9" s="82" t="str">
        <f t="shared" si="29"/>
        <v/>
      </c>
      <c r="BT9" s="82" t="str">
        <f t="shared" si="30"/>
        <v/>
      </c>
      <c r="BU9" s="82" t="str">
        <f t="shared" si="31"/>
        <v/>
      </c>
      <c r="BV9" s="82" t="str">
        <f t="shared" si="32"/>
        <v/>
      </c>
      <c r="BW9" s="82" t="str">
        <f t="shared" si="33"/>
        <v/>
      </c>
      <c r="BX9" s="82" t="str">
        <f t="shared" si="34"/>
        <v/>
      </c>
      <c r="BY9" s="82" t="str">
        <f t="shared" si="35"/>
        <v/>
      </c>
      <c r="BZ9" s="82" t="str">
        <f t="shared" si="36"/>
        <v/>
      </c>
      <c r="CA9" s="82" t="str">
        <f t="shared" si="37"/>
        <v/>
      </c>
      <c r="CB9" s="82" t="str">
        <f t="shared" si="38"/>
        <v/>
      </c>
      <c r="CC9" s="82" t="str">
        <f t="shared" si="39"/>
        <v/>
      </c>
      <c r="CD9" s="82" t="str">
        <f t="shared" si="40"/>
        <v/>
      </c>
      <c r="CE9" s="82" t="str">
        <f t="shared" si="41"/>
        <v/>
      </c>
      <c r="CF9" s="82" t="str">
        <f t="shared" si="42"/>
        <v/>
      </c>
      <c r="CG9" s="82" t="str">
        <f t="shared" si="43"/>
        <v/>
      </c>
      <c r="CH9" s="82" t="str">
        <f t="shared" si="44"/>
        <v/>
      </c>
      <c r="CI9" s="82" t="str">
        <f t="shared" si="45"/>
        <v/>
      </c>
      <c r="CJ9" s="82" t="str">
        <f t="shared" si="46"/>
        <v/>
      </c>
      <c r="CK9" s="82" t="str">
        <f t="shared" si="47"/>
        <v/>
      </c>
      <c r="CL9" s="3"/>
    </row>
    <row r="10" spans="1:90">
      <c r="A10" s="41">
        <v>961158</v>
      </c>
      <c r="B10" s="1">
        <v>24</v>
      </c>
      <c r="C10" s="29" t="str">
        <f t="shared" si="8"/>
        <v>961158-24</v>
      </c>
      <c r="D10" s="28" t="s">
        <v>26</v>
      </c>
      <c r="E10" s="37" t="s">
        <v>47</v>
      </c>
      <c r="F10" s="31">
        <v>42340</v>
      </c>
      <c r="G10" s="38"/>
      <c r="H10" s="31">
        <v>42350</v>
      </c>
      <c r="I10" s="38">
        <v>22.9</v>
      </c>
      <c r="J10" s="40"/>
      <c r="K10" s="87">
        <v>23.9</v>
      </c>
      <c r="L10" s="93">
        <v>23.5</v>
      </c>
      <c r="M10" s="93">
        <v>22.9</v>
      </c>
      <c r="N10" s="93">
        <v>23</v>
      </c>
      <c r="O10" s="93">
        <v>23.5</v>
      </c>
      <c r="P10" s="93">
        <v>23.9</v>
      </c>
      <c r="Q10" s="93">
        <v>23.1</v>
      </c>
      <c r="R10" s="93">
        <v>24.7</v>
      </c>
      <c r="S10" s="93">
        <v>24.7</v>
      </c>
      <c r="T10" s="93">
        <v>26.8</v>
      </c>
      <c r="U10" s="93">
        <v>26.3</v>
      </c>
      <c r="V10" s="93">
        <v>27</v>
      </c>
      <c r="W10" s="93">
        <v>26.4</v>
      </c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2"/>
      <c r="AY10" s="82">
        <f t="shared" si="9"/>
        <v>1.0436681222707425</v>
      </c>
      <c r="AZ10" s="82">
        <f t="shared" si="10"/>
        <v>1.0262008733624455</v>
      </c>
      <c r="BA10" s="82">
        <f t="shared" si="11"/>
        <v>1</v>
      </c>
      <c r="BB10" s="82">
        <f t="shared" si="12"/>
        <v>1.0043668122270744</v>
      </c>
      <c r="BC10" s="82">
        <f t="shared" si="13"/>
        <v>1.0262008733624455</v>
      </c>
      <c r="BD10" s="82">
        <f t="shared" si="14"/>
        <v>1.0436681222707425</v>
      </c>
      <c r="BE10" s="82">
        <f t="shared" si="15"/>
        <v>1.0087336244541485</v>
      </c>
      <c r="BF10" s="82">
        <f t="shared" si="16"/>
        <v>1.0786026200873362</v>
      </c>
      <c r="BG10" s="82">
        <f t="shared" si="17"/>
        <v>1.0786026200873362</v>
      </c>
      <c r="BH10" s="82">
        <f t="shared" si="18"/>
        <v>1.1703056768558953</v>
      </c>
      <c r="BI10" s="82">
        <f t="shared" si="19"/>
        <v>1.1484716157205241</v>
      </c>
      <c r="BJ10" s="82">
        <f t="shared" si="20"/>
        <v>1.1790393013100438</v>
      </c>
      <c r="BK10" s="82">
        <f t="shared" si="21"/>
        <v>1.1528384279475983</v>
      </c>
      <c r="BL10" s="82" t="str">
        <f t="shared" si="22"/>
        <v/>
      </c>
      <c r="BM10" s="82" t="str">
        <f t="shared" si="23"/>
        <v/>
      </c>
      <c r="BN10" s="82" t="str">
        <f t="shared" si="24"/>
        <v/>
      </c>
      <c r="BO10" s="82" t="str">
        <f t="shared" si="25"/>
        <v/>
      </c>
      <c r="BP10" s="82" t="str">
        <f t="shared" si="26"/>
        <v/>
      </c>
      <c r="BQ10" s="82" t="str">
        <f t="shared" si="27"/>
        <v/>
      </c>
      <c r="BR10" s="82" t="str">
        <f t="shared" si="28"/>
        <v/>
      </c>
      <c r="BS10" s="82" t="str">
        <f t="shared" si="29"/>
        <v/>
      </c>
      <c r="BT10" s="82" t="str">
        <f t="shared" si="30"/>
        <v/>
      </c>
      <c r="BU10" s="82" t="str">
        <f t="shared" si="31"/>
        <v/>
      </c>
      <c r="BV10" s="82" t="str">
        <f t="shared" si="32"/>
        <v/>
      </c>
      <c r="BW10" s="82" t="str">
        <f t="shared" si="33"/>
        <v/>
      </c>
      <c r="BX10" s="82" t="str">
        <f t="shared" si="34"/>
        <v/>
      </c>
      <c r="BY10" s="82" t="str">
        <f t="shared" si="35"/>
        <v/>
      </c>
      <c r="BZ10" s="82" t="str">
        <f t="shared" si="36"/>
        <v/>
      </c>
      <c r="CA10" s="82" t="str">
        <f t="shared" si="37"/>
        <v/>
      </c>
      <c r="CB10" s="82" t="str">
        <f t="shared" si="38"/>
        <v/>
      </c>
      <c r="CC10" s="82" t="str">
        <f t="shared" si="39"/>
        <v/>
      </c>
      <c r="CD10" s="82" t="str">
        <f t="shared" si="40"/>
        <v/>
      </c>
      <c r="CE10" s="82" t="str">
        <f t="shared" si="41"/>
        <v/>
      </c>
      <c r="CF10" s="82" t="str">
        <f t="shared" si="42"/>
        <v/>
      </c>
      <c r="CG10" s="82" t="str">
        <f t="shared" si="43"/>
        <v/>
      </c>
      <c r="CH10" s="82" t="str">
        <f t="shared" si="44"/>
        <v/>
      </c>
      <c r="CI10" s="82" t="str">
        <f t="shared" si="45"/>
        <v/>
      </c>
      <c r="CJ10" s="82" t="str">
        <f t="shared" si="46"/>
        <v/>
      </c>
      <c r="CK10" s="82" t="str">
        <f t="shared" si="47"/>
        <v/>
      </c>
      <c r="CL10" s="3"/>
    </row>
    <row r="11" spans="1:90">
      <c r="A11" s="41">
        <v>961156</v>
      </c>
      <c r="B11" s="1">
        <v>31</v>
      </c>
      <c r="C11" s="29" t="str">
        <f t="shared" si="8"/>
        <v>961156-31</v>
      </c>
      <c r="D11" s="28" t="s">
        <v>26</v>
      </c>
      <c r="E11" s="37" t="s">
        <v>49</v>
      </c>
      <c r="F11" s="31">
        <v>42340</v>
      </c>
      <c r="G11" s="38"/>
      <c r="H11" s="31">
        <v>42350</v>
      </c>
      <c r="I11" s="38">
        <v>23.5</v>
      </c>
      <c r="J11" s="40"/>
      <c r="K11" s="87">
        <v>23.4</v>
      </c>
      <c r="L11" s="93">
        <v>23.1</v>
      </c>
      <c r="M11" s="93">
        <v>23.5</v>
      </c>
      <c r="N11" s="93">
        <v>22.7</v>
      </c>
      <c r="O11" s="93">
        <v>22.6</v>
      </c>
      <c r="P11" s="93">
        <v>22.5</v>
      </c>
      <c r="Q11" s="93">
        <v>23.1</v>
      </c>
      <c r="R11" s="93">
        <v>23.4</v>
      </c>
      <c r="S11" s="93">
        <v>23.4</v>
      </c>
      <c r="T11" s="93">
        <v>25.4</v>
      </c>
      <c r="U11" s="93">
        <v>24.8</v>
      </c>
      <c r="V11" s="93">
        <v>25.3</v>
      </c>
      <c r="W11" s="93">
        <v>26</v>
      </c>
      <c r="X11" s="93">
        <v>25.5</v>
      </c>
      <c r="Y11" s="93">
        <v>25.9</v>
      </c>
      <c r="Z11" s="93">
        <v>26.2</v>
      </c>
      <c r="AA11" s="93">
        <v>26.5</v>
      </c>
      <c r="AB11" s="93">
        <v>25.5</v>
      </c>
      <c r="AC11" s="93">
        <v>27.3</v>
      </c>
      <c r="AD11" s="93">
        <v>27.2</v>
      </c>
      <c r="AE11" s="93">
        <v>27.4</v>
      </c>
      <c r="AF11" s="93">
        <v>28.4</v>
      </c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2"/>
      <c r="AY11" s="82">
        <f t="shared" si="9"/>
        <v>0.99574468085106382</v>
      </c>
      <c r="AZ11" s="82">
        <f t="shared" si="10"/>
        <v>0.98297872340425541</v>
      </c>
      <c r="BA11" s="82">
        <f t="shared" si="11"/>
        <v>1</v>
      </c>
      <c r="BB11" s="82">
        <f t="shared" si="12"/>
        <v>0.96595744680851059</v>
      </c>
      <c r="BC11" s="82">
        <f t="shared" si="13"/>
        <v>0.96170212765957452</v>
      </c>
      <c r="BD11" s="82">
        <f t="shared" si="14"/>
        <v>0.95744680851063835</v>
      </c>
      <c r="BE11" s="82">
        <f t="shared" si="15"/>
        <v>0.98297872340425541</v>
      </c>
      <c r="BF11" s="82">
        <f t="shared" si="16"/>
        <v>0.99574468085106382</v>
      </c>
      <c r="BG11" s="82">
        <f t="shared" si="17"/>
        <v>0.99574468085106382</v>
      </c>
      <c r="BH11" s="82">
        <f t="shared" si="18"/>
        <v>1.0808510638297872</v>
      </c>
      <c r="BI11" s="82">
        <f t="shared" si="19"/>
        <v>1.0553191489361702</v>
      </c>
      <c r="BJ11" s="82">
        <f t="shared" si="20"/>
        <v>1.0765957446808512</v>
      </c>
      <c r="BK11" s="82">
        <f t="shared" si="21"/>
        <v>1.1063829787234043</v>
      </c>
      <c r="BL11" s="82">
        <f t="shared" si="22"/>
        <v>1.0851063829787233</v>
      </c>
      <c r="BM11" s="82">
        <f t="shared" si="23"/>
        <v>1.102127659574468</v>
      </c>
      <c r="BN11" s="82">
        <f t="shared" si="24"/>
        <v>1.1148936170212767</v>
      </c>
      <c r="BO11" s="82">
        <f t="shared" si="25"/>
        <v>1.1276595744680851</v>
      </c>
      <c r="BP11" s="82">
        <f t="shared" si="26"/>
        <v>1.0851063829787233</v>
      </c>
      <c r="BQ11" s="82">
        <f t="shared" si="27"/>
        <v>1.1617021276595745</v>
      </c>
      <c r="BR11" s="82">
        <f t="shared" si="28"/>
        <v>1.1574468085106382</v>
      </c>
      <c r="BS11" s="82">
        <f t="shared" si="29"/>
        <v>1.1659574468085105</v>
      </c>
      <c r="BT11" s="82">
        <f t="shared" si="30"/>
        <v>1.2085106382978723</v>
      </c>
      <c r="BU11" s="82" t="str">
        <f t="shared" si="31"/>
        <v/>
      </c>
      <c r="BV11" s="82" t="str">
        <f t="shared" si="32"/>
        <v/>
      </c>
      <c r="BW11" s="82" t="str">
        <f t="shared" si="33"/>
        <v/>
      </c>
      <c r="BX11" s="82" t="str">
        <f t="shared" si="34"/>
        <v/>
      </c>
      <c r="BY11" s="82" t="str">
        <f t="shared" si="35"/>
        <v/>
      </c>
      <c r="BZ11" s="82" t="str">
        <f t="shared" si="36"/>
        <v/>
      </c>
      <c r="CA11" s="82" t="str">
        <f t="shared" si="37"/>
        <v/>
      </c>
      <c r="CB11" s="82" t="str">
        <f t="shared" si="38"/>
        <v/>
      </c>
      <c r="CC11" s="82" t="str">
        <f t="shared" si="39"/>
        <v/>
      </c>
      <c r="CD11" s="82" t="str">
        <f t="shared" si="40"/>
        <v/>
      </c>
      <c r="CE11" s="82" t="str">
        <f t="shared" si="41"/>
        <v/>
      </c>
      <c r="CF11" s="82" t="str">
        <f t="shared" si="42"/>
        <v/>
      </c>
      <c r="CG11" s="82" t="str">
        <f t="shared" si="43"/>
        <v/>
      </c>
      <c r="CH11" s="82" t="str">
        <f t="shared" si="44"/>
        <v/>
      </c>
      <c r="CI11" s="82" t="str">
        <f t="shared" si="45"/>
        <v/>
      </c>
      <c r="CJ11" s="82" t="str">
        <f t="shared" si="46"/>
        <v/>
      </c>
      <c r="CK11" s="82" t="str">
        <f t="shared" si="47"/>
        <v/>
      </c>
      <c r="CL11" s="3"/>
    </row>
    <row r="12" spans="1:90">
      <c r="A12" s="41">
        <v>961156</v>
      </c>
      <c r="B12" s="1">
        <v>34</v>
      </c>
      <c r="C12" s="29" t="str">
        <f t="shared" si="8"/>
        <v>961156-34</v>
      </c>
      <c r="D12" s="28" t="s">
        <v>26</v>
      </c>
      <c r="E12" s="37" t="s">
        <v>35</v>
      </c>
      <c r="F12" s="31">
        <v>42340</v>
      </c>
      <c r="G12" s="38"/>
      <c r="H12" s="31">
        <v>42350</v>
      </c>
      <c r="I12" s="38">
        <v>26.2</v>
      </c>
      <c r="J12" s="40"/>
      <c r="K12" s="87">
        <v>25.9</v>
      </c>
      <c r="L12" s="93">
        <v>26</v>
      </c>
      <c r="M12" s="93">
        <v>26.2</v>
      </c>
      <c r="N12" s="93">
        <v>25.4</v>
      </c>
      <c r="O12" s="93">
        <v>25.3</v>
      </c>
      <c r="P12" s="93">
        <v>25.3</v>
      </c>
      <c r="Q12" s="93">
        <v>25.4</v>
      </c>
      <c r="R12" s="93">
        <v>25.8</v>
      </c>
      <c r="S12" s="93">
        <v>25.9</v>
      </c>
      <c r="T12" s="93">
        <v>26.8</v>
      </c>
      <c r="U12" s="93">
        <v>26.3</v>
      </c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2"/>
      <c r="AY12" s="82">
        <f t="shared" si="9"/>
        <v>0.98854961832061061</v>
      </c>
      <c r="AZ12" s="82">
        <f t="shared" si="10"/>
        <v>0.99236641221374045</v>
      </c>
      <c r="BA12" s="82">
        <f t="shared" si="11"/>
        <v>1</v>
      </c>
      <c r="BB12" s="82">
        <f t="shared" si="12"/>
        <v>0.96946564885496178</v>
      </c>
      <c r="BC12" s="82">
        <f t="shared" si="13"/>
        <v>0.96564885496183206</v>
      </c>
      <c r="BD12" s="82">
        <f t="shared" si="14"/>
        <v>0.96564885496183206</v>
      </c>
      <c r="BE12" s="82">
        <f t="shared" si="15"/>
        <v>0.96946564885496178</v>
      </c>
      <c r="BF12" s="82">
        <f t="shared" si="16"/>
        <v>0.984732824427481</v>
      </c>
      <c r="BG12" s="82">
        <f t="shared" si="17"/>
        <v>0.98854961832061061</v>
      </c>
      <c r="BH12" s="82">
        <f t="shared" si="18"/>
        <v>1.0229007633587788</v>
      </c>
      <c r="BI12" s="82">
        <f t="shared" si="19"/>
        <v>1.0038167938931297</v>
      </c>
      <c r="BJ12" s="82" t="str">
        <f t="shared" si="20"/>
        <v/>
      </c>
      <c r="BK12" s="82" t="str">
        <f t="shared" si="21"/>
        <v/>
      </c>
      <c r="BL12" s="82" t="str">
        <f t="shared" si="22"/>
        <v/>
      </c>
      <c r="BM12" s="82" t="str">
        <f t="shared" si="23"/>
        <v/>
      </c>
      <c r="BN12" s="82" t="str">
        <f t="shared" si="24"/>
        <v/>
      </c>
      <c r="BO12" s="82" t="str">
        <f t="shared" si="25"/>
        <v/>
      </c>
      <c r="BP12" s="82" t="str">
        <f t="shared" si="26"/>
        <v/>
      </c>
      <c r="BQ12" s="82" t="str">
        <f t="shared" si="27"/>
        <v/>
      </c>
      <c r="BR12" s="82" t="str">
        <f t="shared" si="28"/>
        <v/>
      </c>
      <c r="BS12" s="82" t="str">
        <f t="shared" si="29"/>
        <v/>
      </c>
      <c r="BT12" s="82" t="str">
        <f t="shared" si="30"/>
        <v/>
      </c>
      <c r="BU12" s="82" t="str">
        <f t="shared" si="31"/>
        <v/>
      </c>
      <c r="BV12" s="82" t="str">
        <f t="shared" si="32"/>
        <v/>
      </c>
      <c r="BW12" s="82" t="str">
        <f t="shared" si="33"/>
        <v/>
      </c>
      <c r="BX12" s="82" t="str">
        <f t="shared" si="34"/>
        <v/>
      </c>
      <c r="BY12" s="82" t="str">
        <f t="shared" si="35"/>
        <v/>
      </c>
      <c r="BZ12" s="82" t="str">
        <f t="shared" si="36"/>
        <v/>
      </c>
      <c r="CA12" s="82" t="str">
        <f t="shared" si="37"/>
        <v/>
      </c>
      <c r="CB12" s="82" t="str">
        <f t="shared" si="38"/>
        <v/>
      </c>
      <c r="CC12" s="82" t="str">
        <f t="shared" si="39"/>
        <v/>
      </c>
      <c r="CD12" s="82" t="str">
        <f t="shared" si="40"/>
        <v/>
      </c>
      <c r="CE12" s="82" t="str">
        <f t="shared" si="41"/>
        <v/>
      </c>
      <c r="CF12" s="82" t="str">
        <f t="shared" si="42"/>
        <v/>
      </c>
      <c r="CG12" s="82" t="str">
        <f t="shared" si="43"/>
        <v/>
      </c>
      <c r="CH12" s="82" t="str">
        <f t="shared" si="44"/>
        <v/>
      </c>
      <c r="CI12" s="82" t="str">
        <f t="shared" si="45"/>
        <v/>
      </c>
      <c r="CJ12" s="82" t="str">
        <f t="shared" si="46"/>
        <v/>
      </c>
      <c r="CK12" s="82" t="str">
        <f t="shared" si="47"/>
        <v/>
      </c>
      <c r="CL12" s="3"/>
    </row>
    <row r="13" spans="1:90">
      <c r="A13" s="41">
        <v>961160</v>
      </c>
      <c r="B13" s="1">
        <v>42</v>
      </c>
      <c r="C13" s="29" t="str">
        <f t="shared" si="8"/>
        <v>961160-42</v>
      </c>
      <c r="D13" s="28" t="s">
        <v>26</v>
      </c>
      <c r="E13" s="37" t="s">
        <v>47</v>
      </c>
      <c r="F13" s="31">
        <v>42340</v>
      </c>
      <c r="G13" s="38"/>
      <c r="H13" s="31">
        <v>42350</v>
      </c>
      <c r="I13" s="38">
        <v>23.4</v>
      </c>
      <c r="J13" s="40"/>
      <c r="K13" s="87">
        <v>23.2</v>
      </c>
      <c r="L13" s="93">
        <v>23.4</v>
      </c>
      <c r="M13" s="93">
        <v>23.4</v>
      </c>
      <c r="N13" s="93">
        <v>21.8</v>
      </c>
      <c r="O13" s="93">
        <v>21.9</v>
      </c>
      <c r="P13" s="93">
        <v>22.4</v>
      </c>
      <c r="Q13" s="93">
        <v>22.3</v>
      </c>
      <c r="R13" s="93">
        <v>21.2</v>
      </c>
      <c r="S13" s="93">
        <v>20.7</v>
      </c>
      <c r="T13" s="93">
        <v>22.7</v>
      </c>
      <c r="U13" s="93">
        <v>22.6</v>
      </c>
      <c r="V13" s="93">
        <v>23.6</v>
      </c>
      <c r="W13" s="93">
        <v>22.9</v>
      </c>
      <c r="X13" s="93">
        <v>23.1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2"/>
      <c r="AY13" s="82">
        <f t="shared" si="9"/>
        <v>0.99145299145299148</v>
      </c>
      <c r="AZ13" s="82">
        <f t="shared" si="10"/>
        <v>1</v>
      </c>
      <c r="BA13" s="82">
        <f t="shared" si="11"/>
        <v>1</v>
      </c>
      <c r="BB13" s="82">
        <f t="shared" si="12"/>
        <v>0.93162393162393176</v>
      </c>
      <c r="BC13" s="82">
        <f t="shared" si="13"/>
        <v>0.9358974358974359</v>
      </c>
      <c r="BD13" s="82">
        <f t="shared" si="14"/>
        <v>0.95726495726495731</v>
      </c>
      <c r="BE13" s="82">
        <f t="shared" si="15"/>
        <v>0.95299145299145305</v>
      </c>
      <c r="BF13" s="82">
        <f t="shared" si="16"/>
        <v>0.90598290598290598</v>
      </c>
      <c r="BG13" s="82">
        <f t="shared" si="17"/>
        <v>0.88461538461538469</v>
      </c>
      <c r="BH13" s="82">
        <f t="shared" si="18"/>
        <v>0.97008547008547008</v>
      </c>
      <c r="BI13" s="82">
        <f t="shared" si="19"/>
        <v>0.96581196581196593</v>
      </c>
      <c r="BJ13" s="82">
        <f t="shared" si="20"/>
        <v>1.0085470085470087</v>
      </c>
      <c r="BK13" s="82">
        <f t="shared" si="21"/>
        <v>0.9786324786324786</v>
      </c>
      <c r="BL13" s="82">
        <f t="shared" si="22"/>
        <v>0.98717948717948734</v>
      </c>
      <c r="BM13" s="82" t="str">
        <f t="shared" si="23"/>
        <v/>
      </c>
      <c r="BN13" s="82" t="str">
        <f t="shared" si="24"/>
        <v/>
      </c>
      <c r="BO13" s="82" t="str">
        <f t="shared" si="25"/>
        <v/>
      </c>
      <c r="BP13" s="82" t="str">
        <f t="shared" si="26"/>
        <v/>
      </c>
      <c r="BQ13" s="82" t="str">
        <f t="shared" si="27"/>
        <v/>
      </c>
      <c r="BR13" s="82" t="str">
        <f t="shared" si="28"/>
        <v/>
      </c>
      <c r="BS13" s="82" t="str">
        <f t="shared" si="29"/>
        <v/>
      </c>
      <c r="BT13" s="82" t="str">
        <f t="shared" si="30"/>
        <v/>
      </c>
      <c r="BU13" s="82" t="str">
        <f t="shared" si="31"/>
        <v/>
      </c>
      <c r="BV13" s="82" t="str">
        <f t="shared" si="32"/>
        <v/>
      </c>
      <c r="BW13" s="82" t="str">
        <f t="shared" si="33"/>
        <v/>
      </c>
      <c r="BX13" s="82" t="str">
        <f t="shared" si="34"/>
        <v/>
      </c>
      <c r="BY13" s="82" t="str">
        <f t="shared" si="35"/>
        <v/>
      </c>
      <c r="BZ13" s="82" t="str">
        <f t="shared" si="36"/>
        <v/>
      </c>
      <c r="CA13" s="82" t="str">
        <f t="shared" si="37"/>
        <v/>
      </c>
      <c r="CB13" s="82" t="str">
        <f t="shared" si="38"/>
        <v/>
      </c>
      <c r="CC13" s="82" t="str">
        <f t="shared" si="39"/>
        <v/>
      </c>
      <c r="CD13" s="82" t="str">
        <f t="shared" si="40"/>
        <v/>
      </c>
      <c r="CE13" s="82" t="str">
        <f t="shared" si="41"/>
        <v/>
      </c>
      <c r="CF13" s="82" t="str">
        <f t="shared" si="42"/>
        <v/>
      </c>
      <c r="CG13" s="82" t="str">
        <f t="shared" si="43"/>
        <v/>
      </c>
      <c r="CH13" s="82" t="str">
        <f t="shared" si="44"/>
        <v/>
      </c>
      <c r="CI13" s="82" t="str">
        <f t="shared" si="45"/>
        <v/>
      </c>
      <c r="CJ13" s="82" t="str">
        <f t="shared" si="46"/>
        <v/>
      </c>
      <c r="CK13" s="82" t="str">
        <f t="shared" si="47"/>
        <v/>
      </c>
      <c r="CL13" s="3"/>
    </row>
    <row r="14" spans="1:90">
      <c r="A14" s="41">
        <v>961160</v>
      </c>
      <c r="B14" s="1">
        <v>43</v>
      </c>
      <c r="C14" s="29" t="str">
        <f t="shared" si="8"/>
        <v>961160-43</v>
      </c>
      <c r="D14" s="28" t="s">
        <v>26</v>
      </c>
      <c r="E14" s="37" t="s">
        <v>47</v>
      </c>
      <c r="F14" s="31">
        <v>42340</v>
      </c>
      <c r="G14" s="38"/>
      <c r="H14" s="31">
        <v>42350</v>
      </c>
      <c r="I14" s="38">
        <v>25</v>
      </c>
      <c r="J14" s="40"/>
      <c r="K14" s="87">
        <v>25.3</v>
      </c>
      <c r="L14" s="93">
        <v>24.3</v>
      </c>
      <c r="M14" s="93">
        <v>25</v>
      </c>
      <c r="N14" s="93">
        <v>23.5</v>
      </c>
      <c r="O14" s="93">
        <v>23.8</v>
      </c>
      <c r="P14" s="93">
        <v>23.5</v>
      </c>
      <c r="Q14" s="93">
        <v>23.8</v>
      </c>
      <c r="R14" s="93">
        <v>23.6</v>
      </c>
      <c r="S14" s="93">
        <v>23.5</v>
      </c>
      <c r="T14" s="93">
        <v>25</v>
      </c>
      <c r="U14" s="93">
        <v>24.4</v>
      </c>
      <c r="V14" s="93">
        <v>24</v>
      </c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2"/>
      <c r="AY14" s="82">
        <f t="shared" si="9"/>
        <v>1.012</v>
      </c>
      <c r="AZ14" s="82">
        <f t="shared" si="10"/>
        <v>0.97199999999999998</v>
      </c>
      <c r="BA14" s="82">
        <f t="shared" si="11"/>
        <v>1</v>
      </c>
      <c r="BB14" s="82">
        <f t="shared" si="12"/>
        <v>0.94</v>
      </c>
      <c r="BC14" s="82">
        <f t="shared" si="13"/>
        <v>0.95200000000000007</v>
      </c>
      <c r="BD14" s="82">
        <f t="shared" si="14"/>
        <v>0.94</v>
      </c>
      <c r="BE14" s="82">
        <f t="shared" si="15"/>
        <v>0.95200000000000007</v>
      </c>
      <c r="BF14" s="82">
        <f t="shared" si="16"/>
        <v>0.94400000000000006</v>
      </c>
      <c r="BG14" s="82">
        <f t="shared" si="17"/>
        <v>0.94</v>
      </c>
      <c r="BH14" s="82">
        <f t="shared" si="18"/>
        <v>1</v>
      </c>
      <c r="BI14" s="82">
        <f t="shared" si="19"/>
        <v>0.97599999999999998</v>
      </c>
      <c r="BJ14" s="82">
        <f t="shared" si="20"/>
        <v>0.96</v>
      </c>
      <c r="BK14" s="82" t="str">
        <f t="shared" si="21"/>
        <v/>
      </c>
      <c r="BL14" s="82" t="str">
        <f t="shared" si="22"/>
        <v/>
      </c>
      <c r="BM14" s="82" t="str">
        <f t="shared" si="23"/>
        <v/>
      </c>
      <c r="BN14" s="82" t="str">
        <f t="shared" si="24"/>
        <v/>
      </c>
      <c r="BO14" s="82" t="str">
        <f t="shared" si="25"/>
        <v/>
      </c>
      <c r="BP14" s="82" t="str">
        <f t="shared" si="26"/>
        <v/>
      </c>
      <c r="BQ14" s="82" t="str">
        <f t="shared" si="27"/>
        <v/>
      </c>
      <c r="BR14" s="82" t="str">
        <f t="shared" si="28"/>
        <v/>
      </c>
      <c r="BS14" s="82" t="str">
        <f t="shared" si="29"/>
        <v/>
      </c>
      <c r="BT14" s="82" t="str">
        <f t="shared" si="30"/>
        <v/>
      </c>
      <c r="BU14" s="82" t="str">
        <f t="shared" si="31"/>
        <v/>
      </c>
      <c r="BV14" s="82" t="str">
        <f t="shared" si="32"/>
        <v/>
      </c>
      <c r="BW14" s="82" t="str">
        <f t="shared" si="33"/>
        <v/>
      </c>
      <c r="BX14" s="82" t="str">
        <f t="shared" si="34"/>
        <v/>
      </c>
      <c r="BY14" s="82" t="str">
        <f t="shared" si="35"/>
        <v/>
      </c>
      <c r="BZ14" s="82" t="str">
        <f t="shared" si="36"/>
        <v/>
      </c>
      <c r="CA14" s="82" t="str">
        <f t="shared" si="37"/>
        <v/>
      </c>
      <c r="CB14" s="82" t="str">
        <f t="shared" si="38"/>
        <v/>
      </c>
      <c r="CC14" s="82" t="str">
        <f t="shared" si="39"/>
        <v/>
      </c>
      <c r="CD14" s="82" t="str">
        <f t="shared" si="40"/>
        <v/>
      </c>
      <c r="CE14" s="82" t="str">
        <f t="shared" si="41"/>
        <v/>
      </c>
      <c r="CF14" s="82" t="str">
        <f t="shared" si="42"/>
        <v/>
      </c>
      <c r="CG14" s="82" t="str">
        <f t="shared" si="43"/>
        <v/>
      </c>
      <c r="CH14" s="82" t="str">
        <f t="shared" si="44"/>
        <v/>
      </c>
      <c r="CI14" s="82" t="str">
        <f t="shared" si="45"/>
        <v/>
      </c>
      <c r="CJ14" s="82" t="str">
        <f t="shared" si="46"/>
        <v/>
      </c>
      <c r="CK14" s="82" t="str">
        <f t="shared" si="47"/>
        <v/>
      </c>
      <c r="CL14" s="3"/>
    </row>
    <row r="15" spans="1:90">
      <c r="A15" s="41">
        <v>961160</v>
      </c>
      <c r="B15" s="1">
        <v>44</v>
      </c>
      <c r="C15" s="29" t="str">
        <f t="shared" si="8"/>
        <v>961160-44</v>
      </c>
      <c r="D15" s="28" t="s">
        <v>26</v>
      </c>
      <c r="E15" s="37" t="s">
        <v>52</v>
      </c>
      <c r="F15" s="31">
        <v>42340</v>
      </c>
      <c r="G15" s="38"/>
      <c r="H15" s="31">
        <v>42350</v>
      </c>
      <c r="I15" s="38">
        <v>25.6</v>
      </c>
      <c r="J15" s="40"/>
      <c r="K15" s="87">
        <v>25</v>
      </c>
      <c r="L15" s="93">
        <v>24.8</v>
      </c>
      <c r="M15" s="93">
        <v>25.6</v>
      </c>
      <c r="N15" s="93">
        <v>23.7</v>
      </c>
      <c r="O15" s="93">
        <v>24</v>
      </c>
      <c r="P15" s="93">
        <v>24.2</v>
      </c>
      <c r="Q15" s="93">
        <v>24.4</v>
      </c>
      <c r="R15" s="93">
        <v>24.6</v>
      </c>
      <c r="S15" s="93">
        <v>25</v>
      </c>
      <c r="T15" s="93">
        <v>26.8</v>
      </c>
      <c r="U15" s="93">
        <v>27.4</v>
      </c>
      <c r="V15" s="93">
        <v>27.2</v>
      </c>
      <c r="W15" s="93">
        <v>26.4</v>
      </c>
      <c r="X15" s="93">
        <v>26.7</v>
      </c>
      <c r="Y15" s="93">
        <v>27.7</v>
      </c>
      <c r="Z15" s="93">
        <v>27.8</v>
      </c>
      <c r="AA15" s="93">
        <v>28</v>
      </c>
      <c r="AB15" s="93">
        <v>28.4</v>
      </c>
      <c r="AC15" s="93">
        <v>28.1</v>
      </c>
      <c r="AD15" s="93">
        <v>29.2</v>
      </c>
      <c r="AE15" s="93">
        <v>28.8</v>
      </c>
      <c r="AF15" s="93">
        <v>29.5</v>
      </c>
      <c r="AG15" s="93">
        <v>29.7</v>
      </c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2"/>
      <c r="AY15" s="82">
        <f t="shared" si="9"/>
        <v>0.9765625</v>
      </c>
      <c r="AZ15" s="82">
        <f t="shared" si="10"/>
        <v>0.96875</v>
      </c>
      <c r="BA15" s="82">
        <f t="shared" si="11"/>
        <v>1</v>
      </c>
      <c r="BB15" s="82">
        <f t="shared" si="12"/>
        <v>0.92578124999999989</v>
      </c>
      <c r="BC15" s="82">
        <f t="shared" si="13"/>
        <v>0.9375</v>
      </c>
      <c r="BD15" s="82">
        <f t="shared" si="14"/>
        <v>0.94531249999999989</v>
      </c>
      <c r="BE15" s="82">
        <f t="shared" si="15"/>
        <v>0.95312499999999989</v>
      </c>
      <c r="BF15" s="82">
        <f t="shared" si="16"/>
        <v>0.9609375</v>
      </c>
      <c r="BG15" s="82">
        <f t="shared" si="17"/>
        <v>0.9765625</v>
      </c>
      <c r="BH15" s="82">
        <f t="shared" si="18"/>
        <v>1.046875</v>
      </c>
      <c r="BI15" s="82">
        <f t="shared" si="19"/>
        <v>1.0703124999999998</v>
      </c>
      <c r="BJ15" s="82">
        <f t="shared" si="20"/>
        <v>1.0625</v>
      </c>
      <c r="BK15" s="82">
        <f t="shared" si="21"/>
        <v>1.0312499999999998</v>
      </c>
      <c r="BL15" s="82">
        <f t="shared" si="22"/>
        <v>1.04296875</v>
      </c>
      <c r="BM15" s="82">
        <f t="shared" si="23"/>
        <v>1.08203125</v>
      </c>
      <c r="BN15" s="82">
        <f t="shared" si="24"/>
        <v>1.0859375</v>
      </c>
      <c r="BO15" s="82">
        <f t="shared" si="25"/>
        <v>1.09375</v>
      </c>
      <c r="BP15" s="82">
        <f t="shared" si="26"/>
        <v>1.1093749999999998</v>
      </c>
      <c r="BQ15" s="82">
        <f t="shared" si="27"/>
        <v>1.09765625</v>
      </c>
      <c r="BR15" s="82">
        <f t="shared" si="28"/>
        <v>1.140625</v>
      </c>
      <c r="BS15" s="82">
        <f t="shared" si="29"/>
        <v>1.125</v>
      </c>
      <c r="BT15" s="82">
        <f t="shared" si="30"/>
        <v>1.15234375</v>
      </c>
      <c r="BU15" s="82">
        <f t="shared" si="31"/>
        <v>1.16015625</v>
      </c>
      <c r="BV15" s="82" t="str">
        <f t="shared" si="32"/>
        <v/>
      </c>
      <c r="BW15" s="82" t="str">
        <f t="shared" si="33"/>
        <v/>
      </c>
      <c r="BX15" s="82" t="str">
        <f t="shared" si="34"/>
        <v/>
      </c>
      <c r="BY15" s="82" t="str">
        <f t="shared" si="35"/>
        <v/>
      </c>
      <c r="BZ15" s="82" t="str">
        <f t="shared" si="36"/>
        <v/>
      </c>
      <c r="CA15" s="82" t="str">
        <f t="shared" si="37"/>
        <v/>
      </c>
      <c r="CB15" s="82" t="str">
        <f t="shared" si="38"/>
        <v/>
      </c>
      <c r="CC15" s="82" t="str">
        <f t="shared" si="39"/>
        <v/>
      </c>
      <c r="CD15" s="82" t="str">
        <f t="shared" si="40"/>
        <v/>
      </c>
      <c r="CE15" s="82" t="str">
        <f t="shared" si="41"/>
        <v/>
      </c>
      <c r="CF15" s="82" t="str">
        <f t="shared" si="42"/>
        <v/>
      </c>
      <c r="CG15" s="82" t="str">
        <f t="shared" si="43"/>
        <v/>
      </c>
      <c r="CH15" s="82" t="str">
        <f t="shared" si="44"/>
        <v/>
      </c>
      <c r="CI15" s="82" t="str">
        <f t="shared" si="45"/>
        <v/>
      </c>
      <c r="CJ15" s="82" t="str">
        <f t="shared" si="46"/>
        <v/>
      </c>
      <c r="CK15" s="82" t="str">
        <f t="shared" si="47"/>
        <v/>
      </c>
      <c r="CL15" s="3"/>
    </row>
    <row r="16" spans="1:90">
      <c r="A16" s="41">
        <v>961160</v>
      </c>
      <c r="B16" s="1">
        <v>45</v>
      </c>
      <c r="C16" s="29" t="str">
        <f t="shared" si="8"/>
        <v>961160-45</v>
      </c>
      <c r="D16" s="28" t="s">
        <v>26</v>
      </c>
      <c r="E16" s="30" t="s">
        <v>34</v>
      </c>
      <c r="F16" s="31">
        <v>42340</v>
      </c>
      <c r="G16" s="38"/>
      <c r="H16" s="31">
        <v>42350</v>
      </c>
      <c r="I16" s="38">
        <v>27.9</v>
      </c>
      <c r="J16" s="40"/>
      <c r="K16" s="87">
        <v>26.1</v>
      </c>
      <c r="L16" s="93">
        <v>27.5</v>
      </c>
      <c r="M16" s="93">
        <v>27.9</v>
      </c>
      <c r="N16" s="93">
        <v>26.8</v>
      </c>
      <c r="O16" s="93">
        <v>27.2</v>
      </c>
      <c r="P16" s="93">
        <v>27.4</v>
      </c>
      <c r="Q16" s="93">
        <v>27.9</v>
      </c>
      <c r="R16" s="93">
        <v>27.1</v>
      </c>
      <c r="S16" s="93">
        <v>27.4</v>
      </c>
      <c r="T16" s="93">
        <v>27.7</v>
      </c>
      <c r="U16" s="93">
        <v>26.3</v>
      </c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2"/>
      <c r="AY16" s="82">
        <f t="shared" si="9"/>
        <v>0.93548387096774199</v>
      </c>
      <c r="AZ16" s="82">
        <f t="shared" si="10"/>
        <v>0.98566308243727607</v>
      </c>
      <c r="BA16" s="82">
        <f t="shared" si="11"/>
        <v>1</v>
      </c>
      <c r="BB16" s="82">
        <f t="shared" si="12"/>
        <v>0.96057347670250903</v>
      </c>
      <c r="BC16" s="82">
        <f t="shared" si="13"/>
        <v>0.97491039426523296</v>
      </c>
      <c r="BD16" s="82">
        <f t="shared" si="14"/>
        <v>0.98207885304659504</v>
      </c>
      <c r="BE16" s="82">
        <f t="shared" si="15"/>
        <v>1</v>
      </c>
      <c r="BF16" s="82">
        <f t="shared" si="16"/>
        <v>0.97132616487455203</v>
      </c>
      <c r="BG16" s="82">
        <f t="shared" si="17"/>
        <v>0.98207885304659504</v>
      </c>
      <c r="BH16" s="82">
        <f t="shared" si="18"/>
        <v>0.99283154121863804</v>
      </c>
      <c r="BI16" s="82">
        <f t="shared" si="19"/>
        <v>0.94265232974910407</v>
      </c>
      <c r="BJ16" s="82" t="str">
        <f t="shared" si="20"/>
        <v/>
      </c>
      <c r="BK16" s="82" t="str">
        <f t="shared" si="21"/>
        <v/>
      </c>
      <c r="BL16" s="82" t="str">
        <f t="shared" si="22"/>
        <v/>
      </c>
      <c r="BM16" s="82" t="str">
        <f t="shared" si="23"/>
        <v/>
      </c>
      <c r="BN16" s="82" t="str">
        <f t="shared" si="24"/>
        <v/>
      </c>
      <c r="BO16" s="82" t="str">
        <f t="shared" si="25"/>
        <v/>
      </c>
      <c r="BP16" s="82" t="str">
        <f t="shared" si="26"/>
        <v/>
      </c>
      <c r="BQ16" s="82" t="str">
        <f t="shared" si="27"/>
        <v/>
      </c>
      <c r="BR16" s="82" t="str">
        <f t="shared" si="28"/>
        <v/>
      </c>
      <c r="BS16" s="82" t="str">
        <f t="shared" si="29"/>
        <v/>
      </c>
      <c r="BT16" s="82" t="str">
        <f t="shared" si="30"/>
        <v/>
      </c>
      <c r="BU16" s="82" t="str">
        <f t="shared" si="31"/>
        <v/>
      </c>
      <c r="BV16" s="82" t="str">
        <f t="shared" si="32"/>
        <v/>
      </c>
      <c r="BW16" s="82" t="str">
        <f t="shared" si="33"/>
        <v/>
      </c>
      <c r="BX16" s="82" t="str">
        <f t="shared" si="34"/>
        <v/>
      </c>
      <c r="BY16" s="82" t="str">
        <f t="shared" si="35"/>
        <v/>
      </c>
      <c r="BZ16" s="82" t="str">
        <f t="shared" si="36"/>
        <v/>
      </c>
      <c r="CA16" s="82" t="str">
        <f t="shared" si="37"/>
        <v/>
      </c>
      <c r="CB16" s="82" t="str">
        <f t="shared" si="38"/>
        <v/>
      </c>
      <c r="CC16" s="82" t="str">
        <f t="shared" si="39"/>
        <v/>
      </c>
      <c r="CD16" s="82" t="str">
        <f t="shared" si="40"/>
        <v/>
      </c>
      <c r="CE16" s="82" t="str">
        <f t="shared" si="41"/>
        <v/>
      </c>
      <c r="CF16" s="82" t="str">
        <f t="shared" si="42"/>
        <v/>
      </c>
      <c r="CG16" s="82" t="str">
        <f t="shared" si="43"/>
        <v/>
      </c>
      <c r="CH16" s="82" t="str">
        <f t="shared" si="44"/>
        <v/>
      </c>
      <c r="CI16" s="82" t="str">
        <f t="shared" si="45"/>
        <v/>
      </c>
      <c r="CJ16" s="82" t="str">
        <f t="shared" si="46"/>
        <v/>
      </c>
      <c r="CK16" s="82" t="str">
        <f t="shared" si="47"/>
        <v/>
      </c>
      <c r="CL16" s="3"/>
    </row>
    <row r="17" spans="1:90">
      <c r="A17" s="41">
        <v>961147</v>
      </c>
      <c r="B17" s="1">
        <v>51</v>
      </c>
      <c r="C17" s="29" t="str">
        <f t="shared" si="8"/>
        <v>961147-51</v>
      </c>
      <c r="D17" s="28" t="s">
        <v>26</v>
      </c>
      <c r="E17" s="30" t="s">
        <v>51</v>
      </c>
      <c r="F17" s="31">
        <v>42340</v>
      </c>
      <c r="G17" s="38"/>
      <c r="H17" s="31">
        <v>42350</v>
      </c>
      <c r="I17" s="38">
        <v>25.2</v>
      </c>
      <c r="J17" s="40"/>
      <c r="K17" s="87">
        <v>25.3</v>
      </c>
      <c r="L17" s="93">
        <v>24.6</v>
      </c>
      <c r="M17" s="93">
        <v>25.2</v>
      </c>
      <c r="N17" s="93">
        <v>23.9</v>
      </c>
      <c r="O17" s="93">
        <v>23.6</v>
      </c>
      <c r="P17" s="93">
        <v>23.6</v>
      </c>
      <c r="Q17" s="93">
        <v>23.7</v>
      </c>
      <c r="R17" s="93">
        <v>24.4</v>
      </c>
      <c r="S17" s="93">
        <v>24.7</v>
      </c>
      <c r="T17" s="93">
        <v>26.6</v>
      </c>
      <c r="U17" s="93">
        <v>26.5</v>
      </c>
      <c r="V17" s="93">
        <v>25.9</v>
      </c>
      <c r="W17" s="93">
        <v>25.3</v>
      </c>
      <c r="X17" s="93">
        <v>24.9</v>
      </c>
      <c r="Y17" s="93">
        <v>27.1</v>
      </c>
      <c r="Z17" s="93">
        <v>25.9</v>
      </c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2"/>
      <c r="AY17" s="82">
        <f t="shared" si="9"/>
        <v>1.003968253968254</v>
      </c>
      <c r="AZ17" s="82">
        <f t="shared" si="10"/>
        <v>0.97619047619047628</v>
      </c>
      <c r="BA17" s="82">
        <f t="shared" si="11"/>
        <v>1</v>
      </c>
      <c r="BB17" s="82">
        <f t="shared" si="12"/>
        <v>0.94841269841269837</v>
      </c>
      <c r="BC17" s="82">
        <f t="shared" si="13"/>
        <v>0.93650793650793662</v>
      </c>
      <c r="BD17" s="82">
        <f t="shared" si="14"/>
        <v>0.93650793650793662</v>
      </c>
      <c r="BE17" s="82">
        <f t="shared" si="15"/>
        <v>0.94047619047619047</v>
      </c>
      <c r="BF17" s="82">
        <f t="shared" si="16"/>
        <v>0.96825396825396826</v>
      </c>
      <c r="BG17" s="82">
        <f t="shared" si="17"/>
        <v>0.98015873015873012</v>
      </c>
      <c r="BH17" s="82">
        <f t="shared" si="18"/>
        <v>1.0555555555555556</v>
      </c>
      <c r="BI17" s="82">
        <f t="shared" si="19"/>
        <v>1.0515873015873016</v>
      </c>
      <c r="BJ17" s="82">
        <f t="shared" si="20"/>
        <v>1.0277777777777777</v>
      </c>
      <c r="BK17" s="82">
        <f t="shared" si="21"/>
        <v>1.003968253968254</v>
      </c>
      <c r="BL17" s="82">
        <f t="shared" si="22"/>
        <v>0.98809523809523803</v>
      </c>
      <c r="BM17" s="82">
        <f t="shared" si="23"/>
        <v>1.0753968253968256</v>
      </c>
      <c r="BN17" s="82">
        <f t="shared" si="24"/>
        <v>1.0277777777777777</v>
      </c>
      <c r="BO17" s="82" t="str">
        <f t="shared" si="25"/>
        <v/>
      </c>
      <c r="BP17" s="82" t="str">
        <f t="shared" si="26"/>
        <v/>
      </c>
      <c r="BQ17" s="82" t="str">
        <f t="shared" si="27"/>
        <v/>
      </c>
      <c r="BR17" s="82" t="str">
        <f t="shared" si="28"/>
        <v/>
      </c>
      <c r="BS17" s="82" t="str">
        <f t="shared" si="29"/>
        <v/>
      </c>
      <c r="BT17" s="82" t="str">
        <f t="shared" si="30"/>
        <v/>
      </c>
      <c r="BU17" s="82" t="str">
        <f t="shared" si="31"/>
        <v/>
      </c>
      <c r="BV17" s="82" t="str">
        <f t="shared" si="32"/>
        <v/>
      </c>
      <c r="BW17" s="82" t="str">
        <f t="shared" si="33"/>
        <v/>
      </c>
      <c r="BX17" s="82" t="str">
        <f t="shared" si="34"/>
        <v/>
      </c>
      <c r="BY17" s="82" t="str">
        <f t="shared" si="35"/>
        <v/>
      </c>
      <c r="BZ17" s="82" t="str">
        <f t="shared" si="36"/>
        <v/>
      </c>
      <c r="CA17" s="82" t="str">
        <f t="shared" si="37"/>
        <v/>
      </c>
      <c r="CB17" s="82" t="str">
        <f t="shared" si="38"/>
        <v/>
      </c>
      <c r="CC17" s="82" t="str">
        <f t="shared" si="39"/>
        <v/>
      </c>
      <c r="CD17" s="82" t="str">
        <f t="shared" si="40"/>
        <v/>
      </c>
      <c r="CE17" s="82" t="str">
        <f t="shared" si="41"/>
        <v/>
      </c>
      <c r="CF17" s="82" t="str">
        <f t="shared" si="42"/>
        <v/>
      </c>
      <c r="CG17" s="82" t="str">
        <f t="shared" si="43"/>
        <v/>
      </c>
      <c r="CH17" s="82" t="str">
        <f t="shared" si="44"/>
        <v/>
      </c>
      <c r="CI17" s="82" t="str">
        <f t="shared" si="45"/>
        <v/>
      </c>
      <c r="CJ17" s="82" t="str">
        <f t="shared" si="46"/>
        <v/>
      </c>
      <c r="CK17" s="82" t="str">
        <f t="shared" si="47"/>
        <v/>
      </c>
      <c r="CL17" s="3"/>
    </row>
    <row r="18" spans="1:90">
      <c r="A18" s="41">
        <v>961147</v>
      </c>
      <c r="B18" s="1">
        <v>52</v>
      </c>
      <c r="C18" s="29" t="str">
        <f t="shared" si="8"/>
        <v>961147-52</v>
      </c>
      <c r="D18" s="28" t="s">
        <v>26</v>
      </c>
      <c r="E18" s="37" t="s">
        <v>47</v>
      </c>
      <c r="F18" s="31">
        <v>42340</v>
      </c>
      <c r="G18" s="38"/>
      <c r="H18" s="31">
        <v>42350</v>
      </c>
      <c r="I18" s="38">
        <v>26.1</v>
      </c>
      <c r="J18" s="40"/>
      <c r="K18" s="87">
        <v>26.3</v>
      </c>
      <c r="L18" s="93">
        <v>25.7</v>
      </c>
      <c r="M18" s="93">
        <v>26.1</v>
      </c>
      <c r="N18" s="93">
        <v>25.7</v>
      </c>
      <c r="O18" s="93">
        <v>25.9</v>
      </c>
      <c r="P18" s="93">
        <v>25.6</v>
      </c>
      <c r="Q18" s="93">
        <v>25.9</v>
      </c>
      <c r="R18" s="93">
        <v>26.4</v>
      </c>
      <c r="S18" s="93">
        <v>26.8</v>
      </c>
      <c r="T18" s="93">
        <v>29.5</v>
      </c>
      <c r="U18" s="93">
        <v>28.9</v>
      </c>
      <c r="V18" s="93">
        <v>28.8</v>
      </c>
      <c r="W18" s="93">
        <v>28.2</v>
      </c>
      <c r="X18" s="93">
        <v>28.4</v>
      </c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2"/>
      <c r="AY18" s="82">
        <f t="shared" si="9"/>
        <v>1.0076628352490422</v>
      </c>
      <c r="AZ18" s="82">
        <f t="shared" si="10"/>
        <v>0.98467432950191558</v>
      </c>
      <c r="BA18" s="82">
        <f t="shared" si="11"/>
        <v>1</v>
      </c>
      <c r="BB18" s="82">
        <f t="shared" si="12"/>
        <v>0.98467432950191558</v>
      </c>
      <c r="BC18" s="82">
        <f t="shared" si="13"/>
        <v>0.99233716475095779</v>
      </c>
      <c r="BD18" s="82">
        <f t="shared" si="14"/>
        <v>0.98084291187739459</v>
      </c>
      <c r="BE18" s="82">
        <f t="shared" si="15"/>
        <v>0.99233716475095779</v>
      </c>
      <c r="BF18" s="82">
        <f t="shared" si="16"/>
        <v>1.0114942528735631</v>
      </c>
      <c r="BG18" s="82">
        <f t="shared" si="17"/>
        <v>1.0268199233716475</v>
      </c>
      <c r="BH18" s="82">
        <f t="shared" si="18"/>
        <v>1.1302681992337165</v>
      </c>
      <c r="BI18" s="82">
        <f t="shared" si="19"/>
        <v>1.1072796934865898</v>
      </c>
      <c r="BJ18" s="82">
        <f t="shared" si="20"/>
        <v>1.103448275862069</v>
      </c>
      <c r="BK18" s="82">
        <f t="shared" si="21"/>
        <v>1.0804597701149425</v>
      </c>
      <c r="BL18" s="82">
        <f t="shared" si="22"/>
        <v>1.0881226053639845</v>
      </c>
      <c r="BM18" s="82" t="str">
        <f t="shared" si="23"/>
        <v/>
      </c>
      <c r="BN18" s="82" t="str">
        <f t="shared" si="24"/>
        <v/>
      </c>
      <c r="BO18" s="82" t="str">
        <f t="shared" si="25"/>
        <v/>
      </c>
      <c r="BP18" s="82" t="str">
        <f t="shared" si="26"/>
        <v/>
      </c>
      <c r="BQ18" s="82" t="str">
        <f t="shared" si="27"/>
        <v/>
      </c>
      <c r="BR18" s="82" t="str">
        <f t="shared" si="28"/>
        <v/>
      </c>
      <c r="BS18" s="82" t="str">
        <f t="shared" si="29"/>
        <v/>
      </c>
      <c r="BT18" s="82" t="str">
        <f t="shared" si="30"/>
        <v/>
      </c>
      <c r="BU18" s="82" t="str">
        <f t="shared" si="31"/>
        <v/>
      </c>
      <c r="BV18" s="82" t="str">
        <f t="shared" si="32"/>
        <v/>
      </c>
      <c r="BW18" s="82" t="str">
        <f t="shared" si="33"/>
        <v/>
      </c>
      <c r="BX18" s="82" t="str">
        <f t="shared" si="34"/>
        <v/>
      </c>
      <c r="BY18" s="82" t="str">
        <f t="shared" si="35"/>
        <v/>
      </c>
      <c r="BZ18" s="82" t="str">
        <f t="shared" si="36"/>
        <v/>
      </c>
      <c r="CA18" s="82" t="str">
        <f t="shared" si="37"/>
        <v/>
      </c>
      <c r="CB18" s="82" t="str">
        <f t="shared" si="38"/>
        <v/>
      </c>
      <c r="CC18" s="82" t="str">
        <f t="shared" si="39"/>
        <v/>
      </c>
      <c r="CD18" s="82" t="str">
        <f t="shared" si="40"/>
        <v/>
      </c>
      <c r="CE18" s="82" t="str">
        <f t="shared" si="41"/>
        <v/>
      </c>
      <c r="CF18" s="82" t="str">
        <f t="shared" si="42"/>
        <v/>
      </c>
      <c r="CG18" s="82" t="str">
        <f t="shared" si="43"/>
        <v/>
      </c>
      <c r="CH18" s="82" t="str">
        <f t="shared" si="44"/>
        <v/>
      </c>
      <c r="CI18" s="82" t="str">
        <f t="shared" si="45"/>
        <v/>
      </c>
      <c r="CJ18" s="82" t="str">
        <f t="shared" si="46"/>
        <v/>
      </c>
      <c r="CK18" s="82" t="str">
        <f t="shared" si="47"/>
        <v/>
      </c>
      <c r="CL18" s="3"/>
    </row>
    <row r="19" spans="1:90">
      <c r="A19" s="41">
        <v>961147</v>
      </c>
      <c r="B19" s="1">
        <v>53</v>
      </c>
      <c r="C19" s="29" t="str">
        <f t="shared" si="8"/>
        <v>961147-53</v>
      </c>
      <c r="D19" s="28" t="s">
        <v>26</v>
      </c>
      <c r="E19" s="37" t="s">
        <v>51</v>
      </c>
      <c r="F19" s="31">
        <v>42340</v>
      </c>
      <c r="G19" s="38"/>
      <c r="H19" s="31">
        <v>42350</v>
      </c>
      <c r="I19" s="38">
        <v>26.6</v>
      </c>
      <c r="J19" s="40"/>
      <c r="K19" s="87">
        <v>26.8</v>
      </c>
      <c r="L19" s="93">
        <v>26.1</v>
      </c>
      <c r="M19" s="93">
        <v>26.6</v>
      </c>
      <c r="N19" s="93">
        <v>25.2</v>
      </c>
      <c r="O19" s="93">
        <v>25</v>
      </c>
      <c r="P19" s="93">
        <v>25.3</v>
      </c>
      <c r="Q19" s="93">
        <v>24.8</v>
      </c>
      <c r="R19" s="93">
        <v>25.1</v>
      </c>
      <c r="S19" s="93">
        <v>25.8</v>
      </c>
      <c r="T19" s="93">
        <v>27.3</v>
      </c>
      <c r="U19" s="93">
        <v>27.9</v>
      </c>
      <c r="V19" s="93">
        <v>28</v>
      </c>
      <c r="W19" s="93">
        <v>28</v>
      </c>
      <c r="X19" s="93">
        <v>27.7</v>
      </c>
      <c r="Y19" s="93">
        <v>28.2</v>
      </c>
      <c r="Z19" s="93">
        <v>28.6</v>
      </c>
      <c r="AA19" s="93">
        <v>27.6</v>
      </c>
      <c r="AB19" s="93">
        <v>27.9</v>
      </c>
      <c r="AC19" s="93">
        <v>28.5</v>
      </c>
      <c r="AD19" s="93">
        <v>28.5</v>
      </c>
      <c r="AE19" s="93">
        <v>28.6</v>
      </c>
      <c r="AF19" s="93">
        <v>28.6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2"/>
      <c r="AY19" s="82">
        <f t="shared" si="9"/>
        <v>1.0075187969924813</v>
      </c>
      <c r="AZ19" s="82">
        <f t="shared" si="10"/>
        <v>0.98120300751879697</v>
      </c>
      <c r="BA19" s="82">
        <f t="shared" si="11"/>
        <v>1</v>
      </c>
      <c r="BB19" s="82">
        <f t="shared" si="12"/>
        <v>0.94736842105263153</v>
      </c>
      <c r="BC19" s="82">
        <f t="shared" si="13"/>
        <v>0.93984962406015038</v>
      </c>
      <c r="BD19" s="82">
        <f t="shared" si="14"/>
        <v>0.95112781954887216</v>
      </c>
      <c r="BE19" s="82">
        <f t="shared" si="15"/>
        <v>0.93233082706766912</v>
      </c>
      <c r="BF19" s="82">
        <f t="shared" si="16"/>
        <v>0.94360902255639101</v>
      </c>
      <c r="BG19" s="82">
        <f t="shared" si="17"/>
        <v>0.96992481203007519</v>
      </c>
      <c r="BH19" s="82">
        <f t="shared" si="18"/>
        <v>1.0263157894736843</v>
      </c>
      <c r="BI19" s="82">
        <f t="shared" si="19"/>
        <v>1.0488721804511276</v>
      </c>
      <c r="BJ19" s="82">
        <f t="shared" si="20"/>
        <v>1.0526315789473684</v>
      </c>
      <c r="BK19" s="82">
        <f t="shared" si="21"/>
        <v>1.0526315789473684</v>
      </c>
      <c r="BL19" s="82">
        <f t="shared" si="22"/>
        <v>1.0413533834586466</v>
      </c>
      <c r="BM19" s="82">
        <f t="shared" si="23"/>
        <v>1.0601503759398496</v>
      </c>
      <c r="BN19" s="82">
        <f t="shared" si="24"/>
        <v>1.0751879699248121</v>
      </c>
      <c r="BO19" s="82">
        <f t="shared" si="25"/>
        <v>1.0375939849624061</v>
      </c>
      <c r="BP19" s="82">
        <f t="shared" si="26"/>
        <v>1.0488721804511276</v>
      </c>
      <c r="BQ19" s="82">
        <f t="shared" si="27"/>
        <v>1.0714285714285714</v>
      </c>
      <c r="BR19" s="82">
        <f t="shared" si="28"/>
        <v>1.0714285714285714</v>
      </c>
      <c r="BS19" s="82">
        <f t="shared" si="29"/>
        <v>1.0751879699248121</v>
      </c>
      <c r="BT19" s="82">
        <f t="shared" si="30"/>
        <v>1.0751879699248121</v>
      </c>
      <c r="BU19" s="82" t="str">
        <f t="shared" si="31"/>
        <v/>
      </c>
      <c r="BV19" s="82" t="str">
        <f t="shared" si="32"/>
        <v/>
      </c>
      <c r="BW19" s="82" t="str">
        <f t="shared" si="33"/>
        <v/>
      </c>
      <c r="BX19" s="82" t="str">
        <f t="shared" si="34"/>
        <v/>
      </c>
      <c r="BY19" s="82" t="str">
        <f t="shared" si="35"/>
        <v/>
      </c>
      <c r="BZ19" s="82" t="str">
        <f t="shared" si="36"/>
        <v/>
      </c>
      <c r="CA19" s="82" t="str">
        <f t="shared" si="37"/>
        <v/>
      </c>
      <c r="CB19" s="82" t="str">
        <f t="shared" si="38"/>
        <v/>
      </c>
      <c r="CC19" s="82" t="str">
        <f t="shared" si="39"/>
        <v/>
      </c>
      <c r="CD19" s="82" t="str">
        <f t="shared" si="40"/>
        <v/>
      </c>
      <c r="CE19" s="82" t="str">
        <f t="shared" si="41"/>
        <v/>
      </c>
      <c r="CF19" s="82" t="str">
        <f t="shared" si="42"/>
        <v/>
      </c>
      <c r="CG19" s="82" t="str">
        <f t="shared" si="43"/>
        <v/>
      </c>
      <c r="CH19" s="82" t="str">
        <f t="shared" si="44"/>
        <v/>
      </c>
      <c r="CI19" s="82" t="str">
        <f t="shared" si="45"/>
        <v/>
      </c>
      <c r="CJ19" s="82" t="str">
        <f t="shared" si="46"/>
        <v/>
      </c>
      <c r="CK19" s="82" t="str">
        <f t="shared" si="47"/>
        <v/>
      </c>
      <c r="CL19" s="3"/>
    </row>
    <row r="20" spans="1:90">
      <c r="A20" s="41">
        <v>961147</v>
      </c>
      <c r="B20" s="1">
        <v>54</v>
      </c>
      <c r="C20" s="29" t="str">
        <f t="shared" si="8"/>
        <v>961147-54</v>
      </c>
      <c r="D20" s="28" t="s">
        <v>26</v>
      </c>
      <c r="E20" s="37" t="s">
        <v>48</v>
      </c>
      <c r="F20" s="31">
        <v>42340</v>
      </c>
      <c r="G20" s="38"/>
      <c r="H20" s="31">
        <v>42350</v>
      </c>
      <c r="I20" s="38">
        <v>28.6</v>
      </c>
      <c r="J20" s="40"/>
      <c r="K20" s="87">
        <v>28.6</v>
      </c>
      <c r="L20" s="93">
        <v>28.3</v>
      </c>
      <c r="M20" s="93">
        <v>28.6</v>
      </c>
      <c r="N20" s="93">
        <v>26.9</v>
      </c>
      <c r="O20" s="93">
        <v>27.1</v>
      </c>
      <c r="P20" s="93">
        <v>27.5</v>
      </c>
      <c r="Q20" s="93">
        <v>27.8</v>
      </c>
      <c r="R20" s="93">
        <v>27.9</v>
      </c>
      <c r="S20" s="93">
        <v>28.8</v>
      </c>
      <c r="T20" s="93">
        <v>31.2</v>
      </c>
      <c r="U20" s="93">
        <v>31.1</v>
      </c>
      <c r="V20" s="93">
        <v>29.9</v>
      </c>
      <c r="W20" s="93">
        <v>30.2</v>
      </c>
      <c r="X20" s="93">
        <v>29.5</v>
      </c>
      <c r="Y20" s="93">
        <v>30.8</v>
      </c>
      <c r="Z20" s="93">
        <v>30.8</v>
      </c>
      <c r="AA20" s="93">
        <v>31.6</v>
      </c>
      <c r="AB20" s="93">
        <v>31.9</v>
      </c>
      <c r="AC20" s="93">
        <v>32.1</v>
      </c>
      <c r="AD20" s="93">
        <v>33</v>
      </c>
      <c r="AE20" s="93">
        <v>32.700000000000003</v>
      </c>
      <c r="AF20" s="93">
        <v>32.700000000000003</v>
      </c>
      <c r="AG20" s="93">
        <v>32.700000000000003</v>
      </c>
      <c r="AH20" s="93">
        <v>32.6</v>
      </c>
      <c r="AI20" s="93">
        <v>33.200000000000003</v>
      </c>
      <c r="AJ20" s="93">
        <v>33.1</v>
      </c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2"/>
      <c r="AY20" s="82">
        <f t="shared" si="9"/>
        <v>1</v>
      </c>
      <c r="AZ20" s="82">
        <f t="shared" si="10"/>
        <v>0.98951048951048948</v>
      </c>
      <c r="BA20" s="82">
        <f t="shared" si="11"/>
        <v>1</v>
      </c>
      <c r="BB20" s="82">
        <f t="shared" si="12"/>
        <v>0.94055944055944052</v>
      </c>
      <c r="BC20" s="82">
        <f t="shared" si="13"/>
        <v>0.94755244755244761</v>
      </c>
      <c r="BD20" s="82">
        <f t="shared" si="14"/>
        <v>0.96153846153846145</v>
      </c>
      <c r="BE20" s="82">
        <f t="shared" si="15"/>
        <v>0.97202797202797198</v>
      </c>
      <c r="BF20" s="82">
        <f t="shared" si="16"/>
        <v>0.97552447552447541</v>
      </c>
      <c r="BG20" s="82">
        <f t="shared" si="17"/>
        <v>1.0069930069930069</v>
      </c>
      <c r="BH20" s="82">
        <f t="shared" si="18"/>
        <v>1.0909090909090908</v>
      </c>
      <c r="BI20" s="82">
        <f t="shared" si="19"/>
        <v>1.0874125874125875</v>
      </c>
      <c r="BJ20" s="82">
        <f t="shared" si="20"/>
        <v>1.0454545454545454</v>
      </c>
      <c r="BK20" s="82">
        <f t="shared" si="21"/>
        <v>1.0559440559440558</v>
      </c>
      <c r="BL20" s="82">
        <f t="shared" si="22"/>
        <v>1.0314685314685315</v>
      </c>
      <c r="BM20" s="82">
        <f t="shared" si="23"/>
        <v>1.0769230769230769</v>
      </c>
      <c r="BN20" s="82">
        <f t="shared" si="24"/>
        <v>1.0769230769230769</v>
      </c>
      <c r="BO20" s="82">
        <f t="shared" si="25"/>
        <v>1.1048951048951048</v>
      </c>
      <c r="BP20" s="82">
        <f t="shared" si="26"/>
        <v>1.1153846153846152</v>
      </c>
      <c r="BQ20" s="82">
        <f t="shared" si="27"/>
        <v>1.1223776223776223</v>
      </c>
      <c r="BR20" s="82">
        <f t="shared" si="28"/>
        <v>1.1538461538461537</v>
      </c>
      <c r="BS20" s="82">
        <f t="shared" si="29"/>
        <v>1.1433566433566433</v>
      </c>
      <c r="BT20" s="82">
        <f t="shared" si="30"/>
        <v>1.1433566433566433</v>
      </c>
      <c r="BU20" s="82">
        <f t="shared" si="31"/>
        <v>1.1433566433566433</v>
      </c>
      <c r="BV20" s="82">
        <f t="shared" si="32"/>
        <v>1.1398601398601398</v>
      </c>
      <c r="BW20" s="82">
        <f t="shared" si="33"/>
        <v>1.1608391608391608</v>
      </c>
      <c r="BX20" s="82">
        <f t="shared" si="34"/>
        <v>1.1573426573426573</v>
      </c>
      <c r="BY20" s="82" t="str">
        <f t="shared" si="35"/>
        <v/>
      </c>
      <c r="BZ20" s="82" t="str">
        <f t="shared" si="36"/>
        <v/>
      </c>
      <c r="CA20" s="82" t="str">
        <f t="shared" si="37"/>
        <v/>
      </c>
      <c r="CB20" s="82" t="str">
        <f t="shared" si="38"/>
        <v/>
      </c>
      <c r="CC20" s="82" t="str">
        <f t="shared" si="39"/>
        <v/>
      </c>
      <c r="CD20" s="82" t="str">
        <f t="shared" si="40"/>
        <v/>
      </c>
      <c r="CE20" s="82" t="str">
        <f t="shared" si="41"/>
        <v/>
      </c>
      <c r="CF20" s="82" t="str">
        <f t="shared" si="42"/>
        <v/>
      </c>
      <c r="CG20" s="82" t="str">
        <f t="shared" si="43"/>
        <v/>
      </c>
      <c r="CH20" s="82" t="str">
        <f t="shared" si="44"/>
        <v/>
      </c>
      <c r="CI20" s="82" t="str">
        <f t="shared" si="45"/>
        <v/>
      </c>
      <c r="CJ20" s="82" t="str">
        <f t="shared" si="46"/>
        <v/>
      </c>
      <c r="CK20" s="82" t="str">
        <f t="shared" si="47"/>
        <v/>
      </c>
      <c r="CL20" s="3"/>
    </row>
    <row r="21" spans="1:90">
      <c r="A21" s="41">
        <v>961147</v>
      </c>
      <c r="B21" s="1">
        <v>55</v>
      </c>
      <c r="C21" s="29" t="str">
        <f t="shared" si="8"/>
        <v>961147-55</v>
      </c>
      <c r="D21" s="28" t="s">
        <v>26</v>
      </c>
      <c r="E21" s="37" t="s">
        <v>52</v>
      </c>
      <c r="F21" s="31">
        <v>42340</v>
      </c>
      <c r="G21" s="38"/>
      <c r="H21" s="31">
        <v>42350</v>
      </c>
      <c r="I21" s="38">
        <v>24.2</v>
      </c>
      <c r="J21" s="40"/>
      <c r="K21" s="87">
        <v>24.8</v>
      </c>
      <c r="L21" s="93">
        <v>23.8</v>
      </c>
      <c r="M21" s="93">
        <v>24.2</v>
      </c>
      <c r="N21" s="93">
        <v>23</v>
      </c>
      <c r="O21" s="93">
        <v>23.1</v>
      </c>
      <c r="P21" s="93">
        <v>23.3</v>
      </c>
      <c r="Q21" s="93">
        <v>23.2</v>
      </c>
      <c r="R21" s="93">
        <v>23.3</v>
      </c>
      <c r="S21" s="93">
        <v>23.7</v>
      </c>
      <c r="T21" s="93">
        <v>26.5</v>
      </c>
      <c r="U21" s="93">
        <v>26.4</v>
      </c>
      <c r="V21" s="93">
        <v>26.2</v>
      </c>
      <c r="W21" s="93">
        <v>26</v>
      </c>
      <c r="X21" s="93">
        <v>25.9</v>
      </c>
      <c r="Y21" s="93">
        <v>25.5</v>
      </c>
      <c r="Z21" s="93">
        <v>25.3</v>
      </c>
      <c r="AA21" s="93">
        <v>26.9</v>
      </c>
      <c r="AB21" s="93">
        <v>27</v>
      </c>
      <c r="AC21" s="93">
        <v>27.5</v>
      </c>
      <c r="AD21" s="93">
        <v>28.3</v>
      </c>
      <c r="AE21" s="93">
        <v>28.4</v>
      </c>
      <c r="AF21" s="93">
        <v>27.8</v>
      </c>
      <c r="AG21" s="93">
        <v>27.3</v>
      </c>
      <c r="AH21" s="93">
        <v>27.3</v>
      </c>
      <c r="AI21" s="93">
        <v>27.2</v>
      </c>
      <c r="AJ21" s="93">
        <v>27.3</v>
      </c>
      <c r="AK21" s="93">
        <v>28.3</v>
      </c>
      <c r="AL21" s="93">
        <v>28.7</v>
      </c>
      <c r="AM21" s="93">
        <v>29.6</v>
      </c>
      <c r="AN21" s="93">
        <v>29.6</v>
      </c>
      <c r="AO21" s="93">
        <v>29.1</v>
      </c>
      <c r="AP21" s="93">
        <v>29.9</v>
      </c>
      <c r="AQ21" s="93">
        <v>29.7</v>
      </c>
      <c r="AR21" s="93"/>
      <c r="AS21" s="93"/>
      <c r="AT21" s="93"/>
      <c r="AU21" s="93"/>
      <c r="AV21" s="93"/>
      <c r="AW21" s="93"/>
      <c r="AX21" s="2"/>
      <c r="AY21" s="82">
        <f t="shared" si="9"/>
        <v>1.0247933884297522</v>
      </c>
      <c r="AZ21" s="82">
        <f t="shared" si="10"/>
        <v>0.98347107438016534</v>
      </c>
      <c r="BA21" s="82">
        <f t="shared" si="11"/>
        <v>1</v>
      </c>
      <c r="BB21" s="82">
        <f t="shared" si="12"/>
        <v>0.95041322314049592</v>
      </c>
      <c r="BC21" s="82">
        <f t="shared" si="13"/>
        <v>0.95454545454545459</v>
      </c>
      <c r="BD21" s="82">
        <f t="shared" si="14"/>
        <v>0.96280991735537191</v>
      </c>
      <c r="BE21" s="82">
        <f t="shared" si="15"/>
        <v>0.95867768595041325</v>
      </c>
      <c r="BF21" s="82">
        <f t="shared" si="16"/>
        <v>0.96280991735537191</v>
      </c>
      <c r="BG21" s="82">
        <f t="shared" si="17"/>
        <v>0.97933884297520657</v>
      </c>
      <c r="BH21" s="82">
        <f t="shared" si="18"/>
        <v>1.0950413223140496</v>
      </c>
      <c r="BI21" s="82">
        <f t="shared" si="19"/>
        <v>1.0909090909090908</v>
      </c>
      <c r="BJ21" s="82">
        <f t="shared" si="20"/>
        <v>1.0826446280991735</v>
      </c>
      <c r="BK21" s="82">
        <f t="shared" si="21"/>
        <v>1.0743801652892562</v>
      </c>
      <c r="BL21" s="82">
        <f t="shared" si="22"/>
        <v>1.0702479338842974</v>
      </c>
      <c r="BM21" s="82">
        <f t="shared" si="23"/>
        <v>1.0537190082644627</v>
      </c>
      <c r="BN21" s="82">
        <f t="shared" si="24"/>
        <v>1.0454545454545454</v>
      </c>
      <c r="BO21" s="82">
        <f t="shared" si="25"/>
        <v>1.1115702479338843</v>
      </c>
      <c r="BP21" s="82">
        <f t="shared" si="26"/>
        <v>1.115702479338843</v>
      </c>
      <c r="BQ21" s="82">
        <f t="shared" si="27"/>
        <v>1.1363636363636365</v>
      </c>
      <c r="BR21" s="82">
        <f t="shared" si="28"/>
        <v>1.1694214876033058</v>
      </c>
      <c r="BS21" s="82">
        <f t="shared" si="29"/>
        <v>1.1735537190082643</v>
      </c>
      <c r="BT21" s="82">
        <f t="shared" si="30"/>
        <v>1.1487603305785126</v>
      </c>
      <c r="BU21" s="82">
        <f t="shared" si="31"/>
        <v>1.1280991735537191</v>
      </c>
      <c r="BV21" s="82">
        <f t="shared" si="32"/>
        <v>1.1280991735537191</v>
      </c>
      <c r="BW21" s="82">
        <f t="shared" si="33"/>
        <v>1.1239669421487604</v>
      </c>
      <c r="BX21" s="82">
        <f t="shared" si="34"/>
        <v>1.1280991735537191</v>
      </c>
      <c r="BY21" s="82">
        <f t="shared" si="35"/>
        <v>1.1694214876033058</v>
      </c>
      <c r="BZ21" s="82">
        <f t="shared" si="36"/>
        <v>1.1859504132231404</v>
      </c>
      <c r="CA21" s="82">
        <f t="shared" si="37"/>
        <v>1.2231404958677687</v>
      </c>
      <c r="CB21" s="82">
        <f t="shared" si="38"/>
        <v>1.2231404958677687</v>
      </c>
      <c r="CC21" s="82">
        <f t="shared" si="39"/>
        <v>1.2024793388429753</v>
      </c>
      <c r="CD21" s="82">
        <f t="shared" si="40"/>
        <v>1.2355371900826446</v>
      </c>
      <c r="CE21" s="82">
        <f t="shared" si="41"/>
        <v>1.2272727272727273</v>
      </c>
      <c r="CF21" s="82" t="str">
        <f t="shared" si="42"/>
        <v/>
      </c>
      <c r="CG21" s="82" t="str">
        <f t="shared" si="43"/>
        <v/>
      </c>
      <c r="CH21" s="82" t="str">
        <f t="shared" si="44"/>
        <v/>
      </c>
      <c r="CI21" s="82" t="str">
        <f t="shared" si="45"/>
        <v/>
      </c>
      <c r="CJ21" s="82" t="str">
        <f t="shared" si="46"/>
        <v/>
      </c>
      <c r="CK21" s="82" t="str">
        <f t="shared" si="47"/>
        <v/>
      </c>
      <c r="CL21" s="3"/>
    </row>
    <row r="22" spans="1:90">
      <c r="A22" s="41">
        <v>961146</v>
      </c>
      <c r="B22" s="1">
        <v>63</v>
      </c>
      <c r="C22" s="29" t="str">
        <f t="shared" si="8"/>
        <v>961146-63</v>
      </c>
      <c r="D22" s="28" t="s">
        <v>26</v>
      </c>
      <c r="E22" s="37" t="s">
        <v>47</v>
      </c>
      <c r="F22" s="31">
        <v>42340</v>
      </c>
      <c r="G22" s="38"/>
      <c r="H22" s="31">
        <v>42350</v>
      </c>
      <c r="I22" s="38">
        <v>23.6</v>
      </c>
      <c r="J22" s="40"/>
      <c r="K22" s="87">
        <v>22.4</v>
      </c>
      <c r="L22" s="93">
        <v>23.1</v>
      </c>
      <c r="M22" s="93">
        <v>23.6</v>
      </c>
      <c r="N22" s="93">
        <v>22.5</v>
      </c>
      <c r="O22" s="93">
        <v>22.8</v>
      </c>
      <c r="P22" s="93">
        <v>22.4</v>
      </c>
      <c r="Q22" s="93">
        <v>22.9</v>
      </c>
      <c r="R22" s="93">
        <v>23.5</v>
      </c>
      <c r="S22" s="93">
        <v>23.6</v>
      </c>
      <c r="T22" s="93">
        <v>25.2</v>
      </c>
      <c r="U22" s="93">
        <v>23.5</v>
      </c>
      <c r="V22" s="93">
        <v>23.4</v>
      </c>
      <c r="W22" s="93">
        <v>22.8</v>
      </c>
      <c r="X22" s="93">
        <v>22.6</v>
      </c>
      <c r="Y22" s="93">
        <v>23.8</v>
      </c>
      <c r="Z22" s="93">
        <v>24.7</v>
      </c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2"/>
      <c r="AY22" s="82">
        <f t="shared" si="9"/>
        <v>0.94915254237288127</v>
      </c>
      <c r="AZ22" s="82">
        <f t="shared" si="10"/>
        <v>0.97881355932203395</v>
      </c>
      <c r="BA22" s="82">
        <f t="shared" si="11"/>
        <v>1</v>
      </c>
      <c r="BB22" s="82">
        <f t="shared" si="12"/>
        <v>0.95338983050847448</v>
      </c>
      <c r="BC22" s="82">
        <f t="shared" si="13"/>
        <v>0.96610169491525422</v>
      </c>
      <c r="BD22" s="82">
        <f t="shared" si="14"/>
        <v>0.94915254237288127</v>
      </c>
      <c r="BE22" s="82">
        <f t="shared" si="15"/>
        <v>0.97033898305084731</v>
      </c>
      <c r="BF22" s="82">
        <f t="shared" si="16"/>
        <v>0.99576271186440668</v>
      </c>
      <c r="BG22" s="82">
        <f t="shared" si="17"/>
        <v>1</v>
      </c>
      <c r="BH22" s="82">
        <f t="shared" si="18"/>
        <v>1.0677966101694913</v>
      </c>
      <c r="BI22" s="82" t="str">
        <f>IF(OR(ISERROR(#REF!/$I22)=TRUE,ISBLANK(#REF!)=TRUE),"",#REF!/$I22)</f>
        <v/>
      </c>
      <c r="BJ22" s="82">
        <f t="shared" si="20"/>
        <v>0.99152542372881347</v>
      </c>
      <c r="BK22" s="82">
        <f t="shared" si="21"/>
        <v>0.96610169491525422</v>
      </c>
      <c r="BL22" s="82">
        <f t="shared" si="22"/>
        <v>0.9576271186440678</v>
      </c>
      <c r="BM22" s="82">
        <f t="shared" si="23"/>
        <v>1.0084745762711864</v>
      </c>
      <c r="BN22" s="82">
        <f t="shared" si="24"/>
        <v>1.0466101694915253</v>
      </c>
      <c r="BO22" s="82" t="str">
        <f t="shared" si="25"/>
        <v/>
      </c>
      <c r="BP22" s="82" t="str">
        <f t="shared" si="26"/>
        <v/>
      </c>
      <c r="BQ22" s="82" t="str">
        <f t="shared" si="27"/>
        <v/>
      </c>
      <c r="BR22" s="82" t="str">
        <f t="shared" si="28"/>
        <v/>
      </c>
      <c r="BS22" s="82" t="str">
        <f t="shared" si="29"/>
        <v/>
      </c>
      <c r="BT22" s="82" t="str">
        <f t="shared" si="30"/>
        <v/>
      </c>
      <c r="BU22" s="82" t="str">
        <f t="shared" si="31"/>
        <v/>
      </c>
      <c r="BV22" s="82" t="str">
        <f t="shared" si="32"/>
        <v/>
      </c>
      <c r="BW22" s="82" t="str">
        <f t="shared" si="33"/>
        <v/>
      </c>
      <c r="BX22" s="82" t="str">
        <f t="shared" si="34"/>
        <v/>
      </c>
      <c r="BY22" s="82" t="str">
        <f t="shared" si="35"/>
        <v/>
      </c>
      <c r="BZ22" s="82" t="str">
        <f t="shared" si="36"/>
        <v/>
      </c>
      <c r="CA22" s="82" t="str">
        <f t="shared" si="37"/>
        <v/>
      </c>
      <c r="CB22" s="82" t="str">
        <f t="shared" si="38"/>
        <v/>
      </c>
      <c r="CC22" s="82" t="str">
        <f t="shared" si="39"/>
        <v/>
      </c>
      <c r="CD22" s="82" t="str">
        <f t="shared" si="40"/>
        <v/>
      </c>
      <c r="CE22" s="82" t="str">
        <f t="shared" si="41"/>
        <v/>
      </c>
      <c r="CF22" s="82" t="str">
        <f t="shared" si="42"/>
        <v/>
      </c>
      <c r="CG22" s="82" t="str">
        <f t="shared" si="43"/>
        <v/>
      </c>
      <c r="CH22" s="82" t="str">
        <f t="shared" si="44"/>
        <v/>
      </c>
      <c r="CI22" s="82" t="str">
        <f t="shared" si="45"/>
        <v/>
      </c>
      <c r="CJ22" s="82" t="str">
        <f t="shared" si="46"/>
        <v/>
      </c>
      <c r="CK22" s="82" t="str">
        <f t="shared" si="47"/>
        <v/>
      </c>
      <c r="CL22" s="3"/>
    </row>
    <row r="23" spans="1:90">
      <c r="A23" s="41">
        <v>961146</v>
      </c>
      <c r="B23" s="1">
        <v>65</v>
      </c>
      <c r="C23" s="29" t="str">
        <f t="shared" si="8"/>
        <v>961146-65</v>
      </c>
      <c r="D23" s="28" t="s">
        <v>26</v>
      </c>
      <c r="E23" s="37" t="s">
        <v>51</v>
      </c>
      <c r="F23" s="31">
        <v>42340</v>
      </c>
      <c r="G23" s="38"/>
      <c r="H23" s="31">
        <v>42350</v>
      </c>
      <c r="I23" s="38">
        <v>24.5</v>
      </c>
      <c r="J23" s="40"/>
      <c r="K23" s="87">
        <v>25.4</v>
      </c>
      <c r="L23" s="93">
        <v>24.9</v>
      </c>
      <c r="M23" s="93">
        <v>24.5</v>
      </c>
      <c r="N23" s="93">
        <v>23</v>
      </c>
      <c r="O23" s="93">
        <v>22.8</v>
      </c>
      <c r="P23" s="93">
        <v>22.7</v>
      </c>
      <c r="Q23" s="93">
        <v>22.6</v>
      </c>
      <c r="R23" s="93">
        <v>23.6</v>
      </c>
      <c r="S23" s="93">
        <v>23.8</v>
      </c>
      <c r="T23" s="93">
        <v>26.2</v>
      </c>
      <c r="U23" s="93">
        <v>25.1</v>
      </c>
      <c r="V23" s="93">
        <v>25.7</v>
      </c>
      <c r="W23" s="93">
        <v>25</v>
      </c>
      <c r="X23" s="93">
        <v>24.8</v>
      </c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2"/>
      <c r="AY23" s="82">
        <f t="shared" si="9"/>
        <v>1.036734693877551</v>
      </c>
      <c r="AZ23" s="82">
        <f t="shared" si="10"/>
        <v>1.0163265306122449</v>
      </c>
      <c r="BA23" s="82">
        <f t="shared" si="11"/>
        <v>1</v>
      </c>
      <c r="BB23" s="82">
        <f t="shared" si="12"/>
        <v>0.93877551020408168</v>
      </c>
      <c r="BC23" s="82">
        <f t="shared" si="13"/>
        <v>0.93061224489795924</v>
      </c>
      <c r="BD23" s="82">
        <f t="shared" si="14"/>
        <v>0.92653061224489797</v>
      </c>
      <c r="BE23" s="82">
        <f t="shared" si="15"/>
        <v>0.9224489795918368</v>
      </c>
      <c r="BF23" s="82">
        <f t="shared" si="16"/>
        <v>0.96326530612244898</v>
      </c>
      <c r="BG23" s="82">
        <f t="shared" si="17"/>
        <v>0.97142857142857142</v>
      </c>
      <c r="BH23" s="82">
        <f t="shared" si="18"/>
        <v>1.0693877551020408</v>
      </c>
      <c r="BI23" s="82">
        <f t="shared" ref="BI23:BI24" si="48">IF(OR(ISERROR(U24/$I23)=TRUE,ISBLANK(U24)=TRUE),"",U24/$I23)</f>
        <v>1.2244897959183674</v>
      </c>
      <c r="BJ23" s="82">
        <f t="shared" si="20"/>
        <v>1.0489795918367346</v>
      </c>
      <c r="BK23" s="82">
        <f t="shared" si="21"/>
        <v>1.0204081632653061</v>
      </c>
      <c r="BL23" s="82">
        <f t="shared" si="22"/>
        <v>1.0122448979591836</v>
      </c>
      <c r="BM23" s="82" t="str">
        <f t="shared" si="23"/>
        <v/>
      </c>
      <c r="BN23" s="82" t="str">
        <f t="shared" si="24"/>
        <v/>
      </c>
      <c r="BO23" s="82" t="str">
        <f t="shared" si="25"/>
        <v/>
      </c>
      <c r="BP23" s="82" t="str">
        <f t="shared" si="26"/>
        <v/>
      </c>
      <c r="BQ23" s="82" t="str">
        <f t="shared" si="27"/>
        <v/>
      </c>
      <c r="BR23" s="82" t="str">
        <f t="shared" si="28"/>
        <v/>
      </c>
      <c r="BS23" s="82" t="str">
        <f t="shared" si="29"/>
        <v/>
      </c>
      <c r="BT23" s="82" t="str">
        <f t="shared" si="30"/>
        <v/>
      </c>
      <c r="BU23" s="82" t="str">
        <f t="shared" si="31"/>
        <v/>
      </c>
      <c r="BV23" s="82" t="str">
        <f t="shared" si="32"/>
        <v/>
      </c>
      <c r="BW23" s="82" t="str">
        <f t="shared" si="33"/>
        <v/>
      </c>
      <c r="BX23" s="82" t="str">
        <f t="shared" si="34"/>
        <v/>
      </c>
      <c r="BY23" s="82" t="str">
        <f t="shared" si="35"/>
        <v/>
      </c>
      <c r="BZ23" s="82" t="str">
        <f t="shared" si="36"/>
        <v/>
      </c>
      <c r="CA23" s="82" t="str">
        <f t="shared" si="37"/>
        <v/>
      </c>
      <c r="CB23" s="82" t="str">
        <f t="shared" si="38"/>
        <v/>
      </c>
      <c r="CC23" s="82" t="str">
        <f t="shared" si="39"/>
        <v/>
      </c>
      <c r="CD23" s="82" t="str">
        <f t="shared" si="40"/>
        <v/>
      </c>
      <c r="CE23" s="82" t="str">
        <f t="shared" si="41"/>
        <v/>
      </c>
      <c r="CF23" s="82" t="str">
        <f t="shared" si="42"/>
        <v/>
      </c>
      <c r="CG23" s="82" t="str">
        <f t="shared" si="43"/>
        <v/>
      </c>
      <c r="CH23" s="82" t="str">
        <f t="shared" si="44"/>
        <v/>
      </c>
      <c r="CI23" s="82" t="str">
        <f t="shared" si="45"/>
        <v/>
      </c>
      <c r="CJ23" s="82" t="str">
        <f t="shared" si="46"/>
        <v/>
      </c>
      <c r="CK23" s="82" t="str">
        <f t="shared" si="47"/>
        <v/>
      </c>
      <c r="CL23" s="3"/>
    </row>
    <row r="24" spans="1:90">
      <c r="A24" s="41">
        <v>961159</v>
      </c>
      <c r="B24" s="1">
        <v>71</v>
      </c>
      <c r="C24" s="29" t="str">
        <f t="shared" si="8"/>
        <v>961159-71</v>
      </c>
      <c r="D24" s="28" t="s">
        <v>26</v>
      </c>
      <c r="E24" s="37" t="s">
        <v>50</v>
      </c>
      <c r="F24" s="31">
        <v>42340</v>
      </c>
      <c r="G24" s="38"/>
      <c r="H24" s="31">
        <v>42350</v>
      </c>
      <c r="I24" s="38">
        <v>28.8</v>
      </c>
      <c r="J24" s="40"/>
      <c r="K24" s="87">
        <v>28.4</v>
      </c>
      <c r="L24" s="93">
        <v>28.9</v>
      </c>
      <c r="M24" s="93">
        <v>28.8</v>
      </c>
      <c r="N24" s="93">
        <v>26.8</v>
      </c>
      <c r="O24" s="93">
        <v>26.9</v>
      </c>
      <c r="P24" s="93">
        <v>27.3</v>
      </c>
      <c r="Q24" s="93">
        <v>27.2</v>
      </c>
      <c r="R24" s="93">
        <v>27.4</v>
      </c>
      <c r="S24" s="93">
        <v>27.5</v>
      </c>
      <c r="T24" s="93">
        <v>30.2</v>
      </c>
      <c r="U24" s="93">
        <v>30</v>
      </c>
      <c r="V24" s="93">
        <v>29.6</v>
      </c>
      <c r="W24" s="93">
        <v>29.9</v>
      </c>
      <c r="X24" s="93">
        <v>29.5</v>
      </c>
      <c r="Y24" s="93">
        <v>29.8</v>
      </c>
      <c r="Z24" s="93">
        <v>30.5</v>
      </c>
      <c r="AA24" s="93">
        <v>30.1</v>
      </c>
      <c r="AB24" s="93">
        <v>30.5</v>
      </c>
      <c r="AC24" s="93">
        <v>31.1</v>
      </c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2"/>
      <c r="AY24" s="82">
        <f t="shared" si="9"/>
        <v>0.98611111111111105</v>
      </c>
      <c r="AZ24" s="82">
        <f t="shared" si="10"/>
        <v>1.0034722222222221</v>
      </c>
      <c r="BA24" s="82">
        <f t="shared" si="11"/>
        <v>1</v>
      </c>
      <c r="BB24" s="82">
        <f t="shared" si="12"/>
        <v>0.93055555555555558</v>
      </c>
      <c r="BC24" s="82">
        <f t="shared" si="13"/>
        <v>0.93402777777777768</v>
      </c>
      <c r="BD24" s="82">
        <f t="shared" si="14"/>
        <v>0.94791666666666663</v>
      </c>
      <c r="BE24" s="82">
        <f t="shared" si="15"/>
        <v>0.94444444444444442</v>
      </c>
      <c r="BF24" s="82">
        <f t="shared" si="16"/>
        <v>0.95138888888888884</v>
      </c>
      <c r="BG24" s="82">
        <f t="shared" si="17"/>
        <v>0.95486111111111105</v>
      </c>
      <c r="BH24" s="82">
        <f t="shared" si="18"/>
        <v>1.0486111111111112</v>
      </c>
      <c r="BI24" s="82">
        <f t="shared" si="48"/>
        <v>0.75694444444444442</v>
      </c>
      <c r="BJ24" s="82">
        <f t="shared" si="20"/>
        <v>1.0277777777777779</v>
      </c>
      <c r="BK24" s="82">
        <f t="shared" si="21"/>
        <v>1.0381944444444444</v>
      </c>
      <c r="BL24" s="82">
        <f t="shared" si="22"/>
        <v>1.0243055555555556</v>
      </c>
      <c r="BM24" s="82">
        <f t="shared" si="23"/>
        <v>1.0347222222222223</v>
      </c>
      <c r="BN24" s="82">
        <f t="shared" si="24"/>
        <v>1.0590277777777777</v>
      </c>
      <c r="BO24" s="82">
        <f t="shared" si="25"/>
        <v>1.0451388888888888</v>
      </c>
      <c r="BP24" s="82">
        <f t="shared" si="26"/>
        <v>1.0590277777777777</v>
      </c>
      <c r="BQ24" s="82">
        <f t="shared" si="27"/>
        <v>1.0798611111111112</v>
      </c>
      <c r="BR24" s="82" t="str">
        <f t="shared" si="28"/>
        <v/>
      </c>
      <c r="BS24" s="82" t="str">
        <f t="shared" si="29"/>
        <v/>
      </c>
      <c r="BT24" s="82" t="str">
        <f t="shared" si="30"/>
        <v/>
      </c>
      <c r="BU24" s="82" t="str">
        <f t="shared" si="31"/>
        <v/>
      </c>
      <c r="BV24" s="82" t="str">
        <f t="shared" si="32"/>
        <v/>
      </c>
      <c r="BW24" s="82" t="str">
        <f t="shared" si="33"/>
        <v/>
      </c>
      <c r="BX24" s="82" t="str">
        <f t="shared" si="34"/>
        <v/>
      </c>
      <c r="BY24" s="82" t="str">
        <f t="shared" si="35"/>
        <v/>
      </c>
      <c r="BZ24" s="82" t="str">
        <f t="shared" si="36"/>
        <v/>
      </c>
      <c r="CA24" s="82" t="str">
        <f t="shared" si="37"/>
        <v/>
      </c>
      <c r="CB24" s="82" t="str">
        <f t="shared" si="38"/>
        <v/>
      </c>
      <c r="CC24" s="82" t="str">
        <f t="shared" si="39"/>
        <v/>
      </c>
      <c r="CD24" s="82" t="str">
        <f t="shared" si="40"/>
        <v/>
      </c>
      <c r="CE24" s="82" t="str">
        <f t="shared" si="41"/>
        <v/>
      </c>
      <c r="CF24" s="82" t="str">
        <f t="shared" si="42"/>
        <v/>
      </c>
      <c r="CG24" s="82" t="str">
        <f t="shared" si="43"/>
        <v/>
      </c>
      <c r="CH24" s="82" t="str">
        <f t="shared" si="44"/>
        <v/>
      </c>
      <c r="CI24" s="82" t="str">
        <f t="shared" si="45"/>
        <v/>
      </c>
      <c r="CJ24" s="82" t="str">
        <f t="shared" si="46"/>
        <v/>
      </c>
      <c r="CK24" s="82" t="str">
        <f t="shared" si="47"/>
        <v/>
      </c>
      <c r="CL24" s="3"/>
    </row>
    <row r="25" spans="1:90">
      <c r="A25" s="41">
        <v>961159</v>
      </c>
      <c r="B25" s="1">
        <v>72</v>
      </c>
      <c r="C25" s="29" t="str">
        <f t="shared" si="8"/>
        <v>961159-72</v>
      </c>
      <c r="D25" s="28" t="s">
        <v>26</v>
      </c>
      <c r="E25" s="37" t="s">
        <v>35</v>
      </c>
      <c r="F25" s="31">
        <v>42340</v>
      </c>
      <c r="G25" s="38"/>
      <c r="H25" s="31">
        <v>42350</v>
      </c>
      <c r="I25" s="38">
        <v>24</v>
      </c>
      <c r="J25" s="40"/>
      <c r="K25" s="87">
        <v>23.1</v>
      </c>
      <c r="L25" s="93">
        <v>23.7</v>
      </c>
      <c r="M25" s="93">
        <v>24</v>
      </c>
      <c r="N25" s="93">
        <v>23.3</v>
      </c>
      <c r="O25" s="93">
        <v>23.3</v>
      </c>
      <c r="P25" s="93">
        <v>23.1</v>
      </c>
      <c r="Q25" s="93">
        <v>23.4</v>
      </c>
      <c r="R25" s="93">
        <v>24</v>
      </c>
      <c r="S25" s="93">
        <v>24</v>
      </c>
      <c r="T25" s="93">
        <v>24.9</v>
      </c>
      <c r="U25" s="93">
        <v>21.8</v>
      </c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2"/>
      <c r="AY25" s="82">
        <f t="shared" si="9"/>
        <v>0.96250000000000002</v>
      </c>
      <c r="AZ25" s="82">
        <f t="shared" si="10"/>
        <v>0.98749999999999993</v>
      </c>
      <c r="BA25" s="82">
        <f t="shared" si="11"/>
        <v>1</v>
      </c>
      <c r="BB25" s="82">
        <f t="shared" si="12"/>
        <v>0.97083333333333333</v>
      </c>
      <c r="BC25" s="82">
        <f t="shared" si="13"/>
        <v>0.97083333333333333</v>
      </c>
      <c r="BD25" s="82">
        <f t="shared" si="14"/>
        <v>0.96250000000000002</v>
      </c>
      <c r="BE25" s="82">
        <f t="shared" si="15"/>
        <v>0.97499999999999998</v>
      </c>
      <c r="BF25" s="82">
        <f t="shared" si="16"/>
        <v>1</v>
      </c>
      <c r="BG25" s="82">
        <f t="shared" si="17"/>
        <v>1</v>
      </c>
      <c r="BH25" s="82">
        <f t="shared" si="18"/>
        <v>1.0374999999999999</v>
      </c>
      <c r="BI25" s="82" t="str">
        <f>IF(OR(ISERROR(#REF!/$I25)=TRUE,ISBLANK(#REF!)=TRUE),"",#REF!/$I25)</f>
        <v/>
      </c>
      <c r="BJ25" s="82" t="str">
        <f t="shared" si="20"/>
        <v/>
      </c>
      <c r="BK25" s="82" t="str">
        <f t="shared" si="21"/>
        <v/>
      </c>
      <c r="BL25" s="82" t="str">
        <f t="shared" si="22"/>
        <v/>
      </c>
      <c r="BM25" s="82" t="str">
        <f t="shared" si="23"/>
        <v/>
      </c>
      <c r="BN25" s="82" t="str">
        <f t="shared" si="24"/>
        <v/>
      </c>
      <c r="BO25" s="82" t="str">
        <f t="shared" si="25"/>
        <v/>
      </c>
      <c r="BP25" s="82" t="str">
        <f t="shared" si="26"/>
        <v/>
      </c>
      <c r="BQ25" s="82" t="str">
        <f t="shared" si="27"/>
        <v/>
      </c>
      <c r="BR25" s="82" t="str">
        <f t="shared" si="28"/>
        <v/>
      </c>
      <c r="BS25" s="82" t="str">
        <f t="shared" si="29"/>
        <v/>
      </c>
      <c r="BT25" s="82" t="str">
        <f t="shared" si="30"/>
        <v/>
      </c>
      <c r="BU25" s="82" t="str">
        <f t="shared" si="31"/>
        <v/>
      </c>
      <c r="BV25" s="82" t="str">
        <f t="shared" si="32"/>
        <v/>
      </c>
      <c r="BW25" s="82" t="str">
        <f t="shared" si="33"/>
        <v/>
      </c>
      <c r="BX25" s="82" t="str">
        <f t="shared" si="34"/>
        <v/>
      </c>
      <c r="BY25" s="82" t="str">
        <f t="shared" si="35"/>
        <v/>
      </c>
      <c r="BZ25" s="82" t="str">
        <f t="shared" si="36"/>
        <v/>
      </c>
      <c r="CA25" s="82" t="str">
        <f t="shared" si="37"/>
        <v/>
      </c>
      <c r="CB25" s="82" t="str">
        <f t="shared" si="38"/>
        <v/>
      </c>
      <c r="CC25" s="82" t="str">
        <f t="shared" si="39"/>
        <v/>
      </c>
      <c r="CD25" s="82" t="str">
        <f t="shared" si="40"/>
        <v/>
      </c>
      <c r="CE25" s="82" t="str">
        <f t="shared" si="41"/>
        <v/>
      </c>
      <c r="CF25" s="82" t="str">
        <f t="shared" si="42"/>
        <v/>
      </c>
      <c r="CG25" s="82" t="str">
        <f t="shared" si="43"/>
        <v/>
      </c>
      <c r="CH25" s="82" t="str">
        <f t="shared" si="44"/>
        <v/>
      </c>
      <c r="CI25" s="82" t="str">
        <f t="shared" si="45"/>
        <v/>
      </c>
      <c r="CJ25" s="82" t="str">
        <f t="shared" si="46"/>
        <v/>
      </c>
      <c r="CK25" s="82" t="str">
        <f t="shared" si="47"/>
        <v/>
      </c>
      <c r="CL25" s="3"/>
    </row>
    <row r="26" spans="1:90">
      <c r="A26" s="41">
        <v>961159</v>
      </c>
      <c r="B26" s="1">
        <v>73</v>
      </c>
      <c r="C26" s="29" t="str">
        <f t="shared" ref="C26:C41" si="49">CONCATENATE(A26,"-",B26)</f>
        <v>961159-73</v>
      </c>
      <c r="D26" s="28" t="s">
        <v>26</v>
      </c>
      <c r="E26" s="37" t="s">
        <v>51</v>
      </c>
      <c r="F26" s="31">
        <v>42340</v>
      </c>
      <c r="G26" s="38"/>
      <c r="H26" s="31">
        <v>42350</v>
      </c>
      <c r="I26" s="38">
        <v>24</v>
      </c>
      <c r="J26" s="40"/>
      <c r="K26" s="87">
        <v>23.4</v>
      </c>
      <c r="L26" s="93">
        <v>23.4</v>
      </c>
      <c r="M26" s="93">
        <v>24</v>
      </c>
      <c r="N26" s="93">
        <v>22.7</v>
      </c>
      <c r="O26" s="93">
        <v>23</v>
      </c>
      <c r="P26" s="93">
        <v>22.9</v>
      </c>
      <c r="Q26" s="93">
        <v>23.4</v>
      </c>
      <c r="R26" s="93">
        <v>23.1</v>
      </c>
      <c r="S26" s="93">
        <v>23.1</v>
      </c>
      <c r="T26" s="93">
        <v>26.2</v>
      </c>
      <c r="U26" s="93">
        <v>25.6</v>
      </c>
      <c r="V26" s="93">
        <v>25.4</v>
      </c>
      <c r="W26" s="93">
        <v>25.9</v>
      </c>
      <c r="X26" s="93">
        <v>26.3</v>
      </c>
      <c r="Y26" s="93">
        <v>26.1</v>
      </c>
      <c r="Z26" s="93">
        <v>26.8</v>
      </c>
      <c r="AA26" s="93">
        <v>26.4</v>
      </c>
      <c r="AB26" s="93">
        <v>26.2</v>
      </c>
      <c r="AC26" s="93">
        <v>26.6</v>
      </c>
      <c r="AD26" s="93">
        <v>26.4</v>
      </c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2"/>
      <c r="AY26" s="82">
        <f t="shared" ref="AY26:AY41" si="50">IF(OR(ISERROR(K26/$I26)=TRUE,ISBLANK(K26)=TRUE),"",K26/$I26)</f>
        <v>0.97499999999999998</v>
      </c>
      <c r="AZ26" s="82">
        <f t="shared" ref="AZ26:AZ41" si="51">IF(OR(ISERROR(L26/$I26)=TRUE,ISBLANK(L26)=TRUE),"",L26/$I26)</f>
        <v>0.97499999999999998</v>
      </c>
      <c r="BA26" s="82">
        <f t="shared" ref="BA26:BA41" si="52">IF(OR(ISERROR(M26/$I26)=TRUE,ISBLANK(M26)=TRUE),"",M26/$I26)</f>
        <v>1</v>
      </c>
      <c r="BB26" s="82">
        <f t="shared" ref="BB26:BB41" si="53">IF(OR(ISERROR(N26/$I26)=TRUE,ISBLANK(N26)=TRUE),"",N26/$I26)</f>
        <v>0.9458333333333333</v>
      </c>
      <c r="BC26" s="82">
        <f t="shared" ref="BC26:BC41" si="54">IF(OR(ISERROR(O26/$I26)=TRUE,ISBLANK(O26)=TRUE),"",O26/$I26)</f>
        <v>0.95833333333333337</v>
      </c>
      <c r="BD26" s="82">
        <f t="shared" ref="BD26:BD41" si="55">IF(OR(ISERROR(P26/$I26)=TRUE,ISBLANK(P26)=TRUE),"",P26/$I26)</f>
        <v>0.95416666666666661</v>
      </c>
      <c r="BE26" s="82">
        <f t="shared" ref="BE26:BE41" si="56">IF(OR(ISERROR(Q26/$I26)=TRUE,ISBLANK(Q26)=TRUE),"",Q26/$I26)</f>
        <v>0.97499999999999998</v>
      </c>
      <c r="BF26" s="82">
        <f t="shared" ref="BF26:BF41" si="57">IF(OR(ISERROR(R26/$I26)=TRUE,ISBLANK(R26)=TRUE),"",R26/$I26)</f>
        <v>0.96250000000000002</v>
      </c>
      <c r="BG26" s="82">
        <f t="shared" ref="BG26:BG41" si="58">IF(OR(ISERROR(S26/$I26)=TRUE,ISBLANK(S26)=TRUE),"",S26/$I26)</f>
        <v>0.96250000000000002</v>
      </c>
      <c r="BH26" s="82">
        <f t="shared" ref="BH26:BH41" si="59">IF(OR(ISERROR(T26/$I26)=TRUE,ISBLANK(T26)=TRUE),"",T26/$I26)</f>
        <v>1.0916666666666666</v>
      </c>
      <c r="BI26" s="82">
        <f t="shared" ref="BI26:BI41" si="60">IF(OR(ISERROR(U26/$I26)=TRUE,ISBLANK(U26)=TRUE),"",U26/$I26)</f>
        <v>1.0666666666666667</v>
      </c>
      <c r="BJ26" s="82">
        <f t="shared" ref="BJ26:BJ41" si="61">IF(OR(ISERROR(V26/$I26)=TRUE,ISBLANK(V26)=TRUE),"",V26/$I26)</f>
        <v>1.0583333333333333</v>
      </c>
      <c r="BK26" s="82">
        <f t="shared" ref="BK26:BK41" si="62">IF(OR(ISERROR(W26/$I26)=TRUE,ISBLANK(W26)=TRUE),"",W26/$I26)</f>
        <v>1.0791666666666666</v>
      </c>
      <c r="BL26" s="82">
        <f t="shared" ref="BL26:BL41" si="63">IF(OR(ISERROR(X26/$I26)=TRUE,ISBLANK(X26)=TRUE),"",X26/$I26)</f>
        <v>1.0958333333333334</v>
      </c>
      <c r="BM26" s="82">
        <f t="shared" ref="BM26:BM41" si="64">IF(OR(ISERROR(Y26/$I26)=TRUE,ISBLANK(Y26)=TRUE),"",Y26/$I26)</f>
        <v>1.0875000000000001</v>
      </c>
      <c r="BN26" s="82">
        <f t="shared" ref="BN26:BN41" si="65">IF(OR(ISERROR(Z26/$I26)=TRUE,ISBLANK(Z26)=TRUE),"",Z26/$I26)</f>
        <v>1.1166666666666667</v>
      </c>
      <c r="BO26" s="82">
        <f t="shared" si="25"/>
        <v>1.0999999999999999</v>
      </c>
      <c r="BP26" s="82">
        <f t="shared" si="26"/>
        <v>1.0916666666666666</v>
      </c>
      <c r="BQ26" s="82">
        <f t="shared" si="27"/>
        <v>1.1083333333333334</v>
      </c>
      <c r="BR26" s="82">
        <f t="shared" si="28"/>
        <v>1.0999999999999999</v>
      </c>
      <c r="BS26" s="82" t="str">
        <f t="shared" si="29"/>
        <v/>
      </c>
      <c r="BT26" s="82" t="str">
        <f t="shared" si="30"/>
        <v/>
      </c>
      <c r="BU26" s="82" t="str">
        <f t="shared" si="31"/>
        <v/>
      </c>
      <c r="BV26" s="82" t="str">
        <f t="shared" si="32"/>
        <v/>
      </c>
      <c r="BW26" s="82" t="str">
        <f t="shared" si="33"/>
        <v/>
      </c>
      <c r="BX26" s="82" t="str">
        <f t="shared" si="34"/>
        <v/>
      </c>
      <c r="BY26" s="82" t="str">
        <f t="shared" si="35"/>
        <v/>
      </c>
      <c r="BZ26" s="82" t="str">
        <f t="shared" si="36"/>
        <v/>
      </c>
      <c r="CA26" s="82" t="str">
        <f t="shared" si="37"/>
        <v/>
      </c>
      <c r="CB26" s="82" t="str">
        <f t="shared" si="38"/>
        <v/>
      </c>
      <c r="CC26" s="82" t="str">
        <f t="shared" si="39"/>
        <v/>
      </c>
      <c r="CD26" s="82" t="str">
        <f t="shared" si="40"/>
        <v/>
      </c>
      <c r="CE26" s="82" t="str">
        <f t="shared" si="41"/>
        <v/>
      </c>
      <c r="CF26" s="82" t="str">
        <f t="shared" si="42"/>
        <v/>
      </c>
      <c r="CG26" s="82" t="str">
        <f t="shared" si="43"/>
        <v/>
      </c>
      <c r="CH26" s="82" t="str">
        <f t="shared" si="44"/>
        <v/>
      </c>
      <c r="CI26" s="82" t="str">
        <f t="shared" si="45"/>
        <v/>
      </c>
      <c r="CJ26" s="82" t="str">
        <f t="shared" si="46"/>
        <v/>
      </c>
      <c r="CK26" s="82" t="str">
        <f t="shared" si="47"/>
        <v/>
      </c>
      <c r="CL26" s="3"/>
    </row>
    <row r="27" spans="1:90">
      <c r="A27" s="41">
        <v>961159</v>
      </c>
      <c r="B27" s="1">
        <v>74</v>
      </c>
      <c r="C27" s="29" t="str">
        <f t="shared" si="49"/>
        <v>961159-74</v>
      </c>
      <c r="D27" s="28" t="s">
        <v>26</v>
      </c>
      <c r="E27" s="37" t="s">
        <v>50</v>
      </c>
      <c r="F27" s="31">
        <v>42340</v>
      </c>
      <c r="G27" s="38"/>
      <c r="H27" s="31">
        <v>42350</v>
      </c>
      <c r="I27" s="38">
        <v>22.9</v>
      </c>
      <c r="J27" s="40"/>
      <c r="K27" s="87">
        <v>21.2</v>
      </c>
      <c r="L27" s="93">
        <v>22</v>
      </c>
      <c r="M27" s="93">
        <v>22.9</v>
      </c>
      <c r="N27" s="93">
        <v>21.4</v>
      </c>
      <c r="O27" s="93">
        <v>21.8</v>
      </c>
      <c r="P27" s="93">
        <v>22.1</v>
      </c>
      <c r="Q27" s="93">
        <v>22</v>
      </c>
      <c r="R27" s="93">
        <v>22.3</v>
      </c>
      <c r="S27" s="93">
        <v>22.3</v>
      </c>
      <c r="T27" s="93">
        <v>25.2</v>
      </c>
      <c r="U27" s="93">
        <v>25.2</v>
      </c>
      <c r="V27" s="93">
        <v>24.6</v>
      </c>
      <c r="W27" s="93">
        <v>24.7</v>
      </c>
      <c r="X27" s="93">
        <v>24.6</v>
      </c>
      <c r="Y27" s="93">
        <v>24.6</v>
      </c>
      <c r="Z27" s="93">
        <v>24.9</v>
      </c>
      <c r="AA27" s="93">
        <v>25</v>
      </c>
      <c r="AB27" s="93">
        <v>24.9</v>
      </c>
      <c r="AC27" s="93">
        <v>25.9</v>
      </c>
      <c r="AD27" s="93">
        <v>25.2</v>
      </c>
      <c r="AE27" s="93">
        <v>25</v>
      </c>
      <c r="AF27" s="93">
        <v>23.6</v>
      </c>
      <c r="AG27" s="93">
        <v>23.8</v>
      </c>
      <c r="AH27" s="93">
        <v>25.8</v>
      </c>
      <c r="AI27" s="93">
        <v>28.2</v>
      </c>
      <c r="AJ27" s="93">
        <v>27.6</v>
      </c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2"/>
      <c r="AY27" s="82">
        <f t="shared" si="50"/>
        <v>0.92576419213973804</v>
      </c>
      <c r="AZ27" s="82">
        <f t="shared" si="51"/>
        <v>0.9606986899563319</v>
      </c>
      <c r="BA27" s="82">
        <f t="shared" si="52"/>
        <v>1</v>
      </c>
      <c r="BB27" s="82">
        <f t="shared" si="53"/>
        <v>0.93449781659388642</v>
      </c>
      <c r="BC27" s="82">
        <f t="shared" si="54"/>
        <v>0.95196506550218352</v>
      </c>
      <c r="BD27" s="82">
        <f t="shared" si="55"/>
        <v>0.96506550218340625</v>
      </c>
      <c r="BE27" s="82">
        <f t="shared" si="56"/>
        <v>0.9606986899563319</v>
      </c>
      <c r="BF27" s="82">
        <f t="shared" si="57"/>
        <v>0.97379912663755464</v>
      </c>
      <c r="BG27" s="82">
        <f t="shared" si="58"/>
        <v>0.97379912663755464</v>
      </c>
      <c r="BH27" s="82">
        <f t="shared" si="59"/>
        <v>1.1004366812227075</v>
      </c>
      <c r="BI27" s="82">
        <f t="shared" si="60"/>
        <v>1.1004366812227075</v>
      </c>
      <c r="BJ27" s="82">
        <f t="shared" si="61"/>
        <v>1.0742358078602621</v>
      </c>
      <c r="BK27" s="82">
        <f t="shared" si="62"/>
        <v>1.0786026200873362</v>
      </c>
      <c r="BL27" s="82">
        <f t="shared" si="63"/>
        <v>1.0742358078602621</v>
      </c>
      <c r="BM27" s="82">
        <f t="shared" si="64"/>
        <v>1.0742358078602621</v>
      </c>
      <c r="BN27" s="82">
        <f t="shared" si="65"/>
        <v>1.0873362445414847</v>
      </c>
      <c r="BO27" s="82">
        <f t="shared" si="25"/>
        <v>1.0917030567685591</v>
      </c>
      <c r="BP27" s="82">
        <f t="shared" si="26"/>
        <v>1.0873362445414847</v>
      </c>
      <c r="BQ27" s="82">
        <f t="shared" si="27"/>
        <v>1.1310043668122272</v>
      </c>
      <c r="BR27" s="82">
        <f t="shared" si="28"/>
        <v>1.1004366812227075</v>
      </c>
      <c r="BS27" s="82">
        <f t="shared" si="29"/>
        <v>1.0917030567685591</v>
      </c>
      <c r="BT27" s="82">
        <f t="shared" si="30"/>
        <v>1.0305676855895198</v>
      </c>
      <c r="BU27" s="82">
        <f t="shared" si="31"/>
        <v>1.0393013100436683</v>
      </c>
      <c r="BV27" s="82">
        <f t="shared" si="32"/>
        <v>1.126637554585153</v>
      </c>
      <c r="BW27" s="82">
        <f t="shared" si="33"/>
        <v>1.2314410480349345</v>
      </c>
      <c r="BX27" s="82">
        <f t="shared" si="34"/>
        <v>1.2052401746724892</v>
      </c>
      <c r="BY27" s="82" t="str">
        <f t="shared" si="35"/>
        <v/>
      </c>
      <c r="BZ27" s="82" t="str">
        <f t="shared" si="36"/>
        <v/>
      </c>
      <c r="CA27" s="82" t="str">
        <f t="shared" si="37"/>
        <v/>
      </c>
      <c r="CB27" s="82" t="str">
        <f t="shared" si="38"/>
        <v/>
      </c>
      <c r="CC27" s="82" t="str">
        <f t="shared" si="39"/>
        <v/>
      </c>
      <c r="CD27" s="82" t="str">
        <f t="shared" si="40"/>
        <v/>
      </c>
      <c r="CE27" s="82" t="str">
        <f t="shared" si="41"/>
        <v/>
      </c>
      <c r="CF27" s="82" t="str">
        <f t="shared" si="42"/>
        <v/>
      </c>
      <c r="CG27" s="82" t="str">
        <f t="shared" si="43"/>
        <v/>
      </c>
      <c r="CH27" s="82" t="str">
        <f t="shared" si="44"/>
        <v/>
      </c>
      <c r="CI27" s="82" t="str">
        <f t="shared" si="45"/>
        <v/>
      </c>
      <c r="CJ27" s="82" t="str">
        <f t="shared" si="46"/>
        <v/>
      </c>
      <c r="CK27" s="82" t="str">
        <f t="shared" si="47"/>
        <v/>
      </c>
      <c r="CL27" s="3"/>
    </row>
    <row r="28" spans="1:90">
      <c r="A28" s="41">
        <v>961161</v>
      </c>
      <c r="B28" s="1">
        <v>81</v>
      </c>
      <c r="C28" s="29" t="str">
        <f t="shared" si="49"/>
        <v>961161-81</v>
      </c>
      <c r="D28" s="28" t="s">
        <v>26</v>
      </c>
      <c r="E28" s="37" t="s">
        <v>52</v>
      </c>
      <c r="F28" s="31">
        <v>42340</v>
      </c>
      <c r="G28" s="38"/>
      <c r="H28" s="31">
        <v>42350</v>
      </c>
      <c r="I28" s="38">
        <v>22.4</v>
      </c>
      <c r="J28" s="40"/>
      <c r="K28" s="87">
        <v>21.6</v>
      </c>
      <c r="L28" s="93">
        <v>21.9</v>
      </c>
      <c r="M28" s="93">
        <v>22.4</v>
      </c>
      <c r="N28" s="93">
        <v>21.1</v>
      </c>
      <c r="O28" s="93">
        <v>21</v>
      </c>
      <c r="P28" s="93">
        <v>20.9</v>
      </c>
      <c r="Q28" s="93">
        <v>20.9</v>
      </c>
      <c r="R28" s="93">
        <v>20.9</v>
      </c>
      <c r="S28" s="93">
        <v>21</v>
      </c>
      <c r="T28" s="93">
        <v>21.4</v>
      </c>
      <c r="U28" s="93">
        <v>21.4</v>
      </c>
      <c r="V28" s="93">
        <v>20.8</v>
      </c>
      <c r="W28" s="93">
        <v>20.3</v>
      </c>
      <c r="X28" s="93">
        <v>20.2</v>
      </c>
      <c r="Y28" s="93">
        <v>19.8</v>
      </c>
      <c r="Z28" s="93">
        <v>19.7</v>
      </c>
      <c r="AA28" s="93">
        <v>19.8</v>
      </c>
      <c r="AB28" s="93">
        <v>20.399999999999999</v>
      </c>
      <c r="AC28" s="93">
        <v>20.8</v>
      </c>
      <c r="AD28" s="93">
        <v>21.9</v>
      </c>
      <c r="AE28" s="93">
        <v>22.4</v>
      </c>
      <c r="AF28" s="93">
        <v>22.5</v>
      </c>
      <c r="AG28" s="93">
        <v>22.4</v>
      </c>
      <c r="AH28" s="93">
        <v>21.8</v>
      </c>
      <c r="AI28" s="93">
        <v>22.1</v>
      </c>
      <c r="AJ28" s="93">
        <v>22.1</v>
      </c>
      <c r="AK28" s="93">
        <v>22.7</v>
      </c>
      <c r="AL28" s="93">
        <v>22.4</v>
      </c>
      <c r="AM28" s="93">
        <v>23.5</v>
      </c>
      <c r="AN28" s="93">
        <v>23.3</v>
      </c>
      <c r="AO28" s="93">
        <v>22.8</v>
      </c>
      <c r="AP28" s="93">
        <v>23.6</v>
      </c>
      <c r="AQ28" s="93">
        <v>23</v>
      </c>
      <c r="AR28" s="93">
        <v>23.7</v>
      </c>
      <c r="AS28" s="93">
        <v>23.1</v>
      </c>
      <c r="AT28" s="93">
        <v>23.7</v>
      </c>
      <c r="AU28" s="93">
        <v>23.1</v>
      </c>
      <c r="AV28" s="93">
        <v>23.9</v>
      </c>
      <c r="AW28" s="93"/>
      <c r="AX28" s="2"/>
      <c r="AY28" s="82">
        <f t="shared" si="50"/>
        <v>0.96428571428571441</v>
      </c>
      <c r="AZ28" s="82">
        <f t="shared" si="51"/>
        <v>0.9776785714285714</v>
      </c>
      <c r="BA28" s="82">
        <f t="shared" si="52"/>
        <v>1</v>
      </c>
      <c r="BB28" s="82">
        <f t="shared" si="53"/>
        <v>0.94196428571428581</v>
      </c>
      <c r="BC28" s="82">
        <f t="shared" si="54"/>
        <v>0.93750000000000011</v>
      </c>
      <c r="BD28" s="82">
        <f t="shared" si="55"/>
        <v>0.9330357142857143</v>
      </c>
      <c r="BE28" s="82">
        <f t="shared" si="56"/>
        <v>0.9330357142857143</v>
      </c>
      <c r="BF28" s="82">
        <f t="shared" si="57"/>
        <v>0.9330357142857143</v>
      </c>
      <c r="BG28" s="82">
        <f t="shared" si="58"/>
        <v>0.93750000000000011</v>
      </c>
      <c r="BH28" s="82">
        <f t="shared" si="59"/>
        <v>0.9553571428571429</v>
      </c>
      <c r="BI28" s="82">
        <f t="shared" si="60"/>
        <v>0.9553571428571429</v>
      </c>
      <c r="BJ28" s="82">
        <f t="shared" si="61"/>
        <v>0.92857142857142871</v>
      </c>
      <c r="BK28" s="82">
        <f t="shared" si="62"/>
        <v>0.90625000000000011</v>
      </c>
      <c r="BL28" s="82">
        <f t="shared" si="63"/>
        <v>0.9017857142857143</v>
      </c>
      <c r="BM28" s="82">
        <f t="shared" si="64"/>
        <v>0.88392857142857151</v>
      </c>
      <c r="BN28" s="82">
        <f t="shared" si="65"/>
        <v>0.8794642857142857</v>
      </c>
      <c r="BO28" s="82">
        <f t="shared" si="25"/>
        <v>0.88392857142857151</v>
      </c>
      <c r="BP28" s="82">
        <f t="shared" si="26"/>
        <v>0.9107142857142857</v>
      </c>
      <c r="BQ28" s="82">
        <f t="shared" si="27"/>
        <v>0.92857142857142871</v>
      </c>
      <c r="BR28" s="82">
        <f t="shared" si="28"/>
        <v>0.9776785714285714</v>
      </c>
      <c r="BS28" s="82">
        <f t="shared" si="29"/>
        <v>1</v>
      </c>
      <c r="BT28" s="82">
        <f t="shared" si="30"/>
        <v>1.0044642857142858</v>
      </c>
      <c r="BU28" s="82">
        <f t="shared" si="31"/>
        <v>1</v>
      </c>
      <c r="BV28" s="82">
        <f t="shared" si="32"/>
        <v>0.97321428571428581</v>
      </c>
      <c r="BW28" s="82">
        <f t="shared" si="33"/>
        <v>0.98660714285714302</v>
      </c>
      <c r="BX28" s="82">
        <f t="shared" si="34"/>
        <v>0.98660714285714302</v>
      </c>
      <c r="BY28" s="82">
        <f t="shared" si="35"/>
        <v>1.0133928571428572</v>
      </c>
      <c r="BZ28" s="82">
        <f t="shared" si="36"/>
        <v>1</v>
      </c>
      <c r="CA28" s="82">
        <f t="shared" si="37"/>
        <v>1.049107142857143</v>
      </c>
      <c r="CB28" s="82">
        <f t="shared" si="38"/>
        <v>1.0401785714285716</v>
      </c>
      <c r="CC28" s="82">
        <f t="shared" si="39"/>
        <v>1.017857142857143</v>
      </c>
      <c r="CD28" s="82">
        <f t="shared" si="40"/>
        <v>1.0535714285714286</v>
      </c>
      <c r="CE28" s="82">
        <f t="shared" si="41"/>
        <v>1.0267857142857144</v>
      </c>
      <c r="CF28" s="82">
        <f t="shared" si="42"/>
        <v>1.0580357142857144</v>
      </c>
      <c r="CG28" s="82">
        <f t="shared" si="43"/>
        <v>1.0312500000000002</v>
      </c>
      <c r="CH28" s="82">
        <f t="shared" si="44"/>
        <v>1.0580357142857144</v>
      </c>
      <c r="CI28" s="82">
        <f t="shared" si="45"/>
        <v>1.0312500000000002</v>
      </c>
      <c r="CJ28" s="82">
        <f t="shared" si="46"/>
        <v>1.0669642857142858</v>
      </c>
      <c r="CK28" s="82" t="str">
        <f t="shared" si="47"/>
        <v/>
      </c>
      <c r="CL28" s="3"/>
    </row>
    <row r="29" spans="1:90">
      <c r="A29" s="41">
        <v>961161</v>
      </c>
      <c r="B29" s="1">
        <v>82</v>
      </c>
      <c r="C29" s="29" t="str">
        <f t="shared" si="49"/>
        <v>961161-82</v>
      </c>
      <c r="D29" s="28" t="s">
        <v>26</v>
      </c>
      <c r="E29" s="37" t="s">
        <v>34</v>
      </c>
      <c r="F29" s="31">
        <v>42340</v>
      </c>
      <c r="G29" s="38"/>
      <c r="H29" s="31">
        <v>42350</v>
      </c>
      <c r="I29" s="38">
        <v>26.5</v>
      </c>
      <c r="J29" s="40"/>
      <c r="K29" s="87">
        <v>22.9</v>
      </c>
      <c r="L29" s="93">
        <v>25.7</v>
      </c>
      <c r="M29" s="93">
        <v>26.5</v>
      </c>
      <c r="N29" s="93">
        <v>25.8</v>
      </c>
      <c r="O29" s="93">
        <v>26</v>
      </c>
      <c r="P29" s="93">
        <v>26.5</v>
      </c>
      <c r="Q29" s="93">
        <v>27.3</v>
      </c>
      <c r="R29" s="93">
        <v>27.3</v>
      </c>
      <c r="S29" s="93">
        <v>27</v>
      </c>
      <c r="T29" s="93">
        <v>26.3</v>
      </c>
      <c r="U29" s="93">
        <v>25.3</v>
      </c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2"/>
      <c r="AY29" s="82">
        <f t="shared" si="50"/>
        <v>0.86415094339622633</v>
      </c>
      <c r="AZ29" s="82">
        <f t="shared" si="51"/>
        <v>0.96981132075471699</v>
      </c>
      <c r="BA29" s="82">
        <f t="shared" si="52"/>
        <v>1</v>
      </c>
      <c r="BB29" s="82">
        <f t="shared" si="53"/>
        <v>0.97358490566037736</v>
      </c>
      <c r="BC29" s="82">
        <f t="shared" si="54"/>
        <v>0.98113207547169812</v>
      </c>
      <c r="BD29" s="82">
        <f t="shared" si="55"/>
        <v>1</v>
      </c>
      <c r="BE29" s="82">
        <f t="shared" si="56"/>
        <v>1.030188679245283</v>
      </c>
      <c r="BF29" s="82">
        <f t="shared" si="57"/>
        <v>1.030188679245283</v>
      </c>
      <c r="BG29" s="82">
        <f t="shared" si="58"/>
        <v>1.0188679245283019</v>
      </c>
      <c r="BH29" s="82">
        <f t="shared" si="59"/>
        <v>0.99245283018867925</v>
      </c>
      <c r="BI29" s="82">
        <f t="shared" si="60"/>
        <v>0.95471698113207548</v>
      </c>
      <c r="BJ29" s="82" t="str">
        <f t="shared" si="61"/>
        <v/>
      </c>
      <c r="BK29" s="82" t="str">
        <f t="shared" si="62"/>
        <v/>
      </c>
      <c r="BL29" s="82" t="str">
        <f t="shared" si="63"/>
        <v/>
      </c>
      <c r="BM29" s="82" t="str">
        <f t="shared" si="64"/>
        <v/>
      </c>
      <c r="BN29" s="82" t="str">
        <f t="shared" si="65"/>
        <v/>
      </c>
      <c r="BO29" s="82" t="str">
        <f t="shared" si="25"/>
        <v/>
      </c>
      <c r="BP29" s="82" t="str">
        <f t="shared" si="26"/>
        <v/>
      </c>
      <c r="BQ29" s="82" t="str">
        <f t="shared" si="27"/>
        <v/>
      </c>
      <c r="BR29" s="82" t="str">
        <f t="shared" si="28"/>
        <v/>
      </c>
      <c r="BS29" s="82" t="str">
        <f t="shared" si="29"/>
        <v/>
      </c>
      <c r="BT29" s="82" t="str">
        <f t="shared" si="30"/>
        <v/>
      </c>
      <c r="BU29" s="82" t="str">
        <f t="shared" si="31"/>
        <v/>
      </c>
      <c r="BV29" s="82" t="str">
        <f t="shared" si="32"/>
        <v/>
      </c>
      <c r="BW29" s="82" t="str">
        <f t="shared" si="33"/>
        <v/>
      </c>
      <c r="BX29" s="82" t="str">
        <f t="shared" si="34"/>
        <v/>
      </c>
      <c r="BY29" s="82" t="str">
        <f t="shared" si="35"/>
        <v/>
      </c>
      <c r="BZ29" s="82" t="str">
        <f t="shared" si="36"/>
        <v/>
      </c>
      <c r="CA29" s="82" t="str">
        <f t="shared" si="37"/>
        <v/>
      </c>
      <c r="CB29" s="82" t="str">
        <f t="shared" si="38"/>
        <v/>
      </c>
      <c r="CC29" s="82" t="str">
        <f t="shared" si="39"/>
        <v/>
      </c>
      <c r="CD29" s="82" t="str">
        <f t="shared" si="40"/>
        <v/>
      </c>
      <c r="CE29" s="82" t="str">
        <f t="shared" si="41"/>
        <v/>
      </c>
      <c r="CF29" s="82" t="str">
        <f t="shared" si="42"/>
        <v/>
      </c>
      <c r="CG29" s="82" t="str">
        <f t="shared" si="43"/>
        <v/>
      </c>
      <c r="CH29" s="82" t="str">
        <f t="shared" si="44"/>
        <v/>
      </c>
      <c r="CI29" s="82" t="str">
        <f t="shared" si="45"/>
        <v/>
      </c>
      <c r="CJ29" s="82" t="str">
        <f t="shared" si="46"/>
        <v/>
      </c>
      <c r="CK29" s="82" t="str">
        <f t="shared" si="47"/>
        <v/>
      </c>
      <c r="CL29" s="3"/>
    </row>
    <row r="30" spans="1:90">
      <c r="A30" s="41">
        <v>961161</v>
      </c>
      <c r="B30" s="1">
        <v>83</v>
      </c>
      <c r="C30" s="29" t="str">
        <f t="shared" si="49"/>
        <v>961161-83</v>
      </c>
      <c r="D30" s="28" t="s">
        <v>26</v>
      </c>
      <c r="E30" s="37" t="s">
        <v>49</v>
      </c>
      <c r="F30" s="31">
        <v>42340</v>
      </c>
      <c r="G30" s="38"/>
      <c r="H30" s="31">
        <v>42350</v>
      </c>
      <c r="I30" s="38">
        <v>23.9</v>
      </c>
      <c r="J30" s="40"/>
      <c r="K30" s="87">
        <v>25.6</v>
      </c>
      <c r="L30" s="93">
        <v>23.4</v>
      </c>
      <c r="M30" s="93">
        <v>23.9</v>
      </c>
      <c r="N30" s="93">
        <v>22</v>
      </c>
      <c r="O30" s="93">
        <v>22.6</v>
      </c>
      <c r="P30" s="93">
        <v>22.5</v>
      </c>
      <c r="Q30" s="93">
        <v>22.6</v>
      </c>
      <c r="R30" s="93">
        <v>23.6</v>
      </c>
      <c r="S30" s="93">
        <v>24.3</v>
      </c>
      <c r="T30" s="93">
        <v>26.4</v>
      </c>
      <c r="U30" s="93">
        <v>27.1</v>
      </c>
      <c r="V30" s="93">
        <v>27.4</v>
      </c>
      <c r="W30" s="93">
        <v>26.4</v>
      </c>
      <c r="X30" s="93">
        <v>27.3</v>
      </c>
      <c r="Y30" s="93">
        <v>27.4</v>
      </c>
      <c r="Z30" s="93">
        <v>26.7</v>
      </c>
      <c r="AA30" s="93">
        <v>27.1</v>
      </c>
      <c r="AB30" s="93">
        <v>27.3</v>
      </c>
      <c r="AC30" s="93">
        <v>27.8</v>
      </c>
      <c r="AD30" s="93">
        <v>28.5</v>
      </c>
      <c r="AE30" s="93">
        <v>29</v>
      </c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2"/>
      <c r="AY30" s="82">
        <f t="shared" si="50"/>
        <v>1.0711297071129708</v>
      </c>
      <c r="AZ30" s="82">
        <f t="shared" si="51"/>
        <v>0.97907949790794979</v>
      </c>
      <c r="BA30" s="82">
        <f t="shared" si="52"/>
        <v>1</v>
      </c>
      <c r="BB30" s="82">
        <f t="shared" si="53"/>
        <v>0.92050209205020928</v>
      </c>
      <c r="BC30" s="82">
        <f t="shared" si="54"/>
        <v>0.94560669456066959</v>
      </c>
      <c r="BD30" s="82">
        <f t="shared" si="55"/>
        <v>0.94142259414225948</v>
      </c>
      <c r="BE30" s="82">
        <f t="shared" si="56"/>
        <v>0.94560669456066959</v>
      </c>
      <c r="BF30" s="82">
        <f t="shared" si="57"/>
        <v>0.98744769874477001</v>
      </c>
      <c r="BG30" s="82">
        <f t="shared" si="58"/>
        <v>1.0167364016736402</v>
      </c>
      <c r="BH30" s="82">
        <f t="shared" si="59"/>
        <v>1.104602510460251</v>
      </c>
      <c r="BI30" s="82">
        <f t="shared" si="60"/>
        <v>1.1338912133891215</v>
      </c>
      <c r="BJ30" s="82">
        <f t="shared" si="61"/>
        <v>1.1464435146443515</v>
      </c>
      <c r="BK30" s="82">
        <f t="shared" si="62"/>
        <v>1.104602510460251</v>
      </c>
      <c r="BL30" s="82">
        <f t="shared" si="63"/>
        <v>1.1422594142259415</v>
      </c>
      <c r="BM30" s="82">
        <f t="shared" si="64"/>
        <v>1.1464435146443515</v>
      </c>
      <c r="BN30" s="82">
        <f t="shared" si="65"/>
        <v>1.1171548117154813</v>
      </c>
      <c r="BO30" s="82">
        <f t="shared" si="25"/>
        <v>1.1338912133891215</v>
      </c>
      <c r="BP30" s="82">
        <f t="shared" si="26"/>
        <v>1.1422594142259415</v>
      </c>
      <c r="BQ30" s="82">
        <f t="shared" si="27"/>
        <v>1.1631799163179917</v>
      </c>
      <c r="BR30" s="82">
        <f t="shared" si="28"/>
        <v>1.1924686192468621</v>
      </c>
      <c r="BS30" s="82">
        <f t="shared" si="29"/>
        <v>1.2133891213389123</v>
      </c>
      <c r="BT30" s="82" t="str">
        <f t="shared" si="30"/>
        <v/>
      </c>
      <c r="BU30" s="82" t="str">
        <f t="shared" si="31"/>
        <v/>
      </c>
      <c r="BV30" s="82" t="str">
        <f t="shared" si="32"/>
        <v/>
      </c>
      <c r="BW30" s="82" t="str">
        <f t="shared" si="33"/>
        <v/>
      </c>
      <c r="BX30" s="82" t="str">
        <f t="shared" si="34"/>
        <v/>
      </c>
      <c r="BY30" s="82" t="str">
        <f t="shared" si="35"/>
        <v/>
      </c>
      <c r="BZ30" s="82" t="str">
        <f t="shared" si="36"/>
        <v/>
      </c>
      <c r="CA30" s="82" t="str">
        <f t="shared" si="37"/>
        <v/>
      </c>
      <c r="CB30" s="82" t="str">
        <f t="shared" si="38"/>
        <v/>
      </c>
      <c r="CC30" s="82" t="str">
        <f t="shared" si="39"/>
        <v/>
      </c>
      <c r="CD30" s="82" t="str">
        <f t="shared" si="40"/>
        <v/>
      </c>
      <c r="CE30" s="82" t="str">
        <f t="shared" si="41"/>
        <v/>
      </c>
      <c r="CF30" s="82" t="str">
        <f t="shared" si="42"/>
        <v/>
      </c>
      <c r="CG30" s="82" t="str">
        <f t="shared" si="43"/>
        <v/>
      </c>
      <c r="CH30" s="82" t="str">
        <f t="shared" si="44"/>
        <v/>
      </c>
      <c r="CI30" s="82" t="str">
        <f t="shared" si="45"/>
        <v/>
      </c>
      <c r="CJ30" s="82" t="str">
        <f t="shared" si="46"/>
        <v/>
      </c>
      <c r="CK30" s="82" t="str">
        <f t="shared" si="47"/>
        <v/>
      </c>
      <c r="CL30" s="3"/>
    </row>
    <row r="31" spans="1:90">
      <c r="A31" s="41">
        <v>961161</v>
      </c>
      <c r="B31" s="1">
        <v>84</v>
      </c>
      <c r="C31" s="29" t="str">
        <f t="shared" si="49"/>
        <v>961161-84</v>
      </c>
      <c r="D31" s="28" t="s">
        <v>26</v>
      </c>
      <c r="E31" s="37" t="s">
        <v>34</v>
      </c>
      <c r="F31" s="31">
        <v>42340</v>
      </c>
      <c r="G31" s="38"/>
      <c r="H31" s="31">
        <v>42350</v>
      </c>
      <c r="I31" s="38">
        <v>23.6</v>
      </c>
      <c r="J31" s="40"/>
      <c r="K31" s="87">
        <v>23.8</v>
      </c>
      <c r="L31" s="93">
        <v>23</v>
      </c>
      <c r="M31" s="93">
        <v>23.6</v>
      </c>
      <c r="N31" s="93">
        <v>23.1</v>
      </c>
      <c r="O31" s="93">
        <v>22.8</v>
      </c>
      <c r="P31" s="93">
        <v>22.8</v>
      </c>
      <c r="Q31" s="93">
        <v>23.1</v>
      </c>
      <c r="R31" s="93">
        <v>23.3</v>
      </c>
      <c r="S31" s="93">
        <v>23.9</v>
      </c>
      <c r="T31" s="93">
        <v>25.4</v>
      </c>
      <c r="U31" s="93">
        <v>25.5</v>
      </c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2"/>
      <c r="AY31" s="82">
        <f t="shared" si="50"/>
        <v>1.0084745762711864</v>
      </c>
      <c r="AZ31" s="82">
        <f t="shared" si="51"/>
        <v>0.97457627118644063</v>
      </c>
      <c r="BA31" s="82">
        <f t="shared" si="52"/>
        <v>1</v>
      </c>
      <c r="BB31" s="82">
        <f t="shared" si="53"/>
        <v>0.97881355932203395</v>
      </c>
      <c r="BC31" s="82">
        <f t="shared" si="54"/>
        <v>0.96610169491525422</v>
      </c>
      <c r="BD31" s="82">
        <f t="shared" si="55"/>
        <v>0.96610169491525422</v>
      </c>
      <c r="BE31" s="82">
        <f t="shared" si="56"/>
        <v>0.97881355932203395</v>
      </c>
      <c r="BF31" s="82">
        <f t="shared" si="57"/>
        <v>0.98728813559322026</v>
      </c>
      <c r="BG31" s="82">
        <f t="shared" si="58"/>
        <v>1.0127118644067796</v>
      </c>
      <c r="BH31" s="82">
        <f t="shared" si="59"/>
        <v>1.0762711864406778</v>
      </c>
      <c r="BI31" s="82">
        <f t="shared" si="60"/>
        <v>1.0805084745762712</v>
      </c>
      <c r="BJ31" s="82" t="str">
        <f t="shared" si="61"/>
        <v/>
      </c>
      <c r="BK31" s="82" t="str">
        <f t="shared" si="62"/>
        <v/>
      </c>
      <c r="BL31" s="82" t="str">
        <f t="shared" si="63"/>
        <v/>
      </c>
      <c r="BM31" s="82" t="str">
        <f t="shared" si="64"/>
        <v/>
      </c>
      <c r="BN31" s="82" t="str">
        <f t="shared" si="65"/>
        <v/>
      </c>
      <c r="BO31" s="82" t="str">
        <f t="shared" si="25"/>
        <v/>
      </c>
      <c r="BP31" s="82" t="str">
        <f t="shared" si="26"/>
        <v/>
      </c>
      <c r="BQ31" s="82" t="str">
        <f t="shared" si="27"/>
        <v/>
      </c>
      <c r="BR31" s="82" t="str">
        <f t="shared" si="28"/>
        <v/>
      </c>
      <c r="BS31" s="82" t="str">
        <f t="shared" si="29"/>
        <v/>
      </c>
      <c r="BT31" s="82" t="str">
        <f t="shared" si="30"/>
        <v/>
      </c>
      <c r="BU31" s="82" t="str">
        <f t="shared" si="31"/>
        <v/>
      </c>
      <c r="BV31" s="82" t="str">
        <f t="shared" si="32"/>
        <v/>
      </c>
      <c r="BW31" s="82" t="str">
        <f t="shared" si="33"/>
        <v/>
      </c>
      <c r="BX31" s="82" t="str">
        <f t="shared" si="34"/>
        <v/>
      </c>
      <c r="BY31" s="82" t="str">
        <f t="shared" si="35"/>
        <v/>
      </c>
      <c r="BZ31" s="82" t="str">
        <f t="shared" si="36"/>
        <v/>
      </c>
      <c r="CA31" s="82" t="str">
        <f t="shared" si="37"/>
        <v/>
      </c>
      <c r="CB31" s="82" t="str">
        <f t="shared" si="38"/>
        <v/>
      </c>
      <c r="CC31" s="82" t="str">
        <f t="shared" si="39"/>
        <v/>
      </c>
      <c r="CD31" s="82" t="str">
        <f t="shared" si="40"/>
        <v/>
      </c>
      <c r="CE31" s="82" t="str">
        <f t="shared" si="41"/>
        <v/>
      </c>
      <c r="CF31" s="82" t="str">
        <f t="shared" si="42"/>
        <v/>
      </c>
      <c r="CG31" s="82" t="str">
        <f t="shared" si="43"/>
        <v/>
      </c>
      <c r="CH31" s="82" t="str">
        <f t="shared" si="44"/>
        <v/>
      </c>
      <c r="CI31" s="82" t="str">
        <f t="shared" si="45"/>
        <v/>
      </c>
      <c r="CJ31" s="82" t="str">
        <f t="shared" si="46"/>
        <v/>
      </c>
      <c r="CK31" s="82" t="str">
        <f t="shared" si="47"/>
        <v/>
      </c>
      <c r="CL31" s="3"/>
    </row>
    <row r="32" spans="1:90">
      <c r="A32" s="41">
        <v>961161</v>
      </c>
      <c r="B32" s="1">
        <v>85</v>
      </c>
      <c r="C32" s="29" t="str">
        <f t="shared" si="49"/>
        <v>961161-85</v>
      </c>
      <c r="D32" s="28" t="s">
        <v>26</v>
      </c>
      <c r="E32" s="30" t="s">
        <v>52</v>
      </c>
      <c r="F32" s="31">
        <v>42340</v>
      </c>
      <c r="G32" s="38"/>
      <c r="H32" s="31">
        <v>42350</v>
      </c>
      <c r="I32" s="38">
        <v>20.2</v>
      </c>
      <c r="J32" s="40"/>
      <c r="K32" s="87">
        <v>19.399999999999999</v>
      </c>
      <c r="L32" s="93">
        <v>19.5</v>
      </c>
      <c r="M32" s="93">
        <v>20.2</v>
      </c>
      <c r="N32" s="93">
        <v>19</v>
      </c>
      <c r="O32" s="93">
        <v>18.899999999999999</v>
      </c>
      <c r="P32" s="93">
        <v>19.2</v>
      </c>
      <c r="Q32" s="93">
        <v>19.899999999999999</v>
      </c>
      <c r="R32" s="93">
        <v>19.5</v>
      </c>
      <c r="S32" s="93">
        <v>20.3</v>
      </c>
      <c r="T32" s="93">
        <v>22.6</v>
      </c>
      <c r="U32" s="93">
        <v>22.9</v>
      </c>
      <c r="V32" s="93">
        <v>22.4</v>
      </c>
      <c r="W32" s="93">
        <v>22.2</v>
      </c>
      <c r="X32" s="93">
        <v>22.6</v>
      </c>
      <c r="Y32" s="93">
        <v>22.5</v>
      </c>
      <c r="Z32" s="93">
        <v>21.3</v>
      </c>
      <c r="AA32" s="93">
        <v>21.9</v>
      </c>
      <c r="AB32" s="93">
        <v>21.8</v>
      </c>
      <c r="AC32" s="93">
        <v>22.3</v>
      </c>
      <c r="AD32" s="93">
        <v>22.5</v>
      </c>
      <c r="AE32" s="93">
        <v>23.4</v>
      </c>
      <c r="AF32" s="93">
        <v>23.5</v>
      </c>
      <c r="AG32" s="93">
        <v>24</v>
      </c>
      <c r="AH32" s="93">
        <v>24.1</v>
      </c>
      <c r="AI32" s="93">
        <v>24.6</v>
      </c>
      <c r="AJ32" s="93">
        <v>24.5</v>
      </c>
      <c r="AK32" s="93">
        <v>24.6</v>
      </c>
      <c r="AL32" s="93">
        <v>24.3</v>
      </c>
      <c r="AM32" s="93">
        <v>25.5</v>
      </c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2"/>
      <c r="AY32" s="82">
        <f t="shared" si="50"/>
        <v>0.96039603960396036</v>
      </c>
      <c r="AZ32" s="82">
        <f t="shared" si="51"/>
        <v>0.96534653465346543</v>
      </c>
      <c r="BA32" s="82">
        <f t="shared" si="52"/>
        <v>1</v>
      </c>
      <c r="BB32" s="82">
        <f t="shared" si="53"/>
        <v>0.94059405940594065</v>
      </c>
      <c r="BC32" s="82">
        <f t="shared" si="54"/>
        <v>0.93564356435643559</v>
      </c>
      <c r="BD32" s="82">
        <f t="shared" si="55"/>
        <v>0.95049504950495045</v>
      </c>
      <c r="BE32" s="82">
        <f t="shared" si="56"/>
        <v>0.98514851485148514</v>
      </c>
      <c r="BF32" s="82">
        <f t="shared" si="57"/>
        <v>0.96534653465346543</v>
      </c>
      <c r="BG32" s="82">
        <f t="shared" si="58"/>
        <v>1.004950495049505</v>
      </c>
      <c r="BH32" s="82">
        <f t="shared" si="59"/>
        <v>1.1188118811881189</v>
      </c>
      <c r="BI32" s="82">
        <f t="shared" si="60"/>
        <v>1.1336633663366336</v>
      </c>
      <c r="BJ32" s="82">
        <f t="shared" si="61"/>
        <v>1.1089108910891088</v>
      </c>
      <c r="BK32" s="82">
        <f t="shared" si="62"/>
        <v>1.0990099009900991</v>
      </c>
      <c r="BL32" s="82">
        <f t="shared" si="63"/>
        <v>1.1188118811881189</v>
      </c>
      <c r="BM32" s="82">
        <f t="shared" si="64"/>
        <v>1.113861386138614</v>
      </c>
      <c r="BN32" s="82">
        <f t="shared" si="65"/>
        <v>1.0544554455445545</v>
      </c>
      <c r="BO32" s="82">
        <f t="shared" si="25"/>
        <v>1.0841584158415842</v>
      </c>
      <c r="BP32" s="82">
        <f t="shared" si="26"/>
        <v>1.0792079207920793</v>
      </c>
      <c r="BQ32" s="82">
        <f t="shared" si="27"/>
        <v>1.1039603960396041</v>
      </c>
      <c r="BR32" s="82">
        <f t="shared" si="28"/>
        <v>1.113861386138614</v>
      </c>
      <c r="BS32" s="82">
        <f t="shared" si="29"/>
        <v>1.1584158415841583</v>
      </c>
      <c r="BT32" s="82">
        <f t="shared" si="30"/>
        <v>1.1633663366336635</v>
      </c>
      <c r="BU32" s="82">
        <f t="shared" si="31"/>
        <v>1.1881188118811881</v>
      </c>
      <c r="BV32" s="82">
        <f t="shared" si="32"/>
        <v>1.1930693069306932</v>
      </c>
      <c r="BW32" s="82">
        <f t="shared" si="33"/>
        <v>1.217821782178218</v>
      </c>
      <c r="BX32" s="82">
        <f t="shared" si="34"/>
        <v>1.2128712871287128</v>
      </c>
      <c r="BY32" s="82">
        <f t="shared" si="35"/>
        <v>1.217821782178218</v>
      </c>
      <c r="BZ32" s="82">
        <f t="shared" si="36"/>
        <v>1.2029702970297032</v>
      </c>
      <c r="CA32" s="82">
        <f t="shared" si="37"/>
        <v>1.2623762376237624</v>
      </c>
      <c r="CB32" s="82" t="str">
        <f t="shared" si="38"/>
        <v/>
      </c>
      <c r="CC32" s="82" t="str">
        <f t="shared" si="39"/>
        <v/>
      </c>
      <c r="CD32" s="82" t="str">
        <f t="shared" si="40"/>
        <v/>
      </c>
      <c r="CE32" s="82" t="str">
        <f t="shared" si="41"/>
        <v/>
      </c>
      <c r="CF32" s="82" t="str">
        <f t="shared" si="42"/>
        <v/>
      </c>
      <c r="CG32" s="82" t="str">
        <f t="shared" si="43"/>
        <v/>
      </c>
      <c r="CH32" s="82" t="str">
        <f t="shared" si="44"/>
        <v/>
      </c>
      <c r="CI32" s="82" t="str">
        <f t="shared" si="45"/>
        <v/>
      </c>
      <c r="CJ32" s="82" t="str">
        <f t="shared" si="46"/>
        <v/>
      </c>
      <c r="CK32" s="82" t="str">
        <f t="shared" si="47"/>
        <v/>
      </c>
      <c r="CL32" s="3"/>
    </row>
    <row r="33" spans="1:90">
      <c r="A33" s="41">
        <v>961162</v>
      </c>
      <c r="B33" s="1">
        <v>91</v>
      </c>
      <c r="C33" s="29" t="str">
        <f t="shared" si="49"/>
        <v>961162-91</v>
      </c>
      <c r="D33" s="28" t="s">
        <v>26</v>
      </c>
      <c r="E33" s="37" t="s">
        <v>49</v>
      </c>
      <c r="F33" s="31">
        <v>42340</v>
      </c>
      <c r="G33" s="38"/>
      <c r="H33" s="31">
        <v>42350</v>
      </c>
      <c r="I33" s="38">
        <v>27.2</v>
      </c>
      <c r="J33" s="40"/>
      <c r="K33" s="87">
        <v>26.3</v>
      </c>
      <c r="L33" s="93">
        <v>26.7</v>
      </c>
      <c r="M33" s="93">
        <v>27.2</v>
      </c>
      <c r="N33" s="93">
        <v>26</v>
      </c>
      <c r="O33" s="93">
        <v>26.3</v>
      </c>
      <c r="P33" s="93">
        <v>26.2</v>
      </c>
      <c r="Q33" s="93">
        <v>26</v>
      </c>
      <c r="R33" s="93">
        <v>26.1</v>
      </c>
      <c r="S33" s="93">
        <v>26.1</v>
      </c>
      <c r="T33" s="93">
        <v>28.9</v>
      </c>
      <c r="U33" s="93">
        <v>29.2</v>
      </c>
      <c r="V33" s="93">
        <v>29.4</v>
      </c>
      <c r="W33" s="93">
        <v>29.2</v>
      </c>
      <c r="X33" s="93">
        <v>29.5</v>
      </c>
      <c r="Y33" s="93">
        <v>29.6</v>
      </c>
      <c r="Z33" s="93">
        <v>29.3</v>
      </c>
      <c r="AA33" s="93">
        <v>28.7</v>
      </c>
      <c r="AB33" s="93">
        <v>28.6</v>
      </c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2"/>
      <c r="AY33" s="82">
        <f t="shared" si="50"/>
        <v>0.96691176470588236</v>
      </c>
      <c r="AZ33" s="82">
        <f t="shared" si="51"/>
        <v>0.98161764705882348</v>
      </c>
      <c r="BA33" s="82">
        <f t="shared" si="52"/>
        <v>1</v>
      </c>
      <c r="BB33" s="82">
        <f t="shared" si="53"/>
        <v>0.95588235294117652</v>
      </c>
      <c r="BC33" s="82">
        <f t="shared" si="54"/>
        <v>0.96691176470588236</v>
      </c>
      <c r="BD33" s="82">
        <f t="shared" si="55"/>
        <v>0.96323529411764708</v>
      </c>
      <c r="BE33" s="82">
        <f t="shared" si="56"/>
        <v>0.95588235294117652</v>
      </c>
      <c r="BF33" s="82">
        <f t="shared" si="57"/>
        <v>0.9595588235294118</v>
      </c>
      <c r="BG33" s="82">
        <f t="shared" si="58"/>
        <v>0.9595588235294118</v>
      </c>
      <c r="BH33" s="82">
        <f t="shared" si="59"/>
        <v>1.0625</v>
      </c>
      <c r="BI33" s="82">
        <f t="shared" si="60"/>
        <v>1.0735294117647058</v>
      </c>
      <c r="BJ33" s="82">
        <f t="shared" si="61"/>
        <v>1.0808823529411764</v>
      </c>
      <c r="BK33" s="82">
        <f t="shared" si="62"/>
        <v>1.0735294117647058</v>
      </c>
      <c r="BL33" s="82">
        <f t="shared" si="63"/>
        <v>1.0845588235294117</v>
      </c>
      <c r="BM33" s="82">
        <f t="shared" si="64"/>
        <v>1.0882352941176472</v>
      </c>
      <c r="BN33" s="82">
        <f t="shared" si="65"/>
        <v>1.0772058823529411</v>
      </c>
      <c r="BO33" s="82">
        <f t="shared" si="25"/>
        <v>1.0551470588235294</v>
      </c>
      <c r="BP33" s="82">
        <f t="shared" si="26"/>
        <v>1.0514705882352942</v>
      </c>
      <c r="BQ33" s="82" t="str">
        <f t="shared" si="27"/>
        <v/>
      </c>
      <c r="BR33" s="82" t="str">
        <f t="shared" si="28"/>
        <v/>
      </c>
      <c r="BS33" s="82" t="str">
        <f t="shared" si="29"/>
        <v/>
      </c>
      <c r="BT33" s="82" t="str">
        <f t="shared" si="30"/>
        <v/>
      </c>
      <c r="BU33" s="82" t="str">
        <f t="shared" si="31"/>
        <v/>
      </c>
      <c r="BV33" s="82" t="str">
        <f t="shared" si="32"/>
        <v/>
      </c>
      <c r="BW33" s="82" t="str">
        <f t="shared" si="33"/>
        <v/>
      </c>
      <c r="BX33" s="82" t="str">
        <f t="shared" si="34"/>
        <v/>
      </c>
      <c r="BY33" s="82" t="str">
        <f t="shared" si="35"/>
        <v/>
      </c>
      <c r="BZ33" s="82" t="str">
        <f t="shared" si="36"/>
        <v/>
      </c>
      <c r="CA33" s="82" t="str">
        <f t="shared" si="37"/>
        <v/>
      </c>
      <c r="CB33" s="82" t="str">
        <f t="shared" si="38"/>
        <v/>
      </c>
      <c r="CC33" s="82" t="str">
        <f t="shared" si="39"/>
        <v/>
      </c>
      <c r="CD33" s="82" t="str">
        <f t="shared" si="40"/>
        <v/>
      </c>
      <c r="CE33" s="82" t="str">
        <f t="shared" si="41"/>
        <v/>
      </c>
      <c r="CF33" s="82" t="str">
        <f t="shared" si="42"/>
        <v/>
      </c>
      <c r="CG33" s="82" t="str">
        <f t="shared" si="43"/>
        <v/>
      </c>
      <c r="CH33" s="82" t="str">
        <f t="shared" si="44"/>
        <v/>
      </c>
      <c r="CI33" s="82" t="str">
        <f t="shared" si="45"/>
        <v/>
      </c>
      <c r="CJ33" s="82" t="str">
        <f t="shared" si="46"/>
        <v/>
      </c>
      <c r="CK33" s="82" t="str">
        <f t="shared" si="47"/>
        <v/>
      </c>
      <c r="CL33" s="3"/>
    </row>
    <row r="34" spans="1:90">
      <c r="A34" s="41">
        <v>961162</v>
      </c>
      <c r="B34" s="1">
        <v>92</v>
      </c>
      <c r="C34" s="29" t="str">
        <f t="shared" si="49"/>
        <v>961162-92</v>
      </c>
      <c r="D34" s="28" t="s">
        <v>26</v>
      </c>
      <c r="E34" s="37" t="s">
        <v>35</v>
      </c>
      <c r="F34" s="31">
        <v>42340</v>
      </c>
      <c r="G34" s="38"/>
      <c r="H34" s="31">
        <v>42350</v>
      </c>
      <c r="I34" s="38">
        <v>24.6</v>
      </c>
      <c r="J34" s="40"/>
      <c r="K34" s="87">
        <v>23.5</v>
      </c>
      <c r="L34" s="93">
        <v>23.7</v>
      </c>
      <c r="M34" s="93">
        <v>24.6</v>
      </c>
      <c r="N34" s="93">
        <v>23.3</v>
      </c>
      <c r="O34" s="93">
        <v>23.7</v>
      </c>
      <c r="P34" s="93">
        <v>23.9</v>
      </c>
      <c r="Q34" s="93">
        <v>24.3</v>
      </c>
      <c r="R34" s="93">
        <v>24.8</v>
      </c>
      <c r="S34" s="93">
        <v>25.2</v>
      </c>
      <c r="T34" s="93">
        <v>26.8</v>
      </c>
      <c r="U34" s="93">
        <v>26.6</v>
      </c>
      <c r="V34" s="93">
        <v>27.2</v>
      </c>
      <c r="W34" s="93">
        <v>26.6</v>
      </c>
      <c r="X34" s="93">
        <v>27.2</v>
      </c>
      <c r="Y34" s="93">
        <v>26.9</v>
      </c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2"/>
      <c r="AY34" s="82">
        <f t="shared" si="50"/>
        <v>0.95528455284552838</v>
      </c>
      <c r="AZ34" s="82">
        <f t="shared" si="51"/>
        <v>0.96341463414634143</v>
      </c>
      <c r="BA34" s="82">
        <f t="shared" si="52"/>
        <v>1</v>
      </c>
      <c r="BB34" s="82">
        <f t="shared" si="53"/>
        <v>0.94715447154471544</v>
      </c>
      <c r="BC34" s="82">
        <f t="shared" si="54"/>
        <v>0.96341463414634143</v>
      </c>
      <c r="BD34" s="82">
        <f t="shared" si="55"/>
        <v>0.97154471544715437</v>
      </c>
      <c r="BE34" s="82">
        <f t="shared" si="56"/>
        <v>0.98780487804878048</v>
      </c>
      <c r="BF34" s="82">
        <f t="shared" si="57"/>
        <v>1.0081300813008129</v>
      </c>
      <c r="BG34" s="82">
        <f t="shared" si="58"/>
        <v>1.024390243902439</v>
      </c>
      <c r="BH34" s="82">
        <f t="shared" si="59"/>
        <v>1.089430894308943</v>
      </c>
      <c r="BI34" s="82">
        <f t="shared" si="60"/>
        <v>1.0813008130081301</v>
      </c>
      <c r="BJ34" s="82">
        <f t="shared" si="61"/>
        <v>1.1056910569105689</v>
      </c>
      <c r="BK34" s="82">
        <f t="shared" si="62"/>
        <v>1.0813008130081301</v>
      </c>
      <c r="BL34" s="82">
        <f t="shared" si="63"/>
        <v>1.1056910569105689</v>
      </c>
      <c r="BM34" s="82">
        <f t="shared" si="64"/>
        <v>1.0934959349593494</v>
      </c>
      <c r="BN34" s="82" t="str">
        <f t="shared" si="65"/>
        <v/>
      </c>
      <c r="BO34" s="82" t="str">
        <f t="shared" si="25"/>
        <v/>
      </c>
      <c r="BP34" s="82" t="str">
        <f t="shared" si="26"/>
        <v/>
      </c>
      <c r="BQ34" s="82" t="str">
        <f t="shared" si="27"/>
        <v/>
      </c>
      <c r="BR34" s="82" t="str">
        <f t="shared" si="28"/>
        <v/>
      </c>
      <c r="BS34" s="82" t="str">
        <f t="shared" si="29"/>
        <v/>
      </c>
      <c r="BT34" s="82" t="str">
        <f t="shared" si="30"/>
        <v/>
      </c>
      <c r="BU34" s="82" t="str">
        <f t="shared" si="31"/>
        <v/>
      </c>
      <c r="BV34" s="82" t="str">
        <f t="shared" si="32"/>
        <v/>
      </c>
      <c r="BW34" s="82" t="str">
        <f t="shared" si="33"/>
        <v/>
      </c>
      <c r="BX34" s="82" t="str">
        <f t="shared" si="34"/>
        <v/>
      </c>
      <c r="BY34" s="82" t="str">
        <f t="shared" si="35"/>
        <v/>
      </c>
      <c r="BZ34" s="82" t="str">
        <f t="shared" si="36"/>
        <v/>
      </c>
      <c r="CA34" s="82" t="str">
        <f t="shared" si="37"/>
        <v/>
      </c>
      <c r="CB34" s="82" t="str">
        <f t="shared" si="38"/>
        <v/>
      </c>
      <c r="CC34" s="82" t="str">
        <f t="shared" si="39"/>
        <v/>
      </c>
      <c r="CD34" s="82" t="str">
        <f t="shared" si="40"/>
        <v/>
      </c>
      <c r="CE34" s="82" t="str">
        <f t="shared" si="41"/>
        <v/>
      </c>
      <c r="CF34" s="82" t="str">
        <f t="shared" si="42"/>
        <v/>
      </c>
      <c r="CG34" s="82" t="str">
        <f t="shared" si="43"/>
        <v/>
      </c>
      <c r="CH34" s="82" t="str">
        <f t="shared" si="44"/>
        <v/>
      </c>
      <c r="CI34" s="82" t="str">
        <f t="shared" si="45"/>
        <v/>
      </c>
      <c r="CJ34" s="82" t="str">
        <f t="shared" si="46"/>
        <v/>
      </c>
      <c r="CK34" s="82" t="str">
        <f t="shared" si="47"/>
        <v/>
      </c>
      <c r="CL34" s="3"/>
    </row>
    <row r="35" spans="1:90">
      <c r="A35" s="41">
        <v>961162</v>
      </c>
      <c r="B35" s="1">
        <v>93</v>
      </c>
      <c r="C35" s="29" t="str">
        <f t="shared" si="49"/>
        <v>961162-93</v>
      </c>
      <c r="D35" s="28" t="s">
        <v>26</v>
      </c>
      <c r="E35" s="37" t="s">
        <v>50</v>
      </c>
      <c r="F35" s="31">
        <v>42340</v>
      </c>
      <c r="G35" s="38"/>
      <c r="H35" s="31">
        <v>42350</v>
      </c>
      <c r="I35" s="38">
        <v>29.7</v>
      </c>
      <c r="J35" s="40"/>
      <c r="K35" s="87">
        <v>27.6</v>
      </c>
      <c r="L35" s="93">
        <v>28.7</v>
      </c>
      <c r="M35" s="93">
        <v>29.7</v>
      </c>
      <c r="N35" s="93">
        <v>29</v>
      </c>
      <c r="O35" s="93">
        <v>29.7</v>
      </c>
      <c r="P35" s="93">
        <v>29.9</v>
      </c>
      <c r="Q35" s="93">
        <v>30.3</v>
      </c>
      <c r="R35" s="93">
        <v>29.8</v>
      </c>
      <c r="S35" s="93">
        <v>30.2</v>
      </c>
      <c r="T35" s="93">
        <v>31.6</v>
      </c>
      <c r="U35" s="93">
        <v>31.5</v>
      </c>
      <c r="V35" s="93">
        <v>31.2</v>
      </c>
      <c r="W35" s="93">
        <v>31.8</v>
      </c>
      <c r="X35" s="93">
        <v>31.7</v>
      </c>
      <c r="Y35" s="93">
        <v>32.1</v>
      </c>
      <c r="Z35" s="93">
        <v>33.1</v>
      </c>
      <c r="AA35" s="93">
        <v>33</v>
      </c>
      <c r="AB35" s="93">
        <v>32.6</v>
      </c>
      <c r="AC35" s="93">
        <v>34.1</v>
      </c>
      <c r="AD35" s="93">
        <v>33.6</v>
      </c>
      <c r="AE35" s="93">
        <v>33.799999999999997</v>
      </c>
      <c r="AF35" s="93">
        <v>33.5</v>
      </c>
      <c r="AG35" s="93">
        <v>34.200000000000003</v>
      </c>
      <c r="AH35" s="93">
        <v>34.6</v>
      </c>
      <c r="AI35" s="93">
        <v>34.200000000000003</v>
      </c>
      <c r="AJ35" s="93">
        <v>34.6</v>
      </c>
      <c r="AK35" s="93">
        <v>34.200000000000003</v>
      </c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2"/>
      <c r="AY35" s="82">
        <f t="shared" si="50"/>
        <v>0.92929292929292939</v>
      </c>
      <c r="AZ35" s="82">
        <f t="shared" si="51"/>
        <v>0.96632996632996637</v>
      </c>
      <c r="BA35" s="82">
        <f t="shared" si="52"/>
        <v>1</v>
      </c>
      <c r="BB35" s="82">
        <f t="shared" si="53"/>
        <v>0.97643097643097643</v>
      </c>
      <c r="BC35" s="82">
        <f t="shared" si="54"/>
        <v>1</v>
      </c>
      <c r="BD35" s="82">
        <f t="shared" si="55"/>
        <v>1.0067340067340067</v>
      </c>
      <c r="BE35" s="82">
        <f t="shared" si="56"/>
        <v>1.0202020202020203</v>
      </c>
      <c r="BF35" s="82">
        <f t="shared" si="57"/>
        <v>1.0033670033670035</v>
      </c>
      <c r="BG35" s="82">
        <f t="shared" si="58"/>
        <v>1.0168350168350169</v>
      </c>
      <c r="BH35" s="82">
        <f t="shared" si="59"/>
        <v>1.063973063973064</v>
      </c>
      <c r="BI35" s="82">
        <f t="shared" si="60"/>
        <v>1.0606060606060606</v>
      </c>
      <c r="BJ35" s="82">
        <f t="shared" si="61"/>
        <v>1.0505050505050506</v>
      </c>
      <c r="BK35" s="82">
        <f t="shared" si="62"/>
        <v>1.0707070707070707</v>
      </c>
      <c r="BL35" s="82">
        <f t="shared" si="63"/>
        <v>1.0673400673400673</v>
      </c>
      <c r="BM35" s="82">
        <f t="shared" si="64"/>
        <v>1.0808080808080809</v>
      </c>
      <c r="BN35" s="82">
        <f t="shared" si="65"/>
        <v>1.1144781144781146</v>
      </c>
      <c r="BO35" s="82">
        <f t="shared" si="25"/>
        <v>1.1111111111111112</v>
      </c>
      <c r="BP35" s="82">
        <f t="shared" si="26"/>
        <v>1.0976430976430978</v>
      </c>
      <c r="BQ35" s="82">
        <f t="shared" si="27"/>
        <v>1.1481481481481481</v>
      </c>
      <c r="BR35" s="82">
        <f t="shared" si="28"/>
        <v>1.1313131313131315</v>
      </c>
      <c r="BS35" s="82">
        <f t="shared" si="29"/>
        <v>1.138047138047138</v>
      </c>
      <c r="BT35" s="82">
        <f t="shared" si="30"/>
        <v>1.127946127946128</v>
      </c>
      <c r="BU35" s="82">
        <f t="shared" si="31"/>
        <v>1.1515151515151516</v>
      </c>
      <c r="BV35" s="82">
        <f t="shared" si="32"/>
        <v>1.164983164983165</v>
      </c>
      <c r="BW35" s="82">
        <f t="shared" si="33"/>
        <v>1.1515151515151516</v>
      </c>
      <c r="BX35" s="82">
        <f t="shared" si="34"/>
        <v>1.164983164983165</v>
      </c>
      <c r="BY35" s="82">
        <f t="shared" si="35"/>
        <v>1.1515151515151516</v>
      </c>
      <c r="BZ35" s="82" t="str">
        <f t="shared" si="36"/>
        <v/>
      </c>
      <c r="CA35" s="82" t="str">
        <f t="shared" si="37"/>
        <v/>
      </c>
      <c r="CB35" s="82" t="str">
        <f t="shared" si="38"/>
        <v/>
      </c>
      <c r="CC35" s="82" t="str">
        <f t="shared" si="39"/>
        <v/>
      </c>
      <c r="CD35" s="82" t="str">
        <f t="shared" si="40"/>
        <v/>
      </c>
      <c r="CE35" s="82" t="str">
        <f t="shared" si="41"/>
        <v/>
      </c>
      <c r="CF35" s="82" t="str">
        <f t="shared" si="42"/>
        <v/>
      </c>
      <c r="CG35" s="82" t="str">
        <f t="shared" si="43"/>
        <v/>
      </c>
      <c r="CH35" s="82" t="str">
        <f t="shared" si="44"/>
        <v/>
      </c>
      <c r="CI35" s="82" t="str">
        <f t="shared" si="45"/>
        <v/>
      </c>
      <c r="CJ35" s="82" t="str">
        <f t="shared" si="46"/>
        <v/>
      </c>
      <c r="CK35" s="82" t="str">
        <f t="shared" si="47"/>
        <v/>
      </c>
      <c r="CL35" s="3"/>
    </row>
    <row r="36" spans="1:90">
      <c r="A36" s="41">
        <v>961162</v>
      </c>
      <c r="B36" s="1">
        <v>94</v>
      </c>
      <c r="C36" s="29" t="str">
        <f t="shared" si="49"/>
        <v>961162-94</v>
      </c>
      <c r="D36" s="28" t="s">
        <v>26</v>
      </c>
      <c r="E36" s="37" t="s">
        <v>50</v>
      </c>
      <c r="F36" s="31">
        <v>42340</v>
      </c>
      <c r="G36" s="38"/>
      <c r="H36" s="31">
        <v>42350</v>
      </c>
      <c r="I36" s="38">
        <v>24.3</v>
      </c>
      <c r="J36" s="40"/>
      <c r="K36" s="87">
        <v>23.1</v>
      </c>
      <c r="L36" s="93">
        <v>22.9</v>
      </c>
      <c r="M36" s="93">
        <v>24.3</v>
      </c>
      <c r="N36" s="93">
        <v>23.5</v>
      </c>
      <c r="O36" s="93">
        <v>24.7</v>
      </c>
      <c r="P36" s="93">
        <v>24.6</v>
      </c>
      <c r="Q36" s="93">
        <v>25.1</v>
      </c>
      <c r="R36" s="93">
        <v>25.3</v>
      </c>
      <c r="S36" s="93">
        <v>26.1</v>
      </c>
      <c r="T36" s="93">
        <v>26.4</v>
      </c>
      <c r="U36" s="93">
        <v>26.6</v>
      </c>
      <c r="V36" s="93">
        <v>26.7</v>
      </c>
      <c r="W36" s="93">
        <v>27.3</v>
      </c>
      <c r="X36" s="93">
        <v>28.3</v>
      </c>
      <c r="Y36" s="93">
        <v>28.1</v>
      </c>
      <c r="Z36" s="93">
        <v>29.4</v>
      </c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2"/>
      <c r="AY36" s="82">
        <f t="shared" si="50"/>
        <v>0.95061728395061729</v>
      </c>
      <c r="AZ36" s="82">
        <f t="shared" si="51"/>
        <v>0.94238683127572009</v>
      </c>
      <c r="BA36" s="82">
        <f t="shared" si="52"/>
        <v>1</v>
      </c>
      <c r="BB36" s="82">
        <f t="shared" si="53"/>
        <v>0.96707818930041145</v>
      </c>
      <c r="BC36" s="82">
        <f t="shared" si="54"/>
        <v>1.0164609053497942</v>
      </c>
      <c r="BD36" s="82">
        <f t="shared" si="55"/>
        <v>1.0123456790123457</v>
      </c>
      <c r="BE36" s="82">
        <f t="shared" si="56"/>
        <v>1.0329218106995885</v>
      </c>
      <c r="BF36" s="82">
        <f t="shared" si="57"/>
        <v>1.0411522633744856</v>
      </c>
      <c r="BG36" s="82">
        <f t="shared" si="58"/>
        <v>1.0740740740740742</v>
      </c>
      <c r="BH36" s="82">
        <f t="shared" si="59"/>
        <v>1.0864197530864197</v>
      </c>
      <c r="BI36" s="82">
        <f t="shared" si="60"/>
        <v>1.094650205761317</v>
      </c>
      <c r="BJ36" s="82">
        <f t="shared" si="61"/>
        <v>1.0987654320987654</v>
      </c>
      <c r="BK36" s="82">
        <f t="shared" si="62"/>
        <v>1.1234567901234569</v>
      </c>
      <c r="BL36" s="82">
        <f t="shared" si="63"/>
        <v>1.1646090534979423</v>
      </c>
      <c r="BM36" s="82">
        <f t="shared" si="64"/>
        <v>1.1563786008230452</v>
      </c>
      <c r="BN36" s="82">
        <f t="shared" si="65"/>
        <v>1.2098765432098764</v>
      </c>
      <c r="BO36" s="82" t="str">
        <f t="shared" si="25"/>
        <v/>
      </c>
      <c r="BP36" s="82" t="str">
        <f t="shared" si="26"/>
        <v/>
      </c>
      <c r="BQ36" s="82" t="str">
        <f t="shared" si="27"/>
        <v/>
      </c>
      <c r="BR36" s="82" t="str">
        <f t="shared" si="28"/>
        <v/>
      </c>
      <c r="BS36" s="82" t="str">
        <f t="shared" si="29"/>
        <v/>
      </c>
      <c r="BT36" s="82" t="str">
        <f t="shared" si="30"/>
        <v/>
      </c>
      <c r="BU36" s="82" t="str">
        <f t="shared" si="31"/>
        <v/>
      </c>
      <c r="BV36" s="82" t="str">
        <f t="shared" si="32"/>
        <v/>
      </c>
      <c r="BW36" s="82" t="str">
        <f t="shared" si="33"/>
        <v/>
      </c>
      <c r="BX36" s="82" t="str">
        <f t="shared" si="34"/>
        <v/>
      </c>
      <c r="BY36" s="82" t="str">
        <f t="shared" si="35"/>
        <v/>
      </c>
      <c r="BZ36" s="82" t="str">
        <f t="shared" si="36"/>
        <v/>
      </c>
      <c r="CA36" s="82" t="str">
        <f t="shared" si="37"/>
        <v/>
      </c>
      <c r="CB36" s="82" t="str">
        <f t="shared" si="38"/>
        <v/>
      </c>
      <c r="CC36" s="82" t="str">
        <f t="shared" si="39"/>
        <v/>
      </c>
      <c r="CD36" s="82" t="str">
        <f t="shared" si="40"/>
        <v/>
      </c>
      <c r="CE36" s="82" t="str">
        <f t="shared" si="41"/>
        <v/>
      </c>
      <c r="CF36" s="82" t="str">
        <f t="shared" si="42"/>
        <v/>
      </c>
      <c r="CG36" s="82" t="str">
        <f t="shared" si="43"/>
        <v/>
      </c>
      <c r="CH36" s="82" t="str">
        <f t="shared" si="44"/>
        <v/>
      </c>
      <c r="CI36" s="82" t="str">
        <f t="shared" si="45"/>
        <v/>
      </c>
      <c r="CJ36" s="82" t="str">
        <f t="shared" si="46"/>
        <v/>
      </c>
      <c r="CK36" s="82" t="str">
        <f t="shared" si="47"/>
        <v/>
      </c>
      <c r="CL36" s="3"/>
    </row>
    <row r="37" spans="1:90">
      <c r="A37" s="41">
        <v>961162</v>
      </c>
      <c r="B37" s="1">
        <v>95</v>
      </c>
      <c r="C37" s="29" t="str">
        <f t="shared" si="49"/>
        <v>961162-95</v>
      </c>
      <c r="D37" s="28" t="s">
        <v>26</v>
      </c>
      <c r="E37" s="37" t="s">
        <v>48</v>
      </c>
      <c r="F37" s="31">
        <v>42340</v>
      </c>
      <c r="G37" s="38"/>
      <c r="H37" s="31">
        <v>42350</v>
      </c>
      <c r="I37" s="38">
        <v>26.5</v>
      </c>
      <c r="J37" s="40"/>
      <c r="K37" s="87">
        <v>24.6</v>
      </c>
      <c r="L37" s="93">
        <v>26.1</v>
      </c>
      <c r="M37" s="93">
        <v>26.5</v>
      </c>
      <c r="N37" s="93">
        <v>25</v>
      </c>
      <c r="O37" s="93">
        <v>25</v>
      </c>
      <c r="P37" s="93">
        <v>25.4</v>
      </c>
      <c r="Q37" s="93">
        <v>25.5</v>
      </c>
      <c r="R37" s="93">
        <v>25.6</v>
      </c>
      <c r="S37" s="93">
        <v>25.8</v>
      </c>
      <c r="T37" s="93">
        <v>28.7</v>
      </c>
      <c r="U37" s="93">
        <v>28.4</v>
      </c>
      <c r="V37" s="93">
        <v>27.6</v>
      </c>
      <c r="W37" s="93">
        <v>27.5</v>
      </c>
      <c r="X37" s="93">
        <v>27.6</v>
      </c>
      <c r="Y37" s="93">
        <v>28.4</v>
      </c>
      <c r="Z37" s="93">
        <v>28.5</v>
      </c>
      <c r="AA37" s="93">
        <v>28.9</v>
      </c>
      <c r="AB37" s="93">
        <v>29.3</v>
      </c>
      <c r="AC37" s="93">
        <v>29.3</v>
      </c>
      <c r="AD37" s="93">
        <v>30.2</v>
      </c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2"/>
      <c r="AY37" s="82">
        <f t="shared" si="50"/>
        <v>0.92830188679245285</v>
      </c>
      <c r="AZ37" s="82">
        <f t="shared" si="51"/>
        <v>0.98490566037735849</v>
      </c>
      <c r="BA37" s="82">
        <f t="shared" si="52"/>
        <v>1</v>
      </c>
      <c r="BB37" s="82">
        <f t="shared" si="53"/>
        <v>0.94339622641509435</v>
      </c>
      <c r="BC37" s="82">
        <f t="shared" si="54"/>
        <v>0.94339622641509435</v>
      </c>
      <c r="BD37" s="82">
        <f t="shared" si="55"/>
        <v>0.95849056603773575</v>
      </c>
      <c r="BE37" s="82">
        <f t="shared" si="56"/>
        <v>0.96226415094339623</v>
      </c>
      <c r="BF37" s="82">
        <f t="shared" si="57"/>
        <v>0.96603773584905661</v>
      </c>
      <c r="BG37" s="82">
        <f t="shared" si="58"/>
        <v>0.97358490566037736</v>
      </c>
      <c r="BH37" s="82">
        <f t="shared" si="59"/>
        <v>1.0830188679245283</v>
      </c>
      <c r="BI37" s="82">
        <f t="shared" si="60"/>
        <v>1.0716981132075472</v>
      </c>
      <c r="BJ37" s="82">
        <f t="shared" si="61"/>
        <v>1.0415094339622641</v>
      </c>
      <c r="BK37" s="82">
        <f t="shared" si="62"/>
        <v>1.0377358490566038</v>
      </c>
      <c r="BL37" s="82">
        <f t="shared" si="63"/>
        <v>1.0415094339622641</v>
      </c>
      <c r="BM37" s="82">
        <f t="shared" si="64"/>
        <v>1.0716981132075472</v>
      </c>
      <c r="BN37" s="82">
        <f t="shared" si="65"/>
        <v>1.0754716981132075</v>
      </c>
      <c r="BO37" s="82">
        <f t="shared" si="25"/>
        <v>1.090566037735849</v>
      </c>
      <c r="BP37" s="82">
        <f t="shared" si="26"/>
        <v>1.1056603773584905</v>
      </c>
      <c r="BQ37" s="82">
        <f t="shared" si="27"/>
        <v>1.1056603773584905</v>
      </c>
      <c r="BR37" s="82">
        <f t="shared" si="28"/>
        <v>1.1396226415094339</v>
      </c>
      <c r="BS37" s="82" t="str">
        <f t="shared" si="29"/>
        <v/>
      </c>
      <c r="BT37" s="82" t="str">
        <f t="shared" si="30"/>
        <v/>
      </c>
      <c r="BU37" s="82" t="str">
        <f t="shared" si="31"/>
        <v/>
      </c>
      <c r="BV37" s="82" t="str">
        <f t="shared" si="32"/>
        <v/>
      </c>
      <c r="BW37" s="82" t="str">
        <f t="shared" si="33"/>
        <v/>
      </c>
      <c r="BX37" s="82" t="str">
        <f t="shared" si="34"/>
        <v/>
      </c>
      <c r="BY37" s="82" t="str">
        <f t="shared" si="35"/>
        <v/>
      </c>
      <c r="BZ37" s="82" t="str">
        <f t="shared" si="36"/>
        <v/>
      </c>
      <c r="CA37" s="82" t="str">
        <f t="shared" si="37"/>
        <v/>
      </c>
      <c r="CB37" s="82" t="str">
        <f t="shared" si="38"/>
        <v/>
      </c>
      <c r="CC37" s="82" t="str">
        <f t="shared" si="39"/>
        <v/>
      </c>
      <c r="CD37" s="82" t="str">
        <f t="shared" si="40"/>
        <v/>
      </c>
      <c r="CE37" s="82" t="str">
        <f t="shared" si="41"/>
        <v/>
      </c>
      <c r="CF37" s="82" t="str">
        <f t="shared" si="42"/>
        <v/>
      </c>
      <c r="CG37" s="82" t="str">
        <f t="shared" si="43"/>
        <v/>
      </c>
      <c r="CH37" s="82" t="str">
        <f t="shared" si="44"/>
        <v/>
      </c>
      <c r="CI37" s="82" t="str">
        <f t="shared" si="45"/>
        <v/>
      </c>
      <c r="CJ37" s="82" t="str">
        <f t="shared" si="46"/>
        <v/>
      </c>
      <c r="CK37" s="82" t="str">
        <f t="shared" si="47"/>
        <v/>
      </c>
      <c r="CL37" s="3"/>
    </row>
    <row r="38" spans="1:90">
      <c r="A38" s="41">
        <v>961145</v>
      </c>
      <c r="B38" s="1">
        <v>101</v>
      </c>
      <c r="C38" s="29" t="str">
        <f t="shared" si="49"/>
        <v>961145-101</v>
      </c>
      <c r="D38" s="28" t="s">
        <v>26</v>
      </c>
      <c r="E38" s="37" t="s">
        <v>48</v>
      </c>
      <c r="F38" s="31">
        <v>42340</v>
      </c>
      <c r="G38" s="38"/>
      <c r="H38" s="31">
        <v>42350</v>
      </c>
      <c r="I38" s="38">
        <v>27.1</v>
      </c>
      <c r="J38" s="40"/>
      <c r="K38" s="87">
        <v>26.2</v>
      </c>
      <c r="L38" s="93">
        <v>26.7</v>
      </c>
      <c r="M38" s="93">
        <v>27.1</v>
      </c>
      <c r="N38" s="93">
        <v>26.2</v>
      </c>
      <c r="O38" s="93">
        <v>26.9</v>
      </c>
      <c r="P38" s="93">
        <v>26.7</v>
      </c>
      <c r="Q38" s="93">
        <v>26.9</v>
      </c>
      <c r="R38" s="93">
        <v>26.6</v>
      </c>
      <c r="S38" s="93">
        <v>26.7</v>
      </c>
      <c r="T38" s="93">
        <v>28.5</v>
      </c>
      <c r="U38" s="93">
        <v>28.4</v>
      </c>
      <c r="V38" s="93">
        <v>28.4</v>
      </c>
      <c r="W38" s="93">
        <v>28.4</v>
      </c>
      <c r="X38" s="93">
        <v>29.1</v>
      </c>
      <c r="Y38" s="93">
        <v>28.7</v>
      </c>
      <c r="Z38" s="93">
        <v>29.3</v>
      </c>
      <c r="AA38" s="93">
        <v>29.7</v>
      </c>
      <c r="AB38" s="93">
        <v>29.1</v>
      </c>
      <c r="AC38" s="93">
        <v>29.1</v>
      </c>
      <c r="AD38" s="93">
        <v>31.4</v>
      </c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2"/>
      <c r="AY38" s="82">
        <f t="shared" si="50"/>
        <v>0.96678966789667886</v>
      </c>
      <c r="AZ38" s="82">
        <f t="shared" si="51"/>
        <v>0.98523985239852385</v>
      </c>
      <c r="BA38" s="82">
        <f t="shared" si="52"/>
        <v>1</v>
      </c>
      <c r="BB38" s="82">
        <f t="shared" si="53"/>
        <v>0.96678966789667886</v>
      </c>
      <c r="BC38" s="82">
        <f t="shared" si="54"/>
        <v>0.99261992619926187</v>
      </c>
      <c r="BD38" s="82">
        <f t="shared" si="55"/>
        <v>0.98523985239852385</v>
      </c>
      <c r="BE38" s="82">
        <f t="shared" si="56"/>
        <v>0.99261992619926187</v>
      </c>
      <c r="BF38" s="82">
        <f t="shared" si="57"/>
        <v>0.98154981549815501</v>
      </c>
      <c r="BG38" s="82">
        <f t="shared" si="58"/>
        <v>0.98523985239852385</v>
      </c>
      <c r="BH38" s="82">
        <f t="shared" si="59"/>
        <v>1.051660516605166</v>
      </c>
      <c r="BI38" s="82">
        <f t="shared" si="60"/>
        <v>1.0479704797047968</v>
      </c>
      <c r="BJ38" s="82">
        <f t="shared" si="61"/>
        <v>1.0479704797047968</v>
      </c>
      <c r="BK38" s="82">
        <f t="shared" si="62"/>
        <v>1.0479704797047968</v>
      </c>
      <c r="BL38" s="82">
        <f t="shared" si="63"/>
        <v>1.07380073800738</v>
      </c>
      <c r="BM38" s="82">
        <f t="shared" si="64"/>
        <v>1.0590405904059039</v>
      </c>
      <c r="BN38" s="82">
        <f t="shared" si="65"/>
        <v>1.0811808118081181</v>
      </c>
      <c r="BO38" s="82">
        <f t="shared" si="25"/>
        <v>1.0959409594095939</v>
      </c>
      <c r="BP38" s="82">
        <f t="shared" si="26"/>
        <v>1.07380073800738</v>
      </c>
      <c r="BQ38" s="82">
        <f t="shared" si="27"/>
        <v>1.07380073800738</v>
      </c>
      <c r="BR38" s="82">
        <f t="shared" si="28"/>
        <v>1.158671586715867</v>
      </c>
      <c r="BS38" s="82" t="str">
        <f t="shared" si="29"/>
        <v/>
      </c>
      <c r="BT38" s="82" t="str">
        <f t="shared" si="30"/>
        <v/>
      </c>
      <c r="BU38" s="82" t="str">
        <f t="shared" si="31"/>
        <v/>
      </c>
      <c r="BV38" s="82" t="str">
        <f t="shared" si="32"/>
        <v/>
      </c>
      <c r="BW38" s="82" t="str">
        <f t="shared" si="33"/>
        <v/>
      </c>
      <c r="BX38" s="82" t="str">
        <f t="shared" si="34"/>
        <v/>
      </c>
      <c r="BY38" s="82" t="str">
        <f t="shared" si="35"/>
        <v/>
      </c>
      <c r="BZ38" s="82" t="str">
        <f t="shared" si="36"/>
        <v/>
      </c>
      <c r="CA38" s="82" t="str">
        <f t="shared" si="37"/>
        <v/>
      </c>
      <c r="CB38" s="82" t="str">
        <f t="shared" si="38"/>
        <v/>
      </c>
      <c r="CC38" s="82" t="str">
        <f t="shared" si="39"/>
        <v/>
      </c>
      <c r="CD38" s="82" t="str">
        <f t="shared" si="40"/>
        <v/>
      </c>
      <c r="CE38" s="82" t="str">
        <f t="shared" si="41"/>
        <v/>
      </c>
      <c r="CF38" s="82" t="str">
        <f t="shared" si="42"/>
        <v/>
      </c>
      <c r="CG38" s="82" t="str">
        <f t="shared" si="43"/>
        <v/>
      </c>
      <c r="CH38" s="82" t="str">
        <f t="shared" si="44"/>
        <v/>
      </c>
      <c r="CI38" s="82" t="str">
        <f t="shared" si="45"/>
        <v/>
      </c>
      <c r="CJ38" s="82" t="str">
        <f t="shared" si="46"/>
        <v/>
      </c>
      <c r="CK38" s="82" t="str">
        <f t="shared" si="47"/>
        <v/>
      </c>
      <c r="CL38" s="3"/>
    </row>
    <row r="39" spans="1:90">
      <c r="A39" s="41">
        <v>961145</v>
      </c>
      <c r="B39" s="1">
        <v>102</v>
      </c>
      <c r="C39" s="29" t="str">
        <f t="shared" si="49"/>
        <v>961145-102</v>
      </c>
      <c r="D39" s="28" t="s">
        <v>26</v>
      </c>
      <c r="E39" s="37" t="s">
        <v>35</v>
      </c>
      <c r="F39" s="31">
        <v>42340</v>
      </c>
      <c r="G39" s="38"/>
      <c r="H39" s="31">
        <v>42350</v>
      </c>
      <c r="I39" s="38">
        <v>26.3</v>
      </c>
      <c r="J39" s="40"/>
      <c r="K39" s="87">
        <v>25.9</v>
      </c>
      <c r="L39" s="93">
        <v>26.1</v>
      </c>
      <c r="M39" s="93">
        <v>26.3</v>
      </c>
      <c r="N39" s="93">
        <v>25.2</v>
      </c>
      <c r="O39" s="93">
        <v>25.6</v>
      </c>
      <c r="P39" s="93">
        <v>25.9</v>
      </c>
      <c r="Q39" s="93">
        <v>26</v>
      </c>
      <c r="R39" s="93">
        <v>26.5</v>
      </c>
      <c r="S39" s="93">
        <v>26.8</v>
      </c>
      <c r="T39" s="93">
        <v>27.5</v>
      </c>
      <c r="U39" s="93">
        <v>26.7</v>
      </c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2"/>
      <c r="AY39" s="82">
        <f t="shared" si="50"/>
        <v>0.9847908745247147</v>
      </c>
      <c r="AZ39" s="82">
        <f t="shared" si="51"/>
        <v>0.99239543726235746</v>
      </c>
      <c r="BA39" s="82">
        <f t="shared" si="52"/>
        <v>1</v>
      </c>
      <c r="BB39" s="82">
        <f t="shared" si="53"/>
        <v>0.95817490494296575</v>
      </c>
      <c r="BC39" s="82">
        <f t="shared" si="54"/>
        <v>0.97338403041825095</v>
      </c>
      <c r="BD39" s="82">
        <f t="shared" si="55"/>
        <v>0.9847908745247147</v>
      </c>
      <c r="BE39" s="82">
        <f t="shared" si="56"/>
        <v>0.98859315589353614</v>
      </c>
      <c r="BF39" s="82">
        <f t="shared" si="57"/>
        <v>1.0076045627376427</v>
      </c>
      <c r="BG39" s="82">
        <f t="shared" si="58"/>
        <v>1.0190114068441065</v>
      </c>
      <c r="BH39" s="82">
        <f t="shared" si="59"/>
        <v>1.0456273764258555</v>
      </c>
      <c r="BI39" s="82">
        <f t="shared" si="60"/>
        <v>1.0152091254752851</v>
      </c>
      <c r="BJ39" s="82" t="str">
        <f t="shared" si="61"/>
        <v/>
      </c>
      <c r="BK39" s="82" t="str">
        <f t="shared" si="62"/>
        <v/>
      </c>
      <c r="BL39" s="82" t="str">
        <f t="shared" si="63"/>
        <v/>
      </c>
      <c r="BM39" s="82" t="str">
        <f t="shared" si="64"/>
        <v/>
      </c>
      <c r="BN39" s="82" t="str">
        <f t="shared" si="65"/>
        <v/>
      </c>
      <c r="BO39" s="82" t="str">
        <f t="shared" si="25"/>
        <v/>
      </c>
      <c r="BP39" s="82" t="str">
        <f t="shared" si="26"/>
        <v/>
      </c>
      <c r="BQ39" s="82" t="str">
        <f t="shared" si="27"/>
        <v/>
      </c>
      <c r="BR39" s="82" t="str">
        <f t="shared" si="28"/>
        <v/>
      </c>
      <c r="BS39" s="82" t="str">
        <f t="shared" si="29"/>
        <v/>
      </c>
      <c r="BT39" s="82" t="str">
        <f t="shared" si="30"/>
        <v/>
      </c>
      <c r="BU39" s="82" t="str">
        <f t="shared" si="31"/>
        <v/>
      </c>
      <c r="BV39" s="82" t="str">
        <f t="shared" si="32"/>
        <v/>
      </c>
      <c r="BW39" s="82" t="str">
        <f t="shared" si="33"/>
        <v/>
      </c>
      <c r="BX39" s="82" t="str">
        <f t="shared" si="34"/>
        <v/>
      </c>
      <c r="BY39" s="82" t="str">
        <f t="shared" si="35"/>
        <v/>
      </c>
      <c r="BZ39" s="82" t="str">
        <f t="shared" si="36"/>
        <v/>
      </c>
      <c r="CA39" s="82" t="str">
        <f t="shared" si="37"/>
        <v/>
      </c>
      <c r="CB39" s="82" t="str">
        <f t="shared" si="38"/>
        <v/>
      </c>
      <c r="CC39" s="82" t="str">
        <f t="shared" si="39"/>
        <v/>
      </c>
      <c r="CD39" s="82" t="str">
        <f t="shared" si="40"/>
        <v/>
      </c>
      <c r="CE39" s="82" t="str">
        <f t="shared" si="41"/>
        <v/>
      </c>
      <c r="CF39" s="82" t="str">
        <f t="shared" si="42"/>
        <v/>
      </c>
      <c r="CG39" s="82" t="str">
        <f t="shared" si="43"/>
        <v/>
      </c>
      <c r="CH39" s="82" t="str">
        <f t="shared" si="44"/>
        <v/>
      </c>
      <c r="CI39" s="82" t="str">
        <f t="shared" si="45"/>
        <v/>
      </c>
      <c r="CJ39" s="82" t="str">
        <f t="shared" si="46"/>
        <v/>
      </c>
      <c r="CK39" s="82" t="str">
        <f t="shared" si="47"/>
        <v/>
      </c>
      <c r="CL39" s="3"/>
    </row>
    <row r="40" spans="1:90">
      <c r="A40" s="41">
        <v>961145</v>
      </c>
      <c r="B40" s="1">
        <v>103</v>
      </c>
      <c r="C40" s="29" t="str">
        <f t="shared" si="49"/>
        <v>961145-103</v>
      </c>
      <c r="D40" s="28" t="s">
        <v>26</v>
      </c>
      <c r="E40" s="37" t="s">
        <v>51</v>
      </c>
      <c r="F40" s="31">
        <v>42340</v>
      </c>
      <c r="G40" s="38"/>
      <c r="H40" s="31">
        <v>42350</v>
      </c>
      <c r="I40" s="38">
        <v>27.1</v>
      </c>
      <c r="J40" s="40"/>
      <c r="K40" s="87">
        <v>26.1</v>
      </c>
      <c r="L40" s="93">
        <v>26.5</v>
      </c>
      <c r="M40" s="93">
        <v>27.1</v>
      </c>
      <c r="N40" s="93">
        <v>23.8</v>
      </c>
      <c r="O40" s="93">
        <v>24.6</v>
      </c>
      <c r="P40" s="93">
        <v>24.7</v>
      </c>
      <c r="Q40" s="93">
        <v>25.2</v>
      </c>
      <c r="R40" s="93">
        <v>25</v>
      </c>
      <c r="S40" s="93">
        <v>25.5</v>
      </c>
      <c r="T40" s="93">
        <v>27.1</v>
      </c>
      <c r="U40" s="93">
        <v>27.2</v>
      </c>
      <c r="V40" s="93">
        <v>26.4</v>
      </c>
      <c r="W40" s="93">
        <v>26.2</v>
      </c>
      <c r="X40" s="93">
        <v>26.1</v>
      </c>
      <c r="Y40" s="93">
        <v>26.6</v>
      </c>
      <c r="Z40" s="93">
        <v>25.8</v>
      </c>
      <c r="AA40" s="93">
        <v>26.1</v>
      </c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2"/>
      <c r="AY40" s="82">
        <f t="shared" si="50"/>
        <v>0.96309963099631002</v>
      </c>
      <c r="AZ40" s="82">
        <f t="shared" si="51"/>
        <v>0.97785977859778594</v>
      </c>
      <c r="BA40" s="82">
        <f t="shared" si="52"/>
        <v>1</v>
      </c>
      <c r="BB40" s="82">
        <f t="shared" si="53"/>
        <v>0.87822878228782286</v>
      </c>
      <c r="BC40" s="82">
        <f t="shared" si="54"/>
        <v>0.90774907749077494</v>
      </c>
      <c r="BD40" s="82">
        <f t="shared" si="55"/>
        <v>0.91143911439114389</v>
      </c>
      <c r="BE40" s="82">
        <f t="shared" si="56"/>
        <v>0.92988929889298888</v>
      </c>
      <c r="BF40" s="82">
        <f t="shared" si="57"/>
        <v>0.92250922509225086</v>
      </c>
      <c r="BG40" s="82">
        <f t="shared" si="58"/>
        <v>0.94095940959409585</v>
      </c>
      <c r="BH40" s="82">
        <f t="shared" si="59"/>
        <v>1</v>
      </c>
      <c r="BI40" s="82">
        <f t="shared" si="60"/>
        <v>1.003690036900369</v>
      </c>
      <c r="BJ40" s="82">
        <f t="shared" si="61"/>
        <v>0.97416974169741688</v>
      </c>
      <c r="BK40" s="82">
        <f t="shared" si="62"/>
        <v>0.96678966789667886</v>
      </c>
      <c r="BL40" s="82">
        <f t="shared" si="63"/>
        <v>0.96309963099631002</v>
      </c>
      <c r="BM40" s="82">
        <f t="shared" si="64"/>
        <v>0.98154981549815501</v>
      </c>
      <c r="BN40" s="82">
        <f t="shared" si="65"/>
        <v>0.95202952029520294</v>
      </c>
      <c r="BO40" s="82">
        <f t="shared" si="25"/>
        <v>0.96309963099631002</v>
      </c>
      <c r="BP40" s="82" t="str">
        <f t="shared" si="26"/>
        <v/>
      </c>
      <c r="BQ40" s="82" t="str">
        <f t="shared" si="27"/>
        <v/>
      </c>
      <c r="BR40" s="82" t="str">
        <f t="shared" si="28"/>
        <v/>
      </c>
      <c r="BS40" s="82" t="str">
        <f t="shared" si="29"/>
        <v/>
      </c>
      <c r="BT40" s="82" t="str">
        <f t="shared" si="30"/>
        <v/>
      </c>
      <c r="BU40" s="82" t="str">
        <f t="shared" si="31"/>
        <v/>
      </c>
      <c r="BV40" s="82" t="str">
        <f t="shared" si="32"/>
        <v/>
      </c>
      <c r="BW40" s="82" t="str">
        <f t="shared" si="33"/>
        <v/>
      </c>
      <c r="BX40" s="82" t="str">
        <f t="shared" si="34"/>
        <v/>
      </c>
      <c r="BY40" s="82" t="str">
        <f t="shared" si="35"/>
        <v/>
      </c>
      <c r="BZ40" s="82" t="str">
        <f t="shared" si="36"/>
        <v/>
      </c>
      <c r="CA40" s="82" t="str">
        <f t="shared" si="37"/>
        <v/>
      </c>
      <c r="CB40" s="82" t="str">
        <f t="shared" si="38"/>
        <v/>
      </c>
      <c r="CC40" s="82" t="str">
        <f t="shared" si="39"/>
        <v/>
      </c>
      <c r="CD40" s="82" t="str">
        <f t="shared" si="40"/>
        <v/>
      </c>
      <c r="CE40" s="82" t="str">
        <f t="shared" si="41"/>
        <v/>
      </c>
      <c r="CF40" s="82" t="str">
        <f t="shared" si="42"/>
        <v/>
      </c>
      <c r="CG40" s="82" t="str">
        <f t="shared" si="43"/>
        <v/>
      </c>
      <c r="CH40" s="82" t="str">
        <f t="shared" si="44"/>
        <v/>
      </c>
      <c r="CI40" s="82" t="str">
        <f t="shared" si="45"/>
        <v/>
      </c>
      <c r="CJ40" s="82" t="str">
        <f t="shared" si="46"/>
        <v/>
      </c>
      <c r="CK40" s="82" t="str">
        <f t="shared" si="47"/>
        <v/>
      </c>
      <c r="CL40" s="3"/>
    </row>
    <row r="41" spans="1:90">
      <c r="A41" s="42">
        <v>961145</v>
      </c>
      <c r="B41" s="4">
        <v>105</v>
      </c>
      <c r="C41" s="100" t="str">
        <f t="shared" si="49"/>
        <v>961145-105</v>
      </c>
      <c r="D41" s="4" t="s">
        <v>26</v>
      </c>
      <c r="E41" s="43" t="s">
        <v>49</v>
      </c>
      <c r="F41" s="44">
        <v>42340</v>
      </c>
      <c r="G41" s="45"/>
      <c r="H41" s="31">
        <v>42350</v>
      </c>
      <c r="I41" s="45">
        <v>21.3</v>
      </c>
      <c r="J41" s="48"/>
      <c r="K41" s="102">
        <v>21.1</v>
      </c>
      <c r="L41" s="94">
        <v>21.2</v>
      </c>
      <c r="M41" s="94">
        <v>21.3</v>
      </c>
      <c r="N41" s="94">
        <v>19.899999999999999</v>
      </c>
      <c r="O41" s="94">
        <v>20.3</v>
      </c>
      <c r="P41" s="94">
        <v>20.3</v>
      </c>
      <c r="Q41" s="94">
        <v>20</v>
      </c>
      <c r="R41" s="94">
        <v>20.100000000000001</v>
      </c>
      <c r="S41" s="94">
        <v>20.7</v>
      </c>
      <c r="T41" s="94">
        <v>22.1</v>
      </c>
      <c r="U41" s="94">
        <v>22.6</v>
      </c>
      <c r="V41" s="94">
        <v>22.3</v>
      </c>
      <c r="W41" s="94">
        <v>22.5</v>
      </c>
      <c r="X41" s="94">
        <v>23.1</v>
      </c>
      <c r="Y41" s="94">
        <v>22.8</v>
      </c>
      <c r="Z41" s="94">
        <v>23.4</v>
      </c>
      <c r="AA41" s="94">
        <v>23.3</v>
      </c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5"/>
      <c r="AY41" s="82">
        <f t="shared" si="50"/>
        <v>0.99061032863849774</v>
      </c>
      <c r="AZ41" s="82">
        <f t="shared" si="51"/>
        <v>0.99530516431924876</v>
      </c>
      <c r="BA41" s="82">
        <f t="shared" si="52"/>
        <v>1</v>
      </c>
      <c r="BB41" s="82">
        <f t="shared" si="53"/>
        <v>0.93427230046948351</v>
      </c>
      <c r="BC41" s="82">
        <f t="shared" si="54"/>
        <v>0.95305164319248825</v>
      </c>
      <c r="BD41" s="82">
        <f t="shared" si="55"/>
        <v>0.95305164319248825</v>
      </c>
      <c r="BE41" s="82">
        <f t="shared" si="56"/>
        <v>0.93896713615023475</v>
      </c>
      <c r="BF41" s="82">
        <f t="shared" si="57"/>
        <v>0.94366197183098599</v>
      </c>
      <c r="BG41" s="82">
        <f t="shared" si="58"/>
        <v>0.97183098591549288</v>
      </c>
      <c r="BH41" s="82">
        <f t="shared" si="59"/>
        <v>1.0375586854460095</v>
      </c>
      <c r="BI41" s="82">
        <f t="shared" si="60"/>
        <v>1.0610328638497653</v>
      </c>
      <c r="BJ41" s="82">
        <f t="shared" si="61"/>
        <v>1.0469483568075117</v>
      </c>
      <c r="BK41" s="82">
        <f t="shared" si="62"/>
        <v>1.056338028169014</v>
      </c>
      <c r="BL41" s="82">
        <f t="shared" si="63"/>
        <v>1.0845070422535212</v>
      </c>
      <c r="BM41" s="82">
        <f t="shared" si="64"/>
        <v>1.0704225352112675</v>
      </c>
      <c r="BN41" s="82">
        <f t="shared" si="65"/>
        <v>1.0985915492957745</v>
      </c>
      <c r="BO41" s="82">
        <f t="shared" si="25"/>
        <v>1.0938967136150235</v>
      </c>
      <c r="BP41" s="82" t="str">
        <f t="shared" si="26"/>
        <v/>
      </c>
      <c r="BQ41" s="82" t="str">
        <f t="shared" si="27"/>
        <v/>
      </c>
      <c r="BR41" s="82" t="str">
        <f t="shared" si="28"/>
        <v/>
      </c>
      <c r="BS41" s="82" t="str">
        <f t="shared" si="29"/>
        <v/>
      </c>
      <c r="BT41" s="82" t="str">
        <f t="shared" si="30"/>
        <v/>
      </c>
      <c r="BU41" s="82" t="str">
        <f t="shared" si="31"/>
        <v/>
      </c>
      <c r="BV41" s="82" t="str">
        <f t="shared" si="32"/>
        <v/>
      </c>
      <c r="BW41" s="82" t="str">
        <f t="shared" si="33"/>
        <v/>
      </c>
      <c r="BX41" s="82" t="str">
        <f t="shared" si="34"/>
        <v/>
      </c>
      <c r="BY41" s="82" t="str">
        <f t="shared" si="35"/>
        <v/>
      </c>
      <c r="BZ41" s="82" t="str">
        <f t="shared" si="36"/>
        <v/>
      </c>
      <c r="CA41" s="82" t="str">
        <f t="shared" si="37"/>
        <v/>
      </c>
      <c r="CB41" s="82" t="str">
        <f t="shared" si="38"/>
        <v/>
      </c>
      <c r="CC41" s="82" t="str">
        <f t="shared" si="39"/>
        <v/>
      </c>
      <c r="CD41" s="82" t="str">
        <f t="shared" si="40"/>
        <v/>
      </c>
      <c r="CE41" s="82" t="str">
        <f t="shared" si="41"/>
        <v/>
      </c>
      <c r="CF41" s="82" t="str">
        <f t="shared" si="42"/>
        <v/>
      </c>
      <c r="CG41" s="82" t="str">
        <f t="shared" si="43"/>
        <v/>
      </c>
      <c r="CH41" s="82" t="str">
        <f t="shared" si="44"/>
        <v/>
      </c>
      <c r="CI41" s="82" t="str">
        <f t="shared" si="45"/>
        <v/>
      </c>
      <c r="CJ41" s="82" t="str">
        <f t="shared" si="46"/>
        <v/>
      </c>
      <c r="CK41" s="82" t="str">
        <f t="shared" si="47"/>
        <v/>
      </c>
      <c r="CL41" s="3"/>
    </row>
    <row r="42" spans="1:90" s="99" customFormat="1">
      <c r="A42" s="121"/>
      <c r="B42" s="101"/>
      <c r="C42" s="122"/>
      <c r="D42" s="101"/>
      <c r="E42" s="111"/>
      <c r="F42" s="123"/>
      <c r="G42" s="124"/>
      <c r="H42" s="123"/>
      <c r="I42" s="124"/>
      <c r="J42" s="101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</row>
    <row r="43" spans="1:90" ht="14.25" customHeight="1">
      <c r="A43" s="95"/>
      <c r="B43" s="95"/>
      <c r="C43" s="95"/>
      <c r="D43" s="51"/>
      <c r="E43" s="105" t="s">
        <v>20</v>
      </c>
      <c r="F43" s="96"/>
      <c r="G43" s="97"/>
      <c r="H43" s="277" t="s">
        <v>20</v>
      </c>
      <c r="I43" s="49">
        <f>AVERAGE(I5:I41)</f>
        <v>25.445945945945947</v>
      </c>
      <c r="J43" s="81" t="s">
        <v>10</v>
      </c>
      <c r="K43" s="87">
        <f t="shared" ref="K43:AW43" si="66">AVERAGE(K5:K41)</f>
        <v>24.908108108108113</v>
      </c>
      <c r="L43" s="87">
        <f t="shared" si="66"/>
        <v>24.991891891891903</v>
      </c>
      <c r="M43" s="87">
        <f t="shared" si="66"/>
        <v>25.445945945945947</v>
      </c>
      <c r="N43" s="87">
        <f t="shared" si="66"/>
        <v>24.218918918918916</v>
      </c>
      <c r="O43" s="87">
        <f t="shared" si="66"/>
        <v>24.432432432432432</v>
      </c>
      <c r="P43" s="87">
        <f t="shared" si="66"/>
        <v>24.470270270270273</v>
      </c>
      <c r="Q43" s="87">
        <f t="shared" si="66"/>
        <v>24.656756756756753</v>
      </c>
      <c r="R43" s="87">
        <f t="shared" si="66"/>
        <v>24.897297297297293</v>
      </c>
      <c r="S43" s="87">
        <f t="shared" si="66"/>
        <v>25.181081081081082</v>
      </c>
      <c r="T43" s="87">
        <f t="shared" si="66"/>
        <v>26.970270270270273</v>
      </c>
      <c r="U43" s="87">
        <f t="shared" si="66"/>
        <v>26.70810810810811</v>
      </c>
      <c r="V43" s="87">
        <f t="shared" si="66"/>
        <v>26.939999999999998</v>
      </c>
      <c r="W43" s="87">
        <f t="shared" si="66"/>
        <v>26.837931034482761</v>
      </c>
      <c r="X43" s="87">
        <f t="shared" si="66"/>
        <v>26.94285714285715</v>
      </c>
      <c r="Y43" s="87">
        <f t="shared" si="66"/>
        <v>27.416000000000004</v>
      </c>
      <c r="Z43" s="87">
        <f t="shared" si="66"/>
        <v>27.373913043478257</v>
      </c>
      <c r="AA43" s="87">
        <f t="shared" si="66"/>
        <v>27.659999999999997</v>
      </c>
      <c r="AB43" s="87">
        <f t="shared" si="66"/>
        <v>28.000000000000004</v>
      </c>
      <c r="AC43" s="87">
        <f t="shared" si="66"/>
        <v>28.456250000000004</v>
      </c>
      <c r="AD43" s="87">
        <f t="shared" si="66"/>
        <v>28.82</v>
      </c>
      <c r="AE43" s="87">
        <f t="shared" si="66"/>
        <v>28.136363636363637</v>
      </c>
      <c r="AF43" s="87">
        <f t="shared" si="66"/>
        <v>27.920000000000005</v>
      </c>
      <c r="AG43" s="87">
        <f t="shared" si="66"/>
        <v>27.85</v>
      </c>
      <c r="AH43" s="87">
        <f t="shared" si="66"/>
        <v>27.942857142857143</v>
      </c>
      <c r="AI43" s="87">
        <f t="shared" si="66"/>
        <v>28.614285714285717</v>
      </c>
      <c r="AJ43" s="87">
        <f t="shared" si="66"/>
        <v>28.542857142857141</v>
      </c>
      <c r="AK43" s="87">
        <f t="shared" si="66"/>
        <v>27.45</v>
      </c>
      <c r="AL43" s="87">
        <f t="shared" si="66"/>
        <v>25.133333333333329</v>
      </c>
      <c r="AM43" s="87">
        <f t="shared" si="66"/>
        <v>26.2</v>
      </c>
      <c r="AN43" s="87">
        <f t="shared" si="66"/>
        <v>26.450000000000003</v>
      </c>
      <c r="AO43" s="87">
        <f t="shared" si="66"/>
        <v>25.950000000000003</v>
      </c>
      <c r="AP43" s="87">
        <f t="shared" si="66"/>
        <v>26.75</v>
      </c>
      <c r="AQ43" s="87">
        <f t="shared" si="66"/>
        <v>26.35</v>
      </c>
      <c r="AR43" s="87">
        <f t="shared" si="66"/>
        <v>23.7</v>
      </c>
      <c r="AS43" s="87">
        <f t="shared" si="66"/>
        <v>23.1</v>
      </c>
      <c r="AT43" s="87">
        <f t="shared" si="66"/>
        <v>23.7</v>
      </c>
      <c r="AU43" s="87">
        <f t="shared" si="66"/>
        <v>23.1</v>
      </c>
      <c r="AV43" s="87">
        <f t="shared" si="66"/>
        <v>23.9</v>
      </c>
      <c r="AW43" s="87" t="e">
        <f t="shared" si="66"/>
        <v>#DIV/0!</v>
      </c>
      <c r="AX43" s="112" t="s">
        <v>10</v>
      </c>
      <c r="AY43" s="82">
        <f t="shared" ref="AY43:CK43" si="67">AVERAGE(AY5:AY41)</f>
        <v>0.97959789414516141</v>
      </c>
      <c r="AZ43" s="82">
        <f t="shared" si="67"/>
        <v>0.9821888175872554</v>
      </c>
      <c r="BA43" s="82">
        <f t="shared" si="67"/>
        <v>1</v>
      </c>
      <c r="BB43" s="82">
        <f t="shared" si="67"/>
        <v>0.95179314505219392</v>
      </c>
      <c r="BC43" s="82">
        <f t="shared" si="67"/>
        <v>0.96017025208078233</v>
      </c>
      <c r="BD43" s="82">
        <f t="shared" si="67"/>
        <v>0.96185578944837891</v>
      </c>
      <c r="BE43" s="82">
        <f t="shared" si="67"/>
        <v>0.96907743555606629</v>
      </c>
      <c r="BF43" s="82">
        <f t="shared" si="67"/>
        <v>0.97840821187575988</v>
      </c>
      <c r="BG43" s="82">
        <f t="shared" si="67"/>
        <v>0.98950080016185871</v>
      </c>
      <c r="BH43" s="82">
        <f t="shared" si="67"/>
        <v>1.060180324140843</v>
      </c>
      <c r="BI43" s="82">
        <f t="shared" si="67"/>
        <v>1.0529163061202582</v>
      </c>
      <c r="BJ43" s="82">
        <f t="shared" si="67"/>
        <v>1.0606368808710354</v>
      </c>
      <c r="BK43" s="82">
        <f t="shared" si="67"/>
        <v>1.0558030167189116</v>
      </c>
      <c r="BL43" s="82">
        <f t="shared" si="67"/>
        <v>1.0563549642964598</v>
      </c>
      <c r="BM43" s="82">
        <f t="shared" si="67"/>
        <v>1.0702309747011296</v>
      </c>
      <c r="BN43" s="82">
        <f t="shared" si="67"/>
        <v>1.0747697437587562</v>
      </c>
      <c r="BO43" s="82">
        <f t="shared" si="67"/>
        <v>1.0792118006991507</v>
      </c>
      <c r="BP43" s="82">
        <f t="shared" si="67"/>
        <v>1.0857316644371526</v>
      </c>
      <c r="BQ43" s="82">
        <f t="shared" si="67"/>
        <v>1.1078165136163189</v>
      </c>
      <c r="BR43" s="82">
        <f t="shared" si="67"/>
        <v>1.1304614569025835</v>
      </c>
      <c r="BS43" s="82">
        <f t="shared" si="67"/>
        <v>1.1307688264257409</v>
      </c>
      <c r="BT43" s="82">
        <f t="shared" si="67"/>
        <v>1.1173734537272206</v>
      </c>
      <c r="BU43" s="82">
        <f t="shared" si="67"/>
        <v>1.1142991867745655</v>
      </c>
      <c r="BV43" s="82">
        <f t="shared" si="67"/>
        <v>1.122376122342341</v>
      </c>
      <c r="BW43" s="82">
        <f t="shared" si="67"/>
        <v>1.1509723731698218</v>
      </c>
      <c r="BX43" s="82">
        <f t="shared" si="67"/>
        <v>1.1474380967801374</v>
      </c>
      <c r="BY43" s="82">
        <f t="shared" si="67"/>
        <v>1.138037819609883</v>
      </c>
      <c r="BZ43" s="82">
        <f t="shared" si="67"/>
        <v>1.1296402367509477</v>
      </c>
      <c r="CA43" s="82">
        <f t="shared" si="67"/>
        <v>1.1782079587828915</v>
      </c>
      <c r="CB43" s="82">
        <f t="shared" si="67"/>
        <v>1.1316595336481701</v>
      </c>
      <c r="CC43" s="82">
        <f t="shared" si="67"/>
        <v>1.1101682408500593</v>
      </c>
      <c r="CD43" s="82">
        <f t="shared" si="67"/>
        <v>1.1445543093270367</v>
      </c>
      <c r="CE43" s="82">
        <f t="shared" si="67"/>
        <v>1.127029220779221</v>
      </c>
      <c r="CF43" s="82">
        <f t="shared" si="67"/>
        <v>1.0580357142857144</v>
      </c>
      <c r="CG43" s="82">
        <f t="shared" si="67"/>
        <v>1.0312500000000002</v>
      </c>
      <c r="CH43" s="82">
        <f t="shared" si="67"/>
        <v>1.0580357142857144</v>
      </c>
      <c r="CI43" s="82">
        <f t="shared" si="67"/>
        <v>1.0312500000000002</v>
      </c>
      <c r="CJ43" s="82">
        <f t="shared" si="67"/>
        <v>1.0669642857142858</v>
      </c>
      <c r="CK43" s="82" t="e">
        <f t="shared" si="67"/>
        <v>#DIV/0!</v>
      </c>
      <c r="CL43" s="3"/>
    </row>
    <row r="44" spans="1:90" ht="14.25" customHeight="1">
      <c r="A44" s="52"/>
      <c r="B44" s="51"/>
      <c r="C44" s="53"/>
      <c r="D44" s="51"/>
      <c r="E44" s="103"/>
      <c r="F44" s="80"/>
      <c r="G44" s="49"/>
      <c r="H44" s="277"/>
      <c r="I44" s="49">
        <f>_xlfn.STDEV.P(I5:I41)</f>
        <v>2.3449306558749115</v>
      </c>
      <c r="J44" s="81" t="s">
        <v>12</v>
      </c>
      <c r="K44" s="90">
        <f t="shared" ref="K44:AW44" si="68">STDEVA(K5:K41)</f>
        <v>2.3024598414133792</v>
      </c>
      <c r="L44" s="90">
        <f t="shared" si="68"/>
        <v>2.3509310659559706</v>
      </c>
      <c r="M44" s="90">
        <f t="shared" si="68"/>
        <v>2.37727605495059</v>
      </c>
      <c r="N44" s="90">
        <f t="shared" si="68"/>
        <v>2.325085164251198</v>
      </c>
      <c r="O44" s="90">
        <f t="shared" si="68"/>
        <v>2.3725342819270105</v>
      </c>
      <c r="P44" s="90">
        <f t="shared" si="68"/>
        <v>2.372277956459298</v>
      </c>
      <c r="Q44" s="90">
        <f t="shared" si="68"/>
        <v>2.4229849062377289</v>
      </c>
      <c r="R44" s="90">
        <f t="shared" si="68"/>
        <v>2.4610845042251062</v>
      </c>
      <c r="S44" s="90">
        <f t="shared" si="68"/>
        <v>2.5506903028437264</v>
      </c>
      <c r="T44" s="90">
        <f t="shared" si="68"/>
        <v>2.7566953711589566</v>
      </c>
      <c r="U44" s="90">
        <f t="shared" si="68"/>
        <v>2.9478220188224871</v>
      </c>
      <c r="V44" s="90">
        <f t="shared" si="68"/>
        <v>2.982778154211517</v>
      </c>
      <c r="W44" s="90">
        <f t="shared" si="68"/>
        <v>3.0443640894872477</v>
      </c>
      <c r="X44" s="90">
        <f t="shared" si="68"/>
        <v>3.0936528296962233</v>
      </c>
      <c r="Y44" s="90">
        <f t="shared" si="68"/>
        <v>3.2490614029285116</v>
      </c>
      <c r="Z44" s="90">
        <f t="shared" si="68"/>
        <v>3.4727795248847704</v>
      </c>
      <c r="AA44" s="90">
        <f t="shared" si="68"/>
        <v>3.6009355509513741</v>
      </c>
      <c r="AB44" s="90">
        <f t="shared" si="68"/>
        <v>3.7682887362833153</v>
      </c>
      <c r="AC44" s="90">
        <f t="shared" si="68"/>
        <v>3.8015731392849847</v>
      </c>
      <c r="AD44" s="90">
        <f t="shared" si="68"/>
        <v>3.9677629537489874</v>
      </c>
      <c r="AE44" s="90">
        <f t="shared" si="68"/>
        <v>3.5151878263537282</v>
      </c>
      <c r="AF44" s="90">
        <f t="shared" si="68"/>
        <v>3.7439729343750634</v>
      </c>
      <c r="AG44" s="90">
        <f t="shared" si="68"/>
        <v>4.2965102117881564</v>
      </c>
      <c r="AH44" s="90">
        <f t="shared" si="68"/>
        <v>4.5759724441394756</v>
      </c>
      <c r="AI44" s="90">
        <f t="shared" si="68"/>
        <v>4.4296081735779378</v>
      </c>
      <c r="AJ44" s="90">
        <f t="shared" si="68"/>
        <v>4.5088273208811165</v>
      </c>
      <c r="AK44" s="90">
        <f t="shared" si="68"/>
        <v>5.065241027499753</v>
      </c>
      <c r="AL44" s="90">
        <f t="shared" si="68"/>
        <v>3.2316146634977048</v>
      </c>
      <c r="AM44" s="90">
        <f t="shared" si="68"/>
        <v>3.1096623610932435</v>
      </c>
      <c r="AN44" s="90">
        <f t="shared" si="68"/>
        <v>4.4547727214752273</v>
      </c>
      <c r="AO44" s="90">
        <f t="shared" si="68"/>
        <v>4.4547727214752273</v>
      </c>
      <c r="AP44" s="90">
        <f t="shared" si="68"/>
        <v>4.4547727214752273</v>
      </c>
      <c r="AQ44" s="90">
        <f t="shared" si="68"/>
        <v>4.7376154339498378</v>
      </c>
      <c r="AR44" s="90" t="e">
        <f t="shared" si="68"/>
        <v>#DIV/0!</v>
      </c>
      <c r="AS44" s="90" t="e">
        <f t="shared" si="68"/>
        <v>#DIV/0!</v>
      </c>
      <c r="AT44" s="90" t="e">
        <f t="shared" si="68"/>
        <v>#DIV/0!</v>
      </c>
      <c r="AU44" s="90" t="e">
        <f t="shared" si="68"/>
        <v>#DIV/0!</v>
      </c>
      <c r="AV44" s="90" t="e">
        <f t="shared" si="68"/>
        <v>#DIV/0!</v>
      </c>
      <c r="AW44" s="90" t="e">
        <f t="shared" si="68"/>
        <v>#DIV/0!</v>
      </c>
      <c r="AX44" s="113" t="s">
        <v>12</v>
      </c>
      <c r="AY44" s="83">
        <f t="shared" ref="AY44:CK44" si="69">STDEVA(AY5:AY41)</f>
        <v>3.7960739171481912E-2</v>
      </c>
      <c r="AZ44" s="83">
        <f t="shared" si="69"/>
        <v>1.5691730904937636E-2</v>
      </c>
      <c r="BA44" s="83">
        <f t="shared" si="69"/>
        <v>0</v>
      </c>
      <c r="BB44" s="83">
        <f t="shared" si="69"/>
        <v>2.2551839090915828E-2</v>
      </c>
      <c r="BC44" s="83">
        <f t="shared" si="69"/>
        <v>2.637602091320224E-2</v>
      </c>
      <c r="BD44" s="83">
        <f t="shared" si="69"/>
        <v>3.1519116975820799E-2</v>
      </c>
      <c r="BE44" s="83">
        <f t="shared" si="69"/>
        <v>3.1858615843314488E-2</v>
      </c>
      <c r="BF44" s="83">
        <f t="shared" si="69"/>
        <v>3.3221873966904299E-2</v>
      </c>
      <c r="BG44" s="83">
        <f t="shared" si="69"/>
        <v>3.7255098622268792E-2</v>
      </c>
      <c r="BH44" s="83">
        <f t="shared" si="69"/>
        <v>4.9757814720154774E-2</v>
      </c>
      <c r="BI44" s="83">
        <f t="shared" si="69"/>
        <v>0.25439331335782928</v>
      </c>
      <c r="BJ44" s="83">
        <f t="shared" si="69"/>
        <v>0.42414476662315326</v>
      </c>
      <c r="BK44" s="83">
        <f t="shared" si="69"/>
        <v>0.44326064208204091</v>
      </c>
      <c r="BL44" s="83">
        <f t="shared" si="69"/>
        <v>0.46251258348034457</v>
      </c>
      <c r="BM44" s="83">
        <f t="shared" si="69"/>
        <v>0.50992830535083056</v>
      </c>
      <c r="BN44" s="83">
        <f t="shared" si="69"/>
        <v>0.53081129065359967</v>
      </c>
      <c r="BO44" s="83">
        <f t="shared" si="69"/>
        <v>0.5471080385886159</v>
      </c>
      <c r="BP44" s="83">
        <f t="shared" si="69"/>
        <v>0.54980830787967205</v>
      </c>
      <c r="BQ44" s="83">
        <f t="shared" si="69"/>
        <v>0.55763464127096507</v>
      </c>
      <c r="BR44" s="83">
        <f t="shared" si="69"/>
        <v>0.56371957666686834</v>
      </c>
      <c r="BS44" s="83">
        <f t="shared" si="69"/>
        <v>0.52484599892301953</v>
      </c>
      <c r="BT44" s="83">
        <f t="shared" si="69"/>
        <v>0.5040483269303615</v>
      </c>
      <c r="BU44" s="83">
        <f t="shared" si="69"/>
        <v>0.46590207708653991</v>
      </c>
      <c r="BV44" s="83">
        <f t="shared" si="69"/>
        <v>0.4465701905727118</v>
      </c>
      <c r="BW44" s="83">
        <f t="shared" si="69"/>
        <v>0.45821812591737843</v>
      </c>
      <c r="BX44" s="83">
        <f t="shared" si="69"/>
        <v>0.45667316222553062</v>
      </c>
      <c r="BY44" s="83">
        <f t="shared" si="69"/>
        <v>0.35914762074692225</v>
      </c>
      <c r="BZ44" s="83">
        <f t="shared" si="69"/>
        <v>0.31372388611703012</v>
      </c>
      <c r="CA44" s="83">
        <f t="shared" si="69"/>
        <v>0.32713522053928307</v>
      </c>
      <c r="CB44" s="83">
        <f t="shared" si="69"/>
        <v>0.26032005555528104</v>
      </c>
      <c r="CC44" s="83">
        <f t="shared" si="69"/>
        <v>0.25542716632826473</v>
      </c>
      <c r="CD44" s="83">
        <f t="shared" si="69"/>
        <v>0.26325646493212368</v>
      </c>
      <c r="CE44" s="83">
        <f t="shared" si="69"/>
        <v>0.25944218401323116</v>
      </c>
      <c r="CF44" s="83">
        <f t="shared" si="69"/>
        <v>0.1739399999614718</v>
      </c>
      <c r="CG44" s="83">
        <f t="shared" si="69"/>
        <v>0.16953645565864972</v>
      </c>
      <c r="CH44" s="83">
        <f t="shared" si="69"/>
        <v>0.1739399999614718</v>
      </c>
      <c r="CI44" s="83">
        <f t="shared" si="69"/>
        <v>0.16953645565864972</v>
      </c>
      <c r="CJ44" s="83">
        <f t="shared" si="69"/>
        <v>0.1754078480624125</v>
      </c>
      <c r="CK44" s="83">
        <f t="shared" si="69"/>
        <v>0</v>
      </c>
      <c r="CL44" s="3"/>
    </row>
    <row r="45" spans="1:90" ht="12.75" customHeight="1">
      <c r="A45" s="129"/>
      <c r="E45" s="104"/>
      <c r="J45" s="51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79"/>
    </row>
    <row r="46" spans="1:90" ht="14.25" customHeight="1">
      <c r="A46" s="129"/>
      <c r="E46" s="134" t="str">
        <f>'RAD_DOSE Groups'!C6</f>
        <v>PBS Control</v>
      </c>
      <c r="H46" s="134" t="str">
        <f>E46</f>
        <v>PBS Control</v>
      </c>
      <c r="I46" s="120">
        <f>AVERAGEIF($E$5:$E$41,$E46,I$5:I$41)</f>
        <v>25.700000000000003</v>
      </c>
      <c r="J46" s="81" t="s">
        <v>10</v>
      </c>
      <c r="K46" s="87">
        <f t="shared" ref="K46:AW46" si="70">AVERAGEIF($E$5:$E$41,$E46,K$5:K$41)</f>
        <v>24.374999999999996</v>
      </c>
      <c r="L46" s="87">
        <f t="shared" si="70"/>
        <v>25.125</v>
      </c>
      <c r="M46" s="87">
        <f t="shared" si="70"/>
        <v>25.700000000000003</v>
      </c>
      <c r="N46" s="87">
        <f t="shared" si="70"/>
        <v>25.024999999999999</v>
      </c>
      <c r="O46" s="87">
        <f t="shared" si="70"/>
        <v>25.099999999999998</v>
      </c>
      <c r="P46" s="87">
        <f t="shared" si="70"/>
        <v>25.324999999999999</v>
      </c>
      <c r="Q46" s="87">
        <f t="shared" si="70"/>
        <v>25.700000000000003</v>
      </c>
      <c r="R46" s="87">
        <f t="shared" si="70"/>
        <v>25.4</v>
      </c>
      <c r="S46" s="87">
        <f t="shared" si="70"/>
        <v>25.450000000000003</v>
      </c>
      <c r="T46" s="87">
        <f t="shared" si="70"/>
        <v>25.824999999999996</v>
      </c>
      <c r="U46" s="87">
        <f t="shared" si="70"/>
        <v>25.225000000000001</v>
      </c>
      <c r="V46" s="87" t="e">
        <f t="shared" si="70"/>
        <v>#DIV/0!</v>
      </c>
      <c r="W46" s="87" t="e">
        <f t="shared" si="70"/>
        <v>#DIV/0!</v>
      </c>
      <c r="X46" s="87" t="e">
        <f t="shared" si="70"/>
        <v>#DIV/0!</v>
      </c>
      <c r="Y46" s="87" t="e">
        <f t="shared" si="70"/>
        <v>#DIV/0!</v>
      </c>
      <c r="Z46" s="87" t="e">
        <f t="shared" si="70"/>
        <v>#DIV/0!</v>
      </c>
      <c r="AA46" s="87" t="e">
        <f t="shared" si="70"/>
        <v>#DIV/0!</v>
      </c>
      <c r="AB46" s="87" t="e">
        <f t="shared" si="70"/>
        <v>#DIV/0!</v>
      </c>
      <c r="AC46" s="87" t="e">
        <f t="shared" si="70"/>
        <v>#DIV/0!</v>
      </c>
      <c r="AD46" s="87" t="e">
        <f t="shared" si="70"/>
        <v>#DIV/0!</v>
      </c>
      <c r="AE46" s="87" t="e">
        <f t="shared" si="70"/>
        <v>#DIV/0!</v>
      </c>
      <c r="AF46" s="87" t="e">
        <f t="shared" si="70"/>
        <v>#DIV/0!</v>
      </c>
      <c r="AG46" s="87" t="e">
        <f t="shared" si="70"/>
        <v>#DIV/0!</v>
      </c>
      <c r="AH46" s="87" t="e">
        <f t="shared" si="70"/>
        <v>#DIV/0!</v>
      </c>
      <c r="AI46" s="87" t="e">
        <f t="shared" si="70"/>
        <v>#DIV/0!</v>
      </c>
      <c r="AJ46" s="87" t="e">
        <f t="shared" si="70"/>
        <v>#DIV/0!</v>
      </c>
      <c r="AK46" s="87" t="e">
        <f t="shared" si="70"/>
        <v>#DIV/0!</v>
      </c>
      <c r="AL46" s="87" t="e">
        <f t="shared" si="70"/>
        <v>#DIV/0!</v>
      </c>
      <c r="AM46" s="87" t="e">
        <f t="shared" si="70"/>
        <v>#DIV/0!</v>
      </c>
      <c r="AN46" s="87" t="e">
        <f t="shared" si="70"/>
        <v>#DIV/0!</v>
      </c>
      <c r="AO46" s="87" t="e">
        <f t="shared" si="70"/>
        <v>#DIV/0!</v>
      </c>
      <c r="AP46" s="87" t="e">
        <f t="shared" si="70"/>
        <v>#DIV/0!</v>
      </c>
      <c r="AQ46" s="87" t="e">
        <f t="shared" si="70"/>
        <v>#DIV/0!</v>
      </c>
      <c r="AR46" s="87" t="e">
        <f t="shared" si="70"/>
        <v>#DIV/0!</v>
      </c>
      <c r="AS46" s="87" t="e">
        <f t="shared" si="70"/>
        <v>#DIV/0!</v>
      </c>
      <c r="AT46" s="87" t="e">
        <f t="shared" si="70"/>
        <v>#DIV/0!</v>
      </c>
      <c r="AU46" s="87" t="e">
        <f t="shared" si="70"/>
        <v>#DIV/0!</v>
      </c>
      <c r="AV46" s="87" t="e">
        <f t="shared" si="70"/>
        <v>#DIV/0!</v>
      </c>
      <c r="AW46" s="87" t="e">
        <f t="shared" si="70"/>
        <v>#DIV/0!</v>
      </c>
      <c r="AX46" s="114" t="s">
        <v>10</v>
      </c>
      <c r="AY46" s="82">
        <f t="shared" ref="AY46:CK46" si="71">AVERAGEIF($E$5:$E$41,$E46,AY$5:AY$41)</f>
        <v>0.9510192831426596</v>
      </c>
      <c r="AZ46" s="82">
        <f t="shared" si="71"/>
        <v>0.97747234601396327</v>
      </c>
      <c r="BA46" s="82">
        <f t="shared" si="71"/>
        <v>1</v>
      </c>
      <c r="BB46" s="82">
        <f t="shared" si="71"/>
        <v>0.97421072735671399</v>
      </c>
      <c r="BC46" s="82">
        <f t="shared" si="71"/>
        <v>0.97650378309853014</v>
      </c>
      <c r="BD46" s="82">
        <f t="shared" si="71"/>
        <v>0.98502900795820425</v>
      </c>
      <c r="BE46" s="82">
        <f t="shared" si="71"/>
        <v>0.99922636609344218</v>
      </c>
      <c r="BF46" s="82">
        <f t="shared" si="71"/>
        <v>0.98812816428310246</v>
      </c>
      <c r="BG46" s="82">
        <f t="shared" si="71"/>
        <v>0.99030982178574156</v>
      </c>
      <c r="BH46" s="82">
        <f t="shared" si="71"/>
        <v>1.0063163088168374</v>
      </c>
      <c r="BI46" s="82">
        <f t="shared" si="71"/>
        <v>0.98438880120307237</v>
      </c>
      <c r="BJ46" s="82" t="e">
        <f t="shared" si="71"/>
        <v>#DIV/0!</v>
      </c>
      <c r="BK46" s="82" t="e">
        <f t="shared" si="71"/>
        <v>#DIV/0!</v>
      </c>
      <c r="BL46" s="82" t="e">
        <f t="shared" si="71"/>
        <v>#DIV/0!</v>
      </c>
      <c r="BM46" s="82" t="e">
        <f t="shared" si="71"/>
        <v>#DIV/0!</v>
      </c>
      <c r="BN46" s="82" t="e">
        <f t="shared" si="71"/>
        <v>#DIV/0!</v>
      </c>
      <c r="BO46" s="82" t="e">
        <f t="shared" si="71"/>
        <v>#DIV/0!</v>
      </c>
      <c r="BP46" s="82" t="e">
        <f t="shared" si="71"/>
        <v>#DIV/0!</v>
      </c>
      <c r="BQ46" s="82" t="e">
        <f t="shared" si="71"/>
        <v>#DIV/0!</v>
      </c>
      <c r="BR46" s="82" t="e">
        <f t="shared" si="71"/>
        <v>#DIV/0!</v>
      </c>
      <c r="BS46" s="82" t="e">
        <f t="shared" si="71"/>
        <v>#DIV/0!</v>
      </c>
      <c r="BT46" s="82" t="e">
        <f t="shared" si="71"/>
        <v>#DIV/0!</v>
      </c>
      <c r="BU46" s="82" t="e">
        <f t="shared" si="71"/>
        <v>#DIV/0!</v>
      </c>
      <c r="BV46" s="82" t="e">
        <f t="shared" si="71"/>
        <v>#DIV/0!</v>
      </c>
      <c r="BW46" s="82" t="e">
        <f t="shared" si="71"/>
        <v>#DIV/0!</v>
      </c>
      <c r="BX46" s="82" t="e">
        <f t="shared" si="71"/>
        <v>#DIV/0!</v>
      </c>
      <c r="BY46" s="82" t="e">
        <f t="shared" si="71"/>
        <v>#DIV/0!</v>
      </c>
      <c r="BZ46" s="82" t="e">
        <f t="shared" si="71"/>
        <v>#DIV/0!</v>
      </c>
      <c r="CA46" s="82" t="e">
        <f t="shared" si="71"/>
        <v>#DIV/0!</v>
      </c>
      <c r="CB46" s="82" t="e">
        <f t="shared" si="71"/>
        <v>#DIV/0!</v>
      </c>
      <c r="CC46" s="82" t="e">
        <f t="shared" si="71"/>
        <v>#DIV/0!</v>
      </c>
      <c r="CD46" s="82" t="e">
        <f t="shared" si="71"/>
        <v>#DIV/0!</v>
      </c>
      <c r="CE46" s="82" t="e">
        <f t="shared" si="71"/>
        <v>#DIV/0!</v>
      </c>
      <c r="CF46" s="82" t="e">
        <f t="shared" si="71"/>
        <v>#DIV/0!</v>
      </c>
      <c r="CG46" s="82" t="e">
        <f t="shared" si="71"/>
        <v>#DIV/0!</v>
      </c>
      <c r="CH46" s="82" t="e">
        <f t="shared" si="71"/>
        <v>#DIV/0!</v>
      </c>
      <c r="CI46" s="82" t="e">
        <f t="shared" si="71"/>
        <v>#DIV/0!</v>
      </c>
      <c r="CJ46" s="82" t="e">
        <f t="shared" si="71"/>
        <v>#DIV/0!</v>
      </c>
      <c r="CK46" s="82" t="e">
        <f t="shared" si="71"/>
        <v>#DIV/0!</v>
      </c>
      <c r="CL46" s="85"/>
    </row>
    <row r="47" spans="1:90" ht="14.25" customHeight="1">
      <c r="A47" s="129"/>
      <c r="E47" s="104"/>
      <c r="H47" s="104"/>
      <c r="I47" s="120">
        <f t="array" ref="I47">_xlfn.STDEV.P(IF($E$5:$E$41=$E46,I$5:I$41))</f>
        <v>1.6355427233796116</v>
      </c>
      <c r="J47" s="81" t="s">
        <v>12</v>
      </c>
      <c r="K47" s="90">
        <f t="array" ref="K47">_xlfn.STDEV.P(IF($E$5:$E$41=$E46,K$5:K$41))</f>
        <v>1.1818946653572822</v>
      </c>
      <c r="L47" s="90">
        <f t="array" ref="L47">_xlfn.STDEV.P(IF($E$5:$E$41=$E46,L$5:L$41))</f>
        <v>1.6708904811506946</v>
      </c>
      <c r="M47" s="90">
        <f t="array" ref="M47">_xlfn.STDEV.P(IF($E$5:$E$41=$E46,M$5:M$41))</f>
        <v>1.6355427233796116</v>
      </c>
      <c r="N47" s="90">
        <f t="array" ref="N47">_xlfn.STDEV.P(IF($E$5:$E$41=$E46,N$5:N$41))</f>
        <v>1.4006694827831441</v>
      </c>
      <c r="O47" s="90">
        <f t="array" ref="O47">_xlfn.STDEV.P(IF($E$5:$E$41=$E46,O$5:O$41))</f>
        <v>1.6583123951776997</v>
      </c>
      <c r="P47" s="90">
        <f t="array" ref="P47">_xlfn.STDEV.P(IF($E$5:$E$41=$E46,P$5:P$41))</f>
        <v>1.7739433474606785</v>
      </c>
      <c r="Q47" s="90">
        <f t="array" ref="Q47">_xlfn.STDEV.P(IF($E$5:$E$41=$E46,Q$5:Q$41))</f>
        <v>1.9748417658131494</v>
      </c>
      <c r="R47" s="90">
        <f t="array" ref="R47">_xlfn.STDEV.P(IF($E$5:$E$41=$E46,R$5:R$41))</f>
        <v>1.8138357147217061</v>
      </c>
      <c r="S47" s="90">
        <f t="array" ref="S47">_xlfn.STDEV.P(IF($E$5:$E$41=$E46,S$5:S$41))</f>
        <v>1.7613914953808538</v>
      </c>
      <c r="T47" s="90">
        <f t="array" ref="T47">_xlfn.STDEV.P(IF($E$5:$E$41=$E46,T$5:T$41))</f>
        <v>1.3808964479641481</v>
      </c>
      <c r="U47" s="90">
        <f t="array" ref="U47">_xlfn.STDEV.P(IF($E$5:$E$41=$E46,U$5:U$41))</f>
        <v>0.90381137412626078</v>
      </c>
      <c r="V47" s="90">
        <f t="array" ref="V47">_xlfn.STDEV.P(IF($E$5:$E$41=$E46,V$5:V$41))</f>
        <v>0</v>
      </c>
      <c r="W47" s="90">
        <f t="array" ref="W47">_xlfn.STDEV.P(IF($E$5:$E$41=$E46,W$5:W$41))</f>
        <v>0</v>
      </c>
      <c r="X47" s="90">
        <f t="array" ref="X47">_xlfn.STDEV.P(IF($E$5:$E$41=$E46,X$5:X$41))</f>
        <v>0</v>
      </c>
      <c r="Y47" s="90">
        <f t="array" ref="Y47">_xlfn.STDEV.P(IF($E$5:$E$41=$E46,Y$5:Y$41))</f>
        <v>0</v>
      </c>
      <c r="Z47" s="90">
        <f t="array" ref="Z47">_xlfn.STDEV.P(IF($E$5:$E$41=$E46,Z$5:Z$41))</f>
        <v>0</v>
      </c>
      <c r="AA47" s="90">
        <f t="array" ref="AA47">_xlfn.STDEV.P(IF($E$5:$E$41=$E46,AA$5:AA$41))</f>
        <v>0</v>
      </c>
      <c r="AB47" s="90">
        <f t="array" ref="AB47">_xlfn.STDEV.P(IF($E$5:$E$41=$E46,AB$5:AB$41))</f>
        <v>0</v>
      </c>
      <c r="AC47" s="90">
        <f t="array" ref="AC47">_xlfn.STDEV.P(IF($E$5:$E$41=$E46,AC$5:AC$41))</f>
        <v>0</v>
      </c>
      <c r="AD47" s="90">
        <f t="array" ref="AD47">_xlfn.STDEV.P(IF($E$5:$E$41=$E46,AD$5:AD$41))</f>
        <v>0</v>
      </c>
      <c r="AE47" s="90">
        <f t="array" ref="AE47">_xlfn.STDEV.P(IF($E$5:$E$41=$E46,AE$5:AE$41))</f>
        <v>0</v>
      </c>
      <c r="AF47" s="90">
        <f t="array" ref="AF47">_xlfn.STDEV.P(IF($E$5:$E$41=$E46,AF$5:AF$41))</f>
        <v>0</v>
      </c>
      <c r="AG47" s="90">
        <f t="array" ref="AG47">_xlfn.STDEV.P(IF($E$5:$E$41=$E46,AG$5:AG$41))</f>
        <v>0</v>
      </c>
      <c r="AH47" s="90">
        <f t="array" ref="AH47">_xlfn.STDEV.P(IF($E$5:$E$41=$E46,AH$5:AH$41))</f>
        <v>0</v>
      </c>
      <c r="AI47" s="90">
        <f t="array" ref="AI47">_xlfn.STDEV.P(IF($E$5:$E$41=$E46,AI$5:AI$41))</f>
        <v>0</v>
      </c>
      <c r="AJ47" s="90">
        <f t="array" ref="AJ47">_xlfn.STDEV.P(IF($E$5:$E$41=$E46,AJ$5:AJ$41))</f>
        <v>0</v>
      </c>
      <c r="AK47" s="90">
        <f t="array" ref="AK47">_xlfn.STDEV.P(IF($E$5:$E$41=$E46,AK$5:AK$41))</f>
        <v>0</v>
      </c>
      <c r="AL47" s="90">
        <f t="array" ref="AL47">_xlfn.STDEV.P(IF($E$5:$E$41=$E46,AL$5:AL$41))</f>
        <v>0</v>
      </c>
      <c r="AM47" s="90">
        <f t="array" ref="AM47">_xlfn.STDEV.P(IF($E$5:$E$41=$E46,AM$5:AM$41))</f>
        <v>0</v>
      </c>
      <c r="AN47" s="90">
        <f t="array" ref="AN47">_xlfn.STDEV.P(IF($E$5:$E$41=$E46,AN$5:AN$41))</f>
        <v>0</v>
      </c>
      <c r="AO47" s="90">
        <f t="array" ref="AO47">_xlfn.STDEV.P(IF($E$5:$E$41=$E46,AO$5:AO$41))</f>
        <v>0</v>
      </c>
      <c r="AP47" s="90">
        <f t="array" ref="AP47">_xlfn.STDEV.P(IF($E$5:$E$41=$E46,AP$5:AP$41))</f>
        <v>0</v>
      </c>
      <c r="AQ47" s="90">
        <f t="array" ref="AQ47">_xlfn.STDEV.P(IF($E$5:$E$41=$E46,AQ$5:AQ$41))</f>
        <v>0</v>
      </c>
      <c r="AR47" s="90">
        <f t="array" ref="AR47">_xlfn.STDEV.P(IF($E$5:$E$41=$E46,AR$5:AR$41))</f>
        <v>0</v>
      </c>
      <c r="AS47" s="90">
        <f t="array" ref="AS47">_xlfn.STDEV.P(IF($E$5:$E$41=$E46,AS$5:AS$41))</f>
        <v>0</v>
      </c>
      <c r="AT47" s="90">
        <f t="array" ref="AT47">_xlfn.STDEV.P(IF($E$5:$E$41=$E46,AT$5:AT$41))</f>
        <v>0</v>
      </c>
      <c r="AU47" s="90">
        <f t="array" ref="AU47">_xlfn.STDEV.P(IF($E$5:$E$41=$E46,AU$5:AU$41))</f>
        <v>0</v>
      </c>
      <c r="AV47" s="90">
        <f t="array" ref="AV47">_xlfn.STDEV.P(IF($E$5:$E$41=$E46,AV$5:AV$41))</f>
        <v>0</v>
      </c>
      <c r="AW47" s="90">
        <f t="array" ref="AW47">_xlfn.STDEV.P(IF($E$5:$E$41=$E46,AW$5:AW$41))</f>
        <v>0</v>
      </c>
      <c r="AX47" s="115" t="s">
        <v>12</v>
      </c>
      <c r="AY47" s="83">
        <f t="array" ref="AY47">_xlfn.STDEV.P(IF($E$5:$E$41=$E46,AY$5:AY$41))</f>
        <v>5.7247122499915849E-2</v>
      </c>
      <c r="AZ47" s="83">
        <f t="array" ref="AZ47">_xlfn.STDEV.P(IF($E$5:$E$41=$E46,AZ$5:AZ$41))</f>
        <v>5.9111419703245204E-3</v>
      </c>
      <c r="BA47" s="83">
        <f t="array" ref="BA47">_xlfn.STDEV.P(IF($E$5:$E$41=$E46,BA$5:BA$41))</f>
        <v>0</v>
      </c>
      <c r="BB47" s="83">
        <f t="array" ref="BB47">_xlfn.STDEV.P(IF($E$5:$E$41=$E46,BB$5:BB$41))</f>
        <v>8.6728392784954349E-3</v>
      </c>
      <c r="BC47" s="83">
        <f t="array" ref="BC47">_xlfn.STDEV.P(IF($E$5:$E$41=$E46,BC$5:BC$41))</f>
        <v>6.8271301878658304E-3</v>
      </c>
      <c r="BD47" s="83">
        <f t="array" ref="BD47">_xlfn.STDEV.P(IF($E$5:$E$41=$E46,BD$5:BD$41))</f>
        <v>1.2637015126973345E-2</v>
      </c>
      <c r="BE47" s="83">
        <f t="array" ref="BE47">_xlfn.STDEV.P(IF($E$5:$E$41=$E46,BE$5:BE$41))</f>
        <v>1.9391747802736538E-2</v>
      </c>
      <c r="BF47" s="83">
        <f t="array" ref="BF47">_xlfn.STDEV.P(IF($E$5:$E$41=$E46,BF$5:BF$41))</f>
        <v>2.5731120515455536E-2</v>
      </c>
      <c r="BG47" s="83">
        <f t="array" ref="BG47">_xlfn.STDEV.P(IF($E$5:$E$41=$E46,BG$5:BG$41))</f>
        <v>2.8332614277709178E-2</v>
      </c>
      <c r="BH47" s="83">
        <f t="array" ref="BH47">_xlfn.STDEV.P(IF($E$5:$E$41=$E46,BH$5:BH$41))</f>
        <v>4.2080413909734417E-2</v>
      </c>
      <c r="BI47" s="83">
        <f t="array" ref="BI47">_xlfn.STDEV.P(IF($E$5:$E$41=$E46,BI$5:BI$41))</f>
        <v>5.5839040907713397E-2</v>
      </c>
      <c r="BJ47" s="83" t="e">
        <f t="array" ref="BJ47">_xlfn.STDEV.P(IF($E$5:$E$41=$E46,BJ$5:BJ$41))</f>
        <v>#DIV/0!</v>
      </c>
      <c r="BK47" s="83" t="e">
        <f t="array" ref="BK47">_xlfn.STDEV.P(IF($E$5:$E$41=$E46,BK$5:BK$41))</f>
        <v>#DIV/0!</v>
      </c>
      <c r="BL47" s="83" t="e">
        <f t="array" ref="BL47">_xlfn.STDEV.P(IF($E$5:$E$41=$E46,BL$5:BL$41))</f>
        <v>#DIV/0!</v>
      </c>
      <c r="BM47" s="83" t="e">
        <f t="array" ref="BM47">_xlfn.STDEV.P(IF($E$5:$E$41=$E46,BM$5:BM$41))</f>
        <v>#DIV/0!</v>
      </c>
      <c r="BN47" s="83" t="e">
        <f t="array" ref="BN47">_xlfn.STDEV.P(IF($E$5:$E$41=$E46,BN$5:BN$41))</f>
        <v>#DIV/0!</v>
      </c>
      <c r="BO47" s="83" t="e">
        <f t="array" ref="BO47">_xlfn.STDEV.P(IF($E$5:$E$41=$E46,BO$5:BO$41))</f>
        <v>#DIV/0!</v>
      </c>
      <c r="BP47" s="83" t="e">
        <f t="array" ref="BP47">_xlfn.STDEV.P(IF($E$5:$E$41=$E46,BP$5:BP$41))</f>
        <v>#DIV/0!</v>
      </c>
      <c r="BQ47" s="83" t="e">
        <f t="array" ref="BQ47">_xlfn.STDEV.P(IF($E$5:$E$41=$E46,BQ$5:BQ$41))</f>
        <v>#DIV/0!</v>
      </c>
      <c r="BR47" s="83" t="e">
        <f t="array" ref="BR47">_xlfn.STDEV.P(IF($E$5:$E$41=$E46,BR$5:BR$41))</f>
        <v>#DIV/0!</v>
      </c>
      <c r="BS47" s="83" t="e">
        <f t="array" ref="BS47">_xlfn.STDEV.P(IF($E$5:$E$41=$E46,BS$5:BS$41))</f>
        <v>#DIV/0!</v>
      </c>
      <c r="BT47" s="83" t="e">
        <f t="array" ref="BT47">_xlfn.STDEV.P(IF($E$5:$E$41=$E46,BT$5:BT$41))</f>
        <v>#DIV/0!</v>
      </c>
      <c r="BU47" s="83" t="e">
        <f t="array" ref="BU47">_xlfn.STDEV.P(IF($E$5:$E$41=$E46,BU$5:BU$41))</f>
        <v>#DIV/0!</v>
      </c>
      <c r="BV47" s="83" t="e">
        <f t="array" ref="BV47">_xlfn.STDEV.P(IF($E$5:$E$41=$E46,BV$5:BV$41))</f>
        <v>#DIV/0!</v>
      </c>
      <c r="BW47" s="83" t="e">
        <f t="array" ref="BW47">_xlfn.STDEV.P(IF($E$5:$E$41=$E46,BW$5:BW$41))</f>
        <v>#DIV/0!</v>
      </c>
      <c r="BX47" s="83" t="e">
        <f t="array" ref="BX47">_xlfn.STDEV.P(IF($E$5:$E$41=$E46,BX$5:BX$41))</f>
        <v>#DIV/0!</v>
      </c>
      <c r="BY47" s="83" t="e">
        <f t="array" ref="BY47">_xlfn.STDEV.P(IF($E$5:$E$41=$E46,BY$5:BY$41))</f>
        <v>#DIV/0!</v>
      </c>
      <c r="BZ47" s="83" t="e">
        <f t="array" ref="BZ47">_xlfn.STDEV.P(IF($E$5:$E$41=$E46,BZ$5:BZ$41))</f>
        <v>#DIV/0!</v>
      </c>
      <c r="CA47" s="83" t="e">
        <f t="array" ref="CA47">_xlfn.STDEV.P(IF($E$5:$E$41=$E46,CA$5:CA$41))</f>
        <v>#DIV/0!</v>
      </c>
      <c r="CB47" s="83" t="e">
        <f t="array" ref="CB47">_xlfn.STDEV.P(IF($E$5:$E$41=$E46,CB$5:CB$41))</f>
        <v>#DIV/0!</v>
      </c>
      <c r="CC47" s="83" t="e">
        <f t="array" ref="CC47">_xlfn.STDEV.P(IF($E$5:$E$41=$E46,CC$5:CC$41))</f>
        <v>#DIV/0!</v>
      </c>
      <c r="CD47" s="83" t="e">
        <f t="array" ref="CD47">_xlfn.STDEV.P(IF($E$5:$E$41=$E46,CD$5:CD$41))</f>
        <v>#DIV/0!</v>
      </c>
      <c r="CE47" s="83" t="e">
        <f t="array" ref="CE47">_xlfn.STDEV.P(IF($E$5:$E$41=$E46,CE$5:CE$41))</f>
        <v>#DIV/0!</v>
      </c>
      <c r="CF47" s="83" t="e">
        <f t="array" ref="CF47">_xlfn.STDEV.P(IF($E$5:$E$41=$E46,CF$5:CF$41))</f>
        <v>#DIV/0!</v>
      </c>
      <c r="CG47" s="83" t="e">
        <f t="array" ref="CG47">_xlfn.STDEV.P(IF($E$5:$E$41=$E46,CG$5:CG$41))</f>
        <v>#DIV/0!</v>
      </c>
      <c r="CH47" s="83" t="e">
        <f t="array" ref="CH47">_xlfn.STDEV.P(IF($E$5:$E$41=$E46,CH$5:CH$41))</f>
        <v>#DIV/0!</v>
      </c>
      <c r="CI47" s="83" t="e">
        <f t="array" ref="CI47">_xlfn.STDEV.P(IF($E$5:$E$41=$E46,CI$5:CI$41))</f>
        <v>#DIV/0!</v>
      </c>
      <c r="CJ47" s="83" t="e">
        <f t="array" ref="CJ47">_xlfn.STDEV.P(IF($E$5:$E$41=$E46,CJ$5:CJ$41))</f>
        <v>#DIV/0!</v>
      </c>
      <c r="CK47" s="83" t="e">
        <f t="array" ref="CK47">_xlfn.STDEV.P(IF($E$5:$E$41=$E46,CK$5:CK$41))</f>
        <v>#DIV/0!</v>
      </c>
      <c r="CL47" s="85"/>
    </row>
    <row r="48" spans="1:90" ht="15">
      <c r="A48" s="129"/>
      <c r="E48" s="58"/>
      <c r="H48" s="58"/>
    </row>
    <row r="49" spans="1:90" ht="14.25" customHeight="1">
      <c r="A49" s="129"/>
      <c r="E49" s="134" t="str">
        <f>'RAD_DOSE Groups'!C7</f>
        <v>CP-PTX Control</v>
      </c>
      <c r="H49" s="134" t="str">
        <f>E49</f>
        <v>CP-PTX Control</v>
      </c>
      <c r="I49" s="120">
        <f>AVERAGEIF($E$5:$E$41,$E49,I$5:I$41)</f>
        <v>25.275000000000002</v>
      </c>
      <c r="J49" s="81" t="s">
        <v>10</v>
      </c>
      <c r="K49" s="87">
        <f t="shared" ref="K49:AW49" si="72">AVERAGEIF($E$5:$E$41,$E49,K$5:K$41)</f>
        <v>24.6</v>
      </c>
      <c r="L49" s="87">
        <f t="shared" si="72"/>
        <v>24.875</v>
      </c>
      <c r="M49" s="87">
        <f t="shared" si="72"/>
        <v>25.275000000000002</v>
      </c>
      <c r="N49" s="87">
        <f t="shared" si="72"/>
        <v>24.3</v>
      </c>
      <c r="O49" s="87">
        <f t="shared" si="72"/>
        <v>24.475000000000001</v>
      </c>
      <c r="P49" s="87">
        <f t="shared" si="72"/>
        <v>24.550000000000004</v>
      </c>
      <c r="Q49" s="87">
        <f t="shared" si="72"/>
        <v>24.774999999999999</v>
      </c>
      <c r="R49" s="87">
        <f t="shared" si="72"/>
        <v>25.274999999999999</v>
      </c>
      <c r="S49" s="87">
        <f t="shared" si="72"/>
        <v>25.474999999999998</v>
      </c>
      <c r="T49" s="87">
        <f t="shared" si="72"/>
        <v>26.5</v>
      </c>
      <c r="U49" s="87">
        <f t="shared" si="72"/>
        <v>25.35</v>
      </c>
      <c r="V49" s="87">
        <f t="shared" si="72"/>
        <v>27.2</v>
      </c>
      <c r="W49" s="87">
        <f t="shared" si="72"/>
        <v>26.6</v>
      </c>
      <c r="X49" s="87">
        <f t="shared" si="72"/>
        <v>27.2</v>
      </c>
      <c r="Y49" s="87">
        <f t="shared" si="72"/>
        <v>26.9</v>
      </c>
      <c r="Z49" s="87" t="e">
        <f t="shared" si="72"/>
        <v>#DIV/0!</v>
      </c>
      <c r="AA49" s="87" t="e">
        <f t="shared" si="72"/>
        <v>#DIV/0!</v>
      </c>
      <c r="AB49" s="87" t="e">
        <f t="shared" si="72"/>
        <v>#DIV/0!</v>
      </c>
      <c r="AC49" s="87" t="e">
        <f t="shared" si="72"/>
        <v>#DIV/0!</v>
      </c>
      <c r="AD49" s="87" t="e">
        <f t="shared" si="72"/>
        <v>#DIV/0!</v>
      </c>
      <c r="AE49" s="87" t="e">
        <f t="shared" si="72"/>
        <v>#DIV/0!</v>
      </c>
      <c r="AF49" s="87" t="e">
        <f t="shared" si="72"/>
        <v>#DIV/0!</v>
      </c>
      <c r="AG49" s="87" t="e">
        <f t="shared" si="72"/>
        <v>#DIV/0!</v>
      </c>
      <c r="AH49" s="87" t="e">
        <f t="shared" si="72"/>
        <v>#DIV/0!</v>
      </c>
      <c r="AI49" s="87" t="e">
        <f t="shared" si="72"/>
        <v>#DIV/0!</v>
      </c>
      <c r="AJ49" s="87" t="e">
        <f t="shared" si="72"/>
        <v>#DIV/0!</v>
      </c>
      <c r="AK49" s="87" t="e">
        <f t="shared" si="72"/>
        <v>#DIV/0!</v>
      </c>
      <c r="AL49" s="87" t="e">
        <f t="shared" si="72"/>
        <v>#DIV/0!</v>
      </c>
      <c r="AM49" s="87" t="e">
        <f t="shared" si="72"/>
        <v>#DIV/0!</v>
      </c>
      <c r="AN49" s="87" t="e">
        <f t="shared" si="72"/>
        <v>#DIV/0!</v>
      </c>
      <c r="AO49" s="87" t="e">
        <f t="shared" si="72"/>
        <v>#DIV/0!</v>
      </c>
      <c r="AP49" s="87" t="e">
        <f t="shared" si="72"/>
        <v>#DIV/0!</v>
      </c>
      <c r="AQ49" s="87" t="e">
        <f t="shared" si="72"/>
        <v>#DIV/0!</v>
      </c>
      <c r="AR49" s="87" t="e">
        <f t="shared" si="72"/>
        <v>#DIV/0!</v>
      </c>
      <c r="AS49" s="87" t="e">
        <f t="shared" si="72"/>
        <v>#DIV/0!</v>
      </c>
      <c r="AT49" s="87" t="e">
        <f t="shared" si="72"/>
        <v>#DIV/0!</v>
      </c>
      <c r="AU49" s="87" t="e">
        <f t="shared" si="72"/>
        <v>#DIV/0!</v>
      </c>
      <c r="AV49" s="87" t="e">
        <f t="shared" si="72"/>
        <v>#DIV/0!</v>
      </c>
      <c r="AW49" s="87" t="e">
        <f t="shared" si="72"/>
        <v>#DIV/0!</v>
      </c>
      <c r="AX49" s="114" t="s">
        <v>10</v>
      </c>
      <c r="AY49" s="82">
        <f t="shared" ref="AY49:CK49" si="73">AVERAGEIF($E$5:$E$41,$E49,AY$5:AY$41)</f>
        <v>0.97278126142271337</v>
      </c>
      <c r="AZ49" s="82">
        <f t="shared" si="73"/>
        <v>0.98391912090560985</v>
      </c>
      <c r="BA49" s="82">
        <f t="shared" si="73"/>
        <v>1</v>
      </c>
      <c r="BB49" s="82">
        <f t="shared" si="73"/>
        <v>0.96140708966899413</v>
      </c>
      <c r="BC49" s="82">
        <f t="shared" si="73"/>
        <v>0.96832021321493944</v>
      </c>
      <c r="BD49" s="82">
        <f t="shared" si="73"/>
        <v>0.97112111123342537</v>
      </c>
      <c r="BE49" s="82">
        <f t="shared" si="73"/>
        <v>0.98021592069931962</v>
      </c>
      <c r="BF49" s="82">
        <f t="shared" si="73"/>
        <v>1.0001168671164842</v>
      </c>
      <c r="BG49" s="82">
        <f t="shared" si="73"/>
        <v>1.0079878172667891</v>
      </c>
      <c r="BH49" s="82">
        <f t="shared" si="73"/>
        <v>1.0488647585233943</v>
      </c>
      <c r="BI49" s="82">
        <f t="shared" si="73"/>
        <v>1.0334422441255151</v>
      </c>
      <c r="BJ49" s="82">
        <f t="shared" si="73"/>
        <v>1.1056910569105689</v>
      </c>
      <c r="BK49" s="82">
        <f t="shared" si="73"/>
        <v>1.0813008130081301</v>
      </c>
      <c r="BL49" s="82">
        <f t="shared" si="73"/>
        <v>1.1056910569105689</v>
      </c>
      <c r="BM49" s="82">
        <f t="shared" si="73"/>
        <v>1.0934959349593494</v>
      </c>
      <c r="BN49" s="82" t="e">
        <f t="shared" si="73"/>
        <v>#DIV/0!</v>
      </c>
      <c r="BO49" s="82" t="e">
        <f t="shared" si="73"/>
        <v>#DIV/0!</v>
      </c>
      <c r="BP49" s="82" t="e">
        <f t="shared" si="73"/>
        <v>#DIV/0!</v>
      </c>
      <c r="BQ49" s="82" t="e">
        <f t="shared" si="73"/>
        <v>#DIV/0!</v>
      </c>
      <c r="BR49" s="82" t="e">
        <f t="shared" si="73"/>
        <v>#DIV/0!</v>
      </c>
      <c r="BS49" s="82" t="e">
        <f t="shared" si="73"/>
        <v>#DIV/0!</v>
      </c>
      <c r="BT49" s="82" t="e">
        <f t="shared" si="73"/>
        <v>#DIV/0!</v>
      </c>
      <c r="BU49" s="82" t="e">
        <f t="shared" si="73"/>
        <v>#DIV/0!</v>
      </c>
      <c r="BV49" s="82" t="e">
        <f t="shared" si="73"/>
        <v>#DIV/0!</v>
      </c>
      <c r="BW49" s="82" t="e">
        <f t="shared" si="73"/>
        <v>#DIV/0!</v>
      </c>
      <c r="BX49" s="82" t="e">
        <f t="shared" si="73"/>
        <v>#DIV/0!</v>
      </c>
      <c r="BY49" s="82" t="e">
        <f t="shared" si="73"/>
        <v>#DIV/0!</v>
      </c>
      <c r="BZ49" s="82" t="e">
        <f t="shared" si="73"/>
        <v>#DIV/0!</v>
      </c>
      <c r="CA49" s="82" t="e">
        <f t="shared" si="73"/>
        <v>#DIV/0!</v>
      </c>
      <c r="CB49" s="82" t="e">
        <f t="shared" si="73"/>
        <v>#DIV/0!</v>
      </c>
      <c r="CC49" s="82" t="e">
        <f t="shared" si="73"/>
        <v>#DIV/0!</v>
      </c>
      <c r="CD49" s="82" t="e">
        <f t="shared" si="73"/>
        <v>#DIV/0!</v>
      </c>
      <c r="CE49" s="82" t="e">
        <f t="shared" si="73"/>
        <v>#DIV/0!</v>
      </c>
      <c r="CF49" s="82" t="e">
        <f t="shared" si="73"/>
        <v>#DIV/0!</v>
      </c>
      <c r="CG49" s="82" t="e">
        <f t="shared" si="73"/>
        <v>#DIV/0!</v>
      </c>
      <c r="CH49" s="82" t="e">
        <f t="shared" si="73"/>
        <v>#DIV/0!</v>
      </c>
      <c r="CI49" s="82" t="e">
        <f t="shared" si="73"/>
        <v>#DIV/0!</v>
      </c>
      <c r="CJ49" s="82" t="e">
        <f t="shared" si="73"/>
        <v>#DIV/0!</v>
      </c>
      <c r="CK49" s="82" t="e">
        <f t="shared" si="73"/>
        <v>#DIV/0!</v>
      </c>
      <c r="CL49" s="85"/>
    </row>
    <row r="50" spans="1:90" ht="14.25" customHeight="1">
      <c r="A50" s="129"/>
      <c r="E50" s="104"/>
      <c r="H50" s="104"/>
      <c r="I50" s="120">
        <f t="array" ref="I50">_xlfn.STDEV.P(IF($E$5:$E$41=$E49,I$5:I$41))</f>
        <v>0.99843627738579266</v>
      </c>
      <c r="J50" s="81" t="s">
        <v>12</v>
      </c>
      <c r="K50" s="90">
        <f t="array" ref="K50">_xlfn.STDEV.P(IF($E$5:$E$41=$E49,K$5:K$41))</f>
        <v>1.3076696830622008</v>
      </c>
      <c r="L50" s="90">
        <f t="array" ref="L50">_xlfn.STDEV.P(IF($E$5:$E$41=$E49,L$5:L$41))</f>
        <v>1.1755317945508754</v>
      </c>
      <c r="M50" s="90">
        <f t="array" ref="M50">_xlfn.STDEV.P(IF($E$5:$E$41=$E49,M$5:M$41))</f>
        <v>0.99843627738579266</v>
      </c>
      <c r="N50" s="90">
        <f t="array" ref="N50">_xlfn.STDEV.P(IF($E$5:$E$41=$E49,N$5:N$41))</f>
        <v>1.0024968827881702</v>
      </c>
      <c r="O50" s="90">
        <f t="array" ref="O50">_xlfn.STDEV.P(IF($E$5:$E$41=$E49,O$5:O$41))</f>
        <v>0.99089605913032119</v>
      </c>
      <c r="P50" s="90">
        <f t="array" ref="P50">_xlfn.STDEV.P(IF($E$5:$E$41=$E49,P$5:P$41))</f>
        <v>1.1079259903080163</v>
      </c>
      <c r="Q50" s="90">
        <f t="array" ref="Q50">_xlfn.STDEV.P(IF($E$5:$E$41=$E49,Q$5:Q$41))</f>
        <v>1.0009370609583803</v>
      </c>
      <c r="R50" s="90">
        <f t="array" ref="R50">_xlfn.STDEV.P(IF($E$5:$E$41=$E49,R$5:R$41))</f>
        <v>0.95229984773704546</v>
      </c>
      <c r="S50" s="90">
        <f t="array" ref="S50">_xlfn.STDEV.P(IF($E$5:$E$41=$E49,S$5:S$41))</f>
        <v>1.0231690964840563</v>
      </c>
      <c r="T50" s="90">
        <f t="array" ref="T50">_xlfn.STDEV.P(IF($E$5:$E$41=$E49,T$5:T$41))</f>
        <v>0.96695398029068647</v>
      </c>
      <c r="U50" s="90">
        <f t="array" ref="U50">_xlfn.STDEV.P(IF($E$5:$E$41=$E49,U$5:U$41))</f>
        <v>2.0548722588034516</v>
      </c>
      <c r="V50" s="90">
        <f t="array" ref="V50">_xlfn.STDEV.P(IF($E$5:$E$41=$E49,V$5:V$41))</f>
        <v>11.777945491468364</v>
      </c>
      <c r="W50" s="90">
        <f t="array" ref="W50">_xlfn.STDEV.P(IF($E$5:$E$41=$E49,W$5:W$41))</f>
        <v>11.518137870333035</v>
      </c>
      <c r="X50" s="90">
        <f t="array" ref="X50">_xlfn.STDEV.P(IF($E$5:$E$41=$E49,X$5:X$41))</f>
        <v>11.777945491468364</v>
      </c>
      <c r="Y50" s="90">
        <f t="array" ref="Y50">_xlfn.STDEV.P(IF($E$5:$E$41=$E49,Y$5:Y$41))</f>
        <v>11.6480416809007</v>
      </c>
      <c r="Z50" s="90">
        <f t="array" ref="Z50">_xlfn.STDEV.P(IF($E$5:$E$41=$E49,Z$5:Z$41))</f>
        <v>0</v>
      </c>
      <c r="AA50" s="90">
        <f t="array" ref="AA50">_xlfn.STDEV.P(IF($E$5:$E$41=$E49,AA$5:AA$41))</f>
        <v>0</v>
      </c>
      <c r="AB50" s="90">
        <f t="array" ref="AB50">_xlfn.STDEV.P(IF($E$5:$E$41=$E49,AB$5:AB$41))</f>
        <v>0</v>
      </c>
      <c r="AC50" s="90">
        <f t="array" ref="AC50">_xlfn.STDEV.P(IF($E$5:$E$41=$E49,AC$5:AC$41))</f>
        <v>0</v>
      </c>
      <c r="AD50" s="90">
        <f t="array" ref="AD50">_xlfn.STDEV.P(IF($E$5:$E$41=$E49,AD$5:AD$41))</f>
        <v>0</v>
      </c>
      <c r="AE50" s="90">
        <f t="array" ref="AE50">_xlfn.STDEV.P(IF($E$5:$E$41=$E49,AE$5:AE$41))</f>
        <v>0</v>
      </c>
      <c r="AF50" s="90">
        <f t="array" ref="AF50">_xlfn.STDEV.P(IF($E$5:$E$41=$E49,AF$5:AF$41))</f>
        <v>0</v>
      </c>
      <c r="AG50" s="90">
        <f t="array" ref="AG50">_xlfn.STDEV.P(IF($E$5:$E$41=$E49,AG$5:AG$41))</f>
        <v>0</v>
      </c>
      <c r="AH50" s="90">
        <f t="array" ref="AH50">_xlfn.STDEV.P(IF($E$5:$E$41=$E49,AH$5:AH$41))</f>
        <v>0</v>
      </c>
      <c r="AI50" s="90">
        <f t="array" ref="AI50">_xlfn.STDEV.P(IF($E$5:$E$41=$E49,AI$5:AI$41))</f>
        <v>0</v>
      </c>
      <c r="AJ50" s="90">
        <f t="array" ref="AJ50">_xlfn.STDEV.P(IF($E$5:$E$41=$E49,AJ$5:AJ$41))</f>
        <v>0</v>
      </c>
      <c r="AK50" s="90">
        <f t="array" ref="AK50">_xlfn.STDEV.P(IF($E$5:$E$41=$E49,AK$5:AK$41))</f>
        <v>0</v>
      </c>
      <c r="AL50" s="90">
        <f t="array" ref="AL50">_xlfn.STDEV.P(IF($E$5:$E$41=$E49,AL$5:AL$41))</f>
        <v>0</v>
      </c>
      <c r="AM50" s="90">
        <f t="array" ref="AM50">_xlfn.STDEV.P(IF($E$5:$E$41=$E49,AM$5:AM$41))</f>
        <v>0</v>
      </c>
      <c r="AN50" s="90">
        <f t="array" ref="AN50">_xlfn.STDEV.P(IF($E$5:$E$41=$E49,AN$5:AN$41))</f>
        <v>0</v>
      </c>
      <c r="AO50" s="90">
        <f t="array" ref="AO50">_xlfn.STDEV.P(IF($E$5:$E$41=$E49,AO$5:AO$41))</f>
        <v>0</v>
      </c>
      <c r="AP50" s="90">
        <f t="array" ref="AP50">_xlfn.STDEV.P(IF($E$5:$E$41=$E49,AP$5:AP$41))</f>
        <v>0</v>
      </c>
      <c r="AQ50" s="90">
        <f t="array" ref="AQ50">_xlfn.STDEV.P(IF($E$5:$E$41=$E49,AQ$5:AQ$41))</f>
        <v>0</v>
      </c>
      <c r="AR50" s="90">
        <f t="array" ref="AR50">_xlfn.STDEV.P(IF($E$5:$E$41=$E49,AR$5:AR$41))</f>
        <v>0</v>
      </c>
      <c r="AS50" s="90">
        <f t="array" ref="AS50">_xlfn.STDEV.P(IF($E$5:$E$41=$E49,AS$5:AS$41))</f>
        <v>0</v>
      </c>
      <c r="AT50" s="90">
        <f t="array" ref="AT50">_xlfn.STDEV.P(IF($E$5:$E$41=$E49,AT$5:AT$41))</f>
        <v>0</v>
      </c>
      <c r="AU50" s="90">
        <f t="array" ref="AU50">_xlfn.STDEV.P(IF($E$5:$E$41=$E49,AU$5:AU$41))</f>
        <v>0</v>
      </c>
      <c r="AV50" s="90">
        <f t="array" ref="AV50">_xlfn.STDEV.P(IF($E$5:$E$41=$E49,AV$5:AV$41))</f>
        <v>0</v>
      </c>
      <c r="AW50" s="90">
        <f t="array" ref="AW50">_xlfn.STDEV.P(IF($E$5:$E$41=$E49,AW$5:AW$41))</f>
        <v>0</v>
      </c>
      <c r="AX50" s="115" t="s">
        <v>12</v>
      </c>
      <c r="AY50" s="83">
        <f t="array" ref="AY50">_xlfn.STDEV.P(IF($E$5:$E$41=$E49,AY$5:AY$41))</f>
        <v>1.4183714548702837E-2</v>
      </c>
      <c r="AZ50" s="83">
        <f t="array" ref="AZ50">_xlfn.STDEV.P(IF($E$5:$E$41=$E49,AZ$5:AZ$41))</f>
        <v>1.20048046816029E-2</v>
      </c>
      <c r="BA50" s="83">
        <f t="array" ref="BA50">_xlfn.STDEV.P(IF($E$5:$E$41=$E49,BA$5:BA$41))</f>
        <v>0</v>
      </c>
      <c r="BB50" s="83">
        <f t="array" ref="BB50">_xlfn.STDEV.P(IF($E$5:$E$41=$E49,BB$5:BB$41))</f>
        <v>9.5835612805591098E-3</v>
      </c>
      <c r="BC50" s="83">
        <f t="array" ref="BC50">_xlfn.STDEV.P(IF($E$5:$E$41=$E49,BC$5:BC$41))</f>
        <v>3.9736280120546471E-3</v>
      </c>
      <c r="BD50" s="83">
        <f t="array" ref="BD50">_xlfn.STDEV.P(IF($E$5:$E$41=$E49,BD$5:BD$41))</f>
        <v>8.5339178659460876E-3</v>
      </c>
      <c r="BE50" s="83">
        <f t="array" ref="BE50">_xlfn.STDEV.P(IF($E$5:$E$41=$E49,BE$5:BE$41))</f>
        <v>8.2241187464119798E-3</v>
      </c>
      <c r="BF50" s="83">
        <f t="array" ref="BF50">_xlfn.STDEV.P(IF($E$5:$E$41=$E49,BF$5:BF$41))</f>
        <v>9.4466874440069046E-3</v>
      </c>
      <c r="BG50" s="83">
        <f t="array" ref="BG50">_xlfn.STDEV.P(IF($E$5:$E$41=$E49,BG$5:BG$41))</f>
        <v>1.4424007155310972E-2</v>
      </c>
      <c r="BH50" s="83">
        <f t="array" ref="BH50">_xlfn.STDEV.P(IF($E$5:$E$41=$E49,BH$5:BH$41))</f>
        <v>2.4796062170334053E-2</v>
      </c>
      <c r="BI50" s="83">
        <f t="array" ref="BI50">_xlfn.STDEV.P(IF($E$5:$E$41=$E49,BI$5:BI$41))</f>
        <v>3.4159218046655733E-2</v>
      </c>
      <c r="BJ50" s="83">
        <f t="array" ref="BJ50">_xlfn.STDEV.P(IF($E$5:$E$41=$E49,BJ$5:BJ$41))</f>
        <v>0</v>
      </c>
      <c r="BK50" s="83">
        <f t="array" ref="BK50">_xlfn.STDEV.P(IF($E$5:$E$41=$E49,BK$5:BK$41))</f>
        <v>0</v>
      </c>
      <c r="BL50" s="83">
        <f t="array" ref="BL50">_xlfn.STDEV.P(IF($E$5:$E$41=$E49,BL$5:BL$41))</f>
        <v>0</v>
      </c>
      <c r="BM50" s="83">
        <f t="array" ref="BM50">_xlfn.STDEV.P(IF($E$5:$E$41=$E49,BM$5:BM$41))</f>
        <v>0</v>
      </c>
      <c r="BN50" s="83" t="e">
        <f t="array" ref="BN50">_xlfn.STDEV.P(IF($E$5:$E$41=$E49,BN$5:BN$41))</f>
        <v>#DIV/0!</v>
      </c>
      <c r="BO50" s="83" t="e">
        <f t="array" ref="BO50">_xlfn.STDEV.P(IF($E$5:$E$41=$E49,BO$5:BO$41))</f>
        <v>#DIV/0!</v>
      </c>
      <c r="BP50" s="83" t="e">
        <f t="array" ref="BP50">_xlfn.STDEV.P(IF($E$5:$E$41=$E49,BP$5:BP$41))</f>
        <v>#DIV/0!</v>
      </c>
      <c r="BQ50" s="83" t="e">
        <f t="array" ref="BQ50">_xlfn.STDEV.P(IF($E$5:$E$41=$E49,BQ$5:BQ$41))</f>
        <v>#DIV/0!</v>
      </c>
      <c r="BR50" s="83" t="e">
        <f t="array" ref="BR50">_xlfn.STDEV.P(IF($E$5:$E$41=$E49,BR$5:BR$41))</f>
        <v>#DIV/0!</v>
      </c>
      <c r="BS50" s="83" t="e">
        <f t="array" ref="BS50">_xlfn.STDEV.P(IF($E$5:$E$41=$E49,BS$5:BS$41))</f>
        <v>#DIV/0!</v>
      </c>
      <c r="BT50" s="83" t="e">
        <f t="array" ref="BT50">_xlfn.STDEV.P(IF($E$5:$E$41=$E49,BT$5:BT$41))</f>
        <v>#DIV/0!</v>
      </c>
      <c r="BU50" s="83" t="e">
        <f t="array" ref="BU50">_xlfn.STDEV.P(IF($E$5:$E$41=$E49,BU$5:BU$41))</f>
        <v>#DIV/0!</v>
      </c>
      <c r="BV50" s="83" t="e">
        <f t="array" ref="BV50">_xlfn.STDEV.P(IF($E$5:$E$41=$E49,BV$5:BV$41))</f>
        <v>#DIV/0!</v>
      </c>
      <c r="BW50" s="83" t="e">
        <f t="array" ref="BW50">_xlfn.STDEV.P(IF($E$5:$E$41=$E49,BW$5:BW$41))</f>
        <v>#DIV/0!</v>
      </c>
      <c r="BX50" s="83" t="e">
        <f t="array" ref="BX50">_xlfn.STDEV.P(IF($E$5:$E$41=$E49,BX$5:BX$41))</f>
        <v>#DIV/0!</v>
      </c>
      <c r="BY50" s="83" t="e">
        <f t="array" ref="BY50">_xlfn.STDEV.P(IF($E$5:$E$41=$E49,BY$5:BY$41))</f>
        <v>#DIV/0!</v>
      </c>
      <c r="BZ50" s="83" t="e">
        <f t="array" ref="BZ50">_xlfn.STDEV.P(IF($E$5:$E$41=$E49,BZ$5:BZ$41))</f>
        <v>#DIV/0!</v>
      </c>
      <c r="CA50" s="83" t="e">
        <f t="array" ref="CA50">_xlfn.STDEV.P(IF($E$5:$E$41=$E49,CA$5:CA$41))</f>
        <v>#DIV/0!</v>
      </c>
      <c r="CB50" s="83" t="e">
        <f t="array" ref="CB50">_xlfn.STDEV.P(IF($E$5:$E$41=$E49,CB$5:CB$41))</f>
        <v>#DIV/0!</v>
      </c>
      <c r="CC50" s="83" t="e">
        <f t="array" ref="CC50">_xlfn.STDEV.P(IF($E$5:$E$41=$E49,CC$5:CC$41))</f>
        <v>#DIV/0!</v>
      </c>
      <c r="CD50" s="83" t="e">
        <f t="array" ref="CD50">_xlfn.STDEV.P(IF($E$5:$E$41=$E49,CD$5:CD$41))</f>
        <v>#DIV/0!</v>
      </c>
      <c r="CE50" s="83" t="e">
        <f t="array" ref="CE50">_xlfn.STDEV.P(IF($E$5:$E$41=$E49,CE$5:CE$41))</f>
        <v>#DIV/0!</v>
      </c>
      <c r="CF50" s="83" t="e">
        <f t="array" ref="CF50">_xlfn.STDEV.P(IF($E$5:$E$41=$E49,CF$5:CF$41))</f>
        <v>#DIV/0!</v>
      </c>
      <c r="CG50" s="83" t="e">
        <f t="array" ref="CG50">_xlfn.STDEV.P(IF($E$5:$E$41=$E49,CG$5:CG$41))</f>
        <v>#DIV/0!</v>
      </c>
      <c r="CH50" s="83" t="e">
        <f t="array" ref="CH50">_xlfn.STDEV.P(IF($E$5:$E$41=$E49,CH$5:CH$41))</f>
        <v>#DIV/0!</v>
      </c>
      <c r="CI50" s="83" t="e">
        <f t="array" ref="CI50">_xlfn.STDEV.P(IF($E$5:$E$41=$E49,CI$5:CI$41))</f>
        <v>#DIV/0!</v>
      </c>
      <c r="CJ50" s="83" t="e">
        <f t="array" ref="CJ50">_xlfn.STDEV.P(IF($E$5:$E$41=$E49,CJ$5:CJ$41))</f>
        <v>#DIV/0!</v>
      </c>
      <c r="CK50" s="83" t="e">
        <f t="array" ref="CK50">_xlfn.STDEV.P(IF($E$5:$E$41=$E49,CK$5:CK$41))</f>
        <v>#DIV/0!</v>
      </c>
      <c r="CL50" s="85"/>
    </row>
    <row r="51" spans="1:90" ht="15">
      <c r="A51" s="129"/>
      <c r="E51" s="58"/>
      <c r="H51" s="58"/>
    </row>
    <row r="52" spans="1:90" ht="14.25" customHeight="1">
      <c r="A52" s="129"/>
      <c r="E52" s="134" t="str">
        <f>'RAD_DOSE Groups'!C8</f>
        <v>3.3 uCi Control</v>
      </c>
      <c r="H52" s="134" t="str">
        <f>E52</f>
        <v>3.3 uCi Control</v>
      </c>
      <c r="I52" s="120">
        <f>AVERAGEIF($E$5:$E$41,$E52,I$5:I$41)</f>
        <v>24.2</v>
      </c>
      <c r="J52" s="81" t="s">
        <v>10</v>
      </c>
      <c r="K52" s="87">
        <f t="shared" ref="K52:AW52" si="74">AVERAGEIF($E$5:$E$41,$E52,K$5:K$41)</f>
        <v>24.22</v>
      </c>
      <c r="L52" s="87">
        <f t="shared" si="74"/>
        <v>24</v>
      </c>
      <c r="M52" s="87">
        <f t="shared" si="74"/>
        <v>24.2</v>
      </c>
      <c r="N52" s="87">
        <f t="shared" si="74"/>
        <v>23.3</v>
      </c>
      <c r="O52" s="87">
        <f t="shared" si="74"/>
        <v>23.58</v>
      </c>
      <c r="P52" s="87">
        <f t="shared" si="74"/>
        <v>23.560000000000002</v>
      </c>
      <c r="Q52" s="87">
        <f t="shared" si="74"/>
        <v>23.6</v>
      </c>
      <c r="R52" s="87">
        <f t="shared" si="74"/>
        <v>23.880000000000003</v>
      </c>
      <c r="S52" s="87">
        <f t="shared" si="74"/>
        <v>23.860000000000003</v>
      </c>
      <c r="T52" s="87">
        <f t="shared" si="74"/>
        <v>25.839999999999996</v>
      </c>
      <c r="U52" s="87">
        <f t="shared" si="74"/>
        <v>25.140000000000004</v>
      </c>
      <c r="V52" s="87">
        <f t="shared" si="74"/>
        <v>25.359999999999996</v>
      </c>
      <c r="W52" s="87">
        <f t="shared" si="74"/>
        <v>25.074999999999999</v>
      </c>
      <c r="X52" s="87">
        <f t="shared" si="74"/>
        <v>24.7</v>
      </c>
      <c r="Y52" s="87">
        <f t="shared" si="74"/>
        <v>23.8</v>
      </c>
      <c r="Z52" s="87">
        <f t="shared" si="74"/>
        <v>24.7</v>
      </c>
      <c r="AA52" s="87" t="e">
        <f t="shared" si="74"/>
        <v>#DIV/0!</v>
      </c>
      <c r="AB52" s="87" t="e">
        <f t="shared" si="74"/>
        <v>#DIV/0!</v>
      </c>
      <c r="AC52" s="87" t="e">
        <f t="shared" si="74"/>
        <v>#DIV/0!</v>
      </c>
      <c r="AD52" s="87" t="e">
        <f t="shared" si="74"/>
        <v>#DIV/0!</v>
      </c>
      <c r="AE52" s="87" t="e">
        <f t="shared" si="74"/>
        <v>#DIV/0!</v>
      </c>
      <c r="AF52" s="87" t="e">
        <f t="shared" si="74"/>
        <v>#DIV/0!</v>
      </c>
      <c r="AG52" s="87" t="e">
        <f t="shared" si="74"/>
        <v>#DIV/0!</v>
      </c>
      <c r="AH52" s="87" t="e">
        <f t="shared" si="74"/>
        <v>#DIV/0!</v>
      </c>
      <c r="AI52" s="87" t="e">
        <f t="shared" si="74"/>
        <v>#DIV/0!</v>
      </c>
      <c r="AJ52" s="87" t="e">
        <f t="shared" si="74"/>
        <v>#DIV/0!</v>
      </c>
      <c r="AK52" s="87" t="e">
        <f t="shared" si="74"/>
        <v>#DIV/0!</v>
      </c>
      <c r="AL52" s="87" t="e">
        <f t="shared" si="74"/>
        <v>#DIV/0!</v>
      </c>
      <c r="AM52" s="87" t="e">
        <f t="shared" si="74"/>
        <v>#DIV/0!</v>
      </c>
      <c r="AN52" s="87" t="e">
        <f t="shared" si="74"/>
        <v>#DIV/0!</v>
      </c>
      <c r="AO52" s="87" t="e">
        <f t="shared" si="74"/>
        <v>#DIV/0!</v>
      </c>
      <c r="AP52" s="87" t="e">
        <f t="shared" si="74"/>
        <v>#DIV/0!</v>
      </c>
      <c r="AQ52" s="87" t="e">
        <f t="shared" si="74"/>
        <v>#DIV/0!</v>
      </c>
      <c r="AR52" s="87" t="e">
        <f t="shared" si="74"/>
        <v>#DIV/0!</v>
      </c>
      <c r="AS52" s="87" t="e">
        <f t="shared" si="74"/>
        <v>#DIV/0!</v>
      </c>
      <c r="AT52" s="87" t="e">
        <f t="shared" si="74"/>
        <v>#DIV/0!</v>
      </c>
      <c r="AU52" s="87" t="e">
        <f t="shared" si="74"/>
        <v>#DIV/0!</v>
      </c>
      <c r="AV52" s="87" t="e">
        <f t="shared" si="74"/>
        <v>#DIV/0!</v>
      </c>
      <c r="AW52" s="87" t="e">
        <f t="shared" si="74"/>
        <v>#DIV/0!</v>
      </c>
      <c r="AX52" s="114" t="s">
        <v>10</v>
      </c>
      <c r="AY52" s="82">
        <f t="shared" ref="AY52:CK52" si="75">AVERAGEIF($E$5:$E$41,$E52,AY$5:AY$41)</f>
        <v>1.0007872982691315</v>
      </c>
      <c r="AZ52" s="82">
        <f t="shared" si="75"/>
        <v>0.99233775243727906</v>
      </c>
      <c r="BA52" s="82">
        <f t="shared" si="75"/>
        <v>1</v>
      </c>
      <c r="BB52" s="82">
        <f t="shared" si="75"/>
        <v>0.96281098077227922</v>
      </c>
      <c r="BC52" s="82">
        <f t="shared" si="75"/>
        <v>0.97450743378521865</v>
      </c>
      <c r="BD52" s="82">
        <f t="shared" si="75"/>
        <v>0.97418570675719507</v>
      </c>
      <c r="BE52" s="82">
        <f t="shared" si="75"/>
        <v>0.97528024504948119</v>
      </c>
      <c r="BF52" s="82">
        <f t="shared" si="75"/>
        <v>0.98716849816164243</v>
      </c>
      <c r="BG52" s="82">
        <f t="shared" si="75"/>
        <v>0.98600758561487356</v>
      </c>
      <c r="BH52" s="82">
        <f t="shared" si="75"/>
        <v>1.0676911912689147</v>
      </c>
      <c r="BI52" s="82">
        <f t="shared" si="75"/>
        <v>1.04939081875477</v>
      </c>
      <c r="BJ52" s="82">
        <f t="shared" si="75"/>
        <v>1.048512001889587</v>
      </c>
      <c r="BK52" s="82">
        <f t="shared" si="75"/>
        <v>1.0445080929025685</v>
      </c>
      <c r="BL52" s="82">
        <f t="shared" si="75"/>
        <v>1.01097640372918</v>
      </c>
      <c r="BM52" s="82">
        <f t="shared" si="75"/>
        <v>1.0084745762711864</v>
      </c>
      <c r="BN52" s="82">
        <f t="shared" si="75"/>
        <v>1.0466101694915253</v>
      </c>
      <c r="BO52" s="82" t="e">
        <f t="shared" si="75"/>
        <v>#DIV/0!</v>
      </c>
      <c r="BP52" s="82" t="e">
        <f t="shared" si="75"/>
        <v>#DIV/0!</v>
      </c>
      <c r="BQ52" s="82" t="e">
        <f t="shared" si="75"/>
        <v>#DIV/0!</v>
      </c>
      <c r="BR52" s="82" t="e">
        <f t="shared" si="75"/>
        <v>#DIV/0!</v>
      </c>
      <c r="BS52" s="82" t="e">
        <f t="shared" si="75"/>
        <v>#DIV/0!</v>
      </c>
      <c r="BT52" s="82" t="e">
        <f t="shared" si="75"/>
        <v>#DIV/0!</v>
      </c>
      <c r="BU52" s="82" t="e">
        <f t="shared" si="75"/>
        <v>#DIV/0!</v>
      </c>
      <c r="BV52" s="82" t="e">
        <f t="shared" si="75"/>
        <v>#DIV/0!</v>
      </c>
      <c r="BW52" s="82" t="e">
        <f t="shared" si="75"/>
        <v>#DIV/0!</v>
      </c>
      <c r="BX52" s="82" t="e">
        <f t="shared" si="75"/>
        <v>#DIV/0!</v>
      </c>
      <c r="BY52" s="82" t="e">
        <f t="shared" si="75"/>
        <v>#DIV/0!</v>
      </c>
      <c r="BZ52" s="82" t="e">
        <f t="shared" si="75"/>
        <v>#DIV/0!</v>
      </c>
      <c r="CA52" s="82" t="e">
        <f t="shared" si="75"/>
        <v>#DIV/0!</v>
      </c>
      <c r="CB52" s="82" t="e">
        <f t="shared" si="75"/>
        <v>#DIV/0!</v>
      </c>
      <c r="CC52" s="82" t="e">
        <f t="shared" si="75"/>
        <v>#DIV/0!</v>
      </c>
      <c r="CD52" s="82" t="e">
        <f t="shared" si="75"/>
        <v>#DIV/0!</v>
      </c>
      <c r="CE52" s="82" t="e">
        <f t="shared" si="75"/>
        <v>#DIV/0!</v>
      </c>
      <c r="CF52" s="82" t="e">
        <f t="shared" si="75"/>
        <v>#DIV/0!</v>
      </c>
      <c r="CG52" s="82" t="e">
        <f t="shared" si="75"/>
        <v>#DIV/0!</v>
      </c>
      <c r="CH52" s="82" t="e">
        <f t="shared" si="75"/>
        <v>#DIV/0!</v>
      </c>
      <c r="CI52" s="82" t="e">
        <f t="shared" si="75"/>
        <v>#DIV/0!</v>
      </c>
      <c r="CJ52" s="82" t="e">
        <f t="shared" si="75"/>
        <v>#DIV/0!</v>
      </c>
      <c r="CK52" s="82" t="e">
        <f t="shared" si="75"/>
        <v>#DIV/0!</v>
      </c>
      <c r="CL52" s="85"/>
    </row>
    <row r="53" spans="1:90" ht="14.25" customHeight="1">
      <c r="A53" s="129"/>
      <c r="E53" s="104"/>
      <c r="H53" s="104"/>
      <c r="I53" s="120">
        <f t="array" ref="I53">_xlfn.STDEV.P(IF($E$5:$E$41=$E52,I$5:I$41))</f>
        <v>1.1781341180018521</v>
      </c>
      <c r="J53" s="81" t="s">
        <v>12</v>
      </c>
      <c r="K53" s="90">
        <f t="array" ref="K53">_xlfn.STDEV.P(IF($E$5:$E$41=$E52,K$5:K$41))</f>
        <v>1.4105318146004373</v>
      </c>
      <c r="L53" s="90">
        <f t="array" ref="L53">_xlfn.STDEV.P(IF($E$5:$E$41=$E52,L$5:L$41))</f>
        <v>0.93808315196468561</v>
      </c>
      <c r="M53" s="90">
        <f t="array" ref="M53">_xlfn.STDEV.P(IF($E$5:$E$41=$E52,M$5:M$41))</f>
        <v>1.1781341180018521</v>
      </c>
      <c r="N53" s="90">
        <f t="array" ref="N53">_xlfn.STDEV.P(IF($E$5:$E$41=$E52,N$5:N$41))</f>
        <v>1.3251415018781951</v>
      </c>
      <c r="O53" s="90">
        <f t="array" ref="O53">_xlfn.STDEV.P(IF($E$5:$E$41=$E52,O$5:O$41))</f>
        <v>1.3317657451669191</v>
      </c>
      <c r="P53" s="90">
        <f t="array" ref="P53">_xlfn.STDEV.P(IF($E$5:$E$41=$E52,P$5:P$41))</f>
        <v>1.180847153530042</v>
      </c>
      <c r="Q53" s="90">
        <f t="array" ref="Q53">_xlfn.STDEV.P(IF($E$5:$E$41=$E52,Q$5:Q$41))</f>
        <v>1.2457929201917943</v>
      </c>
      <c r="R53" s="90">
        <f t="array" ref="R53">_xlfn.STDEV.P(IF($E$5:$E$41=$E52,R$5:R$41))</f>
        <v>1.6987053894068858</v>
      </c>
      <c r="S53" s="90">
        <f t="array" ref="S53">_xlfn.STDEV.P(IF($E$5:$E$41=$E52,S$5:S$41))</f>
        <v>1.9764614845728721</v>
      </c>
      <c r="T53" s="90">
        <f t="array" ref="T53">_xlfn.STDEV.P(IF($E$5:$E$41=$E52,T$5:T$41))</f>
        <v>2.2490887043422725</v>
      </c>
      <c r="U53" s="90">
        <f t="array" ref="U53">_xlfn.STDEV.P(IF($E$5:$E$41=$E52,U$5:U$41))</f>
        <v>2.2437468662930753</v>
      </c>
      <c r="V53" s="90">
        <f t="array" ref="V53">_xlfn.STDEV.P(IF($E$5:$E$41=$E52,V$5:V$41))</f>
        <v>2.159259132202525</v>
      </c>
      <c r="W53" s="90">
        <f t="array" ref="W53">_xlfn.STDEV.P(IF($E$5:$E$41=$E52,W$5:W$41))</f>
        <v>10.241406153453733</v>
      </c>
      <c r="X53" s="90">
        <f t="array" ref="X53">_xlfn.STDEV.P(IF($E$5:$E$41=$E52,X$5:X$41))</f>
        <v>12.27002852482422</v>
      </c>
      <c r="Y53" s="90">
        <f t="array" ref="Y53">_xlfn.STDEV.P(IF($E$5:$E$41=$E52,Y$5:Y$41))</f>
        <v>9.52</v>
      </c>
      <c r="Z53" s="90">
        <f t="array" ref="Z53">_xlfn.STDEV.P(IF($E$5:$E$41=$E52,Z$5:Z$41))</f>
        <v>9.879999999999999</v>
      </c>
      <c r="AA53" s="90">
        <f t="array" ref="AA53">_xlfn.STDEV.P(IF($E$5:$E$41=$E52,AA$5:AA$41))</f>
        <v>0</v>
      </c>
      <c r="AB53" s="90">
        <f t="array" ref="AB53">_xlfn.STDEV.P(IF($E$5:$E$41=$E52,AB$5:AB$41))</f>
        <v>0</v>
      </c>
      <c r="AC53" s="90">
        <f t="array" ref="AC53">_xlfn.STDEV.P(IF($E$5:$E$41=$E52,AC$5:AC$41))</f>
        <v>0</v>
      </c>
      <c r="AD53" s="90">
        <f t="array" ref="AD53">_xlfn.STDEV.P(IF($E$5:$E$41=$E52,AD$5:AD$41))</f>
        <v>0</v>
      </c>
      <c r="AE53" s="90">
        <f t="array" ref="AE53">_xlfn.STDEV.P(IF($E$5:$E$41=$E52,AE$5:AE$41))</f>
        <v>0</v>
      </c>
      <c r="AF53" s="90">
        <f t="array" ref="AF53">_xlfn.STDEV.P(IF($E$5:$E$41=$E52,AF$5:AF$41))</f>
        <v>0</v>
      </c>
      <c r="AG53" s="90">
        <f t="array" ref="AG53">_xlfn.STDEV.P(IF($E$5:$E$41=$E52,AG$5:AG$41))</f>
        <v>0</v>
      </c>
      <c r="AH53" s="90">
        <f t="array" ref="AH53">_xlfn.STDEV.P(IF($E$5:$E$41=$E52,AH$5:AH$41))</f>
        <v>0</v>
      </c>
      <c r="AI53" s="90">
        <f t="array" ref="AI53">_xlfn.STDEV.P(IF($E$5:$E$41=$E52,AI$5:AI$41))</f>
        <v>0</v>
      </c>
      <c r="AJ53" s="90">
        <f t="array" ref="AJ53">_xlfn.STDEV.P(IF($E$5:$E$41=$E52,AJ$5:AJ$41))</f>
        <v>0</v>
      </c>
      <c r="AK53" s="90">
        <f t="array" ref="AK53">_xlfn.STDEV.P(IF($E$5:$E$41=$E52,AK$5:AK$41))</f>
        <v>0</v>
      </c>
      <c r="AL53" s="90">
        <f t="array" ref="AL53">_xlfn.STDEV.P(IF($E$5:$E$41=$E52,AL$5:AL$41))</f>
        <v>0</v>
      </c>
      <c r="AM53" s="90">
        <f t="array" ref="AM53">_xlfn.STDEV.P(IF($E$5:$E$41=$E52,AM$5:AM$41))</f>
        <v>0</v>
      </c>
      <c r="AN53" s="90">
        <f t="array" ref="AN53">_xlfn.STDEV.P(IF($E$5:$E$41=$E52,AN$5:AN$41))</f>
        <v>0</v>
      </c>
      <c r="AO53" s="90">
        <f t="array" ref="AO53">_xlfn.STDEV.P(IF($E$5:$E$41=$E52,AO$5:AO$41))</f>
        <v>0</v>
      </c>
      <c r="AP53" s="90">
        <f t="array" ref="AP53">_xlfn.STDEV.P(IF($E$5:$E$41=$E52,AP$5:AP$41))</f>
        <v>0</v>
      </c>
      <c r="AQ53" s="90">
        <f t="array" ref="AQ53">_xlfn.STDEV.P(IF($E$5:$E$41=$E52,AQ$5:AQ$41))</f>
        <v>0</v>
      </c>
      <c r="AR53" s="90">
        <f t="array" ref="AR53">_xlfn.STDEV.P(IF($E$5:$E$41=$E52,AR$5:AR$41))</f>
        <v>0</v>
      </c>
      <c r="AS53" s="90">
        <f t="array" ref="AS53">_xlfn.STDEV.P(IF($E$5:$E$41=$E52,AS$5:AS$41))</f>
        <v>0</v>
      </c>
      <c r="AT53" s="90">
        <f t="array" ref="AT53">_xlfn.STDEV.P(IF($E$5:$E$41=$E52,AT$5:AT$41))</f>
        <v>0</v>
      </c>
      <c r="AU53" s="90">
        <f t="array" ref="AU53">_xlfn.STDEV.P(IF($E$5:$E$41=$E52,AU$5:AU$41))</f>
        <v>0</v>
      </c>
      <c r="AV53" s="90">
        <f t="array" ref="AV53">_xlfn.STDEV.P(IF($E$5:$E$41=$E52,AV$5:AV$41))</f>
        <v>0</v>
      </c>
      <c r="AW53" s="90">
        <f t="array" ref="AW53">_xlfn.STDEV.P(IF($E$5:$E$41=$E52,AW$5:AW$41))</f>
        <v>0</v>
      </c>
      <c r="AX53" s="115" t="s">
        <v>12</v>
      </c>
      <c r="AY53" s="83">
        <f t="array" ref="AY53">_xlfn.STDEV.P(IF($E$5:$E$41=$E52,AY$5:AY$41))</f>
        <v>3.0870827835119231E-2</v>
      </c>
      <c r="AZ53" s="83">
        <f t="array" ref="AZ53">_xlfn.STDEV.P(IF($E$5:$E$41=$E52,AZ$5:AZ$41))</f>
        <v>1.9290811394078872E-2</v>
      </c>
      <c r="BA53" s="83">
        <f t="array" ref="BA53">_xlfn.STDEV.P(IF($E$5:$E$41=$E52,BA$5:BA$41))</f>
        <v>0</v>
      </c>
      <c r="BB53" s="83">
        <f t="array" ref="BB53">_xlfn.STDEV.P(IF($E$5:$E$41=$E52,BB$5:BB$41))</f>
        <v>2.751953522950908E-2</v>
      </c>
      <c r="BC53" s="83">
        <f t="array" ref="BC53">_xlfn.STDEV.P(IF($E$5:$E$41=$E52,BC$5:BC$41))</f>
        <v>3.1805923850992464E-2</v>
      </c>
      <c r="BD53" s="83">
        <f t="array" ref="BD53">_xlfn.STDEV.P(IF($E$5:$E$41=$E52,BD$5:BD$41))</f>
        <v>3.7292782343423349E-2</v>
      </c>
      <c r="BE53" s="83">
        <f t="array" ref="BE53">_xlfn.STDEV.P(IF($E$5:$E$41=$E52,BE$5:BE$41))</f>
        <v>2.22406979854693E-2</v>
      </c>
      <c r="BF53" s="83">
        <f t="array" ref="BF53">_xlfn.STDEV.P(IF($E$5:$E$41=$E52,BF$5:BF$41))</f>
        <v>5.9127694213016259E-2</v>
      </c>
      <c r="BG53" s="83">
        <f t="array" ref="BG53">_xlfn.STDEV.P(IF($E$5:$E$41=$E52,BG$5:BG$41))</f>
        <v>6.7575663282109635E-2</v>
      </c>
      <c r="BH53" s="83">
        <f t="array" ref="BH53">_xlfn.STDEV.P(IF($E$5:$E$41=$E52,BH$5:BH$41))</f>
        <v>7.5570629049118321E-2</v>
      </c>
      <c r="BI53" s="83">
        <f t="array" ref="BI53">_xlfn.STDEV.P(IF($E$5:$E$41=$E52,BI$5:BI$41))</f>
        <v>7.9905824383795218E-2</v>
      </c>
      <c r="BJ53" s="83">
        <f t="array" ref="BJ53">_xlfn.STDEV.P(IF($E$5:$E$41=$E52,BJ$5:BJ$41))</f>
        <v>8.0912811536648144E-2</v>
      </c>
      <c r="BK53" s="83">
        <f t="array" ref="BK53">_xlfn.STDEV.P(IF($E$5:$E$41=$E52,BK$5:BK$41))</f>
        <v>7.6673242376591094E-2</v>
      </c>
      <c r="BL53" s="83">
        <f t="array" ref="BL53">_xlfn.STDEV.P(IF($E$5:$E$41=$E52,BL$5:BL$41))</f>
        <v>5.5868822202976884E-2</v>
      </c>
      <c r="BM53" s="83">
        <f t="array" ref="BM53">_xlfn.STDEV.P(IF($E$5:$E$41=$E52,BM$5:BM$41))</f>
        <v>0</v>
      </c>
      <c r="BN53" s="83">
        <f t="array" ref="BN53">_xlfn.STDEV.P(IF($E$5:$E$41=$E52,BN$5:BN$41))</f>
        <v>0</v>
      </c>
      <c r="BO53" s="83" t="e">
        <f t="array" ref="BO53">_xlfn.STDEV.P(IF($E$5:$E$41=$E52,BO$5:BO$41))</f>
        <v>#DIV/0!</v>
      </c>
      <c r="BP53" s="83" t="e">
        <f t="array" ref="BP53">_xlfn.STDEV.P(IF($E$5:$E$41=$E52,BP$5:BP$41))</f>
        <v>#DIV/0!</v>
      </c>
      <c r="BQ53" s="83" t="e">
        <f t="array" ref="BQ53">_xlfn.STDEV.P(IF($E$5:$E$41=$E52,BQ$5:BQ$41))</f>
        <v>#DIV/0!</v>
      </c>
      <c r="BR53" s="83" t="e">
        <f t="array" ref="BR53">_xlfn.STDEV.P(IF($E$5:$E$41=$E52,BR$5:BR$41))</f>
        <v>#DIV/0!</v>
      </c>
      <c r="BS53" s="83" t="e">
        <f t="array" ref="BS53">_xlfn.STDEV.P(IF($E$5:$E$41=$E52,BS$5:BS$41))</f>
        <v>#DIV/0!</v>
      </c>
      <c r="BT53" s="83" t="e">
        <f t="array" ref="BT53">_xlfn.STDEV.P(IF($E$5:$E$41=$E52,BT$5:BT$41))</f>
        <v>#DIV/0!</v>
      </c>
      <c r="BU53" s="83" t="e">
        <f t="array" ref="BU53">_xlfn.STDEV.P(IF($E$5:$E$41=$E52,BU$5:BU$41))</f>
        <v>#DIV/0!</v>
      </c>
      <c r="BV53" s="83" t="e">
        <f t="array" ref="BV53">_xlfn.STDEV.P(IF($E$5:$E$41=$E52,BV$5:BV$41))</f>
        <v>#DIV/0!</v>
      </c>
      <c r="BW53" s="83" t="e">
        <f t="array" ref="BW53">_xlfn.STDEV.P(IF($E$5:$E$41=$E52,BW$5:BW$41))</f>
        <v>#DIV/0!</v>
      </c>
      <c r="BX53" s="83" t="e">
        <f t="array" ref="BX53">_xlfn.STDEV.P(IF($E$5:$E$41=$E52,BX$5:BX$41))</f>
        <v>#DIV/0!</v>
      </c>
      <c r="BY53" s="83" t="e">
        <f t="array" ref="BY53">_xlfn.STDEV.P(IF($E$5:$E$41=$E52,BY$5:BY$41))</f>
        <v>#DIV/0!</v>
      </c>
      <c r="BZ53" s="83" t="e">
        <f t="array" ref="BZ53">_xlfn.STDEV.P(IF($E$5:$E$41=$E52,BZ$5:BZ$41))</f>
        <v>#DIV/0!</v>
      </c>
      <c r="CA53" s="83" t="e">
        <f t="array" ref="CA53">_xlfn.STDEV.P(IF($E$5:$E$41=$E52,CA$5:CA$41))</f>
        <v>#DIV/0!</v>
      </c>
      <c r="CB53" s="83" t="e">
        <f t="array" ref="CB53">_xlfn.STDEV.P(IF($E$5:$E$41=$E52,CB$5:CB$41))</f>
        <v>#DIV/0!</v>
      </c>
      <c r="CC53" s="83" t="e">
        <f t="array" ref="CC53">_xlfn.STDEV.P(IF($E$5:$E$41=$E52,CC$5:CC$41))</f>
        <v>#DIV/0!</v>
      </c>
      <c r="CD53" s="83" t="e">
        <f t="array" ref="CD53">_xlfn.STDEV.P(IF($E$5:$E$41=$E52,CD$5:CD$41))</f>
        <v>#DIV/0!</v>
      </c>
      <c r="CE53" s="83" t="e">
        <f t="array" ref="CE53">_xlfn.STDEV.P(IF($E$5:$E$41=$E52,CE$5:CE$41))</f>
        <v>#DIV/0!</v>
      </c>
      <c r="CF53" s="83" t="e">
        <f t="array" ref="CF53">_xlfn.STDEV.P(IF($E$5:$E$41=$E52,CF$5:CF$41))</f>
        <v>#DIV/0!</v>
      </c>
      <c r="CG53" s="83" t="e">
        <f t="array" ref="CG53">_xlfn.STDEV.P(IF($E$5:$E$41=$E52,CG$5:CG$41))</f>
        <v>#DIV/0!</v>
      </c>
      <c r="CH53" s="83" t="e">
        <f t="array" ref="CH53">_xlfn.STDEV.P(IF($E$5:$E$41=$E52,CH$5:CH$41))</f>
        <v>#DIV/0!</v>
      </c>
      <c r="CI53" s="83" t="e">
        <f t="array" ref="CI53">_xlfn.STDEV.P(IF($E$5:$E$41=$E52,CI$5:CI$41))</f>
        <v>#DIV/0!</v>
      </c>
      <c r="CJ53" s="83" t="e">
        <f t="array" ref="CJ53">_xlfn.STDEV.P(IF($E$5:$E$41=$E52,CJ$5:CJ$41))</f>
        <v>#DIV/0!</v>
      </c>
      <c r="CK53" s="83" t="e">
        <f t="array" ref="CK53">_xlfn.STDEV.P(IF($E$5:$E$41=$E52,CK$5:CK$41))</f>
        <v>#DIV/0!</v>
      </c>
      <c r="CL53" s="85"/>
    </row>
    <row r="54" spans="1:90" ht="15">
      <c r="A54" s="129"/>
      <c r="E54" s="58"/>
      <c r="H54" s="58"/>
    </row>
    <row r="55" spans="1:90" ht="14.25" customHeight="1">
      <c r="A55" s="129"/>
      <c r="E55" s="134" t="str">
        <f>'RAD_DOSE Groups'!C9</f>
        <v>3.3 uCi + CP-PTX</v>
      </c>
      <c r="H55" s="134" t="str">
        <f>E55</f>
        <v>3.3 uCi + CP-PTX</v>
      </c>
      <c r="I55" s="120">
        <f>AVERAGEIF($E$5:$E$41,$E55,I$5:I$41)</f>
        <v>27.74</v>
      </c>
      <c r="J55" s="81" t="s">
        <v>10</v>
      </c>
      <c r="K55" s="87">
        <f t="shared" ref="K55:AW55" si="76">AVERAGEIF($E$5:$E$41,$E55,K$5:K$41)</f>
        <v>27</v>
      </c>
      <c r="L55" s="87">
        <f t="shared" si="76"/>
        <v>27.359999999999996</v>
      </c>
      <c r="M55" s="87">
        <f t="shared" si="76"/>
        <v>27.74</v>
      </c>
      <c r="N55" s="87">
        <f t="shared" si="76"/>
        <v>26.32</v>
      </c>
      <c r="O55" s="87">
        <f t="shared" si="76"/>
        <v>26.380000000000003</v>
      </c>
      <c r="P55" s="87">
        <f t="shared" si="76"/>
        <v>26.1</v>
      </c>
      <c r="Q55" s="87">
        <f t="shared" si="76"/>
        <v>26.419999999999998</v>
      </c>
      <c r="R55" s="87">
        <f t="shared" si="76"/>
        <v>27.059999999999995</v>
      </c>
      <c r="S55" s="87">
        <f t="shared" si="76"/>
        <v>27.74</v>
      </c>
      <c r="T55" s="87">
        <f t="shared" si="76"/>
        <v>30.320000000000004</v>
      </c>
      <c r="U55" s="87">
        <f t="shared" si="76"/>
        <v>30.48</v>
      </c>
      <c r="V55" s="87">
        <f t="shared" si="76"/>
        <v>29.98</v>
      </c>
      <c r="W55" s="87">
        <f t="shared" si="76"/>
        <v>29.839999999999996</v>
      </c>
      <c r="X55" s="87">
        <f t="shared" si="76"/>
        <v>29.919999999999998</v>
      </c>
      <c r="Y55" s="87">
        <f t="shared" si="76"/>
        <v>30.279999999999994</v>
      </c>
      <c r="Z55" s="87">
        <f t="shared" si="76"/>
        <v>30.5</v>
      </c>
      <c r="AA55" s="87">
        <f t="shared" si="76"/>
        <v>30.939999999999998</v>
      </c>
      <c r="AB55" s="87">
        <f t="shared" si="76"/>
        <v>31.575000000000003</v>
      </c>
      <c r="AC55" s="87">
        <f t="shared" si="76"/>
        <v>31.575000000000003</v>
      </c>
      <c r="AD55" s="87">
        <f t="shared" si="76"/>
        <v>32.799999999999997</v>
      </c>
      <c r="AE55" s="87">
        <f t="shared" si="76"/>
        <v>32.700000000000003</v>
      </c>
      <c r="AF55" s="87">
        <f t="shared" si="76"/>
        <v>32.700000000000003</v>
      </c>
      <c r="AG55" s="87">
        <f t="shared" si="76"/>
        <v>32.700000000000003</v>
      </c>
      <c r="AH55" s="87">
        <f t="shared" si="76"/>
        <v>32.6</v>
      </c>
      <c r="AI55" s="87">
        <f t="shared" si="76"/>
        <v>33.200000000000003</v>
      </c>
      <c r="AJ55" s="87">
        <f t="shared" si="76"/>
        <v>33.1</v>
      </c>
      <c r="AK55" s="87" t="e">
        <f t="shared" si="76"/>
        <v>#DIV/0!</v>
      </c>
      <c r="AL55" s="87" t="e">
        <f t="shared" si="76"/>
        <v>#DIV/0!</v>
      </c>
      <c r="AM55" s="87" t="e">
        <f t="shared" si="76"/>
        <v>#DIV/0!</v>
      </c>
      <c r="AN55" s="87" t="e">
        <f t="shared" si="76"/>
        <v>#DIV/0!</v>
      </c>
      <c r="AO55" s="87" t="e">
        <f t="shared" si="76"/>
        <v>#DIV/0!</v>
      </c>
      <c r="AP55" s="87" t="e">
        <f t="shared" si="76"/>
        <v>#DIV/0!</v>
      </c>
      <c r="AQ55" s="87" t="e">
        <f t="shared" si="76"/>
        <v>#DIV/0!</v>
      </c>
      <c r="AR55" s="87" t="e">
        <f t="shared" si="76"/>
        <v>#DIV/0!</v>
      </c>
      <c r="AS55" s="87" t="e">
        <f t="shared" si="76"/>
        <v>#DIV/0!</v>
      </c>
      <c r="AT55" s="87" t="e">
        <f t="shared" si="76"/>
        <v>#DIV/0!</v>
      </c>
      <c r="AU55" s="87" t="e">
        <f t="shared" si="76"/>
        <v>#DIV/0!</v>
      </c>
      <c r="AV55" s="87" t="e">
        <f t="shared" si="76"/>
        <v>#DIV/0!</v>
      </c>
      <c r="AW55" s="87" t="e">
        <f t="shared" si="76"/>
        <v>#DIV/0!</v>
      </c>
      <c r="AX55" s="114" t="s">
        <v>10</v>
      </c>
      <c r="AY55" s="82">
        <f t="shared" ref="AY55:CK55" si="77">AVERAGEIF($E$5:$E$41,$E55,AY$5:AY$41)</f>
        <v>0.9725553143659369</v>
      </c>
      <c r="AZ55" s="82">
        <f t="shared" si="77"/>
        <v>0.98645126498641333</v>
      </c>
      <c r="BA55" s="82">
        <f t="shared" si="77"/>
        <v>1</v>
      </c>
      <c r="BB55" s="82">
        <f t="shared" si="77"/>
        <v>0.94943672577642046</v>
      </c>
      <c r="BC55" s="82">
        <f t="shared" si="77"/>
        <v>0.95227078799061027</v>
      </c>
      <c r="BD55" s="82">
        <f t="shared" si="77"/>
        <v>0.94301939406310298</v>
      </c>
      <c r="BE55" s="82">
        <f t="shared" si="77"/>
        <v>0.95436053042295443</v>
      </c>
      <c r="BF55" s="82">
        <f t="shared" si="77"/>
        <v>0.97563621864314176</v>
      </c>
      <c r="BG55" s="82">
        <f t="shared" si="77"/>
        <v>0.99962654958227115</v>
      </c>
      <c r="BH55" s="82">
        <f t="shared" si="77"/>
        <v>1.0924483060980414</v>
      </c>
      <c r="BI55" s="82">
        <f t="shared" si="77"/>
        <v>1.0978414225945285</v>
      </c>
      <c r="BJ55" s="82">
        <f t="shared" si="77"/>
        <v>1.0799058270935289</v>
      </c>
      <c r="BK55" s="82">
        <f t="shared" si="77"/>
        <v>1.0751111820025956</v>
      </c>
      <c r="BL55" s="82">
        <f t="shared" si="77"/>
        <v>1.0777853635954793</v>
      </c>
      <c r="BM55" s="82">
        <f t="shared" si="77"/>
        <v>1.0904030961758677</v>
      </c>
      <c r="BN55" s="82">
        <f t="shared" si="77"/>
        <v>1.0984342139609353</v>
      </c>
      <c r="BO55" s="82">
        <f t="shared" si="77"/>
        <v>1.1141636629973415</v>
      </c>
      <c r="BP55" s="82">
        <f t="shared" si="77"/>
        <v>1.1197640642665689</v>
      </c>
      <c r="BQ55" s="82">
        <f t="shared" si="77"/>
        <v>1.1198675791727153</v>
      </c>
      <c r="BR55" s="82">
        <f t="shared" si="77"/>
        <v>1.1640219376231269</v>
      </c>
      <c r="BS55" s="82">
        <f t="shared" si="77"/>
        <v>1.1433566433566433</v>
      </c>
      <c r="BT55" s="82">
        <f t="shared" si="77"/>
        <v>1.1433566433566433</v>
      </c>
      <c r="BU55" s="82">
        <f t="shared" si="77"/>
        <v>1.1433566433566433</v>
      </c>
      <c r="BV55" s="82">
        <f t="shared" si="77"/>
        <v>1.1398601398601398</v>
      </c>
      <c r="BW55" s="82">
        <f t="shared" si="77"/>
        <v>1.1608391608391608</v>
      </c>
      <c r="BX55" s="82">
        <f t="shared" si="77"/>
        <v>1.1573426573426573</v>
      </c>
      <c r="BY55" s="82" t="e">
        <f t="shared" si="77"/>
        <v>#DIV/0!</v>
      </c>
      <c r="BZ55" s="82" t="e">
        <f t="shared" si="77"/>
        <v>#DIV/0!</v>
      </c>
      <c r="CA55" s="82" t="e">
        <f t="shared" si="77"/>
        <v>#DIV/0!</v>
      </c>
      <c r="CB55" s="82" t="e">
        <f t="shared" si="77"/>
        <v>#DIV/0!</v>
      </c>
      <c r="CC55" s="82" t="e">
        <f t="shared" si="77"/>
        <v>#DIV/0!</v>
      </c>
      <c r="CD55" s="82" t="e">
        <f t="shared" si="77"/>
        <v>#DIV/0!</v>
      </c>
      <c r="CE55" s="82" t="e">
        <f t="shared" si="77"/>
        <v>#DIV/0!</v>
      </c>
      <c r="CF55" s="82" t="e">
        <f t="shared" si="77"/>
        <v>#DIV/0!</v>
      </c>
      <c r="CG55" s="82" t="e">
        <f t="shared" si="77"/>
        <v>#DIV/0!</v>
      </c>
      <c r="CH55" s="82" t="e">
        <f t="shared" si="77"/>
        <v>#DIV/0!</v>
      </c>
      <c r="CI55" s="82" t="e">
        <f t="shared" si="77"/>
        <v>#DIV/0!</v>
      </c>
      <c r="CJ55" s="82" t="e">
        <f t="shared" si="77"/>
        <v>#DIV/0!</v>
      </c>
      <c r="CK55" s="82" t="e">
        <f t="shared" si="77"/>
        <v>#DIV/0!</v>
      </c>
      <c r="CL55" s="85"/>
    </row>
    <row r="56" spans="1:90" ht="14.25" customHeight="1">
      <c r="A56" s="129"/>
      <c r="E56" s="134"/>
      <c r="H56" s="104"/>
      <c r="I56" s="120">
        <f t="array" ref="I56">_xlfn.STDEV.P(IF($E$5:$E$41=$E55,I$5:I$41))</f>
        <v>1.5781001235663084</v>
      </c>
      <c r="J56" s="81" t="s">
        <v>12</v>
      </c>
      <c r="K56" s="90">
        <f t="array" ref="K56">_xlfn.STDEV.P(IF($E$5:$E$41=$E55,K$5:K$41))</f>
        <v>1.9959959919799437</v>
      </c>
      <c r="L56" s="90">
        <f t="array" ref="L56">_xlfn.STDEV.P(IF($E$5:$E$41=$E55,L$5:L$41))</f>
        <v>1.4827002394280515</v>
      </c>
      <c r="M56" s="90">
        <f t="array" ref="M56">_xlfn.STDEV.P(IF($E$5:$E$41=$E55,M$5:M$41))</f>
        <v>1.5781001235663084</v>
      </c>
      <c r="N56" s="90">
        <f t="array" ref="N56">_xlfn.STDEV.P(IF($E$5:$E$41=$E55,N$5:N$41))</f>
        <v>1.205653349848123</v>
      </c>
      <c r="O56" s="90">
        <f t="array" ref="O56">_xlfn.STDEV.P(IF($E$5:$E$41=$E55,O$5:O$41))</f>
        <v>0.9907572861200673</v>
      </c>
      <c r="P56" s="90">
        <f t="array" ref="P56">_xlfn.STDEV.P(IF($E$5:$E$41=$E55,P$5:P$41))</f>
        <v>0.90111042608550496</v>
      </c>
      <c r="Q56" s="90">
        <f t="array" ref="Q56">_xlfn.STDEV.P(IF($E$5:$E$41=$E55,Q$5:Q$41))</f>
        <v>0.89755222689267544</v>
      </c>
      <c r="R56" s="90">
        <f t="array" ref="R56">_xlfn.STDEV.P(IF($E$5:$E$41=$E55,R$5:R$41))</f>
        <v>1.4732277488562311</v>
      </c>
      <c r="S56" s="90">
        <f t="array" ref="S56">_xlfn.STDEV.P(IF($E$5:$E$41=$E55,S$5:S$41))</f>
        <v>1.8238420984284798</v>
      </c>
      <c r="T56" s="90">
        <f t="array" ref="T56">_xlfn.STDEV.P(IF($E$5:$E$41=$E55,T$5:T$41))</f>
        <v>2.1207545826898504</v>
      </c>
      <c r="U56" s="90">
        <f t="array" ref="U56">_xlfn.STDEV.P(IF($E$5:$E$41=$E55,U$5:U$41))</f>
        <v>2.4227257376764708</v>
      </c>
      <c r="V56" s="90">
        <f t="array" ref="V56">_xlfn.STDEV.P(IF($E$5:$E$41=$E55,V$5:V$41))</f>
        <v>2.4432764886520726</v>
      </c>
      <c r="W56" s="90">
        <f t="array" ref="W56">_xlfn.STDEV.P(IF($E$5:$E$41=$E55,W$5:W$41))</f>
        <v>2.2168446043870551</v>
      </c>
      <c r="X56" s="90">
        <f t="array" ref="X56">_xlfn.STDEV.P(IF($E$5:$E$41=$E55,X$5:X$41))</f>
        <v>2.3768887226792925</v>
      </c>
      <c r="Y56" s="90">
        <f t="array" ref="Y56">_xlfn.STDEV.P(IF($E$5:$E$41=$E55,Y$5:Y$41))</f>
        <v>2.4177675653379085</v>
      </c>
      <c r="Z56" s="90">
        <f t="array" ref="Z56">_xlfn.STDEV.P(IF($E$5:$E$41=$E55,Z$5:Z$41))</f>
        <v>2.380756182392477</v>
      </c>
      <c r="AA56" s="90">
        <f t="array" ref="AA56">_xlfn.STDEV.P(IF($E$5:$E$41=$E55,AA$5:AA$41))</f>
        <v>2.4253659517689283</v>
      </c>
      <c r="AB56" s="90">
        <f t="array" ref="AB56">_xlfn.STDEV.P(IF($E$5:$E$41=$E55,AB$5:AB$41))</f>
        <v>12.873010525902624</v>
      </c>
      <c r="AC56" s="90">
        <f t="array" ref="AC56">_xlfn.STDEV.P(IF($E$5:$E$41=$E55,AC$5:AC$41))</f>
        <v>12.860886439122302</v>
      </c>
      <c r="AD56" s="90">
        <f t="array" ref="AD56">_xlfn.STDEV.P(IF($E$5:$E$41=$E55,AD$5:AD$41))</f>
        <v>13.295653425085964</v>
      </c>
      <c r="AE56" s="90">
        <f t="array" ref="AE56">_xlfn.STDEV.P(IF($E$5:$E$41=$E55,AE$5:AE$41))</f>
        <v>13.080000000000002</v>
      </c>
      <c r="AF56" s="90">
        <f t="array" ref="AF56">_xlfn.STDEV.P(IF($E$5:$E$41=$E55,AF$5:AF$41))</f>
        <v>13.080000000000002</v>
      </c>
      <c r="AG56" s="90">
        <f t="array" ref="AG56">_xlfn.STDEV.P(IF($E$5:$E$41=$E55,AG$5:AG$41))</f>
        <v>13.080000000000002</v>
      </c>
      <c r="AH56" s="90">
        <f t="array" ref="AH56">_xlfn.STDEV.P(IF($E$5:$E$41=$E55,AH$5:AH$41))</f>
        <v>13.04</v>
      </c>
      <c r="AI56" s="90">
        <f t="array" ref="AI56">_xlfn.STDEV.P(IF($E$5:$E$41=$E55,AI$5:AI$41))</f>
        <v>13.280000000000001</v>
      </c>
      <c r="AJ56" s="90">
        <f t="array" ref="AJ56">_xlfn.STDEV.P(IF($E$5:$E$41=$E55,AJ$5:AJ$41))</f>
        <v>13.24</v>
      </c>
      <c r="AK56" s="90">
        <f t="array" ref="AK56">_xlfn.STDEV.P(IF($E$5:$E$41=$E55,AK$5:AK$41))</f>
        <v>0</v>
      </c>
      <c r="AL56" s="90">
        <f t="array" ref="AL56">_xlfn.STDEV.P(IF($E$5:$E$41=$E55,AL$5:AL$41))</f>
        <v>0</v>
      </c>
      <c r="AM56" s="90">
        <f t="array" ref="AM56">_xlfn.STDEV.P(IF($E$5:$E$41=$E55,AM$5:AM$41))</f>
        <v>0</v>
      </c>
      <c r="AN56" s="90">
        <f t="array" ref="AN56">_xlfn.STDEV.P(IF($E$5:$E$41=$E55,AN$5:AN$41))</f>
        <v>0</v>
      </c>
      <c r="AO56" s="90">
        <f t="array" ref="AO56">_xlfn.STDEV.P(IF($E$5:$E$41=$E55,AO$5:AO$41))</f>
        <v>0</v>
      </c>
      <c r="AP56" s="90">
        <f t="array" ref="AP56">_xlfn.STDEV.P(IF($E$5:$E$41=$E55,AP$5:AP$41))</f>
        <v>0</v>
      </c>
      <c r="AQ56" s="90">
        <f t="array" ref="AQ56">_xlfn.STDEV.P(IF($E$5:$E$41=$E55,AQ$5:AQ$41))</f>
        <v>0</v>
      </c>
      <c r="AR56" s="90">
        <f t="array" ref="AR56">_xlfn.STDEV.P(IF($E$5:$E$41=$E55,AR$5:AR$41))</f>
        <v>0</v>
      </c>
      <c r="AS56" s="90">
        <f t="array" ref="AS56">_xlfn.STDEV.P(IF($E$5:$E$41=$E55,AS$5:AS$41))</f>
        <v>0</v>
      </c>
      <c r="AT56" s="90">
        <f t="array" ref="AT56">_xlfn.STDEV.P(IF($E$5:$E$41=$E55,AT$5:AT$41))</f>
        <v>0</v>
      </c>
      <c r="AU56" s="90">
        <f t="array" ref="AU56">_xlfn.STDEV.P(IF($E$5:$E$41=$E55,AU$5:AU$41))</f>
        <v>0</v>
      </c>
      <c r="AV56" s="90">
        <f t="array" ref="AV56">_xlfn.STDEV.P(IF($E$5:$E$41=$E55,AV$5:AV$41))</f>
        <v>0</v>
      </c>
      <c r="AW56" s="90">
        <f t="array" ref="AW56">_xlfn.STDEV.P(IF($E$5:$E$41=$E55,AW$5:AW$41))</f>
        <v>0</v>
      </c>
      <c r="AX56" s="115" t="s">
        <v>12</v>
      </c>
      <c r="AY56" s="83">
        <f t="array" ref="AY56">_xlfn.STDEV.P(IF($E$5:$E$41=$E55,AY$5:AY$41))</f>
        <v>2.4566709048692108E-2</v>
      </c>
      <c r="AZ56" s="83">
        <f t="array" ref="AZ56">_xlfn.STDEV.P(IF($E$5:$E$41=$E55,AZ$5:AZ$41))</f>
        <v>4.1509457758601865E-3</v>
      </c>
      <c r="BA56" s="83">
        <f t="array" ref="BA56">_xlfn.STDEV.P(IF($E$5:$E$41=$E55,BA$5:BA$41))</f>
        <v>0</v>
      </c>
      <c r="BB56" s="83">
        <f t="array" ref="BB56">_xlfn.STDEV.P(IF($E$5:$E$41=$E55,BB$5:BB$41))</f>
        <v>1.4267666660307259E-2</v>
      </c>
      <c r="BC56" s="83">
        <f t="array" ref="BC56">_xlfn.STDEV.P(IF($E$5:$E$41=$E55,BC$5:BC$41))</f>
        <v>2.9793536690844606E-2</v>
      </c>
      <c r="BD56" s="83">
        <f t="array" ref="BD56">_xlfn.STDEV.P(IF($E$5:$E$41=$E55,BD$5:BD$41))</f>
        <v>4.6635349232253133E-2</v>
      </c>
      <c r="BE56" s="83">
        <f t="array" ref="BE56">_xlfn.STDEV.P(IF($E$5:$E$41=$E55,BE$5:BE$41))</f>
        <v>4.2481962227885556E-2</v>
      </c>
      <c r="BF56" s="83">
        <f t="array" ref="BF56">_xlfn.STDEV.P(IF($E$5:$E$41=$E55,BF$5:BF$41))</f>
        <v>6.874220910075877E-3</v>
      </c>
      <c r="BG56" s="83">
        <f t="array" ref="BG56">_xlfn.STDEV.P(IF($E$5:$E$41=$E55,BG$5:BG$41))</f>
        <v>1.7343288074430096E-2</v>
      </c>
      <c r="BH56" s="83">
        <f t="array" ref="BH56">_xlfn.STDEV.P(IF($E$5:$E$41=$E55,BH$5:BH$41))</f>
        <v>2.4968759855157466E-2</v>
      </c>
      <c r="BI56" s="83">
        <f t="array" ref="BI56">_xlfn.STDEV.P(IF($E$5:$E$41=$E55,BI$5:BI$41))</f>
        <v>3.7716108839378731E-2</v>
      </c>
      <c r="BJ56" s="83">
        <f t="array" ref="BJ56">_xlfn.STDEV.P(IF($E$5:$E$41=$E55,BJ$5:BJ$41))</f>
        <v>4.2987145375701252E-2</v>
      </c>
      <c r="BK56" s="83">
        <f t="array" ref="BK56">_xlfn.STDEV.P(IF($E$5:$E$41=$E55,BK$5:BK$41))</f>
        <v>3.4666932712157303E-2</v>
      </c>
      <c r="BL56" s="83">
        <f t="array" ref="BL56">_xlfn.STDEV.P(IF($E$5:$E$41=$E55,BL$5:BL$41))</f>
        <v>3.9001179968019925E-2</v>
      </c>
      <c r="BM56" s="83">
        <f t="array" ref="BM56">_xlfn.STDEV.P(IF($E$5:$E$41=$E55,BM$5:BM$41))</f>
        <v>3.0173642249887986E-2</v>
      </c>
      <c r="BN56" s="83">
        <f t="array" ref="BN56">_xlfn.STDEV.P(IF($E$5:$E$41=$E55,BN$5:BN$41))</f>
        <v>2.885269336930214E-2</v>
      </c>
      <c r="BO56" s="83">
        <f t="array" ref="BO56">_xlfn.STDEV.P(IF($E$5:$E$41=$E55,BO$5:BO$41))</f>
        <v>2.648216713047731E-2</v>
      </c>
      <c r="BP56" s="83">
        <f t="array" ref="BP56">_xlfn.STDEV.P(IF($E$5:$E$41=$E55,BP$5:BP$41))</f>
        <v>4.0261853498010487E-2</v>
      </c>
      <c r="BQ56" s="83">
        <f t="array" ref="BQ56">_xlfn.STDEV.P(IF($E$5:$E$41=$E55,BQ$5:BQ$41))</f>
        <v>3.7639667988702302E-2</v>
      </c>
      <c r="BR56" s="83">
        <f t="array" ref="BR56">_xlfn.STDEV.P(IF($E$5:$E$41=$E55,BR$5:BR$41))</f>
        <v>2.4091173204880235E-2</v>
      </c>
      <c r="BS56" s="83">
        <f t="array" ref="BS56">_xlfn.STDEV.P(IF($E$5:$E$41=$E55,BS$5:BS$41))</f>
        <v>0</v>
      </c>
      <c r="BT56" s="83">
        <f t="array" ref="BT56">_xlfn.STDEV.P(IF($E$5:$E$41=$E55,BT$5:BT$41))</f>
        <v>0</v>
      </c>
      <c r="BU56" s="83">
        <f t="array" ref="BU56">_xlfn.STDEV.P(IF($E$5:$E$41=$E55,BU$5:BU$41))</f>
        <v>0</v>
      </c>
      <c r="BV56" s="83">
        <f t="array" ref="BV56">_xlfn.STDEV.P(IF($E$5:$E$41=$E55,BV$5:BV$41))</f>
        <v>0</v>
      </c>
      <c r="BW56" s="83">
        <f t="array" ref="BW56">_xlfn.STDEV.P(IF($E$5:$E$41=$E55,BW$5:BW$41))</f>
        <v>0</v>
      </c>
      <c r="BX56" s="83">
        <f t="array" ref="BX56">_xlfn.STDEV.P(IF($E$5:$E$41=$E55,BX$5:BX$41))</f>
        <v>0</v>
      </c>
      <c r="BY56" s="83" t="e">
        <f t="array" ref="BY56">_xlfn.STDEV.P(IF($E$5:$E$41=$E55,BY$5:BY$41))</f>
        <v>#DIV/0!</v>
      </c>
      <c r="BZ56" s="83" t="e">
        <f t="array" ref="BZ56">_xlfn.STDEV.P(IF($E$5:$E$41=$E55,BZ$5:BZ$41))</f>
        <v>#DIV/0!</v>
      </c>
      <c r="CA56" s="83" t="e">
        <f t="array" ref="CA56">_xlfn.STDEV.P(IF($E$5:$E$41=$E55,CA$5:CA$41))</f>
        <v>#DIV/0!</v>
      </c>
      <c r="CB56" s="83" t="e">
        <f t="array" ref="CB56">_xlfn.STDEV.P(IF($E$5:$E$41=$E55,CB$5:CB$41))</f>
        <v>#DIV/0!</v>
      </c>
      <c r="CC56" s="83" t="e">
        <f t="array" ref="CC56">_xlfn.STDEV.P(IF($E$5:$E$41=$E55,CC$5:CC$41))</f>
        <v>#DIV/0!</v>
      </c>
      <c r="CD56" s="83" t="e">
        <f t="array" ref="CD56">_xlfn.STDEV.P(IF($E$5:$E$41=$E55,CD$5:CD$41))</f>
        <v>#DIV/0!</v>
      </c>
      <c r="CE56" s="83" t="e">
        <f t="array" ref="CE56">_xlfn.STDEV.P(IF($E$5:$E$41=$E55,CE$5:CE$41))</f>
        <v>#DIV/0!</v>
      </c>
      <c r="CF56" s="83" t="e">
        <f t="array" ref="CF56">_xlfn.STDEV.P(IF($E$5:$E$41=$E55,CF$5:CF$41))</f>
        <v>#DIV/0!</v>
      </c>
      <c r="CG56" s="83" t="e">
        <f t="array" ref="CG56">_xlfn.STDEV.P(IF($E$5:$E$41=$E55,CG$5:CG$41))</f>
        <v>#DIV/0!</v>
      </c>
      <c r="CH56" s="83" t="e">
        <f t="array" ref="CH56">_xlfn.STDEV.P(IF($E$5:$E$41=$E55,CH$5:CH$41))</f>
        <v>#DIV/0!</v>
      </c>
      <c r="CI56" s="83" t="e">
        <f t="array" ref="CI56">_xlfn.STDEV.P(IF($E$5:$E$41=$E55,CI$5:CI$41))</f>
        <v>#DIV/0!</v>
      </c>
      <c r="CJ56" s="83" t="e">
        <f t="array" ref="CJ56">_xlfn.STDEV.P(IF($E$5:$E$41=$E55,CJ$5:CJ$41))</f>
        <v>#DIV/0!</v>
      </c>
      <c r="CK56" s="83" t="e">
        <f t="array" ref="CK56">_xlfn.STDEV.P(IF($E$5:$E$41=$E55,CK$5:CK$41))</f>
        <v>#DIV/0!</v>
      </c>
      <c r="CL56" s="85"/>
    </row>
    <row r="57" spans="1:90" ht="15">
      <c r="A57" s="129"/>
      <c r="E57" s="134"/>
      <c r="H57" s="58"/>
    </row>
    <row r="58" spans="1:90" ht="14.25" customHeight="1">
      <c r="A58" s="129"/>
      <c r="E58" s="134" t="str">
        <f>'RAD_DOSE Groups'!C10</f>
        <v>6.6 uCi Control</v>
      </c>
      <c r="H58" s="134" t="str">
        <f>E58</f>
        <v>6.6 uCi Control</v>
      </c>
      <c r="I58" s="120">
        <f>AVERAGEIF($E$5:$E$41,$E58,I$5:I$41)</f>
        <v>25.28</v>
      </c>
      <c r="J58" s="81" t="s">
        <v>10</v>
      </c>
      <c r="K58" s="87">
        <f t="shared" ref="K58:AW58" si="78">AVERAGEIF($E$5:$E$41,$E58,K$5:K$41)</f>
        <v>25.080000000000002</v>
      </c>
      <c r="L58" s="87">
        <f t="shared" si="78"/>
        <v>24.76</v>
      </c>
      <c r="M58" s="87">
        <f t="shared" si="78"/>
        <v>25.28</v>
      </c>
      <c r="N58" s="87">
        <f t="shared" si="78"/>
        <v>24</v>
      </c>
      <c r="O58" s="87">
        <f t="shared" si="78"/>
        <v>24.36</v>
      </c>
      <c r="P58" s="87">
        <f t="shared" si="78"/>
        <v>24.34</v>
      </c>
      <c r="Q58" s="87">
        <f t="shared" si="78"/>
        <v>24.4</v>
      </c>
      <c r="R58" s="87">
        <f t="shared" si="78"/>
        <v>24.619999999999997</v>
      </c>
      <c r="S58" s="87">
        <f t="shared" si="78"/>
        <v>24.88</v>
      </c>
      <c r="T58" s="87">
        <f t="shared" si="78"/>
        <v>26.939999999999998</v>
      </c>
      <c r="U58" s="87">
        <f t="shared" si="78"/>
        <v>27</v>
      </c>
      <c r="V58" s="87">
        <f t="shared" si="78"/>
        <v>27.060000000000002</v>
      </c>
      <c r="W58" s="87">
        <f t="shared" si="78"/>
        <v>27</v>
      </c>
      <c r="X58" s="87">
        <f t="shared" si="78"/>
        <v>27.160000000000004</v>
      </c>
      <c r="Y58" s="87">
        <f t="shared" si="78"/>
        <v>27.419999999999998</v>
      </c>
      <c r="Z58" s="87">
        <f t="shared" si="78"/>
        <v>26.4</v>
      </c>
      <c r="AA58" s="87">
        <f t="shared" si="78"/>
        <v>26.4</v>
      </c>
      <c r="AB58" s="87">
        <f t="shared" si="78"/>
        <v>27.133333333333336</v>
      </c>
      <c r="AC58" s="87">
        <f t="shared" si="78"/>
        <v>27.55</v>
      </c>
      <c r="AD58" s="87">
        <f t="shared" si="78"/>
        <v>27.85</v>
      </c>
      <c r="AE58" s="87">
        <f t="shared" si="78"/>
        <v>28.2</v>
      </c>
      <c r="AF58" s="87">
        <f t="shared" si="78"/>
        <v>28.4</v>
      </c>
      <c r="AG58" s="87" t="e">
        <f t="shared" si="78"/>
        <v>#DIV/0!</v>
      </c>
      <c r="AH58" s="87" t="e">
        <f t="shared" si="78"/>
        <v>#DIV/0!</v>
      </c>
      <c r="AI58" s="87" t="e">
        <f t="shared" si="78"/>
        <v>#DIV/0!</v>
      </c>
      <c r="AJ58" s="87" t="e">
        <f t="shared" si="78"/>
        <v>#DIV/0!</v>
      </c>
      <c r="AK58" s="87" t="e">
        <f t="shared" si="78"/>
        <v>#DIV/0!</v>
      </c>
      <c r="AL58" s="87" t="e">
        <f t="shared" si="78"/>
        <v>#DIV/0!</v>
      </c>
      <c r="AM58" s="87" t="e">
        <f t="shared" si="78"/>
        <v>#DIV/0!</v>
      </c>
      <c r="AN58" s="87" t="e">
        <f t="shared" si="78"/>
        <v>#DIV/0!</v>
      </c>
      <c r="AO58" s="87" t="e">
        <f t="shared" si="78"/>
        <v>#DIV/0!</v>
      </c>
      <c r="AP58" s="87" t="e">
        <f t="shared" si="78"/>
        <v>#DIV/0!</v>
      </c>
      <c r="AQ58" s="87" t="e">
        <f t="shared" si="78"/>
        <v>#DIV/0!</v>
      </c>
      <c r="AR58" s="87" t="e">
        <f t="shared" si="78"/>
        <v>#DIV/0!</v>
      </c>
      <c r="AS58" s="87" t="e">
        <f t="shared" si="78"/>
        <v>#DIV/0!</v>
      </c>
      <c r="AT58" s="87" t="e">
        <f t="shared" si="78"/>
        <v>#DIV/0!</v>
      </c>
      <c r="AU58" s="87" t="e">
        <f t="shared" si="78"/>
        <v>#DIV/0!</v>
      </c>
      <c r="AV58" s="87" t="e">
        <f t="shared" si="78"/>
        <v>#DIV/0!</v>
      </c>
      <c r="AW58" s="87" t="e">
        <f t="shared" si="78"/>
        <v>#DIV/0!</v>
      </c>
      <c r="AX58" s="114" t="s">
        <v>10</v>
      </c>
      <c r="AY58" s="82">
        <f t="shared" ref="AY58:CK58" si="79">AVERAGEIF($E$5:$E$41,$E58,AY$5:AY$41)</f>
        <v>0.99504323068791245</v>
      </c>
      <c r="AZ58" s="82">
        <f t="shared" si="79"/>
        <v>0.98058309178395719</v>
      </c>
      <c r="BA58" s="82">
        <f t="shared" si="79"/>
        <v>1</v>
      </c>
      <c r="BB58" s="82">
        <f t="shared" si="79"/>
        <v>0.94810972369977764</v>
      </c>
      <c r="BC58" s="82">
        <f t="shared" si="79"/>
        <v>0.96217575749913276</v>
      </c>
      <c r="BD58" s="82">
        <f t="shared" si="79"/>
        <v>0.96106405487785251</v>
      </c>
      <c r="BE58" s="82">
        <f t="shared" si="79"/>
        <v>0.96337550600143129</v>
      </c>
      <c r="BF58" s="82">
        <f t="shared" si="79"/>
        <v>0.97334820876173822</v>
      </c>
      <c r="BG58" s="82">
        <f t="shared" si="79"/>
        <v>0.98483975216441344</v>
      </c>
      <c r="BH58" s="82">
        <f t="shared" si="79"/>
        <v>1.0662827798160621</v>
      </c>
      <c r="BI58" s="82">
        <f t="shared" si="79"/>
        <v>1.0700004292272969</v>
      </c>
      <c r="BJ58" s="82">
        <f t="shared" si="79"/>
        <v>1.0727969446344505</v>
      </c>
      <c r="BK58" s="82">
        <f t="shared" si="79"/>
        <v>1.0707935366431471</v>
      </c>
      <c r="BL58" s="82">
        <f t="shared" si="79"/>
        <v>1.0786305948926016</v>
      </c>
      <c r="BM58" s="82">
        <f t="shared" si="79"/>
        <v>1.0873474400538092</v>
      </c>
      <c r="BN58" s="82">
        <f t="shared" si="79"/>
        <v>1.1019614650963683</v>
      </c>
      <c r="BO58" s="82">
        <f t="shared" si="79"/>
        <v>1.1026486400739399</v>
      </c>
      <c r="BP58" s="82">
        <f t="shared" si="79"/>
        <v>1.0929454618133196</v>
      </c>
      <c r="BQ58" s="82">
        <f t="shared" si="79"/>
        <v>1.1624410219887831</v>
      </c>
      <c r="BR58" s="82">
        <f t="shared" si="79"/>
        <v>1.1749577138787501</v>
      </c>
      <c r="BS58" s="82">
        <f t="shared" si="79"/>
        <v>1.1896732840737114</v>
      </c>
      <c r="BT58" s="82">
        <f t="shared" si="79"/>
        <v>1.2085106382978723</v>
      </c>
      <c r="BU58" s="82" t="e">
        <f t="shared" si="79"/>
        <v>#DIV/0!</v>
      </c>
      <c r="BV58" s="82" t="e">
        <f t="shared" si="79"/>
        <v>#DIV/0!</v>
      </c>
      <c r="BW58" s="82" t="e">
        <f t="shared" si="79"/>
        <v>#DIV/0!</v>
      </c>
      <c r="BX58" s="82" t="e">
        <f t="shared" si="79"/>
        <v>#DIV/0!</v>
      </c>
      <c r="BY58" s="82" t="e">
        <f t="shared" si="79"/>
        <v>#DIV/0!</v>
      </c>
      <c r="BZ58" s="82" t="e">
        <f t="shared" si="79"/>
        <v>#DIV/0!</v>
      </c>
      <c r="CA58" s="82" t="e">
        <f t="shared" si="79"/>
        <v>#DIV/0!</v>
      </c>
      <c r="CB58" s="82" t="e">
        <f t="shared" si="79"/>
        <v>#DIV/0!</v>
      </c>
      <c r="CC58" s="82" t="e">
        <f t="shared" si="79"/>
        <v>#DIV/0!</v>
      </c>
      <c r="CD58" s="82" t="e">
        <f t="shared" si="79"/>
        <v>#DIV/0!</v>
      </c>
      <c r="CE58" s="82" t="e">
        <f t="shared" si="79"/>
        <v>#DIV/0!</v>
      </c>
      <c r="CF58" s="82" t="e">
        <f t="shared" si="79"/>
        <v>#DIV/0!</v>
      </c>
      <c r="CG58" s="82" t="e">
        <f t="shared" si="79"/>
        <v>#DIV/0!</v>
      </c>
      <c r="CH58" s="82" t="e">
        <f t="shared" si="79"/>
        <v>#DIV/0!</v>
      </c>
      <c r="CI58" s="82" t="e">
        <f t="shared" si="79"/>
        <v>#DIV/0!</v>
      </c>
      <c r="CJ58" s="82" t="e">
        <f t="shared" si="79"/>
        <v>#DIV/0!</v>
      </c>
      <c r="CK58" s="82" t="e">
        <f t="shared" si="79"/>
        <v>#DIV/0!</v>
      </c>
      <c r="CL58" s="85"/>
    </row>
    <row r="59" spans="1:90" ht="14.25" customHeight="1">
      <c r="A59" s="129"/>
      <c r="E59" s="134"/>
      <c r="H59" s="104"/>
      <c r="I59" s="120">
        <f t="array" ref="I59">_xlfn.STDEV.P(IF($E$5:$E$41=$E58,I$5:I$41))</f>
        <v>3.2201863300125959</v>
      </c>
      <c r="J59" s="81" t="s">
        <v>12</v>
      </c>
      <c r="K59" s="90">
        <f t="array" ref="K59">_xlfn.STDEV.P(IF($E$5:$E$41=$E58,K$5:K$41))</f>
        <v>2.6753691334094345</v>
      </c>
      <c r="L59" s="90">
        <f t="array" ref="L59">_xlfn.STDEV.P(IF($E$5:$E$41=$E58,L$5:L$41))</f>
        <v>2.9179444819941103</v>
      </c>
      <c r="M59" s="90">
        <f t="array" ref="M59">_xlfn.STDEV.P(IF($E$5:$E$41=$E58,M$5:M$41))</f>
        <v>3.2201863300125959</v>
      </c>
      <c r="N59" s="90">
        <f t="array" ref="N59">_xlfn.STDEV.P(IF($E$5:$E$41=$E58,N$5:N$41))</f>
        <v>3.3364651953826669</v>
      </c>
      <c r="O59" s="90">
        <f t="array" ref="O59">_xlfn.STDEV.P(IF($E$5:$E$41=$E58,O$5:O$41))</f>
        <v>3.4132682285457743</v>
      </c>
      <c r="P59" s="90">
        <f t="array" ref="P59">_xlfn.STDEV.P(IF($E$5:$E$41=$E58,P$5:P$41))</f>
        <v>3.489756438492515</v>
      </c>
      <c r="Q59" s="90">
        <f t="array" ref="Q59">_xlfn.STDEV.P(IF($E$5:$E$41=$E58,Q$5:Q$41))</f>
        <v>3.5116947475542304</v>
      </c>
      <c r="R59" s="90">
        <f t="array" ref="R59">_xlfn.STDEV.P(IF($E$5:$E$41=$E58,R$5:R$41))</f>
        <v>3.2566240188268663</v>
      </c>
      <c r="S59" s="90">
        <f t="array" ref="S59">_xlfn.STDEV.P(IF($E$5:$E$41=$E58,S$5:S$41))</f>
        <v>3.0557486807654639</v>
      </c>
      <c r="T59" s="90">
        <f t="array" ref="T59">_xlfn.STDEV.P(IF($E$5:$E$41=$E58,T$5:T$41))</f>
        <v>3.3024839136625843</v>
      </c>
      <c r="U59" s="90">
        <f t="array" ref="U59">_xlfn.STDEV.P(IF($E$5:$E$41=$E58,U$5:U$41))</f>
        <v>3.0835044997534915</v>
      </c>
      <c r="V59" s="90">
        <f t="array" ref="V59">_xlfn.STDEV.P(IF($E$5:$E$41=$E58,V$5:V$41))</f>
        <v>3.0361818127377802</v>
      </c>
      <c r="W59" s="90">
        <f t="array" ref="W59">_xlfn.STDEV.P(IF($E$5:$E$41=$E58,W$5:W$41))</f>
        <v>2.8865203966021045</v>
      </c>
      <c r="X59" s="90">
        <f t="array" ref="X59">_xlfn.STDEV.P(IF($E$5:$E$41=$E58,X$5:X$41))</f>
        <v>2.6545056036859287</v>
      </c>
      <c r="Y59" s="90">
        <f t="array" ref="Y59">_xlfn.STDEV.P(IF($E$5:$E$41=$E58,Y$5:Y$41))</f>
        <v>2.9748277261044747</v>
      </c>
      <c r="Z59" s="90">
        <f t="array" ref="Z59">_xlfn.STDEV.P(IF($E$5:$E$41=$E58,Z$5:Z$41))</f>
        <v>10.72481235267079</v>
      </c>
      <c r="AA59" s="90">
        <f t="array" ref="AA59">_xlfn.STDEV.P(IF($E$5:$E$41=$E58,AA$5:AA$41))</f>
        <v>10.704840026828986</v>
      </c>
      <c r="AB59" s="90">
        <f t="array" ref="AB59">_xlfn.STDEV.P(IF($E$5:$E$41=$E58,AB$5:AB$41))</f>
        <v>13.328975954663584</v>
      </c>
      <c r="AC59" s="90">
        <f t="array" ref="AC59">_xlfn.STDEV.P(IF($E$5:$E$41=$E58,AC$5:AC$41))</f>
        <v>13.497614604069863</v>
      </c>
      <c r="AD59" s="90">
        <f t="array" ref="AD59">_xlfn.STDEV.P(IF($E$5:$E$41=$E58,AD$5:AD$41))</f>
        <v>13.649849816023616</v>
      </c>
      <c r="AE59" s="90">
        <f t="array" ref="AE59">_xlfn.STDEV.P(IF($E$5:$E$41=$E58,AE$5:AE$41))</f>
        <v>13.824384253918868</v>
      </c>
      <c r="AF59" s="90">
        <f t="array" ref="AF59">_xlfn.STDEV.P(IF($E$5:$E$41=$E58,AF$5:AF$41))</f>
        <v>11.36</v>
      </c>
      <c r="AG59" s="90">
        <f t="array" ref="AG59">_xlfn.STDEV.P(IF($E$5:$E$41=$E58,AG$5:AG$41))</f>
        <v>0</v>
      </c>
      <c r="AH59" s="90">
        <f t="array" ref="AH59">_xlfn.STDEV.P(IF($E$5:$E$41=$E58,AH$5:AH$41))</f>
        <v>0</v>
      </c>
      <c r="AI59" s="90">
        <f t="array" ref="AI59">_xlfn.STDEV.P(IF($E$5:$E$41=$E58,AI$5:AI$41))</f>
        <v>0</v>
      </c>
      <c r="AJ59" s="90">
        <f t="array" ref="AJ59">_xlfn.STDEV.P(IF($E$5:$E$41=$E58,AJ$5:AJ$41))</f>
        <v>0</v>
      </c>
      <c r="AK59" s="90">
        <f t="array" ref="AK59">_xlfn.STDEV.P(IF($E$5:$E$41=$E58,AK$5:AK$41))</f>
        <v>0</v>
      </c>
      <c r="AL59" s="90">
        <f t="array" ref="AL59">_xlfn.STDEV.P(IF($E$5:$E$41=$E58,AL$5:AL$41))</f>
        <v>0</v>
      </c>
      <c r="AM59" s="90">
        <f t="array" ref="AM59">_xlfn.STDEV.P(IF($E$5:$E$41=$E58,AM$5:AM$41))</f>
        <v>0</v>
      </c>
      <c r="AN59" s="90">
        <f t="array" ref="AN59">_xlfn.STDEV.P(IF($E$5:$E$41=$E58,AN$5:AN$41))</f>
        <v>0</v>
      </c>
      <c r="AO59" s="90">
        <f t="array" ref="AO59">_xlfn.STDEV.P(IF($E$5:$E$41=$E58,AO$5:AO$41))</f>
        <v>0</v>
      </c>
      <c r="AP59" s="90">
        <f t="array" ref="AP59">_xlfn.STDEV.P(IF($E$5:$E$41=$E58,AP$5:AP$41))</f>
        <v>0</v>
      </c>
      <c r="AQ59" s="90">
        <f t="array" ref="AQ59">_xlfn.STDEV.P(IF($E$5:$E$41=$E58,AQ$5:AQ$41))</f>
        <v>0</v>
      </c>
      <c r="AR59" s="90">
        <f t="array" ref="AR59">_xlfn.STDEV.P(IF($E$5:$E$41=$E58,AR$5:AR$41))</f>
        <v>0</v>
      </c>
      <c r="AS59" s="90">
        <f t="array" ref="AS59">_xlfn.STDEV.P(IF($E$5:$E$41=$E58,AS$5:AS$41))</f>
        <v>0</v>
      </c>
      <c r="AT59" s="90">
        <f t="array" ref="AT59">_xlfn.STDEV.P(IF($E$5:$E$41=$E58,AT$5:AT$41))</f>
        <v>0</v>
      </c>
      <c r="AU59" s="90">
        <f t="array" ref="AU59">_xlfn.STDEV.P(IF($E$5:$E$41=$E58,AU$5:AU$41))</f>
        <v>0</v>
      </c>
      <c r="AV59" s="90">
        <f t="array" ref="AV59">_xlfn.STDEV.P(IF($E$5:$E$41=$E58,AV$5:AV$41))</f>
        <v>0</v>
      </c>
      <c r="AW59" s="90">
        <f t="array" ref="AW59">_xlfn.STDEV.P(IF($E$5:$E$41=$E58,AW$5:AW$41))</f>
        <v>0</v>
      </c>
      <c r="AX59" s="115" t="s">
        <v>12</v>
      </c>
      <c r="AY59" s="83">
        <f t="array" ref="AY59">_xlfn.STDEV.P(IF($E$5:$E$41=$E58,AY$5:AY$41))</f>
        <v>4.1367613074514684E-2</v>
      </c>
      <c r="AZ59" s="83">
        <f t="array" ref="AZ59">_xlfn.STDEV.P(IF($E$5:$E$41=$E58,AZ$5:AZ$41))</f>
        <v>1.0029831848033903E-2</v>
      </c>
      <c r="BA59" s="83">
        <f t="array" ref="BA59">_xlfn.STDEV.P(IF($E$5:$E$41=$E58,BA$5:BA$41))</f>
        <v>0</v>
      </c>
      <c r="BB59" s="83">
        <f t="array" ref="BB59">_xlfn.STDEV.P(IF($E$5:$E$41=$E58,BB$5:BB$41))</f>
        <v>1.7793435882916164E-2</v>
      </c>
      <c r="BC59" s="83">
        <f t="array" ref="BC59">_xlfn.STDEV.P(IF($E$5:$E$41=$E58,BC$5:BC$41))</f>
        <v>1.2959294590633198E-2</v>
      </c>
      <c r="BD59" s="83">
        <f t="array" ref="BD59">_xlfn.STDEV.P(IF($E$5:$E$41=$E58,BD$5:BD$41))</f>
        <v>1.6214730720497349E-2</v>
      </c>
      <c r="BE59" s="83">
        <f t="array" ref="BE59">_xlfn.STDEV.P(IF($E$5:$E$41=$E58,BE$5:BE$41))</f>
        <v>2.1241300222844796E-2</v>
      </c>
      <c r="BF59" s="83">
        <f t="array" ref="BF59">_xlfn.STDEV.P(IF($E$5:$E$41=$E58,BF$5:BF$41))</f>
        <v>1.9081577728300211E-2</v>
      </c>
      <c r="BG59" s="83">
        <f t="array" ref="BG59">_xlfn.STDEV.P(IF($E$5:$E$41=$E58,BG$5:BG$41))</f>
        <v>1.9824349485232453E-2</v>
      </c>
      <c r="BH59" s="83">
        <f t="array" ref="BH59">_xlfn.STDEV.P(IF($E$5:$E$41=$E58,BH$5:BH$41))</f>
        <v>2.4229777395574598E-2</v>
      </c>
      <c r="BI59" s="83">
        <f t="array" ref="BI59">_xlfn.STDEV.P(IF($E$5:$E$41=$E58,BI$5:BI$41))</f>
        <v>3.5514326028277643E-2</v>
      </c>
      <c r="BJ59" s="83">
        <f t="array" ref="BJ59">_xlfn.STDEV.P(IF($E$5:$E$41=$E58,BJ$5:BJ$41))</f>
        <v>4.4121956763804884E-2</v>
      </c>
      <c r="BK59" s="83">
        <f t="array" ref="BK59">_xlfn.STDEV.P(IF($E$5:$E$41=$E58,BK$5:BK$41))</f>
        <v>3.450490919253333E-2</v>
      </c>
      <c r="BL59" s="83">
        <f t="array" ref="BL59">_xlfn.STDEV.P(IF($E$5:$E$41=$E58,BL$5:BL$41))</f>
        <v>4.662482111357634E-2</v>
      </c>
      <c r="BM59" s="83">
        <f t="array" ref="BM59">_xlfn.STDEV.P(IF($E$5:$E$41=$E58,BM$5:BM$41))</f>
        <v>3.8323412371899929E-2</v>
      </c>
      <c r="BN59" s="83">
        <f t="array" ref="BN59">_xlfn.STDEV.P(IF($E$5:$E$41=$E58,BN$5:BN$41))</f>
        <v>1.5986506375434119E-2</v>
      </c>
      <c r="BO59" s="83">
        <f t="array" ref="BO59">_xlfn.STDEV.P(IF($E$5:$E$41=$E58,BO$5:BO$41))</f>
        <v>3.1363361046985845E-2</v>
      </c>
      <c r="BP59" s="83">
        <f t="array" ref="BP59">_xlfn.STDEV.P(IF($E$5:$E$41=$E58,BP$5:BP$41))</f>
        <v>3.7476580232826927E-2</v>
      </c>
      <c r="BQ59" s="83">
        <f t="array" ref="BQ59">_xlfn.STDEV.P(IF($E$5:$E$41=$E58,BQ$5:BQ$41))</f>
        <v>7.3889432920859477E-4</v>
      </c>
      <c r="BR59" s="83">
        <f t="array" ref="BR59">_xlfn.STDEV.P(IF($E$5:$E$41=$E58,BR$5:BR$41))</f>
        <v>1.7510905368111951E-2</v>
      </c>
      <c r="BS59" s="83">
        <f t="array" ref="BS59">_xlfn.STDEV.P(IF($E$5:$E$41=$E58,BS$5:BS$41))</f>
        <v>2.3715837265200879E-2</v>
      </c>
      <c r="BT59" s="83">
        <f t="array" ref="BT59">_xlfn.STDEV.P(IF($E$5:$E$41=$E58,BT$5:BT$41))</f>
        <v>0</v>
      </c>
      <c r="BU59" s="83" t="e">
        <f t="array" ref="BU59">_xlfn.STDEV.P(IF($E$5:$E$41=$E58,BU$5:BU$41))</f>
        <v>#DIV/0!</v>
      </c>
      <c r="BV59" s="83" t="e">
        <f t="array" ref="BV59">_xlfn.STDEV.P(IF($E$5:$E$41=$E58,BV$5:BV$41))</f>
        <v>#DIV/0!</v>
      </c>
      <c r="BW59" s="83" t="e">
        <f t="array" ref="BW59">_xlfn.STDEV.P(IF($E$5:$E$41=$E58,BW$5:BW$41))</f>
        <v>#DIV/0!</v>
      </c>
      <c r="BX59" s="83" t="e">
        <f t="array" ref="BX59">_xlfn.STDEV.P(IF($E$5:$E$41=$E58,BX$5:BX$41))</f>
        <v>#DIV/0!</v>
      </c>
      <c r="BY59" s="83" t="e">
        <f t="array" ref="BY59">_xlfn.STDEV.P(IF($E$5:$E$41=$E58,BY$5:BY$41))</f>
        <v>#DIV/0!</v>
      </c>
      <c r="BZ59" s="83" t="e">
        <f t="array" ref="BZ59">_xlfn.STDEV.P(IF($E$5:$E$41=$E58,BZ$5:BZ$41))</f>
        <v>#DIV/0!</v>
      </c>
      <c r="CA59" s="83" t="e">
        <f t="array" ref="CA59">_xlfn.STDEV.P(IF($E$5:$E$41=$E58,CA$5:CA$41))</f>
        <v>#DIV/0!</v>
      </c>
      <c r="CB59" s="83" t="e">
        <f t="array" ref="CB59">_xlfn.STDEV.P(IF($E$5:$E$41=$E58,CB$5:CB$41))</f>
        <v>#DIV/0!</v>
      </c>
      <c r="CC59" s="83" t="e">
        <f t="array" ref="CC59">_xlfn.STDEV.P(IF($E$5:$E$41=$E58,CC$5:CC$41))</f>
        <v>#DIV/0!</v>
      </c>
      <c r="CD59" s="83" t="e">
        <f t="array" ref="CD59">_xlfn.STDEV.P(IF($E$5:$E$41=$E58,CD$5:CD$41))</f>
        <v>#DIV/0!</v>
      </c>
      <c r="CE59" s="83" t="e">
        <f t="array" ref="CE59">_xlfn.STDEV.P(IF($E$5:$E$41=$E58,CE$5:CE$41))</f>
        <v>#DIV/0!</v>
      </c>
      <c r="CF59" s="83" t="e">
        <f t="array" ref="CF59">_xlfn.STDEV.P(IF($E$5:$E$41=$E58,CF$5:CF$41))</f>
        <v>#DIV/0!</v>
      </c>
      <c r="CG59" s="83" t="e">
        <f t="array" ref="CG59">_xlfn.STDEV.P(IF($E$5:$E$41=$E58,CG$5:CG$41))</f>
        <v>#DIV/0!</v>
      </c>
      <c r="CH59" s="83" t="e">
        <f t="array" ref="CH59">_xlfn.STDEV.P(IF($E$5:$E$41=$E58,CH$5:CH$41))</f>
        <v>#DIV/0!</v>
      </c>
      <c r="CI59" s="83" t="e">
        <f t="array" ref="CI59">_xlfn.STDEV.P(IF($E$5:$E$41=$E58,CI$5:CI$41))</f>
        <v>#DIV/0!</v>
      </c>
      <c r="CJ59" s="83" t="e">
        <f t="array" ref="CJ59">_xlfn.STDEV.P(IF($E$5:$E$41=$E58,CJ$5:CJ$41))</f>
        <v>#DIV/0!</v>
      </c>
      <c r="CK59" s="83" t="e">
        <f t="array" ref="CK59">_xlfn.STDEV.P(IF($E$5:$E$41=$E58,CK$5:CK$41))</f>
        <v>#DIV/0!</v>
      </c>
      <c r="CL59" s="85"/>
    </row>
    <row r="60" spans="1:90" ht="15">
      <c r="A60" s="129"/>
      <c r="E60" s="134"/>
      <c r="H60" s="58"/>
    </row>
    <row r="61" spans="1:90" ht="14.25" customHeight="1">
      <c r="A61" s="129"/>
      <c r="E61" s="134" t="str">
        <f>'RAD_DOSE Groups'!C11</f>
        <v>6.6 uCi + CP-PTX</v>
      </c>
      <c r="H61" s="134" t="str">
        <f>E61</f>
        <v>6.6 uCi + CP-PTX</v>
      </c>
      <c r="I61" s="120">
        <f>AVERAGEIF($E$5:$E$41,$E61,I$5:I$41)</f>
        <v>26.339999999999996</v>
      </c>
      <c r="J61" s="81" t="s">
        <v>10</v>
      </c>
      <c r="K61" s="87">
        <f t="shared" ref="K61:AW61" si="80">AVERAGEIF($E$5:$E$41,$E61,K$5:K$41)</f>
        <v>25.28</v>
      </c>
      <c r="L61" s="87">
        <f t="shared" si="80"/>
        <v>25.72</v>
      </c>
      <c r="M61" s="87">
        <f t="shared" si="80"/>
        <v>26.339999999999996</v>
      </c>
      <c r="N61" s="87">
        <f t="shared" si="80"/>
        <v>25.060000000000002</v>
      </c>
      <c r="O61" s="87">
        <f t="shared" si="80"/>
        <v>25.619999999999997</v>
      </c>
      <c r="P61" s="87">
        <f t="shared" si="80"/>
        <v>25.82</v>
      </c>
      <c r="Q61" s="87">
        <f t="shared" si="80"/>
        <v>26.04</v>
      </c>
      <c r="R61" s="87">
        <f t="shared" si="80"/>
        <v>26.24</v>
      </c>
      <c r="S61" s="87">
        <f t="shared" si="80"/>
        <v>26.540000000000003</v>
      </c>
      <c r="T61" s="87">
        <f t="shared" si="80"/>
        <v>28.48</v>
      </c>
      <c r="U61" s="87">
        <f t="shared" si="80"/>
        <v>28.48</v>
      </c>
      <c r="V61" s="87">
        <f t="shared" si="80"/>
        <v>28.2</v>
      </c>
      <c r="W61" s="87">
        <f t="shared" si="80"/>
        <v>28.380000000000003</v>
      </c>
      <c r="X61" s="87">
        <f t="shared" si="80"/>
        <v>28.5</v>
      </c>
      <c r="Y61" s="87">
        <f t="shared" si="80"/>
        <v>28.54</v>
      </c>
      <c r="Z61" s="87">
        <f t="shared" si="80"/>
        <v>29.119999999999997</v>
      </c>
      <c r="AA61" s="87">
        <f t="shared" si="80"/>
        <v>29.05</v>
      </c>
      <c r="AB61" s="87">
        <f t="shared" si="80"/>
        <v>29.15</v>
      </c>
      <c r="AC61" s="87">
        <f t="shared" si="80"/>
        <v>30.024999999999999</v>
      </c>
      <c r="AD61" s="87">
        <f t="shared" si="80"/>
        <v>29.533333333333331</v>
      </c>
      <c r="AE61" s="87">
        <f t="shared" si="80"/>
        <v>29.599999999999998</v>
      </c>
      <c r="AF61" s="87">
        <f t="shared" si="80"/>
        <v>28.733333333333334</v>
      </c>
      <c r="AG61" s="87">
        <f t="shared" si="80"/>
        <v>28.900000000000002</v>
      </c>
      <c r="AH61" s="87">
        <f t="shared" si="80"/>
        <v>29.933333333333337</v>
      </c>
      <c r="AI61" s="87">
        <f t="shared" si="80"/>
        <v>31.066666666666666</v>
      </c>
      <c r="AJ61" s="87">
        <f t="shared" si="80"/>
        <v>30.933333333333337</v>
      </c>
      <c r="AK61" s="87">
        <f t="shared" si="80"/>
        <v>34.200000000000003</v>
      </c>
      <c r="AL61" s="87" t="e">
        <f t="shared" si="80"/>
        <v>#DIV/0!</v>
      </c>
      <c r="AM61" s="87" t="e">
        <f t="shared" si="80"/>
        <v>#DIV/0!</v>
      </c>
      <c r="AN61" s="87" t="e">
        <f t="shared" si="80"/>
        <v>#DIV/0!</v>
      </c>
      <c r="AO61" s="87" t="e">
        <f t="shared" si="80"/>
        <v>#DIV/0!</v>
      </c>
      <c r="AP61" s="87" t="e">
        <f t="shared" si="80"/>
        <v>#DIV/0!</v>
      </c>
      <c r="AQ61" s="87" t="e">
        <f t="shared" si="80"/>
        <v>#DIV/0!</v>
      </c>
      <c r="AR61" s="87" t="e">
        <f t="shared" si="80"/>
        <v>#DIV/0!</v>
      </c>
      <c r="AS61" s="87" t="e">
        <f t="shared" si="80"/>
        <v>#DIV/0!</v>
      </c>
      <c r="AT61" s="87" t="e">
        <f t="shared" si="80"/>
        <v>#DIV/0!</v>
      </c>
      <c r="AU61" s="87" t="e">
        <f t="shared" si="80"/>
        <v>#DIV/0!</v>
      </c>
      <c r="AV61" s="87" t="e">
        <f t="shared" si="80"/>
        <v>#DIV/0!</v>
      </c>
      <c r="AW61" s="87" t="e">
        <f t="shared" si="80"/>
        <v>#DIV/0!</v>
      </c>
      <c r="AX61" s="114" t="s">
        <v>10</v>
      </c>
      <c r="AY61" s="82">
        <f t="shared" ref="AY61:CK61" si="81">AVERAGEIF($E$5:$E$41,$E61,AY$5:AY$41)</f>
        <v>0.95912633406810988</v>
      </c>
      <c r="AZ61" s="82">
        <f t="shared" si="81"/>
        <v>0.97534677272607895</v>
      </c>
      <c r="BA61" s="82">
        <f t="shared" si="81"/>
        <v>1</v>
      </c>
      <c r="BB61" s="82">
        <f t="shared" si="81"/>
        <v>0.95094327680693524</v>
      </c>
      <c r="BC61" s="82">
        <f t="shared" si="81"/>
        <v>0.9727984420336433</v>
      </c>
      <c r="BD61" s="82">
        <f t="shared" si="81"/>
        <v>0.98025852476543895</v>
      </c>
      <c r="BE61" s="82">
        <f t="shared" si="81"/>
        <v>0.98857646998355408</v>
      </c>
      <c r="BF61" s="82">
        <f t="shared" si="81"/>
        <v>0.99701837953050965</v>
      </c>
      <c r="BG61" s="82">
        <f t="shared" si="81"/>
        <v>1.0085292503469359</v>
      </c>
      <c r="BH61" s="82">
        <f t="shared" si="81"/>
        <v>1.0829650449555834</v>
      </c>
      <c r="BI61" s="82">
        <f t="shared" si="81"/>
        <v>1.0263736322530597</v>
      </c>
      <c r="BJ61" s="82">
        <f t="shared" si="81"/>
        <v>1.0725645059560638</v>
      </c>
      <c r="BK61" s="82">
        <f t="shared" si="81"/>
        <v>1.0791152619955386</v>
      </c>
      <c r="BL61" s="82">
        <f t="shared" si="81"/>
        <v>1.0845596353123039</v>
      </c>
      <c r="BM61" s="82">
        <f t="shared" si="81"/>
        <v>1.0853827884965681</v>
      </c>
      <c r="BN61" s="82">
        <f t="shared" si="81"/>
        <v>1.1072206590783735</v>
      </c>
      <c r="BO61" s="82">
        <f t="shared" si="81"/>
        <v>1.0821805718844475</v>
      </c>
      <c r="BP61" s="82">
        <f t="shared" si="81"/>
        <v>1.0860017799905901</v>
      </c>
      <c r="BQ61" s="82">
        <f t="shared" si="81"/>
        <v>1.1185995603640255</v>
      </c>
      <c r="BR61" s="82">
        <f t="shared" si="81"/>
        <v>1.125967886229895</v>
      </c>
      <c r="BS61" s="82">
        <f t="shared" si="81"/>
        <v>1.1278654495539502</v>
      </c>
      <c r="BT61" s="82">
        <f t="shared" si="81"/>
        <v>1.0925815275888058</v>
      </c>
      <c r="BU61" s="82">
        <f t="shared" si="81"/>
        <v>1.0982208718016579</v>
      </c>
      <c r="BV61" s="82">
        <f t="shared" si="81"/>
        <v>1.1407966501125164</v>
      </c>
      <c r="BW61" s="82">
        <f t="shared" si="81"/>
        <v>1.1891905280551569</v>
      </c>
      <c r="BX61" s="82">
        <f t="shared" si="81"/>
        <v>1.182382138859577</v>
      </c>
      <c r="BY61" s="82">
        <f t="shared" si="81"/>
        <v>1.1515151515151516</v>
      </c>
      <c r="BZ61" s="82" t="e">
        <f t="shared" si="81"/>
        <v>#DIV/0!</v>
      </c>
      <c r="CA61" s="82" t="e">
        <f t="shared" si="81"/>
        <v>#DIV/0!</v>
      </c>
      <c r="CB61" s="82" t="e">
        <f t="shared" si="81"/>
        <v>#DIV/0!</v>
      </c>
      <c r="CC61" s="82" t="e">
        <f t="shared" si="81"/>
        <v>#DIV/0!</v>
      </c>
      <c r="CD61" s="82" t="e">
        <f t="shared" si="81"/>
        <v>#DIV/0!</v>
      </c>
      <c r="CE61" s="82" t="e">
        <f t="shared" si="81"/>
        <v>#DIV/0!</v>
      </c>
      <c r="CF61" s="82" t="e">
        <f t="shared" si="81"/>
        <v>#DIV/0!</v>
      </c>
      <c r="CG61" s="82" t="e">
        <f t="shared" si="81"/>
        <v>#DIV/0!</v>
      </c>
      <c r="CH61" s="82" t="e">
        <f t="shared" si="81"/>
        <v>#DIV/0!</v>
      </c>
      <c r="CI61" s="82" t="e">
        <f t="shared" si="81"/>
        <v>#DIV/0!</v>
      </c>
      <c r="CJ61" s="82" t="e">
        <f t="shared" si="81"/>
        <v>#DIV/0!</v>
      </c>
      <c r="CK61" s="82" t="e">
        <f t="shared" si="81"/>
        <v>#DIV/0!</v>
      </c>
      <c r="CL61" s="85"/>
    </row>
    <row r="62" spans="1:90" ht="14.25" customHeight="1">
      <c r="A62" s="129"/>
      <c r="E62" s="134"/>
      <c r="H62" s="104"/>
      <c r="I62" s="120">
        <f t="array" ref="I62">_xlfn.STDEV.P(IF($E$5:$E$41=$E61,I$5:I$41))</f>
        <v>2.5865807545870285</v>
      </c>
      <c r="J62" s="81" t="s">
        <v>12</v>
      </c>
      <c r="K62" s="90">
        <f t="array" ref="K62">_xlfn.STDEV.P(IF($E$5:$E$41=$E61,K$5:K$41))</f>
        <v>2.7271963625672466</v>
      </c>
      <c r="L62" s="90">
        <f t="array" ref="L62">_xlfn.STDEV.P(IF($E$5:$E$41=$E61,L$5:L$41))</f>
        <v>2.8610487587596225</v>
      </c>
      <c r="M62" s="90">
        <f t="array" ref="M62">_xlfn.STDEV.P(IF($E$5:$E$41=$E61,M$5:M$41))</f>
        <v>2.5865807545870285</v>
      </c>
      <c r="N62" s="90">
        <f t="array" ref="N62">_xlfn.STDEV.P(IF($E$5:$E$41=$E61,N$5:N$41))</f>
        <v>2.6302851556437687</v>
      </c>
      <c r="O62" s="90">
        <f t="array" ref="O62">_xlfn.STDEV.P(IF($E$5:$E$41=$E61,O$5:O$41))</f>
        <v>2.611819289307749</v>
      </c>
      <c r="P62" s="90">
        <f t="array" ref="P62">_xlfn.STDEV.P(IF($E$5:$E$41=$E61,P$5:P$41))</f>
        <v>2.6286118009322075</v>
      </c>
      <c r="Q62" s="90">
        <f t="array" ref="Q62">_xlfn.STDEV.P(IF($E$5:$E$41=$E61,Q$5:Q$41))</f>
        <v>2.7163210414087859</v>
      </c>
      <c r="R62" s="90">
        <f t="array" ref="R62">_xlfn.STDEV.P(IF($E$5:$E$41=$E61,R$5:R$41))</f>
        <v>2.4678735786097308</v>
      </c>
      <c r="S62" s="90">
        <f t="array" ref="S62">_xlfn.STDEV.P(IF($E$5:$E$41=$E61,S$5:S$41))</f>
        <v>2.5491959516678975</v>
      </c>
      <c r="T62" s="90">
        <f t="array" ref="T62">_xlfn.STDEV.P(IF($E$5:$E$41=$E61,T$5:T$41))</f>
        <v>2.3684594148939944</v>
      </c>
      <c r="U62" s="90">
        <f t="array" ref="U62">_xlfn.STDEV.P(IF($E$5:$E$41=$E61,U$5:U$41))</f>
        <v>2.2850820554194549</v>
      </c>
      <c r="V62" s="90">
        <f t="array" ref="V62">_xlfn.STDEV.P(IF($E$5:$E$41=$E61,V$5:V$41))</f>
        <v>2.3091123835794565</v>
      </c>
      <c r="W62" s="90">
        <f t="array" ref="W62">_xlfn.STDEV.P(IF($E$5:$E$41=$E61,W$5:W$41))</f>
        <v>2.3978323544401516</v>
      </c>
      <c r="X62" s="90">
        <f t="array" ref="X62">_xlfn.STDEV.P(IF($E$5:$E$41=$E61,X$5:X$41))</f>
        <v>2.302172886644267</v>
      </c>
      <c r="Y62" s="90">
        <f t="array" ref="Y62">_xlfn.STDEV.P(IF($E$5:$E$41=$E61,Y$5:Y$41))</f>
        <v>2.4565015774470815</v>
      </c>
      <c r="Z62" s="90">
        <f t="array" ref="Z62">_xlfn.STDEV.P(IF($E$5:$E$41=$E61,Z$5:Z$41))</f>
        <v>2.7440116617828001</v>
      </c>
      <c r="AA62" s="90">
        <f t="array" ref="AA62">_xlfn.STDEV.P(IF($E$5:$E$41=$E61,AA$5:AA$41))</f>
        <v>11.90908896599568</v>
      </c>
      <c r="AB62" s="90">
        <f t="array" ref="AB62">_xlfn.STDEV.P(IF($E$5:$E$41=$E61,AB$5:AB$41))</f>
        <v>11.932040898354311</v>
      </c>
      <c r="AC62" s="90">
        <f t="array" ref="AC62">_xlfn.STDEV.P(IF($E$5:$E$41=$E61,AC$5:AC$41))</f>
        <v>12.304698289677814</v>
      </c>
      <c r="AD62" s="90">
        <f t="array" ref="AD62">_xlfn.STDEV.P(IF($E$5:$E$41=$E61,AD$5:AD$41))</f>
        <v>14.710866731773491</v>
      </c>
      <c r="AE62" s="90">
        <f t="array" ref="AE62">_xlfn.STDEV.P(IF($E$5:$E$41=$E61,AE$5:AE$41))</f>
        <v>14.76720691261553</v>
      </c>
      <c r="AF62" s="90">
        <f t="array" ref="AF62">_xlfn.STDEV.P(IF($E$5:$E$41=$E61,AF$5:AF$41))</f>
        <v>14.421733598981781</v>
      </c>
      <c r="AG62" s="90">
        <f t="array" ref="AG62">_xlfn.STDEV.P(IF($E$5:$E$41=$E61,AG$5:AG$41))</f>
        <v>14.535418810615678</v>
      </c>
      <c r="AH62" s="90">
        <f t="array" ref="AH62">_xlfn.STDEV.P(IF($E$5:$E$41=$E61,AH$5:AH$41))</f>
        <v>14.928844563461698</v>
      </c>
      <c r="AI62" s="90">
        <f t="array" ref="AI62">_xlfn.STDEV.P(IF($E$5:$E$41=$E61,AI$5:AI$41))</f>
        <v>15.338005085407948</v>
      </c>
      <c r="AJ62" s="90">
        <f t="array" ref="AJ62">_xlfn.STDEV.P(IF($E$5:$E$41=$E61,AJ$5:AJ$41))</f>
        <v>15.316083050179641</v>
      </c>
      <c r="AK62" s="90">
        <f t="array" ref="AK62">_xlfn.STDEV.P(IF($E$5:$E$41=$E61,AK$5:AK$41))</f>
        <v>13.68</v>
      </c>
      <c r="AL62" s="90">
        <f t="array" ref="AL62">_xlfn.STDEV.P(IF($E$5:$E$41=$E61,AL$5:AL$41))</f>
        <v>0</v>
      </c>
      <c r="AM62" s="90">
        <f t="array" ref="AM62">_xlfn.STDEV.P(IF($E$5:$E$41=$E61,AM$5:AM$41))</f>
        <v>0</v>
      </c>
      <c r="AN62" s="90">
        <f t="array" ref="AN62">_xlfn.STDEV.P(IF($E$5:$E$41=$E61,AN$5:AN$41))</f>
        <v>0</v>
      </c>
      <c r="AO62" s="90">
        <f t="array" ref="AO62">_xlfn.STDEV.P(IF($E$5:$E$41=$E61,AO$5:AO$41))</f>
        <v>0</v>
      </c>
      <c r="AP62" s="90">
        <f t="array" ref="AP62">_xlfn.STDEV.P(IF($E$5:$E$41=$E61,AP$5:AP$41))</f>
        <v>0</v>
      </c>
      <c r="AQ62" s="90">
        <f t="array" ref="AQ62">_xlfn.STDEV.P(IF($E$5:$E$41=$E61,AQ$5:AQ$41))</f>
        <v>0</v>
      </c>
      <c r="AR62" s="90">
        <f t="array" ref="AR62">_xlfn.STDEV.P(IF($E$5:$E$41=$E61,AR$5:AR$41))</f>
        <v>0</v>
      </c>
      <c r="AS62" s="90">
        <f t="array" ref="AS62">_xlfn.STDEV.P(IF($E$5:$E$41=$E61,AS$5:AS$41))</f>
        <v>0</v>
      </c>
      <c r="AT62" s="90">
        <f t="array" ref="AT62">_xlfn.STDEV.P(IF($E$5:$E$41=$E61,AT$5:AT$41))</f>
        <v>0</v>
      </c>
      <c r="AU62" s="90">
        <f t="array" ref="AU62">_xlfn.STDEV.P(IF($E$5:$E$41=$E61,AU$5:AU$41))</f>
        <v>0</v>
      </c>
      <c r="AV62" s="90">
        <f t="array" ref="AV62">_xlfn.STDEV.P(IF($E$5:$E$41=$E61,AV$5:AV$41))</f>
        <v>0</v>
      </c>
      <c r="AW62" s="90">
        <f t="array" ref="AW62">_xlfn.STDEV.P(IF($E$5:$E$41=$E61,AW$5:AW$41))</f>
        <v>0</v>
      </c>
      <c r="AX62" s="115" t="s">
        <v>12</v>
      </c>
      <c r="AY62" s="83">
        <f t="array" ref="AY62">_xlfn.STDEV.P(IF($E$5:$E$41=$E61,AY$5:AY$41))</f>
        <v>3.0995189825106097E-2</v>
      </c>
      <c r="AZ62" s="83">
        <f t="array" ref="AZ62">_xlfn.STDEV.P(IF($E$5:$E$41=$E61,AZ$5:AZ$41))</f>
        <v>2.4435558108677612E-2</v>
      </c>
      <c r="BA62" s="83">
        <f t="array" ref="BA62">_xlfn.STDEV.P(IF($E$5:$E$41=$E61,BA$5:BA$41))</f>
        <v>0</v>
      </c>
      <c r="BB62" s="83">
        <f t="array" ref="BB62">_xlfn.STDEV.P(IF($E$5:$E$41=$E61,BB$5:BB$41))</f>
        <v>1.7994494817700008E-2</v>
      </c>
      <c r="BC62" s="83">
        <f t="array" ref="BC62">_xlfn.STDEV.P(IF($E$5:$E$41=$E61,BC$5:BC$41))</f>
        <v>3.0693050040443332E-2</v>
      </c>
      <c r="BD62" s="83">
        <f t="array" ref="BD62">_xlfn.STDEV.P(IF($E$5:$E$41=$E61,BD$5:BD$41))</f>
        <v>2.5015881858229436E-2</v>
      </c>
      <c r="BE62" s="83">
        <f t="array" ref="BE62">_xlfn.STDEV.P(IF($E$5:$E$41=$E61,BE$5:BE$41))</f>
        <v>3.3785148111460619E-2</v>
      </c>
      <c r="BF62" s="83">
        <f t="array" ref="BF62">_xlfn.STDEV.P(IF($E$5:$E$41=$E61,BF$5:BF$41))</f>
        <v>3.145348142365248E-2</v>
      </c>
      <c r="BG62" s="83">
        <f t="array" ref="BG62">_xlfn.STDEV.P(IF($E$5:$E$41=$E61,BG$5:BG$41))</f>
        <v>4.1624980764295341E-2</v>
      </c>
      <c r="BH62" s="83">
        <f t="array" ref="BH62">_xlfn.STDEV.P(IF($E$5:$E$41=$E61,BH$5:BH$41))</f>
        <v>2.4120985639702514E-2</v>
      </c>
      <c r="BI62" s="83">
        <f t="array" ref="BI62">_xlfn.STDEV.P(IF($E$5:$E$41=$E61,BI$5:BI$41))</f>
        <v>0.13603927373707952</v>
      </c>
      <c r="BJ62" s="83">
        <f t="array" ref="BJ62">_xlfn.STDEV.P(IF($E$5:$E$41=$E61,BJ$5:BJ$41))</f>
        <v>3.0661772911036639E-2</v>
      </c>
      <c r="BK62" s="83">
        <f t="array" ref="BK62">_xlfn.STDEV.P(IF($E$5:$E$41=$E61,BK$5:BK$41))</f>
        <v>2.7356521186261095E-2</v>
      </c>
      <c r="BL62" s="83">
        <f t="array" ref="BL62">_xlfn.STDEV.P(IF($E$5:$E$41=$E61,BL$5:BL$41))</f>
        <v>4.5829228230040271E-2</v>
      </c>
      <c r="BM62" s="83">
        <f t="array" ref="BM62">_xlfn.STDEV.P(IF($E$5:$E$41=$E61,BM$5:BM$41))</f>
        <v>3.9429345380765583E-2</v>
      </c>
      <c r="BN62" s="83">
        <f t="array" ref="BN62">_xlfn.STDEV.P(IF($E$5:$E$41=$E61,BN$5:BN$41))</f>
        <v>5.4880050122378649E-2</v>
      </c>
      <c r="BO62" s="83">
        <f t="array" ref="BO62">_xlfn.STDEV.P(IF($E$5:$E$41=$E61,BO$5:BO$41))</f>
        <v>2.3988184493624241E-2</v>
      </c>
      <c r="BP62" s="83">
        <f t="array" ref="BP62">_xlfn.STDEV.P(IF($E$5:$E$41=$E61,BP$5:BP$41))</f>
        <v>1.6285331061516958E-2</v>
      </c>
      <c r="BQ62" s="83">
        <f t="array" ref="BQ62">_xlfn.STDEV.P(IF($E$5:$E$41=$E61,BQ$5:BQ$41))</f>
        <v>2.5189291300047528E-2</v>
      </c>
      <c r="BR62" s="83">
        <f t="array" ref="BR62">_xlfn.STDEV.P(IF($E$5:$E$41=$E61,BR$5:BR$41))</f>
        <v>1.904282062589693E-2</v>
      </c>
      <c r="BS62" s="83">
        <f t="array" ref="BS62">_xlfn.STDEV.P(IF($E$5:$E$41=$E61,BS$5:BS$41))</f>
        <v>2.6371590952235867E-2</v>
      </c>
      <c r="BT62" s="83">
        <f t="array" ref="BT62">_xlfn.STDEV.P(IF($E$5:$E$41=$E61,BT$5:BT$41))</f>
        <v>4.399452101507368E-2</v>
      </c>
      <c r="BU62" s="83">
        <f t="array" ref="BU62">_xlfn.STDEV.P(IF($E$5:$E$41=$E61,BU$5:BU$41))</f>
        <v>4.5983470965169589E-2</v>
      </c>
      <c r="BV62" s="83">
        <f t="array" ref="BV62">_xlfn.STDEV.P(IF($E$5:$E$41=$E61,BV$5:BV$41))</f>
        <v>1.7185426252372554E-2</v>
      </c>
      <c r="BW62" s="83">
        <f t="array" ref="BW62">_xlfn.STDEV.P(IF($E$5:$E$41=$E61,BW$5:BW$41))</f>
        <v>3.2789593742971045E-2</v>
      </c>
      <c r="BX62" s="83">
        <f t="array" ref="BX62">_xlfn.STDEV.P(IF($E$5:$E$41=$E61,BX$5:BX$41))</f>
        <v>1.6882095549259561E-2</v>
      </c>
      <c r="BY62" s="83">
        <f t="array" ref="BY62">_xlfn.STDEV.P(IF($E$5:$E$41=$E61,BY$5:BY$41))</f>
        <v>0</v>
      </c>
      <c r="BZ62" s="83" t="e">
        <f t="array" ref="BZ62">_xlfn.STDEV.P(IF($E$5:$E$41=$E61,BZ$5:BZ$41))</f>
        <v>#DIV/0!</v>
      </c>
      <c r="CA62" s="83" t="e">
        <f t="array" ref="CA62">_xlfn.STDEV.P(IF($E$5:$E$41=$E61,CA$5:CA$41))</f>
        <v>#DIV/0!</v>
      </c>
      <c r="CB62" s="83" t="e">
        <f t="array" ref="CB62">_xlfn.STDEV.P(IF($E$5:$E$41=$E61,CB$5:CB$41))</f>
        <v>#DIV/0!</v>
      </c>
      <c r="CC62" s="83" t="e">
        <f t="array" ref="CC62">_xlfn.STDEV.P(IF($E$5:$E$41=$E61,CC$5:CC$41))</f>
        <v>#DIV/0!</v>
      </c>
      <c r="CD62" s="83" t="e">
        <f t="array" ref="CD62">_xlfn.STDEV.P(IF($E$5:$E$41=$E61,CD$5:CD$41))</f>
        <v>#DIV/0!</v>
      </c>
      <c r="CE62" s="83" t="e">
        <f t="array" ref="CE62">_xlfn.STDEV.P(IF($E$5:$E$41=$E61,CE$5:CE$41))</f>
        <v>#DIV/0!</v>
      </c>
      <c r="CF62" s="83" t="e">
        <f t="array" ref="CF62">_xlfn.STDEV.P(IF($E$5:$E$41=$E61,CF$5:CF$41))</f>
        <v>#DIV/0!</v>
      </c>
      <c r="CG62" s="83" t="e">
        <f t="array" ref="CG62">_xlfn.STDEV.P(IF($E$5:$E$41=$E61,CG$5:CG$41))</f>
        <v>#DIV/0!</v>
      </c>
      <c r="CH62" s="83" t="e">
        <f t="array" ref="CH62">_xlfn.STDEV.P(IF($E$5:$E$41=$E61,CH$5:CH$41))</f>
        <v>#DIV/0!</v>
      </c>
      <c r="CI62" s="83" t="e">
        <f t="array" ref="CI62">_xlfn.STDEV.P(IF($E$5:$E$41=$E61,CI$5:CI$41))</f>
        <v>#DIV/0!</v>
      </c>
      <c r="CJ62" s="83" t="e">
        <f t="array" ref="CJ62">_xlfn.STDEV.P(IF($E$5:$E$41=$E61,CJ$5:CJ$41))</f>
        <v>#DIV/0!</v>
      </c>
      <c r="CK62" s="83" t="e">
        <f t="array" ref="CK62">_xlfn.STDEV.P(IF($E$5:$E$41=$E61,CK$5:CK$41))</f>
        <v>#DIV/0!</v>
      </c>
      <c r="CL62" s="85"/>
    </row>
    <row r="63" spans="1:90" ht="15">
      <c r="A63" s="129"/>
      <c r="E63" s="134"/>
      <c r="H63" s="58"/>
    </row>
    <row r="64" spans="1:90" ht="14.25" customHeight="1">
      <c r="A64" s="129"/>
      <c r="E64" s="134" t="str">
        <f>'RAD_DOSE Groups'!C12</f>
        <v>10.0 uCi Control</v>
      </c>
      <c r="H64" s="134" t="str">
        <f>E64</f>
        <v>10.0 uCi Control</v>
      </c>
      <c r="I64" s="120">
        <f>AVERAGEIF($E$5:$E$41,$E64,I$5:I$41)</f>
        <v>25.48</v>
      </c>
      <c r="J64" s="81" t="s">
        <v>10</v>
      </c>
      <c r="K64" s="87">
        <f t="shared" ref="K64:AW64" si="82">AVERAGEIF($E$5:$E$41,$E64,K$5:K$41)</f>
        <v>25.4</v>
      </c>
      <c r="L64" s="87">
        <f t="shared" si="82"/>
        <v>25.1</v>
      </c>
      <c r="M64" s="87">
        <f t="shared" si="82"/>
        <v>25.48</v>
      </c>
      <c r="N64" s="87">
        <f t="shared" si="82"/>
        <v>23.72</v>
      </c>
      <c r="O64" s="87">
        <f t="shared" si="82"/>
        <v>23.8</v>
      </c>
      <c r="P64" s="87">
        <f t="shared" si="82"/>
        <v>23.84</v>
      </c>
      <c r="Q64" s="87">
        <f t="shared" si="82"/>
        <v>23.94</v>
      </c>
      <c r="R64" s="87">
        <f t="shared" si="82"/>
        <v>24.24</v>
      </c>
      <c r="S64" s="87">
        <f t="shared" si="82"/>
        <v>24.580000000000002</v>
      </c>
      <c r="T64" s="87">
        <f t="shared" si="82"/>
        <v>26.68</v>
      </c>
      <c r="U64" s="87">
        <f t="shared" si="82"/>
        <v>26.459999999999997</v>
      </c>
      <c r="V64" s="87">
        <f t="shared" si="82"/>
        <v>26.28</v>
      </c>
      <c r="W64" s="87">
        <f t="shared" si="82"/>
        <v>26.079999999999995</v>
      </c>
      <c r="X64" s="87">
        <f t="shared" si="82"/>
        <v>25.959999999999997</v>
      </c>
      <c r="Y64" s="87">
        <f t="shared" si="82"/>
        <v>27</v>
      </c>
      <c r="Z64" s="87">
        <f t="shared" si="82"/>
        <v>26.774999999999999</v>
      </c>
      <c r="AA64" s="87">
        <f t="shared" si="82"/>
        <v>26.7</v>
      </c>
      <c r="AB64" s="87">
        <f t="shared" si="82"/>
        <v>27.049999999999997</v>
      </c>
      <c r="AC64" s="87">
        <f t="shared" si="82"/>
        <v>27.55</v>
      </c>
      <c r="AD64" s="87">
        <f t="shared" si="82"/>
        <v>27.45</v>
      </c>
      <c r="AE64" s="87">
        <f t="shared" si="82"/>
        <v>28.6</v>
      </c>
      <c r="AF64" s="87">
        <f t="shared" si="82"/>
        <v>28.6</v>
      </c>
      <c r="AG64" s="87" t="e">
        <f t="shared" si="82"/>
        <v>#DIV/0!</v>
      </c>
      <c r="AH64" s="87" t="e">
        <f t="shared" si="82"/>
        <v>#DIV/0!</v>
      </c>
      <c r="AI64" s="87" t="e">
        <f t="shared" si="82"/>
        <v>#DIV/0!</v>
      </c>
      <c r="AJ64" s="87" t="e">
        <f t="shared" si="82"/>
        <v>#DIV/0!</v>
      </c>
      <c r="AK64" s="87" t="e">
        <f t="shared" si="82"/>
        <v>#DIV/0!</v>
      </c>
      <c r="AL64" s="87" t="e">
        <f t="shared" si="82"/>
        <v>#DIV/0!</v>
      </c>
      <c r="AM64" s="87" t="e">
        <f t="shared" si="82"/>
        <v>#DIV/0!</v>
      </c>
      <c r="AN64" s="87" t="e">
        <f t="shared" si="82"/>
        <v>#DIV/0!</v>
      </c>
      <c r="AO64" s="87" t="e">
        <f t="shared" si="82"/>
        <v>#DIV/0!</v>
      </c>
      <c r="AP64" s="87" t="e">
        <f t="shared" si="82"/>
        <v>#DIV/0!</v>
      </c>
      <c r="AQ64" s="87" t="e">
        <f t="shared" si="82"/>
        <v>#DIV/0!</v>
      </c>
      <c r="AR64" s="87" t="e">
        <f t="shared" si="82"/>
        <v>#DIV/0!</v>
      </c>
      <c r="AS64" s="87" t="e">
        <f t="shared" si="82"/>
        <v>#DIV/0!</v>
      </c>
      <c r="AT64" s="87" t="e">
        <f t="shared" si="82"/>
        <v>#DIV/0!</v>
      </c>
      <c r="AU64" s="87" t="e">
        <f t="shared" si="82"/>
        <v>#DIV/0!</v>
      </c>
      <c r="AV64" s="87" t="e">
        <f t="shared" si="82"/>
        <v>#DIV/0!</v>
      </c>
      <c r="AW64" s="87" t="e">
        <f t="shared" si="82"/>
        <v>#DIV/0!</v>
      </c>
      <c r="AX64" s="114" t="s">
        <v>10</v>
      </c>
      <c r="AY64" s="82">
        <f t="shared" ref="AY64:CK64" si="83">AVERAGEIF($E$5:$E$41,$E64,AY$5:AY$41)</f>
        <v>0.99726427516691918</v>
      </c>
      <c r="AZ64" s="82">
        <f t="shared" si="83"/>
        <v>0.9853159585838609</v>
      </c>
      <c r="BA64" s="82">
        <f t="shared" si="83"/>
        <v>1</v>
      </c>
      <c r="BB64" s="82">
        <f t="shared" si="83"/>
        <v>0.9317237490581135</v>
      </c>
      <c r="BC64" s="82">
        <f t="shared" si="83"/>
        <v>0.934610443258031</v>
      </c>
      <c r="BD64" s="82">
        <f t="shared" si="83"/>
        <v>0.93595442987190347</v>
      </c>
      <c r="BE64" s="82">
        <f t="shared" si="83"/>
        <v>0.94002905920573698</v>
      </c>
      <c r="BF64" s="82">
        <f t="shared" si="83"/>
        <v>0.95202750440501183</v>
      </c>
      <c r="BG64" s="82">
        <f t="shared" si="83"/>
        <v>0.96499430464229441</v>
      </c>
      <c r="BH64" s="82">
        <f t="shared" si="83"/>
        <v>1.0485851533595896</v>
      </c>
      <c r="BI64" s="82">
        <f t="shared" si="83"/>
        <v>1.0790611963047665</v>
      </c>
      <c r="BJ64" s="82">
        <f t="shared" si="83"/>
        <v>1.0323784047185263</v>
      </c>
      <c r="BK64" s="82">
        <f t="shared" si="83"/>
        <v>1.0245928661488546</v>
      </c>
      <c r="BL64" s="82">
        <f t="shared" si="83"/>
        <v>1.0201252967685424</v>
      </c>
      <c r="BM64" s="82">
        <f t="shared" si="83"/>
        <v>1.0511492542087075</v>
      </c>
      <c r="BN64" s="82">
        <f t="shared" si="83"/>
        <v>1.042915483666115</v>
      </c>
      <c r="BO64" s="82">
        <f t="shared" si="83"/>
        <v>1.0335645386529053</v>
      </c>
      <c r="BP64" s="82">
        <f t="shared" si="83"/>
        <v>1.070269423558897</v>
      </c>
      <c r="BQ64" s="82">
        <f t="shared" si="83"/>
        <v>1.0898809523809523</v>
      </c>
      <c r="BR64" s="82">
        <f t="shared" si="83"/>
        <v>1.0857142857142856</v>
      </c>
      <c r="BS64" s="82">
        <f t="shared" si="83"/>
        <v>1.0751879699248121</v>
      </c>
      <c r="BT64" s="82">
        <f t="shared" si="83"/>
        <v>1.0751879699248121</v>
      </c>
      <c r="BU64" s="82" t="e">
        <f t="shared" si="83"/>
        <v>#DIV/0!</v>
      </c>
      <c r="BV64" s="82" t="e">
        <f t="shared" si="83"/>
        <v>#DIV/0!</v>
      </c>
      <c r="BW64" s="82" t="e">
        <f t="shared" si="83"/>
        <v>#DIV/0!</v>
      </c>
      <c r="BX64" s="82" t="e">
        <f t="shared" si="83"/>
        <v>#DIV/0!</v>
      </c>
      <c r="BY64" s="82" t="e">
        <f t="shared" si="83"/>
        <v>#DIV/0!</v>
      </c>
      <c r="BZ64" s="82" t="e">
        <f t="shared" si="83"/>
        <v>#DIV/0!</v>
      </c>
      <c r="CA64" s="82" t="e">
        <f t="shared" si="83"/>
        <v>#DIV/0!</v>
      </c>
      <c r="CB64" s="82" t="e">
        <f t="shared" si="83"/>
        <v>#DIV/0!</v>
      </c>
      <c r="CC64" s="82" t="e">
        <f t="shared" si="83"/>
        <v>#DIV/0!</v>
      </c>
      <c r="CD64" s="82" t="e">
        <f t="shared" si="83"/>
        <v>#DIV/0!</v>
      </c>
      <c r="CE64" s="82" t="e">
        <f t="shared" si="83"/>
        <v>#DIV/0!</v>
      </c>
      <c r="CF64" s="82" t="e">
        <f t="shared" si="83"/>
        <v>#DIV/0!</v>
      </c>
      <c r="CG64" s="82" t="e">
        <f t="shared" si="83"/>
        <v>#DIV/0!</v>
      </c>
      <c r="CH64" s="82" t="e">
        <f t="shared" si="83"/>
        <v>#DIV/0!</v>
      </c>
      <c r="CI64" s="82" t="e">
        <f t="shared" si="83"/>
        <v>#DIV/0!</v>
      </c>
      <c r="CJ64" s="82" t="e">
        <f t="shared" si="83"/>
        <v>#DIV/0!</v>
      </c>
      <c r="CK64" s="82" t="e">
        <f t="shared" si="83"/>
        <v>#DIV/0!</v>
      </c>
      <c r="CL64" s="85"/>
    </row>
    <row r="65" spans="1:90" ht="14.25" customHeight="1">
      <c r="A65" s="129"/>
      <c r="E65" s="134"/>
      <c r="H65" s="104"/>
      <c r="I65" s="120">
        <f t="array" ref="I65">_xlfn.STDEV.P(IF($E$5:$E$41=$E64,I$5:I$41))</f>
        <v>1.192308684863111</v>
      </c>
      <c r="J65" s="81" t="s">
        <v>12</v>
      </c>
      <c r="K65" s="90">
        <f t="array" ref="K65">_xlfn.STDEV.P(IF($E$5:$E$41=$E64,K$5:K$41))</f>
        <v>1.1366617790706266</v>
      </c>
      <c r="L65" s="90">
        <f t="array" ref="L65">_xlfn.STDEV.P(IF($E$5:$E$41=$E64,L$5:L$41))</f>
        <v>1.108151614175606</v>
      </c>
      <c r="M65" s="90">
        <f t="array" ref="M65">_xlfn.STDEV.P(IF($E$5:$E$41=$E64,M$5:M$41))</f>
        <v>1.192308684863111</v>
      </c>
      <c r="N65" s="90">
        <f t="array" ref="N65">_xlfn.STDEV.P(IF($E$5:$E$41=$E64,N$5:N$41))</f>
        <v>0.87040220587955763</v>
      </c>
      <c r="O65" s="90">
        <f t="array" ref="O65">_xlfn.STDEV.P(IF($E$5:$E$41=$E64,O$5:O$41))</f>
        <v>0.86717933554715199</v>
      </c>
      <c r="P65" s="90">
        <f t="array" ref="P65">_xlfn.STDEV.P(IF($E$5:$E$41=$E64,P$5:P$41))</f>
        <v>1.0111379727811634</v>
      </c>
      <c r="Q65" s="90">
        <f t="array" ref="Q65">_xlfn.STDEV.P(IF($E$5:$E$41=$E64,Q$5:Q$41))</f>
        <v>0.94572723340295084</v>
      </c>
      <c r="R65" s="90">
        <f t="array" ref="R65">_xlfn.STDEV.P(IF($E$5:$E$41=$E64,R$5:R$41))</f>
        <v>0.78128099938498397</v>
      </c>
      <c r="S65" s="90">
        <f t="array" ref="S65">_xlfn.STDEV.P(IF($E$5:$E$41=$E64,S$5:S$41))</f>
        <v>1.0146920715172654</v>
      </c>
      <c r="T65" s="90">
        <f t="array" ref="T65">_xlfn.STDEV.P(IF($E$5:$E$41=$E64,T$5:T$41))</f>
        <v>0.45343136195018602</v>
      </c>
      <c r="U65" s="90">
        <f t="array" ref="U65">_xlfn.STDEV.P(IF($E$5:$E$41=$E64,U$5:U$41))</f>
        <v>1.0209799214480164</v>
      </c>
      <c r="V65" s="90">
        <f t="array" ref="V65">_xlfn.STDEV.P(IF($E$5:$E$41=$E64,V$5:V$41))</f>
        <v>0.91956511460581236</v>
      </c>
      <c r="W65" s="90">
        <f t="array" ref="W65">_xlfn.STDEV.P(IF($E$5:$E$41=$E64,W$5:W$41))</f>
        <v>1.0495713410721541</v>
      </c>
      <c r="X65" s="90">
        <f t="array" ref="X65">_xlfn.STDEV.P(IF($E$5:$E$41=$E64,X$5:X$41))</f>
        <v>1.0613199329137279</v>
      </c>
      <c r="Y65" s="90">
        <f t="array" ref="Y65">_xlfn.STDEV.P(IF($E$5:$E$41=$E64,Y$5:Y$41))</f>
        <v>10.822384210514798</v>
      </c>
      <c r="Z65" s="90">
        <f t="array" ref="Z65">_xlfn.STDEV.P(IF($E$5:$E$41=$E64,Z$5:Z$41))</f>
        <v>10.757025611199412</v>
      </c>
      <c r="AA65" s="90">
        <f t="array" ref="AA65">_xlfn.STDEV.P(IF($E$5:$E$41=$E64,AA$5:AA$41))</f>
        <v>13.089904506909134</v>
      </c>
      <c r="AB65" s="90">
        <f t="array" ref="AB65">_xlfn.STDEV.P(IF($E$5:$E$41=$E64,AB$5:AB$41))</f>
        <v>13.262639254688338</v>
      </c>
      <c r="AC65" s="90">
        <f t="array" ref="AC65">_xlfn.STDEV.P(IF($E$5:$E$41=$E64,AC$5:AC$41))</f>
        <v>13.510055514319694</v>
      </c>
      <c r="AD65" s="90">
        <f t="array" ref="AD65">_xlfn.STDEV.P(IF($E$5:$E$41=$E64,AD$5:AD$41))</f>
        <v>13.464085561225465</v>
      </c>
      <c r="AE65" s="90">
        <f t="array" ref="AE65">_xlfn.STDEV.P(IF($E$5:$E$41=$E64,AE$5:AE$41))</f>
        <v>11.440000000000001</v>
      </c>
      <c r="AF65" s="90">
        <f t="array" ref="AF65">_xlfn.STDEV.P(IF($E$5:$E$41=$E64,AF$5:AF$41))</f>
        <v>11.440000000000001</v>
      </c>
      <c r="AG65" s="90">
        <f t="array" ref="AG65">_xlfn.STDEV.P(IF($E$5:$E$41=$E64,AG$5:AG$41))</f>
        <v>0</v>
      </c>
      <c r="AH65" s="90">
        <f t="array" ref="AH65">_xlfn.STDEV.P(IF($E$5:$E$41=$E64,AH$5:AH$41))</f>
        <v>0</v>
      </c>
      <c r="AI65" s="90">
        <f t="array" ref="AI65">_xlfn.STDEV.P(IF($E$5:$E$41=$E64,AI$5:AI$41))</f>
        <v>0</v>
      </c>
      <c r="AJ65" s="90">
        <f t="array" ref="AJ65">_xlfn.STDEV.P(IF($E$5:$E$41=$E64,AJ$5:AJ$41))</f>
        <v>0</v>
      </c>
      <c r="AK65" s="90">
        <f t="array" ref="AK65">_xlfn.STDEV.P(IF($E$5:$E$41=$E64,AK$5:AK$41))</f>
        <v>0</v>
      </c>
      <c r="AL65" s="90">
        <f t="array" ref="AL65">_xlfn.STDEV.P(IF($E$5:$E$41=$E64,AL$5:AL$41))</f>
        <v>0</v>
      </c>
      <c r="AM65" s="90">
        <f t="array" ref="AM65">_xlfn.STDEV.P(IF($E$5:$E$41=$E64,AM$5:AM$41))</f>
        <v>0</v>
      </c>
      <c r="AN65" s="90">
        <f t="array" ref="AN65">_xlfn.STDEV.P(IF($E$5:$E$41=$E64,AN$5:AN$41))</f>
        <v>0</v>
      </c>
      <c r="AO65" s="90">
        <f t="array" ref="AO65">_xlfn.STDEV.P(IF($E$5:$E$41=$E64,AO$5:AO$41))</f>
        <v>0</v>
      </c>
      <c r="AP65" s="90">
        <f t="array" ref="AP65">_xlfn.STDEV.P(IF($E$5:$E$41=$E64,AP$5:AP$41))</f>
        <v>0</v>
      </c>
      <c r="AQ65" s="90">
        <f t="array" ref="AQ65">_xlfn.STDEV.P(IF($E$5:$E$41=$E64,AQ$5:AQ$41))</f>
        <v>0</v>
      </c>
      <c r="AR65" s="90">
        <f t="array" ref="AR65">_xlfn.STDEV.P(IF($E$5:$E$41=$E64,AR$5:AR$41))</f>
        <v>0</v>
      </c>
      <c r="AS65" s="90">
        <f t="array" ref="AS65">_xlfn.STDEV.P(IF($E$5:$E$41=$E64,AS$5:AS$41))</f>
        <v>0</v>
      </c>
      <c r="AT65" s="90">
        <f t="array" ref="AT65">_xlfn.STDEV.P(IF($E$5:$E$41=$E64,AT$5:AT$41))</f>
        <v>0</v>
      </c>
      <c r="AU65" s="90">
        <f t="array" ref="AU65">_xlfn.STDEV.P(IF($E$5:$E$41=$E64,AU$5:AU$41))</f>
        <v>0</v>
      </c>
      <c r="AV65" s="90">
        <f t="array" ref="AV65">_xlfn.STDEV.P(IF($E$5:$E$41=$E64,AV$5:AV$41))</f>
        <v>0</v>
      </c>
      <c r="AW65" s="90">
        <f t="array" ref="AW65">_xlfn.STDEV.P(IF($E$5:$E$41=$E64,AW$5:AW$41))</f>
        <v>0</v>
      </c>
      <c r="AX65" s="115" t="s">
        <v>12</v>
      </c>
      <c r="AY65" s="83">
        <f t="array" ref="AY65">_xlfn.STDEV.P(IF($E$5:$E$41=$E64,AY$5:AY$41))</f>
        <v>2.5965104901944473E-2</v>
      </c>
      <c r="AZ65" s="83">
        <f t="array" ref="AZ65">_xlfn.STDEV.P(IF($E$5:$E$41=$E64,AZ$5:AZ$41))</f>
        <v>1.5645190918565696E-2</v>
      </c>
      <c r="BA65" s="83">
        <f t="array" ref="BA65">_xlfn.STDEV.P(IF($E$5:$E$41=$E64,BA$5:BA$41))</f>
        <v>0</v>
      </c>
      <c r="BB65" s="83">
        <f t="array" ref="BB65">_xlfn.STDEV.P(IF($E$5:$E$41=$E64,BB$5:BB$41))</f>
        <v>2.6958471639949366E-2</v>
      </c>
      <c r="BC65" s="83">
        <f t="array" ref="BC65">_xlfn.STDEV.P(IF($E$5:$E$41=$E64,BC$5:BC$41))</f>
        <v>1.6317742311020907E-2</v>
      </c>
      <c r="BD65" s="83">
        <f t="array" ref="BD65">_xlfn.STDEV.P(IF($E$5:$E$41=$E64,BD$5:BD$41))</f>
        <v>1.5824239158594811E-2</v>
      </c>
      <c r="BE65" s="83">
        <f t="array" ref="BE65">_xlfn.STDEV.P(IF($E$5:$E$41=$E64,BE$5:BE$41))</f>
        <v>1.8408168528626069E-2</v>
      </c>
      <c r="BF65" s="83">
        <f t="array" ref="BF65">_xlfn.STDEV.P(IF($E$5:$E$41=$E64,BF$5:BF$41))</f>
        <v>1.6979158581571119E-2</v>
      </c>
      <c r="BG65" s="83">
        <f t="array" ref="BG65">_xlfn.STDEV.P(IF($E$5:$E$41=$E64,BG$5:BG$41))</f>
        <v>1.326323662646464E-2</v>
      </c>
      <c r="BH65" s="83">
        <f t="array" ref="BH65">_xlfn.STDEV.P(IF($E$5:$E$41=$E64,BH$5:BH$41))</f>
        <v>3.2229778868971819E-2</v>
      </c>
      <c r="BI65" s="83">
        <f t="array" ref="BI65">_xlfn.STDEV.P(IF($E$5:$E$41=$E64,BI$5:BI$41))</f>
        <v>7.5696902432851862E-2</v>
      </c>
      <c r="BJ65" s="83">
        <f t="array" ref="BJ65">_xlfn.STDEV.P(IF($E$5:$E$41=$E64,BJ$5:BJ$41))</f>
        <v>3.0883209089828539E-2</v>
      </c>
      <c r="BK65" s="83">
        <f t="array" ref="BK65">_xlfn.STDEV.P(IF($E$5:$E$41=$E64,BK$5:BK$41))</f>
        <v>3.8855025961539565E-2</v>
      </c>
      <c r="BL65" s="83">
        <f t="array" ref="BL65">_xlfn.STDEV.P(IF($E$5:$E$41=$E64,BL$5:BL$41))</f>
        <v>4.5874372727688677E-2</v>
      </c>
      <c r="BM65" s="83">
        <f t="array" ref="BM65">_xlfn.STDEV.P(IF($E$5:$E$41=$E64,BM$5:BM$41))</f>
        <v>4.1335286043974656E-2</v>
      </c>
      <c r="BN65" s="83">
        <f t="array" ref="BN65">_xlfn.STDEV.P(IF($E$5:$E$41=$E64,BN$5:BN$41))</f>
        <v>6.1176300232850048E-2</v>
      </c>
      <c r="BO65" s="83">
        <f t="array" ref="BO65">_xlfn.STDEV.P(IF($E$5:$E$41=$E64,BO$5:BO$41))</f>
        <v>5.5961922092958125E-2</v>
      </c>
      <c r="BP65" s="83">
        <f t="array" ref="BP65">_xlfn.STDEV.P(IF($E$5:$E$41=$E64,BP$5:BP$41))</f>
        <v>2.139724310776947E-2</v>
      </c>
      <c r="BQ65" s="83">
        <f t="array" ref="BQ65">_xlfn.STDEV.P(IF($E$5:$E$41=$E64,BQ$5:BQ$41))</f>
        <v>1.8452380952380998E-2</v>
      </c>
      <c r="BR65" s="83">
        <f t="array" ref="BR65">_xlfn.STDEV.P(IF($E$5:$E$41=$E64,BR$5:BR$41))</f>
        <v>1.4285714285714235E-2</v>
      </c>
      <c r="BS65" s="83">
        <f t="array" ref="BS65">_xlfn.STDEV.P(IF($E$5:$E$41=$E64,BS$5:BS$41))</f>
        <v>0</v>
      </c>
      <c r="BT65" s="83">
        <f t="array" ref="BT65">_xlfn.STDEV.P(IF($E$5:$E$41=$E64,BT$5:BT$41))</f>
        <v>0</v>
      </c>
      <c r="BU65" s="83" t="e">
        <f t="array" ref="BU65">_xlfn.STDEV.P(IF($E$5:$E$41=$E64,BU$5:BU$41))</f>
        <v>#DIV/0!</v>
      </c>
      <c r="BV65" s="83" t="e">
        <f t="array" ref="BV65">_xlfn.STDEV.P(IF($E$5:$E$41=$E64,BV$5:BV$41))</f>
        <v>#DIV/0!</v>
      </c>
      <c r="BW65" s="83" t="e">
        <f t="array" ref="BW65">_xlfn.STDEV.P(IF($E$5:$E$41=$E64,BW$5:BW$41))</f>
        <v>#DIV/0!</v>
      </c>
      <c r="BX65" s="83" t="e">
        <f t="array" ref="BX65">_xlfn.STDEV.P(IF($E$5:$E$41=$E64,BX$5:BX$41))</f>
        <v>#DIV/0!</v>
      </c>
      <c r="BY65" s="83" t="e">
        <f t="array" ref="BY65">_xlfn.STDEV.P(IF($E$5:$E$41=$E64,BY$5:BY$41))</f>
        <v>#DIV/0!</v>
      </c>
      <c r="BZ65" s="83" t="e">
        <f t="array" ref="BZ65">_xlfn.STDEV.P(IF($E$5:$E$41=$E64,BZ$5:BZ$41))</f>
        <v>#DIV/0!</v>
      </c>
      <c r="CA65" s="83" t="e">
        <f t="array" ref="CA65">_xlfn.STDEV.P(IF($E$5:$E$41=$E64,CA$5:CA$41))</f>
        <v>#DIV/0!</v>
      </c>
      <c r="CB65" s="83" t="e">
        <f t="array" ref="CB65">_xlfn.STDEV.P(IF($E$5:$E$41=$E64,CB$5:CB$41))</f>
        <v>#DIV/0!</v>
      </c>
      <c r="CC65" s="83" t="e">
        <f t="array" ref="CC65">_xlfn.STDEV.P(IF($E$5:$E$41=$E64,CC$5:CC$41))</f>
        <v>#DIV/0!</v>
      </c>
      <c r="CD65" s="83" t="e">
        <f t="array" ref="CD65">_xlfn.STDEV.P(IF($E$5:$E$41=$E64,CD$5:CD$41))</f>
        <v>#DIV/0!</v>
      </c>
      <c r="CE65" s="83" t="e">
        <f t="array" ref="CE65">_xlfn.STDEV.P(IF($E$5:$E$41=$E64,CE$5:CE$41))</f>
        <v>#DIV/0!</v>
      </c>
      <c r="CF65" s="83" t="e">
        <f t="array" ref="CF65">_xlfn.STDEV.P(IF($E$5:$E$41=$E64,CF$5:CF$41))</f>
        <v>#DIV/0!</v>
      </c>
      <c r="CG65" s="83" t="e">
        <f t="array" ref="CG65">_xlfn.STDEV.P(IF($E$5:$E$41=$E64,CG$5:CG$41))</f>
        <v>#DIV/0!</v>
      </c>
      <c r="CH65" s="83" t="e">
        <f t="array" ref="CH65">_xlfn.STDEV.P(IF($E$5:$E$41=$E64,CH$5:CH$41))</f>
        <v>#DIV/0!</v>
      </c>
      <c r="CI65" s="83" t="e">
        <f t="array" ref="CI65">_xlfn.STDEV.P(IF($E$5:$E$41=$E64,CI$5:CI$41))</f>
        <v>#DIV/0!</v>
      </c>
      <c r="CJ65" s="83" t="e">
        <f t="array" ref="CJ65">_xlfn.STDEV.P(IF($E$5:$E$41=$E64,CJ$5:CJ$41))</f>
        <v>#DIV/0!</v>
      </c>
      <c r="CK65" s="83" t="e">
        <f t="array" ref="CK65">_xlfn.STDEV.P(IF($E$5:$E$41=$E64,CK$5:CK$41))</f>
        <v>#DIV/0!</v>
      </c>
      <c r="CL65" s="85"/>
    </row>
    <row r="66" spans="1:90" ht="15">
      <c r="A66" s="129"/>
      <c r="E66" s="134"/>
      <c r="H66" s="58"/>
    </row>
    <row r="67" spans="1:90" ht="14.25" customHeight="1">
      <c r="A67" s="129"/>
      <c r="E67" s="134" t="str">
        <f>'RAD_DOSE Groups'!C13</f>
        <v>10.0 uCi + CP-PTX</v>
      </c>
      <c r="H67" s="134" t="str">
        <f>E67</f>
        <v>10.0 uCi + CP-PTX</v>
      </c>
      <c r="I67" s="120">
        <f>AVERAGEIF($E$5:$E$41,$E67,I$5:I$41)</f>
        <v>23.099999999999998</v>
      </c>
      <c r="J67" s="81" t="s">
        <v>10</v>
      </c>
      <c r="K67" s="87">
        <f t="shared" ref="K67:AW67" si="84">AVERAGEIF($E$5:$E$41,$E67,K$5:K$41)</f>
        <v>22.700000000000003</v>
      </c>
      <c r="L67" s="87">
        <f t="shared" si="84"/>
        <v>22.5</v>
      </c>
      <c r="M67" s="87">
        <f t="shared" si="84"/>
        <v>23.099999999999998</v>
      </c>
      <c r="N67" s="87">
        <f t="shared" si="84"/>
        <v>21.700000000000003</v>
      </c>
      <c r="O67" s="87">
        <f t="shared" si="84"/>
        <v>21.75</v>
      </c>
      <c r="P67" s="87">
        <f t="shared" si="84"/>
        <v>21.900000000000002</v>
      </c>
      <c r="Q67" s="87">
        <f t="shared" si="84"/>
        <v>22.1</v>
      </c>
      <c r="R67" s="87">
        <f t="shared" si="84"/>
        <v>22.075000000000003</v>
      </c>
      <c r="S67" s="87">
        <f t="shared" si="84"/>
        <v>22.5</v>
      </c>
      <c r="T67" s="87">
        <f t="shared" si="84"/>
        <v>24.324999999999996</v>
      </c>
      <c r="U67" s="87">
        <f t="shared" si="84"/>
        <v>24.524999999999999</v>
      </c>
      <c r="V67" s="87">
        <f t="shared" si="84"/>
        <v>24.15</v>
      </c>
      <c r="W67" s="87">
        <f t="shared" si="84"/>
        <v>23.725000000000001</v>
      </c>
      <c r="X67" s="87">
        <f t="shared" si="84"/>
        <v>23.85</v>
      </c>
      <c r="Y67" s="87">
        <f t="shared" si="84"/>
        <v>23.875</v>
      </c>
      <c r="Z67" s="87">
        <f t="shared" si="84"/>
        <v>23.524999999999999</v>
      </c>
      <c r="AA67" s="87">
        <f t="shared" si="84"/>
        <v>24.15</v>
      </c>
      <c r="AB67" s="87">
        <f t="shared" si="84"/>
        <v>24.4</v>
      </c>
      <c r="AC67" s="87">
        <f t="shared" si="84"/>
        <v>24.675000000000001</v>
      </c>
      <c r="AD67" s="87">
        <f t="shared" si="84"/>
        <v>25.475000000000001</v>
      </c>
      <c r="AE67" s="87">
        <f t="shared" si="84"/>
        <v>25.75</v>
      </c>
      <c r="AF67" s="87">
        <f t="shared" si="84"/>
        <v>25.824999999999999</v>
      </c>
      <c r="AG67" s="87">
        <f t="shared" si="84"/>
        <v>25.85</v>
      </c>
      <c r="AH67" s="87">
        <f t="shared" si="84"/>
        <v>24.400000000000002</v>
      </c>
      <c r="AI67" s="87">
        <f t="shared" si="84"/>
        <v>24.633333333333336</v>
      </c>
      <c r="AJ67" s="87">
        <f t="shared" si="84"/>
        <v>24.633333333333336</v>
      </c>
      <c r="AK67" s="87">
        <f t="shared" si="84"/>
        <v>25.2</v>
      </c>
      <c r="AL67" s="87">
        <f t="shared" si="84"/>
        <v>25.133333333333329</v>
      </c>
      <c r="AM67" s="87">
        <f t="shared" si="84"/>
        <v>26.2</v>
      </c>
      <c r="AN67" s="87">
        <f t="shared" si="84"/>
        <v>26.450000000000003</v>
      </c>
      <c r="AO67" s="87">
        <f t="shared" si="84"/>
        <v>25.950000000000003</v>
      </c>
      <c r="AP67" s="87">
        <f t="shared" si="84"/>
        <v>26.75</v>
      </c>
      <c r="AQ67" s="87">
        <f t="shared" si="84"/>
        <v>26.35</v>
      </c>
      <c r="AR67" s="87">
        <f t="shared" si="84"/>
        <v>23.7</v>
      </c>
      <c r="AS67" s="87">
        <f t="shared" si="84"/>
        <v>23.1</v>
      </c>
      <c r="AT67" s="87">
        <f t="shared" si="84"/>
        <v>23.7</v>
      </c>
      <c r="AU67" s="87">
        <f t="shared" si="84"/>
        <v>23.1</v>
      </c>
      <c r="AV67" s="87">
        <f t="shared" si="84"/>
        <v>23.9</v>
      </c>
      <c r="AW67" s="87" t="e">
        <f t="shared" si="84"/>
        <v>#DIV/0!</v>
      </c>
      <c r="AX67" s="114" t="s">
        <v>10</v>
      </c>
      <c r="AY67" s="82">
        <f t="shared" ref="AY67:CK67" si="85">AVERAGEIF($E$5:$E$41,$E67,AY$5:AY$41)</f>
        <v>0.98150941057985674</v>
      </c>
      <c r="AZ67" s="82">
        <f t="shared" si="85"/>
        <v>0.97381154511555057</v>
      </c>
      <c r="BA67" s="82">
        <f t="shared" si="85"/>
        <v>1</v>
      </c>
      <c r="BB67" s="82">
        <f t="shared" si="85"/>
        <v>0.93968820456518054</v>
      </c>
      <c r="BC67" s="82">
        <f t="shared" si="85"/>
        <v>0.94129725472547254</v>
      </c>
      <c r="BD67" s="82">
        <f t="shared" si="85"/>
        <v>0.94791329528650914</v>
      </c>
      <c r="BE67" s="82">
        <f t="shared" si="85"/>
        <v>0.95749672877190317</v>
      </c>
      <c r="BF67" s="82">
        <f t="shared" si="85"/>
        <v>0.95553241657363785</v>
      </c>
      <c r="BG67" s="82">
        <f t="shared" si="85"/>
        <v>0.97458795950617794</v>
      </c>
      <c r="BH67" s="82">
        <f t="shared" si="85"/>
        <v>1.0540213365898277</v>
      </c>
      <c r="BI67" s="82">
        <f t="shared" si="85"/>
        <v>1.0625605250257169</v>
      </c>
      <c r="BJ67" s="82">
        <f t="shared" si="85"/>
        <v>1.0456567369399279</v>
      </c>
      <c r="BK67" s="82">
        <f t="shared" si="85"/>
        <v>1.0277225165698387</v>
      </c>
      <c r="BL67" s="82">
        <f t="shared" si="85"/>
        <v>1.0334535698395326</v>
      </c>
      <c r="BM67" s="82">
        <f t="shared" si="85"/>
        <v>1.0333850539579121</v>
      </c>
      <c r="BN67" s="82">
        <f t="shared" si="85"/>
        <v>1.0163279441783464</v>
      </c>
      <c r="BO67" s="82">
        <f t="shared" si="85"/>
        <v>1.0433518088010101</v>
      </c>
      <c r="BP67" s="82">
        <f t="shared" si="85"/>
        <v>1.053749921461302</v>
      </c>
      <c r="BQ67" s="82">
        <f t="shared" si="85"/>
        <v>1.0666379277436673</v>
      </c>
      <c r="BR67" s="82">
        <f t="shared" si="85"/>
        <v>1.1003966112926227</v>
      </c>
      <c r="BS67" s="82">
        <f t="shared" si="85"/>
        <v>1.1142423901481058</v>
      </c>
      <c r="BT67" s="82">
        <f t="shared" si="85"/>
        <v>1.1172336757316153</v>
      </c>
      <c r="BU67" s="82">
        <f t="shared" si="85"/>
        <v>1.1190935588587267</v>
      </c>
      <c r="BV67" s="82">
        <f t="shared" si="85"/>
        <v>1.0981275887328994</v>
      </c>
      <c r="BW67" s="82">
        <f t="shared" si="85"/>
        <v>1.1094652890613739</v>
      </c>
      <c r="BX67" s="82">
        <f t="shared" si="85"/>
        <v>1.1091925345131914</v>
      </c>
      <c r="BY67" s="82">
        <f t="shared" si="85"/>
        <v>1.1335453756414602</v>
      </c>
      <c r="BZ67" s="82">
        <f t="shared" si="85"/>
        <v>1.1296402367509477</v>
      </c>
      <c r="CA67" s="82">
        <f t="shared" si="85"/>
        <v>1.1782079587828915</v>
      </c>
      <c r="CB67" s="82">
        <f t="shared" si="85"/>
        <v>1.1316595336481701</v>
      </c>
      <c r="CC67" s="82">
        <f t="shared" si="85"/>
        <v>1.1101682408500593</v>
      </c>
      <c r="CD67" s="82">
        <f t="shared" si="85"/>
        <v>1.1445543093270367</v>
      </c>
      <c r="CE67" s="82">
        <f t="shared" si="85"/>
        <v>1.127029220779221</v>
      </c>
      <c r="CF67" s="82">
        <f t="shared" si="85"/>
        <v>1.0580357142857144</v>
      </c>
      <c r="CG67" s="82">
        <f t="shared" si="85"/>
        <v>1.0312500000000002</v>
      </c>
      <c r="CH67" s="82">
        <f t="shared" si="85"/>
        <v>1.0580357142857144</v>
      </c>
      <c r="CI67" s="82">
        <f t="shared" si="85"/>
        <v>1.0312500000000002</v>
      </c>
      <c r="CJ67" s="82">
        <f t="shared" si="85"/>
        <v>1.0669642857142858</v>
      </c>
      <c r="CK67" s="82" t="e">
        <f t="shared" si="85"/>
        <v>#DIV/0!</v>
      </c>
      <c r="CL67" s="85"/>
    </row>
    <row r="68" spans="1:90" ht="14.25" customHeight="1">
      <c r="A68" s="129"/>
      <c r="E68" s="104"/>
      <c r="H68" s="104"/>
      <c r="I68" s="120">
        <f t="array" ref="I68">_xlfn.STDEV.P(IF($E$5:$E$41=$E67,I$5:I$41))</f>
        <v>2.0223748416156693</v>
      </c>
      <c r="J68" s="81" t="s">
        <v>12</v>
      </c>
      <c r="K68" s="90">
        <f t="array" ref="K68">_xlfn.STDEV.P(IF($E$5:$E$41=$E67,K$5:K$41))</f>
        <v>2.3345235059857359</v>
      </c>
      <c r="L68" s="90">
        <f t="array" ref="L68">_xlfn.STDEV.P(IF($E$5:$E$41=$E67,L$5:L$41))</f>
        <v>2.021138293140774</v>
      </c>
      <c r="M68" s="90">
        <f t="array" ref="M68">_xlfn.STDEV.P(IF($E$5:$E$41=$E67,M$5:M$41))</f>
        <v>2.0223748416156693</v>
      </c>
      <c r="N68" s="90">
        <f t="array" ref="N68">_xlfn.STDEV.P(IF($E$5:$E$41=$E67,N$5:N$41))</f>
        <v>1.8261982367749672</v>
      </c>
      <c r="O68" s="90">
        <f t="array" ref="O68">_xlfn.STDEV.P(IF($E$5:$E$41=$E67,O$5:O$41))</f>
        <v>1.9729419656948866</v>
      </c>
      <c r="P68" s="90">
        <f t="array" ref="P68">_xlfn.STDEV.P(IF($E$5:$E$41=$E67,P$5:P$41))</f>
        <v>1.9710403344427025</v>
      </c>
      <c r="Q68" s="90">
        <f t="array" ref="Q68">_xlfn.STDEV.P(IF($E$5:$E$41=$E67,Q$5:Q$41))</f>
        <v>1.7874562931719478</v>
      </c>
      <c r="R68" s="90">
        <f t="array" ref="R68">_xlfn.STDEV.P(IF($E$5:$E$41=$E67,R$5:R$41))</f>
        <v>1.9929563467371789</v>
      </c>
      <c r="S68" s="90">
        <f t="array" ref="S68">_xlfn.STDEV.P(IF($E$5:$E$41=$E67,S$5:S$41))</f>
        <v>1.9222382786741081</v>
      </c>
      <c r="T68" s="90">
        <f t="array" ref="T68">_xlfn.STDEV.P(IF($E$5:$E$41=$E67,T$5:T$41))</f>
        <v>2.3657715443381258</v>
      </c>
      <c r="U68" s="90">
        <f t="array" ref="U68">_xlfn.STDEV.P(IF($E$5:$E$41=$E67,U$5:U$41))</f>
        <v>2.4590394466132501</v>
      </c>
      <c r="V68" s="90">
        <f t="array" ref="V68">_xlfn.STDEV.P(IF($E$5:$E$41=$E67,V$5:V$41))</f>
        <v>2.6358110706194386</v>
      </c>
      <c r="W68" s="90">
        <f t="array" ref="W68">_xlfn.STDEV.P(IF($E$5:$E$41=$E67,W$5:W$41))</f>
        <v>2.5684382414222204</v>
      </c>
      <c r="X68" s="90">
        <f t="array" ref="X68">_xlfn.STDEV.P(IF($E$5:$E$41=$E67,X$5:X$41))</f>
        <v>2.6081602711489751</v>
      </c>
      <c r="Y68" s="90">
        <f t="array" ref="Y68">_xlfn.STDEV.P(IF($E$5:$E$41=$E67,Y$5:Y$41))</f>
        <v>2.9902968080108674</v>
      </c>
      <c r="Z68" s="90">
        <f t="array" ref="Z68">_xlfn.STDEV.P(IF($E$5:$E$41=$E67,Z$5:Z$41))</f>
        <v>3.2018549311297728</v>
      </c>
      <c r="AA68" s="90">
        <f t="array" ref="AA68">_xlfn.STDEV.P(IF($E$5:$E$41=$E67,AA$5:AA$41))</f>
        <v>3.4047760572466395</v>
      </c>
      <c r="AB68" s="90">
        <f t="array" ref="AB68">_xlfn.STDEV.P(IF($E$5:$E$41=$E67,AB$5:AB$41))</f>
        <v>3.3734255586866162</v>
      </c>
      <c r="AC68" s="90">
        <f t="array" ref="AC68">_xlfn.STDEV.P(IF($E$5:$E$41=$E67,AC$5:AC$41))</f>
        <v>3.1767711595266146</v>
      </c>
      <c r="AD68" s="90">
        <f t="array" ref="AD68">_xlfn.STDEV.P(IF($E$5:$E$41=$E67,AD$5:AD$41))</f>
        <v>3.2972526442479246</v>
      </c>
      <c r="AE68" s="90">
        <f t="array" ref="AE68">_xlfn.STDEV.P(IF($E$5:$E$41=$E67,AE$5:AE$41))</f>
        <v>2.8753260684659621</v>
      </c>
      <c r="AF68" s="90">
        <f t="array" ref="AF68">_xlfn.STDEV.P(IF($E$5:$E$41=$E67,AF$5:AF$41))</f>
        <v>2.9097895112877277</v>
      </c>
      <c r="AG68" s="90">
        <f t="array" ref="AG68">_xlfn.STDEV.P(IF($E$5:$E$41=$E67,AG$5:AG$41))</f>
        <v>2.8394541729001168</v>
      </c>
      <c r="AH68" s="90">
        <f t="array" ref="AH68">_xlfn.STDEV.P(IF($E$5:$E$41=$E67,AH$5:AH$41))</f>
        <v>10.744533493828385</v>
      </c>
      <c r="AI68" s="90">
        <f t="array" ref="AI68">_xlfn.STDEV.P(IF($E$5:$E$41=$E67,AI$5:AI$41))</f>
        <v>10.817896052375433</v>
      </c>
      <c r="AJ68" s="90">
        <f t="array" ref="AJ68">_xlfn.STDEV.P(IF($E$5:$E$41=$E67,AJ$5:AJ$41))</f>
        <v>10.82413391454485</v>
      </c>
      <c r="AK68" s="90">
        <f t="array" ref="AK68">_xlfn.STDEV.P(IF($E$5:$E$41=$E67,AK$5:AK$41))</f>
        <v>11.096170510586076</v>
      </c>
      <c r="AL68" s="90">
        <f t="array" ref="AL68">_xlfn.STDEV.P(IF($E$5:$E$41=$E67,AL$5:AL$41))</f>
        <v>11.120364202668904</v>
      </c>
      <c r="AM68" s="90">
        <f t="array" ref="AM68">_xlfn.STDEV.P(IF($E$5:$E$41=$E67,AM$5:AM$41))</f>
        <v>11.556059016810186</v>
      </c>
      <c r="AN68" s="90">
        <f t="array" ref="AN68">_xlfn.STDEV.P(IF($E$5:$E$41=$E67,AN$5:AN$41))</f>
        <v>13.411259262276603</v>
      </c>
      <c r="AO68" s="90">
        <f t="array" ref="AO68">_xlfn.STDEV.P(IF($E$5:$E$41=$E67,AO$5:AO$41))</f>
        <v>13.164796808154692</v>
      </c>
      <c r="AP68" s="90">
        <f t="array" ref="AP68">_xlfn.STDEV.P(IF($E$5:$E$41=$E67,AP$5:AP$41))</f>
        <v>13.559198907015118</v>
      </c>
      <c r="AQ68" s="90">
        <f t="array" ref="AQ68">_xlfn.STDEV.P(IF($E$5:$E$41=$E67,AQ$5:AQ$41))</f>
        <v>13.386256945091109</v>
      </c>
      <c r="AR68" s="90">
        <f t="array" ref="AR68">_xlfn.STDEV.P(IF($E$5:$E$41=$E67,AR$5:AR$41))</f>
        <v>10.262401034845597</v>
      </c>
      <c r="AS68" s="90">
        <f t="array" ref="AS68">_xlfn.STDEV.P(IF($E$5:$E$41=$E67,AS$5:AS$41))</f>
        <v>10.002593413710267</v>
      </c>
      <c r="AT68" s="90">
        <f t="array" ref="AT68">_xlfn.STDEV.P(IF($E$5:$E$41=$E67,AT$5:AT$41))</f>
        <v>10.262401034845597</v>
      </c>
      <c r="AU68" s="90">
        <f t="array" ref="AU68">_xlfn.STDEV.P(IF($E$5:$E$41=$E67,AU$5:AU$41))</f>
        <v>10.002593413710267</v>
      </c>
      <c r="AV68" s="90">
        <f t="array" ref="AV68">_xlfn.STDEV.P(IF($E$5:$E$41=$E67,AV$5:AV$41))</f>
        <v>10.349003575224041</v>
      </c>
      <c r="AW68" s="90">
        <f t="array" ref="AW68">_xlfn.STDEV.P(IF($E$5:$E$41=$E67,AW$5:AW$41))</f>
        <v>0</v>
      </c>
      <c r="AX68" s="115" t="s">
        <v>12</v>
      </c>
      <c r="AY68" s="83">
        <f t="array" ref="AY68">_xlfn.STDEV.P(IF($E$5:$E$41=$E67,AY$5:AY$41))</f>
        <v>2.5692434736678888E-2</v>
      </c>
      <c r="AZ68" s="83">
        <f t="array" ref="AZ68">_xlfn.STDEV.P(IF($E$5:$E$41=$E67,AZ$5:AZ$41))</f>
        <v>7.1682640715780947E-3</v>
      </c>
      <c r="BA68" s="83">
        <f t="array" ref="BA68">_xlfn.STDEV.P(IF($E$5:$E$41=$E67,BA$5:BA$41))</f>
        <v>0</v>
      </c>
      <c r="BB68" s="83">
        <f t="array" ref="BB68">_xlfn.STDEV.P(IF($E$5:$E$41=$E67,BB$5:BB$41))</f>
        <v>8.8660945053148938E-3</v>
      </c>
      <c r="BC68" s="83">
        <f t="array" ref="BC68">_xlfn.STDEV.P(IF($E$5:$E$41=$E67,BC$5:BC$41))</f>
        <v>7.6863076336977261E-3</v>
      </c>
      <c r="BD68" s="83">
        <f t="array" ref="BD68">_xlfn.STDEV.P(IF($E$5:$E$41=$E67,BD$5:BD$41))</f>
        <v>1.0685052134459957E-2</v>
      </c>
      <c r="BE68" s="83">
        <f t="array" ref="BE68">_xlfn.STDEV.P(IF($E$5:$E$41=$E67,BE$5:BE$41))</f>
        <v>1.8597507732200744E-2</v>
      </c>
      <c r="BF68" s="83">
        <f t="array" ref="BF68">_xlfn.STDEV.P(IF($E$5:$E$41=$E67,BF$5:BF$41))</f>
        <v>1.3082387702464121E-2</v>
      </c>
      <c r="BG68" s="83">
        <f t="array" ref="BG68">_xlfn.STDEV.P(IF($E$5:$E$41=$E67,BG$5:BG$41))</f>
        <v>2.4103267459255992E-2</v>
      </c>
      <c r="BH68" s="83">
        <f t="array" ref="BH68">_xlfn.STDEV.P(IF($E$5:$E$41=$E67,BH$5:BH$41))</f>
        <v>6.2582240191875527E-2</v>
      </c>
      <c r="BI68" s="83">
        <f t="array" ref="BI68">_xlfn.STDEV.P(IF($E$5:$E$41=$E67,BI$5:BI$41))</f>
        <v>6.5977104920026286E-2</v>
      </c>
      <c r="BJ68" s="83">
        <f t="array" ref="BJ68">_xlfn.STDEV.P(IF($E$5:$E$41=$E67,BJ$5:BJ$41))</f>
        <v>6.9573445106221876E-2</v>
      </c>
      <c r="BK68" s="83">
        <f t="array" ref="BK68">_xlfn.STDEV.P(IF($E$5:$E$41=$E67,BK$5:BK$41))</f>
        <v>7.420721457962548E-2</v>
      </c>
      <c r="BL68" s="83">
        <f t="array" ref="BL68">_xlfn.STDEV.P(IF($E$5:$E$41=$E67,BL$5:BL$41))</f>
        <v>8.0726125543977692E-2</v>
      </c>
      <c r="BM68" s="83">
        <f t="array" ref="BM68">_xlfn.STDEV.P(IF($E$5:$E$41=$E67,BM$5:BM$41))</f>
        <v>8.8872946246886478E-2</v>
      </c>
      <c r="BN68" s="83">
        <f t="array" ref="BN68">_xlfn.STDEV.P(IF($E$5:$E$41=$E67,BN$5:BN$41))</f>
        <v>8.0435092671339414E-2</v>
      </c>
      <c r="BO68" s="83">
        <f t="array" ref="BO68">_xlfn.STDEV.P(IF($E$5:$E$41=$E67,BO$5:BO$41))</f>
        <v>9.256711201383612E-2</v>
      </c>
      <c r="BP68" s="83">
        <f t="array" ref="BP68">_xlfn.STDEV.P(IF($E$5:$E$41=$E67,BP$5:BP$41))</f>
        <v>8.3725103185193731E-2</v>
      </c>
      <c r="BQ68" s="83">
        <f t="array" ref="BQ68">_xlfn.STDEV.P(IF($E$5:$E$41=$E67,BQ$5:BQ$41))</f>
        <v>8.1054203455979856E-2</v>
      </c>
      <c r="BR68" s="83">
        <f t="array" ref="BR68">_xlfn.STDEV.P(IF($E$5:$E$41=$E67,BR$5:BR$41))</f>
        <v>7.3525122028843079E-2</v>
      </c>
      <c r="BS68" s="83">
        <f t="array" ref="BS68">_xlfn.STDEV.P(IF($E$5:$E$41=$E67,BS$5:BS$41))</f>
        <v>6.8257192696830046E-2</v>
      </c>
      <c r="BT68" s="83">
        <f t="array" ref="BT68">_xlfn.STDEV.P(IF($E$5:$E$41=$E67,BT$5:BT$41))</f>
        <v>6.5329558791849388E-2</v>
      </c>
      <c r="BU68" s="83">
        <f t="array" ref="BU68">_xlfn.STDEV.P(IF($E$5:$E$41=$E67,BU$5:BU$41))</f>
        <v>7.1963544618525568E-2</v>
      </c>
      <c r="BV68" s="83">
        <f t="array" ref="BV68">_xlfn.STDEV.P(IF($E$5:$E$41=$E67,BV$5:BV$41))</f>
        <v>9.222356716523325E-2</v>
      </c>
      <c r="BW68" s="83">
        <f t="array" ref="BW68">_xlfn.STDEV.P(IF($E$5:$E$41=$E67,BW$5:BW$41))</f>
        <v>9.4948322139972133E-2</v>
      </c>
      <c r="BX68" s="83">
        <f t="array" ref="BX68">_xlfn.STDEV.P(IF($E$5:$E$41=$E67,BX$5:BX$41))</f>
        <v>9.3334386287845128E-2</v>
      </c>
      <c r="BY68" s="83">
        <f t="array" ref="BY68">_xlfn.STDEV.P(IF($E$5:$E$41=$E67,BY$5:BY$41))</f>
        <v>8.7228122013115486E-2</v>
      </c>
      <c r="BZ68" s="83">
        <f t="array" ref="BZ68">_xlfn.STDEV.P(IF($E$5:$E$41=$E67,BZ$5:BZ$41))</f>
        <v>9.1932447481211557E-2</v>
      </c>
      <c r="CA68" s="83">
        <f t="array" ref="CA68">_xlfn.STDEV.P(IF($E$5:$E$41=$E67,CA$5:CA$41))</f>
        <v>9.26827073489844E-2</v>
      </c>
      <c r="CB68" s="83">
        <f t="array" ref="CB68">_xlfn.STDEV.P(IF($E$5:$E$41=$E67,CB$5:CB$41))</f>
        <v>9.1480962219598561E-2</v>
      </c>
      <c r="CC68" s="83">
        <f t="array" ref="CC68">_xlfn.STDEV.P(IF($E$5:$E$41=$E67,CC$5:CC$41))</f>
        <v>9.2311097992916147E-2</v>
      </c>
      <c r="CD68" s="83">
        <f t="array" ref="CD68">_xlfn.STDEV.P(IF($E$5:$E$41=$E67,CD$5:CD$41))</f>
        <v>9.0982880755608009E-2</v>
      </c>
      <c r="CE68" s="83">
        <f t="array" ref="CE68">_xlfn.STDEV.P(IF($E$5:$E$41=$E67,CE$5:CE$41))</f>
        <v>0.10024350649350644</v>
      </c>
      <c r="CF68" s="83">
        <f t="array" ref="CF68">_xlfn.STDEV.P(IF($E$5:$E$41=$E67,CF$5:CF$41))</f>
        <v>0</v>
      </c>
      <c r="CG68" s="83">
        <f t="array" ref="CG68">_xlfn.STDEV.P(IF($E$5:$E$41=$E67,CG$5:CG$41))</f>
        <v>0</v>
      </c>
      <c r="CH68" s="83">
        <f t="array" ref="CH68">_xlfn.STDEV.P(IF($E$5:$E$41=$E67,CH$5:CH$41))</f>
        <v>0</v>
      </c>
      <c r="CI68" s="83">
        <f t="array" ref="CI68">_xlfn.STDEV.P(IF($E$5:$E$41=$E67,CI$5:CI$41))</f>
        <v>0</v>
      </c>
      <c r="CJ68" s="83">
        <f t="array" ref="CJ68">_xlfn.STDEV.P(IF($E$5:$E$41=$E67,CJ$5:CJ$41))</f>
        <v>0</v>
      </c>
      <c r="CK68" s="83" t="e">
        <f t="array" ref="CK68">_xlfn.STDEV.P(IF($E$5:$E$41=$E67,CK$5:CK$41))</f>
        <v>#DIV/0!</v>
      </c>
      <c r="CL68" s="85"/>
    </row>
    <row r="69" spans="1:90" ht="15">
      <c r="A69" s="129"/>
      <c r="E69" s="58"/>
      <c r="H69" s="58"/>
    </row>
    <row r="70" spans="1:90" ht="14.25" customHeight="1">
      <c r="A70" s="129"/>
      <c r="E70" s="134" t="str">
        <f>'RAD_DOSE Groups'!C14</f>
        <v>Group 9</v>
      </c>
      <c r="H70" s="134" t="str">
        <f>E70</f>
        <v>Group 9</v>
      </c>
      <c r="I70" s="120" t="e">
        <f>AVERAGEIF($E$5:$E$41,$E70,I$5:I$41)</f>
        <v>#DIV/0!</v>
      </c>
      <c r="J70" s="81" t="s">
        <v>10</v>
      </c>
      <c r="K70" s="87" t="e">
        <f t="shared" ref="K70:AW70" si="86">AVERAGEIF($E$5:$E$41,$E70,K$5:K$41)</f>
        <v>#DIV/0!</v>
      </c>
      <c r="L70" s="87" t="e">
        <f t="shared" si="86"/>
        <v>#DIV/0!</v>
      </c>
      <c r="M70" s="87" t="e">
        <f t="shared" si="86"/>
        <v>#DIV/0!</v>
      </c>
      <c r="N70" s="87" t="e">
        <f t="shared" si="86"/>
        <v>#DIV/0!</v>
      </c>
      <c r="O70" s="87" t="e">
        <f t="shared" si="86"/>
        <v>#DIV/0!</v>
      </c>
      <c r="P70" s="87" t="e">
        <f t="shared" si="86"/>
        <v>#DIV/0!</v>
      </c>
      <c r="Q70" s="87" t="e">
        <f t="shared" si="86"/>
        <v>#DIV/0!</v>
      </c>
      <c r="R70" s="87" t="e">
        <f t="shared" si="86"/>
        <v>#DIV/0!</v>
      </c>
      <c r="S70" s="87" t="e">
        <f t="shared" si="86"/>
        <v>#DIV/0!</v>
      </c>
      <c r="T70" s="87" t="e">
        <f t="shared" si="86"/>
        <v>#DIV/0!</v>
      </c>
      <c r="U70" s="87" t="e">
        <f t="shared" si="86"/>
        <v>#DIV/0!</v>
      </c>
      <c r="V70" s="87" t="e">
        <f t="shared" si="86"/>
        <v>#DIV/0!</v>
      </c>
      <c r="W70" s="87" t="e">
        <f t="shared" si="86"/>
        <v>#DIV/0!</v>
      </c>
      <c r="X70" s="87" t="e">
        <f t="shared" si="86"/>
        <v>#DIV/0!</v>
      </c>
      <c r="Y70" s="87" t="e">
        <f t="shared" si="86"/>
        <v>#DIV/0!</v>
      </c>
      <c r="Z70" s="87" t="e">
        <f t="shared" si="86"/>
        <v>#DIV/0!</v>
      </c>
      <c r="AA70" s="87" t="e">
        <f t="shared" si="86"/>
        <v>#DIV/0!</v>
      </c>
      <c r="AB70" s="87" t="e">
        <f t="shared" si="86"/>
        <v>#DIV/0!</v>
      </c>
      <c r="AC70" s="87" t="e">
        <f t="shared" si="86"/>
        <v>#DIV/0!</v>
      </c>
      <c r="AD70" s="87" t="e">
        <f t="shared" si="86"/>
        <v>#DIV/0!</v>
      </c>
      <c r="AE70" s="87" t="e">
        <f t="shared" si="86"/>
        <v>#DIV/0!</v>
      </c>
      <c r="AF70" s="87" t="e">
        <f t="shared" si="86"/>
        <v>#DIV/0!</v>
      </c>
      <c r="AG70" s="87" t="e">
        <f t="shared" si="86"/>
        <v>#DIV/0!</v>
      </c>
      <c r="AH70" s="87" t="e">
        <f t="shared" si="86"/>
        <v>#DIV/0!</v>
      </c>
      <c r="AI70" s="87" t="e">
        <f t="shared" si="86"/>
        <v>#DIV/0!</v>
      </c>
      <c r="AJ70" s="87" t="e">
        <f t="shared" si="86"/>
        <v>#DIV/0!</v>
      </c>
      <c r="AK70" s="87" t="e">
        <f t="shared" si="86"/>
        <v>#DIV/0!</v>
      </c>
      <c r="AL70" s="87" t="e">
        <f t="shared" si="86"/>
        <v>#DIV/0!</v>
      </c>
      <c r="AM70" s="87" t="e">
        <f t="shared" si="86"/>
        <v>#DIV/0!</v>
      </c>
      <c r="AN70" s="87" t="e">
        <f t="shared" si="86"/>
        <v>#DIV/0!</v>
      </c>
      <c r="AO70" s="87" t="e">
        <f t="shared" si="86"/>
        <v>#DIV/0!</v>
      </c>
      <c r="AP70" s="87" t="e">
        <f t="shared" si="86"/>
        <v>#DIV/0!</v>
      </c>
      <c r="AQ70" s="87" t="e">
        <f t="shared" si="86"/>
        <v>#DIV/0!</v>
      </c>
      <c r="AR70" s="87" t="e">
        <f t="shared" si="86"/>
        <v>#DIV/0!</v>
      </c>
      <c r="AS70" s="87" t="e">
        <f t="shared" si="86"/>
        <v>#DIV/0!</v>
      </c>
      <c r="AT70" s="87" t="e">
        <f t="shared" si="86"/>
        <v>#DIV/0!</v>
      </c>
      <c r="AU70" s="87" t="e">
        <f t="shared" si="86"/>
        <v>#DIV/0!</v>
      </c>
      <c r="AV70" s="87" t="e">
        <f t="shared" si="86"/>
        <v>#DIV/0!</v>
      </c>
      <c r="AW70" s="87" t="e">
        <f t="shared" si="86"/>
        <v>#DIV/0!</v>
      </c>
      <c r="AX70" s="114" t="s">
        <v>10</v>
      </c>
      <c r="AY70" s="82" t="e">
        <f t="shared" ref="AY70:CK70" si="87">AVERAGEIF($E$5:$E$41,$E70,AY$5:AY$41)</f>
        <v>#DIV/0!</v>
      </c>
      <c r="AZ70" s="82" t="e">
        <f t="shared" si="87"/>
        <v>#DIV/0!</v>
      </c>
      <c r="BA70" s="82" t="e">
        <f t="shared" si="87"/>
        <v>#DIV/0!</v>
      </c>
      <c r="BB70" s="82" t="e">
        <f t="shared" si="87"/>
        <v>#DIV/0!</v>
      </c>
      <c r="BC70" s="82" t="e">
        <f t="shared" si="87"/>
        <v>#DIV/0!</v>
      </c>
      <c r="BD70" s="82" t="e">
        <f t="shared" si="87"/>
        <v>#DIV/0!</v>
      </c>
      <c r="BE70" s="82" t="e">
        <f t="shared" si="87"/>
        <v>#DIV/0!</v>
      </c>
      <c r="BF70" s="82" t="e">
        <f t="shared" si="87"/>
        <v>#DIV/0!</v>
      </c>
      <c r="BG70" s="82" t="e">
        <f t="shared" si="87"/>
        <v>#DIV/0!</v>
      </c>
      <c r="BH70" s="82" t="e">
        <f t="shared" si="87"/>
        <v>#DIV/0!</v>
      </c>
      <c r="BI70" s="82" t="e">
        <f t="shared" si="87"/>
        <v>#DIV/0!</v>
      </c>
      <c r="BJ70" s="82" t="e">
        <f t="shared" si="87"/>
        <v>#DIV/0!</v>
      </c>
      <c r="BK70" s="82" t="e">
        <f t="shared" si="87"/>
        <v>#DIV/0!</v>
      </c>
      <c r="BL70" s="82" t="e">
        <f t="shared" si="87"/>
        <v>#DIV/0!</v>
      </c>
      <c r="BM70" s="82" t="e">
        <f t="shared" si="87"/>
        <v>#DIV/0!</v>
      </c>
      <c r="BN70" s="82" t="e">
        <f t="shared" si="87"/>
        <v>#DIV/0!</v>
      </c>
      <c r="BO70" s="82" t="e">
        <f t="shared" si="87"/>
        <v>#DIV/0!</v>
      </c>
      <c r="BP70" s="82" t="e">
        <f t="shared" si="87"/>
        <v>#DIV/0!</v>
      </c>
      <c r="BQ70" s="82" t="e">
        <f t="shared" si="87"/>
        <v>#DIV/0!</v>
      </c>
      <c r="BR70" s="82" t="e">
        <f t="shared" si="87"/>
        <v>#DIV/0!</v>
      </c>
      <c r="BS70" s="82" t="e">
        <f t="shared" si="87"/>
        <v>#DIV/0!</v>
      </c>
      <c r="BT70" s="82" t="e">
        <f t="shared" si="87"/>
        <v>#DIV/0!</v>
      </c>
      <c r="BU70" s="82" t="e">
        <f t="shared" si="87"/>
        <v>#DIV/0!</v>
      </c>
      <c r="BV70" s="82" t="e">
        <f t="shared" si="87"/>
        <v>#DIV/0!</v>
      </c>
      <c r="BW70" s="82" t="e">
        <f t="shared" si="87"/>
        <v>#DIV/0!</v>
      </c>
      <c r="BX70" s="82" t="e">
        <f t="shared" si="87"/>
        <v>#DIV/0!</v>
      </c>
      <c r="BY70" s="82" t="e">
        <f t="shared" si="87"/>
        <v>#DIV/0!</v>
      </c>
      <c r="BZ70" s="82" t="e">
        <f t="shared" si="87"/>
        <v>#DIV/0!</v>
      </c>
      <c r="CA70" s="82" t="e">
        <f t="shared" si="87"/>
        <v>#DIV/0!</v>
      </c>
      <c r="CB70" s="82" t="e">
        <f t="shared" si="87"/>
        <v>#DIV/0!</v>
      </c>
      <c r="CC70" s="82" t="e">
        <f t="shared" si="87"/>
        <v>#DIV/0!</v>
      </c>
      <c r="CD70" s="82" t="e">
        <f t="shared" si="87"/>
        <v>#DIV/0!</v>
      </c>
      <c r="CE70" s="82" t="e">
        <f t="shared" si="87"/>
        <v>#DIV/0!</v>
      </c>
      <c r="CF70" s="82" t="e">
        <f t="shared" si="87"/>
        <v>#DIV/0!</v>
      </c>
      <c r="CG70" s="82" t="e">
        <f t="shared" si="87"/>
        <v>#DIV/0!</v>
      </c>
      <c r="CH70" s="82" t="e">
        <f t="shared" si="87"/>
        <v>#DIV/0!</v>
      </c>
      <c r="CI70" s="82" t="e">
        <f t="shared" si="87"/>
        <v>#DIV/0!</v>
      </c>
      <c r="CJ70" s="82" t="e">
        <f t="shared" si="87"/>
        <v>#DIV/0!</v>
      </c>
      <c r="CK70" s="82" t="e">
        <f t="shared" si="87"/>
        <v>#DIV/0!</v>
      </c>
      <c r="CL70" s="85"/>
    </row>
    <row r="71" spans="1:90" ht="14.25" customHeight="1">
      <c r="A71" s="129"/>
      <c r="E71" s="134"/>
      <c r="H71" s="104"/>
      <c r="I71" s="120" t="e">
        <f t="array" ref="I71">_xlfn.STDEV.P(IF($E$5:$E$41=$E70,I$5:I$41))</f>
        <v>#DIV/0!</v>
      </c>
      <c r="J71" s="81" t="s">
        <v>12</v>
      </c>
      <c r="K71" s="90" t="e">
        <f t="array" ref="K71">_xlfn.STDEV.P(IF($E$5:$E$41=$E70,K$5:K$41))</f>
        <v>#DIV/0!</v>
      </c>
      <c r="L71" s="90" t="e">
        <f t="array" ref="L71">_xlfn.STDEV.P(IF($E$5:$E$41=$E70,L$5:L$41))</f>
        <v>#DIV/0!</v>
      </c>
      <c r="M71" s="90" t="e">
        <f t="array" ref="M71">_xlfn.STDEV.P(IF($E$5:$E$41=$E70,M$5:M$41))</f>
        <v>#DIV/0!</v>
      </c>
      <c r="N71" s="90" t="e">
        <f t="array" ref="N71">_xlfn.STDEV.P(IF($E$5:$E$41=$E70,N$5:N$41))</f>
        <v>#DIV/0!</v>
      </c>
      <c r="O71" s="90" t="e">
        <f t="array" ref="O71">_xlfn.STDEV.P(IF($E$5:$E$41=$E70,O$5:O$41))</f>
        <v>#DIV/0!</v>
      </c>
      <c r="P71" s="90" t="e">
        <f t="array" ref="P71">_xlfn.STDEV.P(IF($E$5:$E$41=$E70,P$5:P$41))</f>
        <v>#DIV/0!</v>
      </c>
      <c r="Q71" s="90" t="e">
        <f t="array" ref="Q71">_xlfn.STDEV.P(IF($E$5:$E$41=$E70,Q$5:Q$41))</f>
        <v>#DIV/0!</v>
      </c>
      <c r="R71" s="90" t="e">
        <f t="array" ref="R71">_xlfn.STDEV.P(IF($E$5:$E$41=$E70,R$5:R$41))</f>
        <v>#DIV/0!</v>
      </c>
      <c r="S71" s="90" t="e">
        <f t="array" ref="S71">_xlfn.STDEV.P(IF($E$5:$E$41=$E70,S$5:S$41))</f>
        <v>#DIV/0!</v>
      </c>
      <c r="T71" s="90" t="e">
        <f t="array" ref="T71">_xlfn.STDEV.P(IF($E$5:$E$41=$E70,T$5:T$41))</f>
        <v>#DIV/0!</v>
      </c>
      <c r="U71" s="90" t="e">
        <f t="array" ref="U71">_xlfn.STDEV.P(IF($E$5:$E$41=$E70,U$5:U$41))</f>
        <v>#DIV/0!</v>
      </c>
      <c r="V71" s="90" t="e">
        <f t="array" ref="V71">_xlfn.STDEV.P(IF($E$5:$E$41=$E70,V$5:V$41))</f>
        <v>#DIV/0!</v>
      </c>
      <c r="W71" s="90" t="e">
        <f t="array" ref="W71">_xlfn.STDEV.P(IF($E$5:$E$41=$E70,W$5:W$41))</f>
        <v>#DIV/0!</v>
      </c>
      <c r="X71" s="90" t="e">
        <f t="array" ref="X71">_xlfn.STDEV.P(IF($E$5:$E$41=$E70,X$5:X$41))</f>
        <v>#DIV/0!</v>
      </c>
      <c r="Y71" s="90" t="e">
        <f t="array" ref="Y71">_xlfn.STDEV.P(IF($E$5:$E$41=$E70,Y$5:Y$41))</f>
        <v>#DIV/0!</v>
      </c>
      <c r="Z71" s="90" t="e">
        <f t="array" ref="Z71">_xlfn.STDEV.P(IF($E$5:$E$41=$E70,Z$5:Z$41))</f>
        <v>#DIV/0!</v>
      </c>
      <c r="AA71" s="90" t="e">
        <f t="array" ref="AA71">_xlfn.STDEV.P(IF($E$5:$E$41=$E70,AA$5:AA$41))</f>
        <v>#DIV/0!</v>
      </c>
      <c r="AB71" s="90" t="e">
        <f t="array" ref="AB71">_xlfn.STDEV.P(IF($E$5:$E$41=$E70,AB$5:AB$41))</f>
        <v>#DIV/0!</v>
      </c>
      <c r="AC71" s="90" t="e">
        <f t="array" ref="AC71">_xlfn.STDEV.P(IF($E$5:$E$41=$E70,AC$5:AC$41))</f>
        <v>#DIV/0!</v>
      </c>
      <c r="AD71" s="90" t="e">
        <f t="array" ref="AD71">_xlfn.STDEV.P(IF($E$5:$E$41=$E70,AD$5:AD$41))</f>
        <v>#DIV/0!</v>
      </c>
      <c r="AE71" s="90" t="e">
        <f t="array" ref="AE71">_xlfn.STDEV.P(IF($E$5:$E$41=$E70,AE$5:AE$41))</f>
        <v>#DIV/0!</v>
      </c>
      <c r="AF71" s="90" t="e">
        <f t="array" ref="AF71">_xlfn.STDEV.P(IF($E$5:$E$41=$E70,AF$5:AF$41))</f>
        <v>#DIV/0!</v>
      </c>
      <c r="AG71" s="90" t="e">
        <f t="array" ref="AG71">_xlfn.STDEV.P(IF($E$5:$E$41=$E70,AG$5:AG$41))</f>
        <v>#DIV/0!</v>
      </c>
      <c r="AH71" s="90" t="e">
        <f t="array" ref="AH71">_xlfn.STDEV.P(IF($E$5:$E$41=$E70,AH$5:AH$41))</f>
        <v>#DIV/0!</v>
      </c>
      <c r="AI71" s="90" t="e">
        <f t="array" ref="AI71">_xlfn.STDEV.P(IF($E$5:$E$41=$E70,AI$5:AI$41))</f>
        <v>#DIV/0!</v>
      </c>
      <c r="AJ71" s="90" t="e">
        <f t="array" ref="AJ71">_xlfn.STDEV.P(IF($E$5:$E$41=$E70,AJ$5:AJ$41))</f>
        <v>#DIV/0!</v>
      </c>
      <c r="AK71" s="90" t="e">
        <f t="array" ref="AK71">_xlfn.STDEV.P(IF($E$5:$E$41=$E70,AK$5:AK$41))</f>
        <v>#DIV/0!</v>
      </c>
      <c r="AL71" s="90" t="e">
        <f t="array" ref="AL71">_xlfn.STDEV.P(IF($E$5:$E$41=$E70,AL$5:AL$41))</f>
        <v>#DIV/0!</v>
      </c>
      <c r="AM71" s="90" t="e">
        <f t="array" ref="AM71">_xlfn.STDEV.P(IF($E$5:$E$41=$E70,AM$5:AM$41))</f>
        <v>#DIV/0!</v>
      </c>
      <c r="AN71" s="90" t="e">
        <f t="array" ref="AN71">_xlfn.STDEV.P(IF($E$5:$E$41=$E70,AN$5:AN$41))</f>
        <v>#DIV/0!</v>
      </c>
      <c r="AO71" s="90" t="e">
        <f t="array" ref="AO71">_xlfn.STDEV.P(IF($E$5:$E$41=$E70,AO$5:AO$41))</f>
        <v>#DIV/0!</v>
      </c>
      <c r="AP71" s="90" t="e">
        <f t="array" ref="AP71">_xlfn.STDEV.P(IF($E$5:$E$41=$E70,AP$5:AP$41))</f>
        <v>#DIV/0!</v>
      </c>
      <c r="AQ71" s="90" t="e">
        <f t="array" ref="AQ71">_xlfn.STDEV.P(IF($E$5:$E$41=$E70,AQ$5:AQ$41))</f>
        <v>#DIV/0!</v>
      </c>
      <c r="AR71" s="90" t="e">
        <f t="array" ref="AR71">_xlfn.STDEV.P(IF($E$5:$E$41=$E70,AR$5:AR$41))</f>
        <v>#DIV/0!</v>
      </c>
      <c r="AS71" s="90" t="e">
        <f t="array" ref="AS71">_xlfn.STDEV.P(IF($E$5:$E$41=$E70,AS$5:AS$41))</f>
        <v>#DIV/0!</v>
      </c>
      <c r="AT71" s="90" t="e">
        <f t="array" ref="AT71">_xlfn.STDEV.P(IF($E$5:$E$41=$E70,AT$5:AT$41))</f>
        <v>#DIV/0!</v>
      </c>
      <c r="AU71" s="90" t="e">
        <f t="array" ref="AU71">_xlfn.STDEV.P(IF($E$5:$E$41=$E70,AU$5:AU$41))</f>
        <v>#DIV/0!</v>
      </c>
      <c r="AV71" s="90" t="e">
        <f t="array" ref="AV71">_xlfn.STDEV.P(IF($E$5:$E$41=$E70,AV$5:AV$41))</f>
        <v>#DIV/0!</v>
      </c>
      <c r="AW71" s="90" t="e">
        <f t="array" ref="AW71">_xlfn.STDEV.P(IF($E$5:$E$41=$E70,AW$5:AW$41))</f>
        <v>#DIV/0!</v>
      </c>
      <c r="AX71" s="115" t="s">
        <v>12</v>
      </c>
      <c r="AY71" s="83" t="e">
        <f t="array" ref="AY71">_xlfn.STDEV.P(IF($E$5:$E$41=$E70,AY$5:AY$41))</f>
        <v>#DIV/0!</v>
      </c>
      <c r="AZ71" s="83" t="e">
        <f t="array" ref="AZ71">_xlfn.STDEV.P(IF($E$5:$E$41=$E70,AZ$5:AZ$41))</f>
        <v>#DIV/0!</v>
      </c>
      <c r="BA71" s="83" t="e">
        <f t="array" ref="BA71">_xlfn.STDEV.P(IF($E$5:$E$41=$E70,BA$5:BA$41))</f>
        <v>#DIV/0!</v>
      </c>
      <c r="BB71" s="83" t="e">
        <f t="array" ref="BB71">_xlfn.STDEV.P(IF($E$5:$E$41=$E70,BB$5:BB$41))</f>
        <v>#DIV/0!</v>
      </c>
      <c r="BC71" s="83" t="e">
        <f t="array" ref="BC71">_xlfn.STDEV.P(IF($E$5:$E$41=$E70,BC$5:BC$41))</f>
        <v>#DIV/0!</v>
      </c>
      <c r="BD71" s="83" t="e">
        <f t="array" ref="BD71">_xlfn.STDEV.P(IF($E$5:$E$41=$E70,BD$5:BD$41))</f>
        <v>#DIV/0!</v>
      </c>
      <c r="BE71" s="83" t="e">
        <f t="array" ref="BE71">_xlfn.STDEV.P(IF($E$5:$E$41=$E70,BE$5:BE$41))</f>
        <v>#DIV/0!</v>
      </c>
      <c r="BF71" s="83" t="e">
        <f t="array" ref="BF71">_xlfn.STDEV.P(IF($E$5:$E$41=$E70,BF$5:BF$41))</f>
        <v>#DIV/0!</v>
      </c>
      <c r="BG71" s="83" t="e">
        <f t="array" ref="BG71">_xlfn.STDEV.P(IF($E$5:$E$41=$E70,BG$5:BG$41))</f>
        <v>#DIV/0!</v>
      </c>
      <c r="BH71" s="83" t="e">
        <f t="array" ref="BH71">_xlfn.STDEV.P(IF($E$5:$E$41=$E70,BH$5:BH$41))</f>
        <v>#DIV/0!</v>
      </c>
      <c r="BI71" s="83" t="e">
        <f t="array" ref="BI71">_xlfn.STDEV.P(IF($E$5:$E$41=$E70,BI$5:BI$41))</f>
        <v>#DIV/0!</v>
      </c>
      <c r="BJ71" s="83" t="e">
        <f t="array" ref="BJ71">_xlfn.STDEV.P(IF($E$5:$E$41=$E70,BJ$5:BJ$41))</f>
        <v>#DIV/0!</v>
      </c>
      <c r="BK71" s="83" t="e">
        <f t="array" ref="BK71">_xlfn.STDEV.P(IF($E$5:$E$41=$E70,BK$5:BK$41))</f>
        <v>#DIV/0!</v>
      </c>
      <c r="BL71" s="83" t="e">
        <f t="array" ref="BL71">_xlfn.STDEV.P(IF($E$5:$E$41=$E70,BL$5:BL$41))</f>
        <v>#DIV/0!</v>
      </c>
      <c r="BM71" s="83" t="e">
        <f t="array" ref="BM71">_xlfn.STDEV.P(IF($E$5:$E$41=$E70,BM$5:BM$41))</f>
        <v>#DIV/0!</v>
      </c>
      <c r="BN71" s="83" t="e">
        <f t="array" ref="BN71">_xlfn.STDEV.P(IF($E$5:$E$41=$E70,BN$5:BN$41))</f>
        <v>#DIV/0!</v>
      </c>
      <c r="BO71" s="83" t="e">
        <f t="array" ref="BO71">_xlfn.STDEV.P(IF($E$5:$E$41=$E70,BO$5:BO$41))</f>
        <v>#DIV/0!</v>
      </c>
      <c r="BP71" s="83" t="e">
        <f t="array" ref="BP71">_xlfn.STDEV.P(IF($E$5:$E$41=$E70,BP$5:BP$41))</f>
        <v>#DIV/0!</v>
      </c>
      <c r="BQ71" s="83" t="e">
        <f t="array" ref="BQ71">_xlfn.STDEV.P(IF($E$5:$E$41=$E70,BQ$5:BQ$41))</f>
        <v>#DIV/0!</v>
      </c>
      <c r="BR71" s="83" t="e">
        <f t="array" ref="BR71">_xlfn.STDEV.P(IF($E$5:$E$41=$E70,BR$5:BR$41))</f>
        <v>#DIV/0!</v>
      </c>
      <c r="BS71" s="83" t="e">
        <f t="array" ref="BS71">_xlfn.STDEV.P(IF($E$5:$E$41=$E70,BS$5:BS$41))</f>
        <v>#DIV/0!</v>
      </c>
      <c r="BT71" s="83" t="e">
        <f t="array" ref="BT71">_xlfn.STDEV.P(IF($E$5:$E$41=$E70,BT$5:BT$41))</f>
        <v>#DIV/0!</v>
      </c>
      <c r="BU71" s="83" t="e">
        <f t="array" ref="BU71">_xlfn.STDEV.P(IF($E$5:$E$41=$E70,BU$5:BU$41))</f>
        <v>#DIV/0!</v>
      </c>
      <c r="BV71" s="83" t="e">
        <f t="array" ref="BV71">_xlfn.STDEV.P(IF($E$5:$E$41=$E70,BV$5:BV$41))</f>
        <v>#DIV/0!</v>
      </c>
      <c r="BW71" s="83" t="e">
        <f t="array" ref="BW71">_xlfn.STDEV.P(IF($E$5:$E$41=$E70,BW$5:BW$41))</f>
        <v>#DIV/0!</v>
      </c>
      <c r="BX71" s="83" t="e">
        <f t="array" ref="BX71">_xlfn.STDEV.P(IF($E$5:$E$41=$E70,BX$5:BX$41))</f>
        <v>#DIV/0!</v>
      </c>
      <c r="BY71" s="83" t="e">
        <f t="array" ref="BY71">_xlfn.STDEV.P(IF($E$5:$E$41=$E70,BY$5:BY$41))</f>
        <v>#DIV/0!</v>
      </c>
      <c r="BZ71" s="83" t="e">
        <f t="array" ref="BZ71">_xlfn.STDEV.P(IF($E$5:$E$41=$E70,BZ$5:BZ$41))</f>
        <v>#DIV/0!</v>
      </c>
      <c r="CA71" s="83" t="e">
        <f t="array" ref="CA71">_xlfn.STDEV.P(IF($E$5:$E$41=$E70,CA$5:CA$41))</f>
        <v>#DIV/0!</v>
      </c>
      <c r="CB71" s="83" t="e">
        <f t="array" ref="CB71">_xlfn.STDEV.P(IF($E$5:$E$41=$E70,CB$5:CB$41))</f>
        <v>#DIV/0!</v>
      </c>
      <c r="CC71" s="83" t="e">
        <f t="array" ref="CC71">_xlfn.STDEV.P(IF($E$5:$E$41=$E70,CC$5:CC$41))</f>
        <v>#DIV/0!</v>
      </c>
      <c r="CD71" s="83" t="e">
        <f t="array" ref="CD71">_xlfn.STDEV.P(IF($E$5:$E$41=$E70,CD$5:CD$41))</f>
        <v>#DIV/0!</v>
      </c>
      <c r="CE71" s="83" t="e">
        <f t="array" ref="CE71">_xlfn.STDEV.P(IF($E$5:$E$41=$E70,CE$5:CE$41))</f>
        <v>#DIV/0!</v>
      </c>
      <c r="CF71" s="83" t="e">
        <f t="array" ref="CF71">_xlfn.STDEV.P(IF($E$5:$E$41=$E70,CF$5:CF$41))</f>
        <v>#DIV/0!</v>
      </c>
      <c r="CG71" s="83" t="e">
        <f t="array" ref="CG71">_xlfn.STDEV.P(IF($E$5:$E$41=$E70,CG$5:CG$41))</f>
        <v>#DIV/0!</v>
      </c>
      <c r="CH71" s="83" t="e">
        <f t="array" ref="CH71">_xlfn.STDEV.P(IF($E$5:$E$41=$E70,CH$5:CH$41))</f>
        <v>#DIV/0!</v>
      </c>
      <c r="CI71" s="83" t="e">
        <f t="array" ref="CI71">_xlfn.STDEV.P(IF($E$5:$E$41=$E70,CI$5:CI$41))</f>
        <v>#DIV/0!</v>
      </c>
      <c r="CJ71" s="83" t="e">
        <f t="array" ref="CJ71">_xlfn.STDEV.P(IF($E$5:$E$41=$E70,CJ$5:CJ$41))</f>
        <v>#DIV/0!</v>
      </c>
      <c r="CK71" s="83" t="e">
        <f t="array" ref="CK71">_xlfn.STDEV.P(IF($E$5:$E$41=$E70,CK$5:CK$41))</f>
        <v>#DIV/0!</v>
      </c>
      <c r="CL71" s="85"/>
    </row>
    <row r="72" spans="1:90" ht="15">
      <c r="A72" s="129"/>
      <c r="E72" s="134"/>
      <c r="H72" s="58"/>
    </row>
    <row r="73" spans="1:90" ht="14.25" customHeight="1">
      <c r="A73" s="129"/>
      <c r="E73" s="134" t="str">
        <f>'RAD_DOSE Groups'!C15</f>
        <v>Group 10</v>
      </c>
      <c r="H73" s="134" t="str">
        <f>E73</f>
        <v>Group 10</v>
      </c>
      <c r="I73" s="120" t="e">
        <f>AVERAGEIF($E$5:$E$41,$E73,I$5:I$41)</f>
        <v>#DIV/0!</v>
      </c>
      <c r="J73" s="81" t="s">
        <v>10</v>
      </c>
      <c r="K73" s="87" t="e">
        <f t="shared" ref="K73:AW73" si="88">AVERAGEIF($E$5:$E$41,$E73,K$5:K$41)</f>
        <v>#DIV/0!</v>
      </c>
      <c r="L73" s="87" t="e">
        <f t="shared" si="88"/>
        <v>#DIV/0!</v>
      </c>
      <c r="M73" s="87" t="e">
        <f t="shared" si="88"/>
        <v>#DIV/0!</v>
      </c>
      <c r="N73" s="87" t="e">
        <f t="shared" si="88"/>
        <v>#DIV/0!</v>
      </c>
      <c r="O73" s="87" t="e">
        <f t="shared" si="88"/>
        <v>#DIV/0!</v>
      </c>
      <c r="P73" s="87" t="e">
        <f t="shared" si="88"/>
        <v>#DIV/0!</v>
      </c>
      <c r="Q73" s="87" t="e">
        <f t="shared" si="88"/>
        <v>#DIV/0!</v>
      </c>
      <c r="R73" s="87" t="e">
        <f t="shared" si="88"/>
        <v>#DIV/0!</v>
      </c>
      <c r="S73" s="87" t="e">
        <f t="shared" si="88"/>
        <v>#DIV/0!</v>
      </c>
      <c r="T73" s="87" t="e">
        <f t="shared" si="88"/>
        <v>#DIV/0!</v>
      </c>
      <c r="U73" s="87" t="e">
        <f t="shared" si="88"/>
        <v>#DIV/0!</v>
      </c>
      <c r="V73" s="87" t="e">
        <f t="shared" si="88"/>
        <v>#DIV/0!</v>
      </c>
      <c r="W73" s="87" t="e">
        <f t="shared" si="88"/>
        <v>#DIV/0!</v>
      </c>
      <c r="X73" s="87" t="e">
        <f t="shared" si="88"/>
        <v>#DIV/0!</v>
      </c>
      <c r="Y73" s="87" t="e">
        <f t="shared" si="88"/>
        <v>#DIV/0!</v>
      </c>
      <c r="Z73" s="87" t="e">
        <f t="shared" si="88"/>
        <v>#DIV/0!</v>
      </c>
      <c r="AA73" s="87" t="e">
        <f t="shared" si="88"/>
        <v>#DIV/0!</v>
      </c>
      <c r="AB73" s="87" t="e">
        <f t="shared" si="88"/>
        <v>#DIV/0!</v>
      </c>
      <c r="AC73" s="87" t="e">
        <f t="shared" si="88"/>
        <v>#DIV/0!</v>
      </c>
      <c r="AD73" s="87" t="e">
        <f t="shared" si="88"/>
        <v>#DIV/0!</v>
      </c>
      <c r="AE73" s="87" t="e">
        <f t="shared" si="88"/>
        <v>#DIV/0!</v>
      </c>
      <c r="AF73" s="87" t="e">
        <f t="shared" si="88"/>
        <v>#DIV/0!</v>
      </c>
      <c r="AG73" s="87" t="e">
        <f t="shared" si="88"/>
        <v>#DIV/0!</v>
      </c>
      <c r="AH73" s="87" t="e">
        <f t="shared" si="88"/>
        <v>#DIV/0!</v>
      </c>
      <c r="AI73" s="87" t="e">
        <f t="shared" si="88"/>
        <v>#DIV/0!</v>
      </c>
      <c r="AJ73" s="87" t="e">
        <f t="shared" si="88"/>
        <v>#DIV/0!</v>
      </c>
      <c r="AK73" s="87" t="e">
        <f t="shared" si="88"/>
        <v>#DIV/0!</v>
      </c>
      <c r="AL73" s="87" t="e">
        <f t="shared" si="88"/>
        <v>#DIV/0!</v>
      </c>
      <c r="AM73" s="87" t="e">
        <f t="shared" si="88"/>
        <v>#DIV/0!</v>
      </c>
      <c r="AN73" s="87" t="e">
        <f t="shared" si="88"/>
        <v>#DIV/0!</v>
      </c>
      <c r="AO73" s="87" t="e">
        <f t="shared" si="88"/>
        <v>#DIV/0!</v>
      </c>
      <c r="AP73" s="87" t="e">
        <f t="shared" si="88"/>
        <v>#DIV/0!</v>
      </c>
      <c r="AQ73" s="87" t="e">
        <f t="shared" si="88"/>
        <v>#DIV/0!</v>
      </c>
      <c r="AR73" s="87" t="e">
        <f t="shared" si="88"/>
        <v>#DIV/0!</v>
      </c>
      <c r="AS73" s="87" t="e">
        <f t="shared" si="88"/>
        <v>#DIV/0!</v>
      </c>
      <c r="AT73" s="87" t="e">
        <f t="shared" si="88"/>
        <v>#DIV/0!</v>
      </c>
      <c r="AU73" s="87" t="e">
        <f t="shared" si="88"/>
        <v>#DIV/0!</v>
      </c>
      <c r="AV73" s="87" t="e">
        <f t="shared" si="88"/>
        <v>#DIV/0!</v>
      </c>
      <c r="AW73" s="87" t="e">
        <f t="shared" si="88"/>
        <v>#DIV/0!</v>
      </c>
      <c r="AX73" s="114" t="s">
        <v>10</v>
      </c>
      <c r="AY73" s="82" t="e">
        <f t="shared" ref="AY73:CK73" si="89">AVERAGEIF($E$5:$E$41,$E73,AY$5:AY$41)</f>
        <v>#DIV/0!</v>
      </c>
      <c r="AZ73" s="82" t="e">
        <f t="shared" si="89"/>
        <v>#DIV/0!</v>
      </c>
      <c r="BA73" s="82" t="e">
        <f t="shared" si="89"/>
        <v>#DIV/0!</v>
      </c>
      <c r="BB73" s="82" t="e">
        <f t="shared" si="89"/>
        <v>#DIV/0!</v>
      </c>
      <c r="BC73" s="82" t="e">
        <f t="shared" si="89"/>
        <v>#DIV/0!</v>
      </c>
      <c r="BD73" s="82" t="e">
        <f t="shared" si="89"/>
        <v>#DIV/0!</v>
      </c>
      <c r="BE73" s="82" t="e">
        <f t="shared" si="89"/>
        <v>#DIV/0!</v>
      </c>
      <c r="BF73" s="82" t="e">
        <f t="shared" si="89"/>
        <v>#DIV/0!</v>
      </c>
      <c r="BG73" s="82" t="e">
        <f t="shared" si="89"/>
        <v>#DIV/0!</v>
      </c>
      <c r="BH73" s="82" t="e">
        <f t="shared" si="89"/>
        <v>#DIV/0!</v>
      </c>
      <c r="BI73" s="82" t="e">
        <f t="shared" si="89"/>
        <v>#DIV/0!</v>
      </c>
      <c r="BJ73" s="82" t="e">
        <f t="shared" si="89"/>
        <v>#DIV/0!</v>
      </c>
      <c r="BK73" s="82" t="e">
        <f t="shared" si="89"/>
        <v>#DIV/0!</v>
      </c>
      <c r="BL73" s="82" t="e">
        <f t="shared" si="89"/>
        <v>#DIV/0!</v>
      </c>
      <c r="BM73" s="82" t="e">
        <f t="shared" si="89"/>
        <v>#DIV/0!</v>
      </c>
      <c r="BN73" s="82" t="e">
        <f t="shared" si="89"/>
        <v>#DIV/0!</v>
      </c>
      <c r="BO73" s="82" t="e">
        <f t="shared" si="89"/>
        <v>#DIV/0!</v>
      </c>
      <c r="BP73" s="82" t="e">
        <f t="shared" si="89"/>
        <v>#DIV/0!</v>
      </c>
      <c r="BQ73" s="82" t="e">
        <f t="shared" si="89"/>
        <v>#DIV/0!</v>
      </c>
      <c r="BR73" s="82" t="e">
        <f t="shared" si="89"/>
        <v>#DIV/0!</v>
      </c>
      <c r="BS73" s="82" t="e">
        <f t="shared" si="89"/>
        <v>#DIV/0!</v>
      </c>
      <c r="BT73" s="82" t="e">
        <f t="shared" si="89"/>
        <v>#DIV/0!</v>
      </c>
      <c r="BU73" s="82" t="e">
        <f t="shared" si="89"/>
        <v>#DIV/0!</v>
      </c>
      <c r="BV73" s="82" t="e">
        <f t="shared" si="89"/>
        <v>#DIV/0!</v>
      </c>
      <c r="BW73" s="82" t="e">
        <f t="shared" si="89"/>
        <v>#DIV/0!</v>
      </c>
      <c r="BX73" s="82" t="e">
        <f t="shared" si="89"/>
        <v>#DIV/0!</v>
      </c>
      <c r="BY73" s="82" t="e">
        <f t="shared" si="89"/>
        <v>#DIV/0!</v>
      </c>
      <c r="BZ73" s="82" t="e">
        <f t="shared" si="89"/>
        <v>#DIV/0!</v>
      </c>
      <c r="CA73" s="82" t="e">
        <f t="shared" si="89"/>
        <v>#DIV/0!</v>
      </c>
      <c r="CB73" s="82" t="e">
        <f t="shared" si="89"/>
        <v>#DIV/0!</v>
      </c>
      <c r="CC73" s="82" t="e">
        <f t="shared" si="89"/>
        <v>#DIV/0!</v>
      </c>
      <c r="CD73" s="82" t="e">
        <f t="shared" si="89"/>
        <v>#DIV/0!</v>
      </c>
      <c r="CE73" s="82" t="e">
        <f t="shared" si="89"/>
        <v>#DIV/0!</v>
      </c>
      <c r="CF73" s="82" t="e">
        <f t="shared" si="89"/>
        <v>#DIV/0!</v>
      </c>
      <c r="CG73" s="82" t="e">
        <f t="shared" si="89"/>
        <v>#DIV/0!</v>
      </c>
      <c r="CH73" s="82" t="e">
        <f t="shared" si="89"/>
        <v>#DIV/0!</v>
      </c>
      <c r="CI73" s="82" t="e">
        <f t="shared" si="89"/>
        <v>#DIV/0!</v>
      </c>
      <c r="CJ73" s="82" t="e">
        <f t="shared" si="89"/>
        <v>#DIV/0!</v>
      </c>
      <c r="CK73" s="82" t="e">
        <f t="shared" si="89"/>
        <v>#DIV/0!</v>
      </c>
      <c r="CL73" s="85"/>
    </row>
    <row r="74" spans="1:90" ht="14.25" customHeight="1">
      <c r="A74" s="129"/>
      <c r="E74" s="104"/>
      <c r="H74" s="104"/>
      <c r="I74" s="120" t="e">
        <f t="array" ref="I74">_xlfn.STDEV.P(IF($E$5:$E$41=$E73,I$5:I$41))</f>
        <v>#DIV/0!</v>
      </c>
      <c r="J74" s="81" t="s">
        <v>12</v>
      </c>
      <c r="K74" s="90" t="e">
        <f t="array" ref="K74">_xlfn.STDEV.P(IF($E$5:$E$41=$E73,K$5:K$41))</f>
        <v>#DIV/0!</v>
      </c>
      <c r="L74" s="90" t="e">
        <f t="array" ref="L74">_xlfn.STDEV.P(IF($E$5:$E$41=$E73,L$5:L$41))</f>
        <v>#DIV/0!</v>
      </c>
      <c r="M74" s="90" t="e">
        <f t="array" ref="M74">_xlfn.STDEV.P(IF($E$5:$E$41=$E73,M$5:M$41))</f>
        <v>#DIV/0!</v>
      </c>
      <c r="N74" s="90" t="e">
        <f t="array" ref="N74">_xlfn.STDEV.P(IF($E$5:$E$41=$E73,N$5:N$41))</f>
        <v>#DIV/0!</v>
      </c>
      <c r="O74" s="90" t="e">
        <f t="array" ref="O74">_xlfn.STDEV.P(IF($E$5:$E$41=$E73,O$5:O$41))</f>
        <v>#DIV/0!</v>
      </c>
      <c r="P74" s="90" t="e">
        <f t="array" ref="P74">_xlfn.STDEV.P(IF($E$5:$E$41=$E73,P$5:P$41))</f>
        <v>#DIV/0!</v>
      </c>
      <c r="Q74" s="90" t="e">
        <f t="array" ref="Q74">_xlfn.STDEV.P(IF($E$5:$E$41=$E73,Q$5:Q$41))</f>
        <v>#DIV/0!</v>
      </c>
      <c r="R74" s="90" t="e">
        <f t="array" ref="R74">_xlfn.STDEV.P(IF($E$5:$E$41=$E73,R$5:R$41))</f>
        <v>#DIV/0!</v>
      </c>
      <c r="S74" s="90" t="e">
        <f t="array" ref="S74">_xlfn.STDEV.P(IF($E$5:$E$41=$E73,S$5:S$41))</f>
        <v>#DIV/0!</v>
      </c>
      <c r="T74" s="90" t="e">
        <f t="array" ref="T74">_xlfn.STDEV.P(IF($E$5:$E$41=$E73,T$5:T$41))</f>
        <v>#DIV/0!</v>
      </c>
      <c r="U74" s="90" t="e">
        <f t="array" ref="U74">_xlfn.STDEV.P(IF($E$5:$E$41=$E73,U$5:U$41))</f>
        <v>#DIV/0!</v>
      </c>
      <c r="V74" s="90" t="e">
        <f t="array" ref="V74">_xlfn.STDEV.P(IF($E$5:$E$41=$E73,V$5:V$41))</f>
        <v>#DIV/0!</v>
      </c>
      <c r="W74" s="90" t="e">
        <f t="array" ref="W74">_xlfn.STDEV.P(IF($E$5:$E$41=$E73,W$5:W$41))</f>
        <v>#DIV/0!</v>
      </c>
      <c r="X74" s="90" t="e">
        <f t="array" ref="X74">_xlfn.STDEV.P(IF($E$5:$E$41=$E73,X$5:X$41))</f>
        <v>#DIV/0!</v>
      </c>
      <c r="Y74" s="90" t="e">
        <f t="array" ref="Y74">_xlfn.STDEV.P(IF($E$5:$E$41=$E73,Y$5:Y$41))</f>
        <v>#DIV/0!</v>
      </c>
      <c r="Z74" s="90" t="e">
        <f t="array" ref="Z74">_xlfn.STDEV.P(IF($E$5:$E$41=$E73,Z$5:Z$41))</f>
        <v>#DIV/0!</v>
      </c>
      <c r="AA74" s="90" t="e">
        <f t="array" ref="AA74">_xlfn.STDEV.P(IF($E$5:$E$41=$E73,AA$5:AA$41))</f>
        <v>#DIV/0!</v>
      </c>
      <c r="AB74" s="90" t="e">
        <f t="array" ref="AB74">_xlfn.STDEV.P(IF($E$5:$E$41=$E73,AB$5:AB$41))</f>
        <v>#DIV/0!</v>
      </c>
      <c r="AC74" s="90" t="e">
        <f t="array" ref="AC74">_xlfn.STDEV.P(IF($E$5:$E$41=$E73,AC$5:AC$41))</f>
        <v>#DIV/0!</v>
      </c>
      <c r="AD74" s="90" t="e">
        <f t="array" ref="AD74">_xlfn.STDEV.P(IF($E$5:$E$41=$E73,AD$5:AD$41))</f>
        <v>#DIV/0!</v>
      </c>
      <c r="AE74" s="90" t="e">
        <f t="array" ref="AE74">_xlfn.STDEV.P(IF($E$5:$E$41=$E73,AE$5:AE$41))</f>
        <v>#DIV/0!</v>
      </c>
      <c r="AF74" s="90" t="e">
        <f t="array" ref="AF74">_xlfn.STDEV.P(IF($E$5:$E$41=$E73,AF$5:AF$41))</f>
        <v>#DIV/0!</v>
      </c>
      <c r="AG74" s="90" t="e">
        <f t="array" ref="AG74">_xlfn.STDEV.P(IF($E$5:$E$41=$E73,AG$5:AG$41))</f>
        <v>#DIV/0!</v>
      </c>
      <c r="AH74" s="90" t="e">
        <f t="array" ref="AH74">_xlfn.STDEV.P(IF($E$5:$E$41=$E73,AH$5:AH$41))</f>
        <v>#DIV/0!</v>
      </c>
      <c r="AI74" s="90" t="e">
        <f t="array" ref="AI74">_xlfn.STDEV.P(IF($E$5:$E$41=$E73,AI$5:AI$41))</f>
        <v>#DIV/0!</v>
      </c>
      <c r="AJ74" s="90" t="e">
        <f t="array" ref="AJ74">_xlfn.STDEV.P(IF($E$5:$E$41=$E73,AJ$5:AJ$41))</f>
        <v>#DIV/0!</v>
      </c>
      <c r="AK74" s="90" t="e">
        <f t="array" ref="AK74">_xlfn.STDEV.P(IF($E$5:$E$41=$E73,AK$5:AK$41))</f>
        <v>#DIV/0!</v>
      </c>
      <c r="AL74" s="90" t="e">
        <f t="array" ref="AL74">_xlfn.STDEV.P(IF($E$5:$E$41=$E73,AL$5:AL$41))</f>
        <v>#DIV/0!</v>
      </c>
      <c r="AM74" s="90" t="e">
        <f t="array" ref="AM74">_xlfn.STDEV.P(IF($E$5:$E$41=$E73,AM$5:AM$41))</f>
        <v>#DIV/0!</v>
      </c>
      <c r="AN74" s="90" t="e">
        <f t="array" ref="AN74">_xlfn.STDEV.P(IF($E$5:$E$41=$E73,AN$5:AN$41))</f>
        <v>#DIV/0!</v>
      </c>
      <c r="AO74" s="90" t="e">
        <f t="array" ref="AO74">_xlfn.STDEV.P(IF($E$5:$E$41=$E73,AO$5:AO$41))</f>
        <v>#DIV/0!</v>
      </c>
      <c r="AP74" s="90" t="e">
        <f t="array" ref="AP74">_xlfn.STDEV.P(IF($E$5:$E$41=$E73,AP$5:AP$41))</f>
        <v>#DIV/0!</v>
      </c>
      <c r="AQ74" s="90" t="e">
        <f t="array" ref="AQ74">_xlfn.STDEV.P(IF($E$5:$E$41=$E73,AQ$5:AQ$41))</f>
        <v>#DIV/0!</v>
      </c>
      <c r="AR74" s="90" t="e">
        <f t="array" ref="AR74">_xlfn.STDEV.P(IF($E$5:$E$41=$E73,AR$5:AR$41))</f>
        <v>#DIV/0!</v>
      </c>
      <c r="AS74" s="90" t="e">
        <f t="array" ref="AS74">_xlfn.STDEV.P(IF($E$5:$E$41=$E73,AS$5:AS$41))</f>
        <v>#DIV/0!</v>
      </c>
      <c r="AT74" s="90" t="e">
        <f t="array" ref="AT74">_xlfn.STDEV.P(IF($E$5:$E$41=$E73,AT$5:AT$41))</f>
        <v>#DIV/0!</v>
      </c>
      <c r="AU74" s="90" t="e">
        <f t="array" ref="AU74">_xlfn.STDEV.P(IF($E$5:$E$41=$E73,AU$5:AU$41))</f>
        <v>#DIV/0!</v>
      </c>
      <c r="AV74" s="90" t="e">
        <f t="array" ref="AV74">_xlfn.STDEV.P(IF($E$5:$E$41=$E73,AV$5:AV$41))</f>
        <v>#DIV/0!</v>
      </c>
      <c r="AW74" s="90" t="e">
        <f t="array" ref="AW74">_xlfn.STDEV.P(IF($E$5:$E$41=$E73,AW$5:AW$41))</f>
        <v>#DIV/0!</v>
      </c>
      <c r="AX74" s="115" t="s">
        <v>12</v>
      </c>
      <c r="AY74" s="83" t="e">
        <f t="array" ref="AY74">_xlfn.STDEV.P(IF($E$5:$E$41=$E73,AY$5:AY$41))</f>
        <v>#DIV/0!</v>
      </c>
      <c r="AZ74" s="83" t="e">
        <f t="array" ref="AZ74">_xlfn.STDEV.P(IF($E$5:$E$41=$E73,AZ$5:AZ$41))</f>
        <v>#DIV/0!</v>
      </c>
      <c r="BA74" s="83" t="e">
        <f t="array" ref="BA74">_xlfn.STDEV.P(IF($E$5:$E$41=$E73,BA$5:BA$41))</f>
        <v>#DIV/0!</v>
      </c>
      <c r="BB74" s="83" t="e">
        <f t="array" ref="BB74">_xlfn.STDEV.P(IF($E$5:$E$41=$E73,BB$5:BB$41))</f>
        <v>#DIV/0!</v>
      </c>
      <c r="BC74" s="83" t="e">
        <f t="array" ref="BC74">_xlfn.STDEV.P(IF($E$5:$E$41=$E73,BC$5:BC$41))</f>
        <v>#DIV/0!</v>
      </c>
      <c r="BD74" s="83" t="e">
        <f t="array" ref="BD74">_xlfn.STDEV.P(IF($E$5:$E$41=$E73,BD$5:BD$41))</f>
        <v>#DIV/0!</v>
      </c>
      <c r="BE74" s="83" t="e">
        <f t="array" ref="BE74">_xlfn.STDEV.P(IF($E$5:$E$41=$E73,BE$5:BE$41))</f>
        <v>#DIV/0!</v>
      </c>
      <c r="BF74" s="83" t="e">
        <f t="array" ref="BF74">_xlfn.STDEV.P(IF($E$5:$E$41=$E73,BF$5:BF$41))</f>
        <v>#DIV/0!</v>
      </c>
      <c r="BG74" s="83" t="e">
        <f t="array" ref="BG74">_xlfn.STDEV.P(IF($E$5:$E$41=$E73,BG$5:BG$41))</f>
        <v>#DIV/0!</v>
      </c>
      <c r="BH74" s="83" t="e">
        <f t="array" ref="BH74">_xlfn.STDEV.P(IF($E$5:$E$41=$E73,BH$5:BH$41))</f>
        <v>#DIV/0!</v>
      </c>
      <c r="BI74" s="83" t="e">
        <f t="array" ref="BI74">_xlfn.STDEV.P(IF($E$5:$E$41=$E73,BI$5:BI$41))</f>
        <v>#DIV/0!</v>
      </c>
      <c r="BJ74" s="83" t="e">
        <f t="array" ref="BJ74">_xlfn.STDEV.P(IF($E$5:$E$41=$E73,BJ$5:BJ$41))</f>
        <v>#DIV/0!</v>
      </c>
      <c r="BK74" s="83" t="e">
        <f t="array" ref="BK74">_xlfn.STDEV.P(IF($E$5:$E$41=$E73,BK$5:BK$41))</f>
        <v>#DIV/0!</v>
      </c>
      <c r="BL74" s="83" t="e">
        <f t="array" ref="BL74">_xlfn.STDEV.P(IF($E$5:$E$41=$E73,BL$5:BL$41))</f>
        <v>#DIV/0!</v>
      </c>
      <c r="BM74" s="83" t="e">
        <f t="array" ref="BM74">_xlfn.STDEV.P(IF($E$5:$E$41=$E73,BM$5:BM$41))</f>
        <v>#DIV/0!</v>
      </c>
      <c r="BN74" s="83" t="e">
        <f t="array" ref="BN74">_xlfn.STDEV.P(IF($E$5:$E$41=$E73,BN$5:BN$41))</f>
        <v>#DIV/0!</v>
      </c>
      <c r="BO74" s="83" t="e">
        <f t="array" ref="BO74">_xlfn.STDEV.P(IF($E$5:$E$41=$E73,BO$5:BO$41))</f>
        <v>#DIV/0!</v>
      </c>
      <c r="BP74" s="83" t="e">
        <f t="array" ref="BP74">_xlfn.STDEV.P(IF($E$5:$E$41=$E73,BP$5:BP$41))</f>
        <v>#DIV/0!</v>
      </c>
      <c r="BQ74" s="83" t="e">
        <f t="array" ref="BQ74">_xlfn.STDEV.P(IF($E$5:$E$41=$E73,BQ$5:BQ$41))</f>
        <v>#DIV/0!</v>
      </c>
      <c r="BR74" s="83" t="e">
        <f t="array" ref="BR74">_xlfn.STDEV.P(IF($E$5:$E$41=$E73,BR$5:BR$41))</f>
        <v>#DIV/0!</v>
      </c>
      <c r="BS74" s="83" t="e">
        <f t="array" ref="BS74">_xlfn.STDEV.P(IF($E$5:$E$41=$E73,BS$5:BS$41))</f>
        <v>#DIV/0!</v>
      </c>
      <c r="BT74" s="83" t="e">
        <f t="array" ref="BT74">_xlfn.STDEV.P(IF($E$5:$E$41=$E73,BT$5:BT$41))</f>
        <v>#DIV/0!</v>
      </c>
      <c r="BU74" s="83" t="e">
        <f t="array" ref="BU74">_xlfn.STDEV.P(IF($E$5:$E$41=$E73,BU$5:BU$41))</f>
        <v>#DIV/0!</v>
      </c>
      <c r="BV74" s="83" t="e">
        <f t="array" ref="BV74">_xlfn.STDEV.P(IF($E$5:$E$41=$E73,BV$5:BV$41))</f>
        <v>#DIV/0!</v>
      </c>
      <c r="BW74" s="83" t="e">
        <f t="array" ref="BW74">_xlfn.STDEV.P(IF($E$5:$E$41=$E73,BW$5:BW$41))</f>
        <v>#DIV/0!</v>
      </c>
      <c r="BX74" s="83" t="e">
        <f t="array" ref="BX74">_xlfn.STDEV.P(IF($E$5:$E$41=$E73,BX$5:BX$41))</f>
        <v>#DIV/0!</v>
      </c>
      <c r="BY74" s="83" t="e">
        <f t="array" ref="BY74">_xlfn.STDEV.P(IF($E$5:$E$41=$E73,BY$5:BY$41))</f>
        <v>#DIV/0!</v>
      </c>
      <c r="BZ74" s="83" t="e">
        <f t="array" ref="BZ74">_xlfn.STDEV.P(IF($E$5:$E$41=$E73,BZ$5:BZ$41))</f>
        <v>#DIV/0!</v>
      </c>
      <c r="CA74" s="83" t="e">
        <f t="array" ref="CA74">_xlfn.STDEV.P(IF($E$5:$E$41=$E73,CA$5:CA$41))</f>
        <v>#DIV/0!</v>
      </c>
      <c r="CB74" s="83" t="e">
        <f t="array" ref="CB74">_xlfn.STDEV.P(IF($E$5:$E$41=$E73,CB$5:CB$41))</f>
        <v>#DIV/0!</v>
      </c>
      <c r="CC74" s="83" t="e">
        <f t="array" ref="CC74">_xlfn.STDEV.P(IF($E$5:$E$41=$E73,CC$5:CC$41))</f>
        <v>#DIV/0!</v>
      </c>
      <c r="CD74" s="83" t="e">
        <f t="array" ref="CD74">_xlfn.STDEV.P(IF($E$5:$E$41=$E73,CD$5:CD$41))</f>
        <v>#DIV/0!</v>
      </c>
      <c r="CE74" s="83" t="e">
        <f t="array" ref="CE74">_xlfn.STDEV.P(IF($E$5:$E$41=$E73,CE$5:CE$41))</f>
        <v>#DIV/0!</v>
      </c>
      <c r="CF74" s="83" t="e">
        <f t="array" ref="CF74">_xlfn.STDEV.P(IF($E$5:$E$41=$E73,CF$5:CF$41))</f>
        <v>#DIV/0!</v>
      </c>
      <c r="CG74" s="83" t="e">
        <f t="array" ref="CG74">_xlfn.STDEV.P(IF($E$5:$E$41=$E73,CG$5:CG$41))</f>
        <v>#DIV/0!</v>
      </c>
      <c r="CH74" s="83" t="e">
        <f t="array" ref="CH74">_xlfn.STDEV.P(IF($E$5:$E$41=$E73,CH$5:CH$41))</f>
        <v>#DIV/0!</v>
      </c>
      <c r="CI74" s="83" t="e">
        <f t="array" ref="CI74">_xlfn.STDEV.P(IF($E$5:$E$41=$E73,CI$5:CI$41))</f>
        <v>#DIV/0!</v>
      </c>
      <c r="CJ74" s="83" t="e">
        <f t="array" ref="CJ74">_xlfn.STDEV.P(IF($E$5:$E$41=$E73,CJ$5:CJ$41))</f>
        <v>#DIV/0!</v>
      </c>
      <c r="CK74" s="83" t="e">
        <f t="array" ref="CK74">_xlfn.STDEV.P(IF($E$5:$E$41=$E73,CK$5:CK$41))</f>
        <v>#DIV/0!</v>
      </c>
      <c r="CL74" s="85"/>
    </row>
    <row r="75" spans="1:90" ht="15">
      <c r="A75" s="129"/>
      <c r="E75" s="134"/>
      <c r="H75" s="58"/>
    </row>
    <row r="76" spans="1:90" ht="14.25" customHeight="1">
      <c r="A76" s="129"/>
      <c r="E76" s="134" t="str">
        <f>'RAD_DOSE Groups'!C16</f>
        <v>Group 11</v>
      </c>
      <c r="H76" s="134" t="str">
        <f>E76</f>
        <v>Group 11</v>
      </c>
      <c r="I76" s="120" t="e">
        <f>AVERAGEIF($E$5:$E$41,$E76,I$5:I$41)</f>
        <v>#DIV/0!</v>
      </c>
      <c r="J76" s="81" t="s">
        <v>10</v>
      </c>
      <c r="K76" s="87" t="e">
        <f t="shared" ref="K76:AW76" si="90">AVERAGEIF($E$5:$E$41,$E76,K$5:K$41)</f>
        <v>#DIV/0!</v>
      </c>
      <c r="L76" s="87" t="e">
        <f t="shared" si="90"/>
        <v>#DIV/0!</v>
      </c>
      <c r="M76" s="87" t="e">
        <f t="shared" si="90"/>
        <v>#DIV/0!</v>
      </c>
      <c r="N76" s="87" t="e">
        <f t="shared" si="90"/>
        <v>#DIV/0!</v>
      </c>
      <c r="O76" s="87" t="e">
        <f t="shared" si="90"/>
        <v>#DIV/0!</v>
      </c>
      <c r="P76" s="87" t="e">
        <f t="shared" si="90"/>
        <v>#DIV/0!</v>
      </c>
      <c r="Q76" s="87" t="e">
        <f t="shared" si="90"/>
        <v>#DIV/0!</v>
      </c>
      <c r="R76" s="87" t="e">
        <f t="shared" si="90"/>
        <v>#DIV/0!</v>
      </c>
      <c r="S76" s="87" t="e">
        <f t="shared" si="90"/>
        <v>#DIV/0!</v>
      </c>
      <c r="T76" s="87" t="e">
        <f t="shared" si="90"/>
        <v>#DIV/0!</v>
      </c>
      <c r="U76" s="87" t="e">
        <f t="shared" si="90"/>
        <v>#DIV/0!</v>
      </c>
      <c r="V76" s="87" t="e">
        <f t="shared" si="90"/>
        <v>#DIV/0!</v>
      </c>
      <c r="W76" s="87" t="e">
        <f t="shared" si="90"/>
        <v>#DIV/0!</v>
      </c>
      <c r="X76" s="87" t="e">
        <f t="shared" si="90"/>
        <v>#DIV/0!</v>
      </c>
      <c r="Y76" s="87" t="e">
        <f t="shared" si="90"/>
        <v>#DIV/0!</v>
      </c>
      <c r="Z76" s="87" t="e">
        <f t="shared" si="90"/>
        <v>#DIV/0!</v>
      </c>
      <c r="AA76" s="87" t="e">
        <f t="shared" si="90"/>
        <v>#DIV/0!</v>
      </c>
      <c r="AB76" s="87" t="e">
        <f t="shared" si="90"/>
        <v>#DIV/0!</v>
      </c>
      <c r="AC76" s="87" t="e">
        <f t="shared" si="90"/>
        <v>#DIV/0!</v>
      </c>
      <c r="AD76" s="87" t="e">
        <f t="shared" si="90"/>
        <v>#DIV/0!</v>
      </c>
      <c r="AE76" s="87" t="e">
        <f t="shared" si="90"/>
        <v>#DIV/0!</v>
      </c>
      <c r="AF76" s="87" t="e">
        <f t="shared" si="90"/>
        <v>#DIV/0!</v>
      </c>
      <c r="AG76" s="87" t="e">
        <f t="shared" si="90"/>
        <v>#DIV/0!</v>
      </c>
      <c r="AH76" s="87" t="e">
        <f t="shared" si="90"/>
        <v>#DIV/0!</v>
      </c>
      <c r="AI76" s="87" t="e">
        <f t="shared" si="90"/>
        <v>#DIV/0!</v>
      </c>
      <c r="AJ76" s="87" t="e">
        <f t="shared" si="90"/>
        <v>#DIV/0!</v>
      </c>
      <c r="AK76" s="87" t="e">
        <f t="shared" si="90"/>
        <v>#DIV/0!</v>
      </c>
      <c r="AL76" s="87" t="e">
        <f t="shared" si="90"/>
        <v>#DIV/0!</v>
      </c>
      <c r="AM76" s="87" t="e">
        <f t="shared" si="90"/>
        <v>#DIV/0!</v>
      </c>
      <c r="AN76" s="87" t="e">
        <f t="shared" si="90"/>
        <v>#DIV/0!</v>
      </c>
      <c r="AO76" s="87" t="e">
        <f t="shared" si="90"/>
        <v>#DIV/0!</v>
      </c>
      <c r="AP76" s="87" t="e">
        <f t="shared" si="90"/>
        <v>#DIV/0!</v>
      </c>
      <c r="AQ76" s="87" t="e">
        <f t="shared" si="90"/>
        <v>#DIV/0!</v>
      </c>
      <c r="AR76" s="87" t="e">
        <f t="shared" si="90"/>
        <v>#DIV/0!</v>
      </c>
      <c r="AS76" s="87" t="e">
        <f t="shared" si="90"/>
        <v>#DIV/0!</v>
      </c>
      <c r="AT76" s="87" t="e">
        <f t="shared" si="90"/>
        <v>#DIV/0!</v>
      </c>
      <c r="AU76" s="87" t="e">
        <f t="shared" si="90"/>
        <v>#DIV/0!</v>
      </c>
      <c r="AV76" s="87" t="e">
        <f t="shared" si="90"/>
        <v>#DIV/0!</v>
      </c>
      <c r="AW76" s="87" t="e">
        <f t="shared" si="90"/>
        <v>#DIV/0!</v>
      </c>
      <c r="AX76" s="114" t="s">
        <v>10</v>
      </c>
      <c r="AY76" s="82" t="e">
        <f t="shared" ref="AY76:CK76" si="91">AVERAGEIF($E$5:$E$41,$E76,AY$5:AY$41)</f>
        <v>#DIV/0!</v>
      </c>
      <c r="AZ76" s="82" t="e">
        <f t="shared" si="91"/>
        <v>#DIV/0!</v>
      </c>
      <c r="BA76" s="82" t="e">
        <f t="shared" si="91"/>
        <v>#DIV/0!</v>
      </c>
      <c r="BB76" s="82" t="e">
        <f t="shared" si="91"/>
        <v>#DIV/0!</v>
      </c>
      <c r="BC76" s="82" t="e">
        <f t="shared" si="91"/>
        <v>#DIV/0!</v>
      </c>
      <c r="BD76" s="82" t="e">
        <f t="shared" si="91"/>
        <v>#DIV/0!</v>
      </c>
      <c r="BE76" s="82" t="e">
        <f t="shared" si="91"/>
        <v>#DIV/0!</v>
      </c>
      <c r="BF76" s="82" t="e">
        <f t="shared" si="91"/>
        <v>#DIV/0!</v>
      </c>
      <c r="BG76" s="82" t="e">
        <f t="shared" si="91"/>
        <v>#DIV/0!</v>
      </c>
      <c r="BH76" s="82" t="e">
        <f t="shared" si="91"/>
        <v>#DIV/0!</v>
      </c>
      <c r="BI76" s="82" t="e">
        <f t="shared" si="91"/>
        <v>#DIV/0!</v>
      </c>
      <c r="BJ76" s="82" t="e">
        <f t="shared" si="91"/>
        <v>#DIV/0!</v>
      </c>
      <c r="BK76" s="82" t="e">
        <f t="shared" si="91"/>
        <v>#DIV/0!</v>
      </c>
      <c r="BL76" s="82" t="e">
        <f t="shared" si="91"/>
        <v>#DIV/0!</v>
      </c>
      <c r="BM76" s="82" t="e">
        <f t="shared" si="91"/>
        <v>#DIV/0!</v>
      </c>
      <c r="BN76" s="82" t="e">
        <f t="shared" si="91"/>
        <v>#DIV/0!</v>
      </c>
      <c r="BO76" s="82" t="e">
        <f t="shared" si="91"/>
        <v>#DIV/0!</v>
      </c>
      <c r="BP76" s="82" t="e">
        <f t="shared" si="91"/>
        <v>#DIV/0!</v>
      </c>
      <c r="BQ76" s="82" t="e">
        <f t="shared" si="91"/>
        <v>#DIV/0!</v>
      </c>
      <c r="BR76" s="82" t="e">
        <f t="shared" si="91"/>
        <v>#DIV/0!</v>
      </c>
      <c r="BS76" s="82" t="e">
        <f t="shared" si="91"/>
        <v>#DIV/0!</v>
      </c>
      <c r="BT76" s="82" t="e">
        <f t="shared" si="91"/>
        <v>#DIV/0!</v>
      </c>
      <c r="BU76" s="82" t="e">
        <f t="shared" si="91"/>
        <v>#DIV/0!</v>
      </c>
      <c r="BV76" s="82" t="e">
        <f t="shared" si="91"/>
        <v>#DIV/0!</v>
      </c>
      <c r="BW76" s="82" t="e">
        <f t="shared" si="91"/>
        <v>#DIV/0!</v>
      </c>
      <c r="BX76" s="82" t="e">
        <f t="shared" si="91"/>
        <v>#DIV/0!</v>
      </c>
      <c r="BY76" s="82" t="e">
        <f t="shared" si="91"/>
        <v>#DIV/0!</v>
      </c>
      <c r="BZ76" s="82" t="e">
        <f t="shared" si="91"/>
        <v>#DIV/0!</v>
      </c>
      <c r="CA76" s="82" t="e">
        <f t="shared" si="91"/>
        <v>#DIV/0!</v>
      </c>
      <c r="CB76" s="82" t="e">
        <f t="shared" si="91"/>
        <v>#DIV/0!</v>
      </c>
      <c r="CC76" s="82" t="e">
        <f t="shared" si="91"/>
        <v>#DIV/0!</v>
      </c>
      <c r="CD76" s="82" t="e">
        <f t="shared" si="91"/>
        <v>#DIV/0!</v>
      </c>
      <c r="CE76" s="82" t="e">
        <f t="shared" si="91"/>
        <v>#DIV/0!</v>
      </c>
      <c r="CF76" s="82" t="e">
        <f t="shared" si="91"/>
        <v>#DIV/0!</v>
      </c>
      <c r="CG76" s="82" t="e">
        <f t="shared" si="91"/>
        <v>#DIV/0!</v>
      </c>
      <c r="CH76" s="82" t="e">
        <f t="shared" si="91"/>
        <v>#DIV/0!</v>
      </c>
      <c r="CI76" s="82" t="e">
        <f t="shared" si="91"/>
        <v>#DIV/0!</v>
      </c>
      <c r="CJ76" s="82" t="e">
        <f t="shared" si="91"/>
        <v>#DIV/0!</v>
      </c>
      <c r="CK76" s="82" t="e">
        <f t="shared" si="91"/>
        <v>#DIV/0!</v>
      </c>
      <c r="CL76" s="85"/>
    </row>
    <row r="77" spans="1:90" ht="14.25" customHeight="1">
      <c r="A77" s="129"/>
      <c r="E77" s="104"/>
      <c r="H77" s="104"/>
      <c r="I77" s="120" t="e">
        <f t="array" ref="I77">_xlfn.STDEV.P(IF($E$5:$E$41=$E76,I$5:I$41))</f>
        <v>#DIV/0!</v>
      </c>
      <c r="J77" s="81" t="s">
        <v>12</v>
      </c>
      <c r="K77" s="90" t="e">
        <f t="array" ref="K77">_xlfn.STDEV.P(IF($E$5:$E$41=$E76,K$5:K$41))</f>
        <v>#DIV/0!</v>
      </c>
      <c r="L77" s="90" t="e">
        <f t="array" ref="L77">_xlfn.STDEV.P(IF($E$5:$E$41=$E76,L$5:L$41))</f>
        <v>#DIV/0!</v>
      </c>
      <c r="M77" s="90" t="e">
        <f t="array" ref="M77">_xlfn.STDEV.P(IF($E$5:$E$41=$E76,M$5:M$41))</f>
        <v>#DIV/0!</v>
      </c>
      <c r="N77" s="90" t="e">
        <f t="array" ref="N77">_xlfn.STDEV.P(IF($E$5:$E$41=$E76,N$5:N$41))</f>
        <v>#DIV/0!</v>
      </c>
      <c r="O77" s="90" t="e">
        <f t="array" ref="O77">_xlfn.STDEV.P(IF($E$5:$E$41=$E76,O$5:O$41))</f>
        <v>#DIV/0!</v>
      </c>
      <c r="P77" s="90" t="e">
        <f t="array" ref="P77">_xlfn.STDEV.P(IF($E$5:$E$41=$E76,P$5:P$41))</f>
        <v>#DIV/0!</v>
      </c>
      <c r="Q77" s="90" t="e">
        <f t="array" ref="Q77">_xlfn.STDEV.P(IF($E$5:$E$41=$E76,Q$5:Q$41))</f>
        <v>#DIV/0!</v>
      </c>
      <c r="R77" s="90" t="e">
        <f t="array" ref="R77">_xlfn.STDEV.P(IF($E$5:$E$41=$E76,R$5:R$41))</f>
        <v>#DIV/0!</v>
      </c>
      <c r="S77" s="90" t="e">
        <f t="array" ref="S77">_xlfn.STDEV.P(IF($E$5:$E$41=$E76,S$5:S$41))</f>
        <v>#DIV/0!</v>
      </c>
      <c r="T77" s="90" t="e">
        <f t="array" ref="T77">_xlfn.STDEV.P(IF($E$5:$E$41=$E76,T$5:T$41))</f>
        <v>#DIV/0!</v>
      </c>
      <c r="U77" s="90" t="e">
        <f t="array" ref="U77">_xlfn.STDEV.P(IF($E$5:$E$41=$E76,U$5:U$41))</f>
        <v>#DIV/0!</v>
      </c>
      <c r="V77" s="90" t="e">
        <f t="array" ref="V77">_xlfn.STDEV.P(IF($E$5:$E$41=$E76,V$5:V$41))</f>
        <v>#DIV/0!</v>
      </c>
      <c r="W77" s="90" t="e">
        <f t="array" ref="W77">_xlfn.STDEV.P(IF($E$5:$E$41=$E76,W$5:W$41))</f>
        <v>#DIV/0!</v>
      </c>
      <c r="X77" s="90" t="e">
        <f t="array" ref="X77">_xlfn.STDEV.P(IF($E$5:$E$41=$E76,X$5:X$41))</f>
        <v>#DIV/0!</v>
      </c>
      <c r="Y77" s="90" t="e">
        <f t="array" ref="Y77">_xlfn.STDEV.P(IF($E$5:$E$41=$E76,Y$5:Y$41))</f>
        <v>#DIV/0!</v>
      </c>
      <c r="Z77" s="90" t="e">
        <f t="array" ref="Z77">_xlfn.STDEV.P(IF($E$5:$E$41=$E76,Z$5:Z$41))</f>
        <v>#DIV/0!</v>
      </c>
      <c r="AA77" s="90" t="e">
        <f t="array" ref="AA77">_xlfn.STDEV.P(IF($E$5:$E$41=$E76,AA$5:AA$41))</f>
        <v>#DIV/0!</v>
      </c>
      <c r="AB77" s="90" t="e">
        <f t="array" ref="AB77">_xlfn.STDEV.P(IF($E$5:$E$41=$E76,AB$5:AB$41))</f>
        <v>#DIV/0!</v>
      </c>
      <c r="AC77" s="90" t="e">
        <f t="array" ref="AC77">_xlfn.STDEV.P(IF($E$5:$E$41=$E76,AC$5:AC$41))</f>
        <v>#DIV/0!</v>
      </c>
      <c r="AD77" s="90" t="e">
        <f t="array" ref="AD77">_xlfn.STDEV.P(IF($E$5:$E$41=$E76,AD$5:AD$41))</f>
        <v>#DIV/0!</v>
      </c>
      <c r="AE77" s="90" t="e">
        <f t="array" ref="AE77">_xlfn.STDEV.P(IF($E$5:$E$41=$E76,AE$5:AE$41))</f>
        <v>#DIV/0!</v>
      </c>
      <c r="AF77" s="90" t="e">
        <f t="array" ref="AF77">_xlfn.STDEV.P(IF($E$5:$E$41=$E76,AF$5:AF$41))</f>
        <v>#DIV/0!</v>
      </c>
      <c r="AG77" s="90" t="e">
        <f t="array" ref="AG77">_xlfn.STDEV.P(IF($E$5:$E$41=$E76,AG$5:AG$41))</f>
        <v>#DIV/0!</v>
      </c>
      <c r="AH77" s="90" t="e">
        <f t="array" ref="AH77">_xlfn.STDEV.P(IF($E$5:$E$41=$E76,AH$5:AH$41))</f>
        <v>#DIV/0!</v>
      </c>
      <c r="AI77" s="90" t="e">
        <f t="array" ref="AI77">_xlfn.STDEV.P(IF($E$5:$E$41=$E76,AI$5:AI$41))</f>
        <v>#DIV/0!</v>
      </c>
      <c r="AJ77" s="90" t="e">
        <f t="array" ref="AJ77">_xlfn.STDEV.P(IF($E$5:$E$41=$E76,AJ$5:AJ$41))</f>
        <v>#DIV/0!</v>
      </c>
      <c r="AK77" s="90" t="e">
        <f t="array" ref="AK77">_xlfn.STDEV.P(IF($E$5:$E$41=$E76,AK$5:AK$41))</f>
        <v>#DIV/0!</v>
      </c>
      <c r="AL77" s="90" t="e">
        <f t="array" ref="AL77">_xlfn.STDEV.P(IF($E$5:$E$41=$E76,AL$5:AL$41))</f>
        <v>#DIV/0!</v>
      </c>
      <c r="AM77" s="90" t="e">
        <f t="array" ref="AM77">_xlfn.STDEV.P(IF($E$5:$E$41=$E76,AM$5:AM$41))</f>
        <v>#DIV/0!</v>
      </c>
      <c r="AN77" s="90" t="e">
        <f t="array" ref="AN77">_xlfn.STDEV.P(IF($E$5:$E$41=$E76,AN$5:AN$41))</f>
        <v>#DIV/0!</v>
      </c>
      <c r="AO77" s="90" t="e">
        <f t="array" ref="AO77">_xlfn.STDEV.P(IF($E$5:$E$41=$E76,AO$5:AO$41))</f>
        <v>#DIV/0!</v>
      </c>
      <c r="AP77" s="90" t="e">
        <f t="array" ref="AP77">_xlfn.STDEV.P(IF($E$5:$E$41=$E76,AP$5:AP$41))</f>
        <v>#DIV/0!</v>
      </c>
      <c r="AQ77" s="90" t="e">
        <f t="array" ref="AQ77">_xlfn.STDEV.P(IF($E$5:$E$41=$E76,AQ$5:AQ$41))</f>
        <v>#DIV/0!</v>
      </c>
      <c r="AR77" s="90" t="e">
        <f t="array" ref="AR77">_xlfn.STDEV.P(IF($E$5:$E$41=$E76,AR$5:AR$41))</f>
        <v>#DIV/0!</v>
      </c>
      <c r="AS77" s="90" t="e">
        <f t="array" ref="AS77">_xlfn.STDEV.P(IF($E$5:$E$41=$E76,AS$5:AS$41))</f>
        <v>#DIV/0!</v>
      </c>
      <c r="AT77" s="90" t="e">
        <f t="array" ref="AT77">_xlfn.STDEV.P(IF($E$5:$E$41=$E76,AT$5:AT$41))</f>
        <v>#DIV/0!</v>
      </c>
      <c r="AU77" s="90" t="e">
        <f t="array" ref="AU77">_xlfn.STDEV.P(IF($E$5:$E$41=$E76,AU$5:AU$41))</f>
        <v>#DIV/0!</v>
      </c>
      <c r="AV77" s="90" t="e">
        <f t="array" ref="AV77">_xlfn.STDEV.P(IF($E$5:$E$41=$E76,AV$5:AV$41))</f>
        <v>#DIV/0!</v>
      </c>
      <c r="AW77" s="90" t="e">
        <f t="array" ref="AW77">_xlfn.STDEV.P(IF($E$5:$E$41=$E76,AW$5:AW$41))</f>
        <v>#DIV/0!</v>
      </c>
      <c r="AX77" s="115" t="s">
        <v>12</v>
      </c>
      <c r="AY77" s="83" t="e">
        <f t="array" ref="AY77">_xlfn.STDEV.P(IF($E$5:$E$41=$E76,AY$5:AY$41))</f>
        <v>#DIV/0!</v>
      </c>
      <c r="AZ77" s="83" t="e">
        <f t="array" ref="AZ77">_xlfn.STDEV.P(IF($E$5:$E$41=$E76,AZ$5:AZ$41))</f>
        <v>#DIV/0!</v>
      </c>
      <c r="BA77" s="83" t="e">
        <f t="array" ref="BA77">_xlfn.STDEV.P(IF($E$5:$E$41=$E76,BA$5:BA$41))</f>
        <v>#DIV/0!</v>
      </c>
      <c r="BB77" s="83" t="e">
        <f t="array" ref="BB77">_xlfn.STDEV.P(IF($E$5:$E$41=$E76,BB$5:BB$41))</f>
        <v>#DIV/0!</v>
      </c>
      <c r="BC77" s="83" t="e">
        <f t="array" ref="BC77">_xlfn.STDEV.P(IF($E$5:$E$41=$E76,BC$5:BC$41))</f>
        <v>#DIV/0!</v>
      </c>
      <c r="BD77" s="83" t="e">
        <f t="array" ref="BD77">_xlfn.STDEV.P(IF($E$5:$E$41=$E76,BD$5:BD$41))</f>
        <v>#DIV/0!</v>
      </c>
      <c r="BE77" s="83" t="e">
        <f t="array" ref="BE77">_xlfn.STDEV.P(IF($E$5:$E$41=$E76,BE$5:BE$41))</f>
        <v>#DIV/0!</v>
      </c>
      <c r="BF77" s="83" t="e">
        <f t="array" ref="BF77">_xlfn.STDEV.P(IF($E$5:$E$41=$E76,BF$5:BF$41))</f>
        <v>#DIV/0!</v>
      </c>
      <c r="BG77" s="83" t="e">
        <f t="array" ref="BG77">_xlfn.STDEV.P(IF($E$5:$E$41=$E76,BG$5:BG$41))</f>
        <v>#DIV/0!</v>
      </c>
      <c r="BH77" s="83" t="e">
        <f t="array" ref="BH77">_xlfn.STDEV.P(IF($E$5:$E$41=$E76,BH$5:BH$41))</f>
        <v>#DIV/0!</v>
      </c>
      <c r="BI77" s="83" t="e">
        <f t="array" ref="BI77">_xlfn.STDEV.P(IF($E$5:$E$41=$E76,BI$5:BI$41))</f>
        <v>#DIV/0!</v>
      </c>
      <c r="BJ77" s="83" t="e">
        <f t="array" ref="BJ77">_xlfn.STDEV.P(IF($E$5:$E$41=$E76,BJ$5:BJ$41))</f>
        <v>#DIV/0!</v>
      </c>
      <c r="BK77" s="83" t="e">
        <f t="array" ref="BK77">_xlfn.STDEV.P(IF($E$5:$E$41=$E76,BK$5:BK$41))</f>
        <v>#DIV/0!</v>
      </c>
      <c r="BL77" s="83" t="e">
        <f t="array" ref="BL77">_xlfn.STDEV.P(IF($E$5:$E$41=$E76,BL$5:BL$41))</f>
        <v>#DIV/0!</v>
      </c>
      <c r="BM77" s="83" t="e">
        <f t="array" ref="BM77">_xlfn.STDEV.P(IF($E$5:$E$41=$E76,BM$5:BM$41))</f>
        <v>#DIV/0!</v>
      </c>
      <c r="BN77" s="83" t="e">
        <f t="array" ref="BN77">_xlfn.STDEV.P(IF($E$5:$E$41=$E76,BN$5:BN$41))</f>
        <v>#DIV/0!</v>
      </c>
      <c r="BO77" s="83" t="e">
        <f t="array" ref="BO77">_xlfn.STDEV.P(IF($E$5:$E$41=$E76,BO$5:BO$41))</f>
        <v>#DIV/0!</v>
      </c>
      <c r="BP77" s="83" t="e">
        <f t="array" ref="BP77">_xlfn.STDEV.P(IF($E$5:$E$41=$E76,BP$5:BP$41))</f>
        <v>#DIV/0!</v>
      </c>
      <c r="BQ77" s="83" t="e">
        <f t="array" ref="BQ77">_xlfn.STDEV.P(IF($E$5:$E$41=$E76,BQ$5:BQ$41))</f>
        <v>#DIV/0!</v>
      </c>
      <c r="BR77" s="83" t="e">
        <f t="array" ref="BR77">_xlfn.STDEV.P(IF($E$5:$E$41=$E76,BR$5:BR$41))</f>
        <v>#DIV/0!</v>
      </c>
      <c r="BS77" s="83" t="e">
        <f t="array" ref="BS77">_xlfn.STDEV.P(IF($E$5:$E$41=$E76,BS$5:BS$41))</f>
        <v>#DIV/0!</v>
      </c>
      <c r="BT77" s="83" t="e">
        <f t="array" ref="BT77">_xlfn.STDEV.P(IF($E$5:$E$41=$E76,BT$5:BT$41))</f>
        <v>#DIV/0!</v>
      </c>
      <c r="BU77" s="83" t="e">
        <f t="array" ref="BU77">_xlfn.STDEV.P(IF($E$5:$E$41=$E76,BU$5:BU$41))</f>
        <v>#DIV/0!</v>
      </c>
      <c r="BV77" s="83" t="e">
        <f t="array" ref="BV77">_xlfn.STDEV.P(IF($E$5:$E$41=$E76,BV$5:BV$41))</f>
        <v>#DIV/0!</v>
      </c>
      <c r="BW77" s="83" t="e">
        <f t="array" ref="BW77">_xlfn.STDEV.P(IF($E$5:$E$41=$E76,BW$5:BW$41))</f>
        <v>#DIV/0!</v>
      </c>
      <c r="BX77" s="83" t="e">
        <f t="array" ref="BX77">_xlfn.STDEV.P(IF($E$5:$E$41=$E76,BX$5:BX$41))</f>
        <v>#DIV/0!</v>
      </c>
      <c r="BY77" s="83" t="e">
        <f t="array" ref="BY77">_xlfn.STDEV.P(IF($E$5:$E$41=$E76,BY$5:BY$41))</f>
        <v>#DIV/0!</v>
      </c>
      <c r="BZ77" s="83" t="e">
        <f t="array" ref="BZ77">_xlfn.STDEV.P(IF($E$5:$E$41=$E76,BZ$5:BZ$41))</f>
        <v>#DIV/0!</v>
      </c>
      <c r="CA77" s="83" t="e">
        <f t="array" ref="CA77">_xlfn.STDEV.P(IF($E$5:$E$41=$E76,CA$5:CA$41))</f>
        <v>#DIV/0!</v>
      </c>
      <c r="CB77" s="83" t="e">
        <f t="array" ref="CB77">_xlfn.STDEV.P(IF($E$5:$E$41=$E76,CB$5:CB$41))</f>
        <v>#DIV/0!</v>
      </c>
      <c r="CC77" s="83" t="e">
        <f t="array" ref="CC77">_xlfn.STDEV.P(IF($E$5:$E$41=$E76,CC$5:CC$41))</f>
        <v>#DIV/0!</v>
      </c>
      <c r="CD77" s="83" t="e">
        <f t="array" ref="CD77">_xlfn.STDEV.P(IF($E$5:$E$41=$E76,CD$5:CD$41))</f>
        <v>#DIV/0!</v>
      </c>
      <c r="CE77" s="83" t="e">
        <f t="array" ref="CE77">_xlfn.STDEV.P(IF($E$5:$E$41=$E76,CE$5:CE$41))</f>
        <v>#DIV/0!</v>
      </c>
      <c r="CF77" s="83" t="e">
        <f t="array" ref="CF77">_xlfn.STDEV.P(IF($E$5:$E$41=$E76,CF$5:CF$41))</f>
        <v>#DIV/0!</v>
      </c>
      <c r="CG77" s="83" t="e">
        <f t="array" ref="CG77">_xlfn.STDEV.P(IF($E$5:$E$41=$E76,CG$5:CG$41))</f>
        <v>#DIV/0!</v>
      </c>
      <c r="CH77" s="83" t="e">
        <f t="array" ref="CH77">_xlfn.STDEV.P(IF($E$5:$E$41=$E76,CH$5:CH$41))</f>
        <v>#DIV/0!</v>
      </c>
      <c r="CI77" s="83" t="e">
        <f t="array" ref="CI77">_xlfn.STDEV.P(IF($E$5:$E$41=$E76,CI$5:CI$41))</f>
        <v>#DIV/0!</v>
      </c>
      <c r="CJ77" s="83" t="e">
        <f t="array" ref="CJ77">_xlfn.STDEV.P(IF($E$5:$E$41=$E76,CJ$5:CJ$41))</f>
        <v>#DIV/0!</v>
      </c>
      <c r="CK77" s="83" t="e">
        <f t="array" ref="CK77">_xlfn.STDEV.P(IF($E$5:$E$41=$E76,CK$5:CK$41))</f>
        <v>#DIV/0!</v>
      </c>
      <c r="CL77" s="85"/>
    </row>
    <row r="78" spans="1:90" ht="15">
      <c r="A78" s="129"/>
      <c r="E78" s="134"/>
      <c r="H78" s="58"/>
    </row>
    <row r="79" spans="1:90" ht="14.25" customHeight="1">
      <c r="A79" s="129"/>
      <c r="E79" s="134" t="str">
        <f>'RAD_DOSE Groups'!C17</f>
        <v>Group 12</v>
      </c>
      <c r="H79" s="134" t="str">
        <f>E79</f>
        <v>Group 12</v>
      </c>
      <c r="I79" s="120" t="e">
        <f>AVERAGEIF($E$5:$E$41,$E79,I$5:I$41)</f>
        <v>#DIV/0!</v>
      </c>
      <c r="J79" s="81" t="s">
        <v>10</v>
      </c>
      <c r="K79" s="87" t="e">
        <f t="shared" ref="K79:AW79" si="92">AVERAGEIF($E$5:$E$41,$E79,K$5:K$41)</f>
        <v>#DIV/0!</v>
      </c>
      <c r="L79" s="87" t="e">
        <f t="shared" si="92"/>
        <v>#DIV/0!</v>
      </c>
      <c r="M79" s="87" t="e">
        <f t="shared" si="92"/>
        <v>#DIV/0!</v>
      </c>
      <c r="N79" s="87" t="e">
        <f t="shared" si="92"/>
        <v>#DIV/0!</v>
      </c>
      <c r="O79" s="87" t="e">
        <f t="shared" si="92"/>
        <v>#DIV/0!</v>
      </c>
      <c r="P79" s="87" t="e">
        <f t="shared" si="92"/>
        <v>#DIV/0!</v>
      </c>
      <c r="Q79" s="87" t="e">
        <f t="shared" si="92"/>
        <v>#DIV/0!</v>
      </c>
      <c r="R79" s="87" t="e">
        <f t="shared" si="92"/>
        <v>#DIV/0!</v>
      </c>
      <c r="S79" s="87" t="e">
        <f t="shared" si="92"/>
        <v>#DIV/0!</v>
      </c>
      <c r="T79" s="87" t="e">
        <f t="shared" si="92"/>
        <v>#DIV/0!</v>
      </c>
      <c r="U79" s="87" t="e">
        <f t="shared" si="92"/>
        <v>#DIV/0!</v>
      </c>
      <c r="V79" s="87" t="e">
        <f t="shared" si="92"/>
        <v>#DIV/0!</v>
      </c>
      <c r="W79" s="87" t="e">
        <f t="shared" si="92"/>
        <v>#DIV/0!</v>
      </c>
      <c r="X79" s="87" t="e">
        <f t="shared" si="92"/>
        <v>#DIV/0!</v>
      </c>
      <c r="Y79" s="87" t="e">
        <f t="shared" si="92"/>
        <v>#DIV/0!</v>
      </c>
      <c r="Z79" s="87" t="e">
        <f t="shared" si="92"/>
        <v>#DIV/0!</v>
      </c>
      <c r="AA79" s="87" t="e">
        <f t="shared" si="92"/>
        <v>#DIV/0!</v>
      </c>
      <c r="AB79" s="87" t="e">
        <f t="shared" si="92"/>
        <v>#DIV/0!</v>
      </c>
      <c r="AC79" s="87" t="e">
        <f t="shared" si="92"/>
        <v>#DIV/0!</v>
      </c>
      <c r="AD79" s="87" t="e">
        <f t="shared" si="92"/>
        <v>#DIV/0!</v>
      </c>
      <c r="AE79" s="87" t="e">
        <f t="shared" si="92"/>
        <v>#DIV/0!</v>
      </c>
      <c r="AF79" s="87" t="e">
        <f t="shared" si="92"/>
        <v>#DIV/0!</v>
      </c>
      <c r="AG79" s="87" t="e">
        <f t="shared" si="92"/>
        <v>#DIV/0!</v>
      </c>
      <c r="AH79" s="87" t="e">
        <f t="shared" si="92"/>
        <v>#DIV/0!</v>
      </c>
      <c r="AI79" s="87" t="e">
        <f t="shared" si="92"/>
        <v>#DIV/0!</v>
      </c>
      <c r="AJ79" s="87" t="e">
        <f t="shared" si="92"/>
        <v>#DIV/0!</v>
      </c>
      <c r="AK79" s="87" t="e">
        <f t="shared" si="92"/>
        <v>#DIV/0!</v>
      </c>
      <c r="AL79" s="87" t="e">
        <f t="shared" si="92"/>
        <v>#DIV/0!</v>
      </c>
      <c r="AM79" s="87" t="e">
        <f t="shared" si="92"/>
        <v>#DIV/0!</v>
      </c>
      <c r="AN79" s="87" t="e">
        <f t="shared" si="92"/>
        <v>#DIV/0!</v>
      </c>
      <c r="AO79" s="87" t="e">
        <f t="shared" si="92"/>
        <v>#DIV/0!</v>
      </c>
      <c r="AP79" s="87" t="e">
        <f t="shared" si="92"/>
        <v>#DIV/0!</v>
      </c>
      <c r="AQ79" s="87" t="e">
        <f t="shared" si="92"/>
        <v>#DIV/0!</v>
      </c>
      <c r="AR79" s="87" t="e">
        <f t="shared" si="92"/>
        <v>#DIV/0!</v>
      </c>
      <c r="AS79" s="87" t="e">
        <f t="shared" si="92"/>
        <v>#DIV/0!</v>
      </c>
      <c r="AT79" s="87" t="e">
        <f t="shared" si="92"/>
        <v>#DIV/0!</v>
      </c>
      <c r="AU79" s="87" t="e">
        <f t="shared" si="92"/>
        <v>#DIV/0!</v>
      </c>
      <c r="AV79" s="87" t="e">
        <f t="shared" si="92"/>
        <v>#DIV/0!</v>
      </c>
      <c r="AW79" s="87" t="e">
        <f t="shared" si="92"/>
        <v>#DIV/0!</v>
      </c>
      <c r="AX79" s="114" t="s">
        <v>10</v>
      </c>
      <c r="AY79" s="82" t="e">
        <f t="shared" ref="AY79:CK79" si="93">AVERAGEIF($E$5:$E$41,$E79,AY$5:AY$41)</f>
        <v>#DIV/0!</v>
      </c>
      <c r="AZ79" s="82" t="e">
        <f t="shared" si="93"/>
        <v>#DIV/0!</v>
      </c>
      <c r="BA79" s="82" t="e">
        <f t="shared" si="93"/>
        <v>#DIV/0!</v>
      </c>
      <c r="BB79" s="82" t="e">
        <f t="shared" si="93"/>
        <v>#DIV/0!</v>
      </c>
      <c r="BC79" s="82" t="e">
        <f t="shared" si="93"/>
        <v>#DIV/0!</v>
      </c>
      <c r="BD79" s="82" t="e">
        <f t="shared" si="93"/>
        <v>#DIV/0!</v>
      </c>
      <c r="BE79" s="82" t="e">
        <f t="shared" si="93"/>
        <v>#DIV/0!</v>
      </c>
      <c r="BF79" s="82" t="e">
        <f t="shared" si="93"/>
        <v>#DIV/0!</v>
      </c>
      <c r="BG79" s="82" t="e">
        <f t="shared" si="93"/>
        <v>#DIV/0!</v>
      </c>
      <c r="BH79" s="82" t="e">
        <f t="shared" si="93"/>
        <v>#DIV/0!</v>
      </c>
      <c r="BI79" s="82" t="e">
        <f t="shared" si="93"/>
        <v>#DIV/0!</v>
      </c>
      <c r="BJ79" s="82" t="e">
        <f t="shared" si="93"/>
        <v>#DIV/0!</v>
      </c>
      <c r="BK79" s="82" t="e">
        <f t="shared" si="93"/>
        <v>#DIV/0!</v>
      </c>
      <c r="BL79" s="82" t="e">
        <f t="shared" si="93"/>
        <v>#DIV/0!</v>
      </c>
      <c r="BM79" s="82" t="e">
        <f t="shared" si="93"/>
        <v>#DIV/0!</v>
      </c>
      <c r="BN79" s="82" t="e">
        <f t="shared" si="93"/>
        <v>#DIV/0!</v>
      </c>
      <c r="BO79" s="82" t="e">
        <f t="shared" si="93"/>
        <v>#DIV/0!</v>
      </c>
      <c r="BP79" s="82" t="e">
        <f t="shared" si="93"/>
        <v>#DIV/0!</v>
      </c>
      <c r="BQ79" s="82" t="e">
        <f t="shared" si="93"/>
        <v>#DIV/0!</v>
      </c>
      <c r="BR79" s="82" t="e">
        <f t="shared" si="93"/>
        <v>#DIV/0!</v>
      </c>
      <c r="BS79" s="82" t="e">
        <f t="shared" si="93"/>
        <v>#DIV/0!</v>
      </c>
      <c r="BT79" s="82" t="e">
        <f t="shared" si="93"/>
        <v>#DIV/0!</v>
      </c>
      <c r="BU79" s="82" t="e">
        <f t="shared" si="93"/>
        <v>#DIV/0!</v>
      </c>
      <c r="BV79" s="82" t="e">
        <f t="shared" si="93"/>
        <v>#DIV/0!</v>
      </c>
      <c r="BW79" s="82" t="e">
        <f t="shared" si="93"/>
        <v>#DIV/0!</v>
      </c>
      <c r="BX79" s="82" t="e">
        <f t="shared" si="93"/>
        <v>#DIV/0!</v>
      </c>
      <c r="BY79" s="82" t="e">
        <f t="shared" si="93"/>
        <v>#DIV/0!</v>
      </c>
      <c r="BZ79" s="82" t="e">
        <f t="shared" si="93"/>
        <v>#DIV/0!</v>
      </c>
      <c r="CA79" s="82" t="e">
        <f t="shared" si="93"/>
        <v>#DIV/0!</v>
      </c>
      <c r="CB79" s="82" t="e">
        <f t="shared" si="93"/>
        <v>#DIV/0!</v>
      </c>
      <c r="CC79" s="82" t="e">
        <f t="shared" si="93"/>
        <v>#DIV/0!</v>
      </c>
      <c r="CD79" s="82" t="e">
        <f t="shared" si="93"/>
        <v>#DIV/0!</v>
      </c>
      <c r="CE79" s="82" t="e">
        <f t="shared" si="93"/>
        <v>#DIV/0!</v>
      </c>
      <c r="CF79" s="82" t="e">
        <f t="shared" si="93"/>
        <v>#DIV/0!</v>
      </c>
      <c r="CG79" s="82" t="e">
        <f t="shared" si="93"/>
        <v>#DIV/0!</v>
      </c>
      <c r="CH79" s="82" t="e">
        <f t="shared" si="93"/>
        <v>#DIV/0!</v>
      </c>
      <c r="CI79" s="82" t="e">
        <f t="shared" si="93"/>
        <v>#DIV/0!</v>
      </c>
      <c r="CJ79" s="82" t="e">
        <f t="shared" si="93"/>
        <v>#DIV/0!</v>
      </c>
      <c r="CK79" s="82" t="e">
        <f t="shared" si="93"/>
        <v>#DIV/0!</v>
      </c>
      <c r="CL79" s="85"/>
    </row>
    <row r="80" spans="1:90" ht="14.25" customHeight="1">
      <c r="A80" s="129"/>
      <c r="E80" s="104"/>
      <c r="H80" s="104"/>
      <c r="I80" s="120" t="e">
        <f t="array" ref="I80">_xlfn.STDEV.P(IF($E$5:$E$41=$E79,I$5:I$41))</f>
        <v>#DIV/0!</v>
      </c>
      <c r="J80" s="81" t="s">
        <v>12</v>
      </c>
      <c r="K80" s="90" t="e">
        <f t="array" ref="K80">_xlfn.STDEV.P(IF($E$5:$E$41=$E79,K$5:K$41))</f>
        <v>#DIV/0!</v>
      </c>
      <c r="L80" s="90" t="e">
        <f t="array" ref="L80">_xlfn.STDEV.P(IF($E$5:$E$41=$E79,L$5:L$41))</f>
        <v>#DIV/0!</v>
      </c>
      <c r="M80" s="90" t="e">
        <f t="array" ref="M80">_xlfn.STDEV.P(IF($E$5:$E$41=$E79,M$5:M$41))</f>
        <v>#DIV/0!</v>
      </c>
      <c r="N80" s="90" t="e">
        <f t="array" ref="N80">_xlfn.STDEV.P(IF($E$5:$E$41=$E79,N$5:N$41))</f>
        <v>#DIV/0!</v>
      </c>
      <c r="O80" s="90" t="e">
        <f t="array" ref="O80">_xlfn.STDEV.P(IF($E$5:$E$41=$E79,O$5:O$41))</f>
        <v>#DIV/0!</v>
      </c>
      <c r="P80" s="90" t="e">
        <f t="array" ref="P80">_xlfn.STDEV.P(IF($E$5:$E$41=$E79,P$5:P$41))</f>
        <v>#DIV/0!</v>
      </c>
      <c r="Q80" s="90" t="e">
        <f t="array" ref="Q80">_xlfn.STDEV.P(IF($E$5:$E$41=$E79,Q$5:Q$41))</f>
        <v>#DIV/0!</v>
      </c>
      <c r="R80" s="90" t="e">
        <f t="array" ref="R80">_xlfn.STDEV.P(IF($E$5:$E$41=$E79,R$5:R$41))</f>
        <v>#DIV/0!</v>
      </c>
      <c r="S80" s="90" t="e">
        <f t="array" ref="S80">_xlfn.STDEV.P(IF($E$5:$E$41=$E79,S$5:S$41))</f>
        <v>#DIV/0!</v>
      </c>
      <c r="T80" s="90" t="e">
        <f t="array" ref="T80">_xlfn.STDEV.P(IF($E$5:$E$41=$E79,T$5:T$41))</f>
        <v>#DIV/0!</v>
      </c>
      <c r="U80" s="90" t="e">
        <f t="array" ref="U80">_xlfn.STDEV.P(IF($E$5:$E$41=$E79,U$5:U$41))</f>
        <v>#DIV/0!</v>
      </c>
      <c r="V80" s="90" t="e">
        <f t="array" ref="V80">_xlfn.STDEV.P(IF($E$5:$E$41=$E79,V$5:V$41))</f>
        <v>#DIV/0!</v>
      </c>
      <c r="W80" s="90" t="e">
        <f t="array" ref="W80">_xlfn.STDEV.P(IF($E$5:$E$41=$E79,W$5:W$41))</f>
        <v>#DIV/0!</v>
      </c>
      <c r="X80" s="90" t="e">
        <f t="array" ref="X80">_xlfn.STDEV.P(IF($E$5:$E$41=$E79,X$5:X$41))</f>
        <v>#DIV/0!</v>
      </c>
      <c r="Y80" s="90" t="e">
        <f t="array" ref="Y80">_xlfn.STDEV.P(IF($E$5:$E$41=$E79,Y$5:Y$41))</f>
        <v>#DIV/0!</v>
      </c>
      <c r="Z80" s="90" t="e">
        <f t="array" ref="Z80">_xlfn.STDEV.P(IF($E$5:$E$41=$E79,Z$5:Z$41))</f>
        <v>#DIV/0!</v>
      </c>
      <c r="AA80" s="90" t="e">
        <f t="array" ref="AA80">_xlfn.STDEV.P(IF($E$5:$E$41=$E79,AA$5:AA$41))</f>
        <v>#DIV/0!</v>
      </c>
      <c r="AB80" s="90" t="e">
        <f t="array" ref="AB80">_xlfn.STDEV.P(IF($E$5:$E$41=$E79,AB$5:AB$41))</f>
        <v>#DIV/0!</v>
      </c>
      <c r="AC80" s="90" t="e">
        <f t="array" ref="AC80">_xlfn.STDEV.P(IF($E$5:$E$41=$E79,AC$5:AC$41))</f>
        <v>#DIV/0!</v>
      </c>
      <c r="AD80" s="90" t="e">
        <f t="array" ref="AD80">_xlfn.STDEV.P(IF($E$5:$E$41=$E79,AD$5:AD$41))</f>
        <v>#DIV/0!</v>
      </c>
      <c r="AE80" s="90" t="e">
        <f t="array" ref="AE80">_xlfn.STDEV.P(IF($E$5:$E$41=$E79,AE$5:AE$41))</f>
        <v>#DIV/0!</v>
      </c>
      <c r="AF80" s="90" t="e">
        <f t="array" ref="AF80">_xlfn.STDEV.P(IF($E$5:$E$41=$E79,AF$5:AF$41))</f>
        <v>#DIV/0!</v>
      </c>
      <c r="AG80" s="90" t="e">
        <f t="array" ref="AG80">_xlfn.STDEV.P(IF($E$5:$E$41=$E79,AG$5:AG$41))</f>
        <v>#DIV/0!</v>
      </c>
      <c r="AH80" s="90" t="e">
        <f t="array" ref="AH80">_xlfn.STDEV.P(IF($E$5:$E$41=$E79,AH$5:AH$41))</f>
        <v>#DIV/0!</v>
      </c>
      <c r="AI80" s="90" t="e">
        <f t="array" ref="AI80">_xlfn.STDEV.P(IF($E$5:$E$41=$E79,AI$5:AI$41))</f>
        <v>#DIV/0!</v>
      </c>
      <c r="AJ80" s="90" t="e">
        <f t="array" ref="AJ80">_xlfn.STDEV.P(IF($E$5:$E$41=$E79,AJ$5:AJ$41))</f>
        <v>#DIV/0!</v>
      </c>
      <c r="AK80" s="90" t="e">
        <f t="array" ref="AK80">_xlfn.STDEV.P(IF($E$5:$E$41=$E79,AK$5:AK$41))</f>
        <v>#DIV/0!</v>
      </c>
      <c r="AL80" s="90" t="e">
        <f t="array" ref="AL80">_xlfn.STDEV.P(IF($E$5:$E$41=$E79,AL$5:AL$41))</f>
        <v>#DIV/0!</v>
      </c>
      <c r="AM80" s="90" t="e">
        <f t="array" ref="AM80">_xlfn.STDEV.P(IF($E$5:$E$41=$E79,AM$5:AM$41))</f>
        <v>#DIV/0!</v>
      </c>
      <c r="AN80" s="90" t="e">
        <f t="array" ref="AN80">_xlfn.STDEV.P(IF($E$5:$E$41=$E79,AN$5:AN$41))</f>
        <v>#DIV/0!</v>
      </c>
      <c r="AO80" s="90" t="e">
        <f t="array" ref="AO80">_xlfn.STDEV.P(IF($E$5:$E$41=$E79,AO$5:AO$41))</f>
        <v>#DIV/0!</v>
      </c>
      <c r="AP80" s="90" t="e">
        <f t="array" ref="AP80">_xlfn.STDEV.P(IF($E$5:$E$41=$E79,AP$5:AP$41))</f>
        <v>#DIV/0!</v>
      </c>
      <c r="AQ80" s="90" t="e">
        <f t="array" ref="AQ80">_xlfn.STDEV.P(IF($E$5:$E$41=$E79,AQ$5:AQ$41))</f>
        <v>#DIV/0!</v>
      </c>
      <c r="AR80" s="90" t="e">
        <f t="array" ref="AR80">_xlfn.STDEV.P(IF($E$5:$E$41=$E79,AR$5:AR$41))</f>
        <v>#DIV/0!</v>
      </c>
      <c r="AS80" s="90" t="e">
        <f t="array" ref="AS80">_xlfn.STDEV.P(IF($E$5:$E$41=$E79,AS$5:AS$41))</f>
        <v>#DIV/0!</v>
      </c>
      <c r="AT80" s="90" t="e">
        <f t="array" ref="AT80">_xlfn.STDEV.P(IF($E$5:$E$41=$E79,AT$5:AT$41))</f>
        <v>#DIV/0!</v>
      </c>
      <c r="AU80" s="90" t="e">
        <f t="array" ref="AU80">_xlfn.STDEV.P(IF($E$5:$E$41=$E79,AU$5:AU$41))</f>
        <v>#DIV/0!</v>
      </c>
      <c r="AV80" s="90" t="e">
        <f t="array" ref="AV80">_xlfn.STDEV.P(IF($E$5:$E$41=$E79,AV$5:AV$41))</f>
        <v>#DIV/0!</v>
      </c>
      <c r="AW80" s="90" t="e">
        <f t="array" ref="AW80">_xlfn.STDEV.P(IF($E$5:$E$41=$E79,AW$5:AW$41))</f>
        <v>#DIV/0!</v>
      </c>
      <c r="AX80" s="115" t="s">
        <v>12</v>
      </c>
      <c r="AY80" s="83" t="e">
        <f t="array" ref="AY80">_xlfn.STDEV.P(IF($E$5:$E$41=$E79,AY$5:AY$41))</f>
        <v>#DIV/0!</v>
      </c>
      <c r="AZ80" s="83" t="e">
        <f t="array" ref="AZ80">_xlfn.STDEV.P(IF($E$5:$E$41=$E79,AZ$5:AZ$41))</f>
        <v>#DIV/0!</v>
      </c>
      <c r="BA80" s="83" t="e">
        <f t="array" ref="BA80">_xlfn.STDEV.P(IF($E$5:$E$41=$E79,BA$5:BA$41))</f>
        <v>#DIV/0!</v>
      </c>
      <c r="BB80" s="83" t="e">
        <f t="array" ref="BB80">_xlfn.STDEV.P(IF($E$5:$E$41=$E79,BB$5:BB$41))</f>
        <v>#DIV/0!</v>
      </c>
      <c r="BC80" s="83" t="e">
        <f t="array" ref="BC80">_xlfn.STDEV.P(IF($E$5:$E$41=$E79,BC$5:BC$41))</f>
        <v>#DIV/0!</v>
      </c>
      <c r="BD80" s="83" t="e">
        <f t="array" ref="BD80">_xlfn.STDEV.P(IF($E$5:$E$41=$E79,BD$5:BD$41))</f>
        <v>#DIV/0!</v>
      </c>
      <c r="BE80" s="83" t="e">
        <f t="array" ref="BE80">_xlfn.STDEV.P(IF($E$5:$E$41=$E79,BE$5:BE$41))</f>
        <v>#DIV/0!</v>
      </c>
      <c r="BF80" s="83" t="e">
        <f t="array" ref="BF80">_xlfn.STDEV.P(IF($E$5:$E$41=$E79,BF$5:BF$41))</f>
        <v>#DIV/0!</v>
      </c>
      <c r="BG80" s="83" t="e">
        <f t="array" ref="BG80">_xlfn.STDEV.P(IF($E$5:$E$41=$E79,BG$5:BG$41))</f>
        <v>#DIV/0!</v>
      </c>
      <c r="BH80" s="83" t="e">
        <f t="array" ref="BH80">_xlfn.STDEV.P(IF($E$5:$E$41=$E79,BH$5:BH$41))</f>
        <v>#DIV/0!</v>
      </c>
      <c r="BI80" s="83" t="e">
        <f t="array" ref="BI80">_xlfn.STDEV.P(IF($E$5:$E$41=$E79,BI$5:BI$41))</f>
        <v>#DIV/0!</v>
      </c>
      <c r="BJ80" s="83" t="e">
        <f t="array" ref="BJ80">_xlfn.STDEV.P(IF($E$5:$E$41=$E79,BJ$5:BJ$41))</f>
        <v>#DIV/0!</v>
      </c>
      <c r="BK80" s="83" t="e">
        <f t="array" ref="BK80">_xlfn.STDEV.P(IF($E$5:$E$41=$E79,BK$5:BK$41))</f>
        <v>#DIV/0!</v>
      </c>
      <c r="BL80" s="83" t="e">
        <f t="array" ref="BL80">_xlfn.STDEV.P(IF($E$5:$E$41=$E79,BL$5:BL$41))</f>
        <v>#DIV/0!</v>
      </c>
      <c r="BM80" s="83" t="e">
        <f t="array" ref="BM80">_xlfn.STDEV.P(IF($E$5:$E$41=$E79,BM$5:BM$41))</f>
        <v>#DIV/0!</v>
      </c>
      <c r="BN80" s="83" t="e">
        <f t="array" ref="BN80">_xlfn.STDEV.P(IF($E$5:$E$41=$E79,BN$5:BN$41))</f>
        <v>#DIV/0!</v>
      </c>
      <c r="BO80" s="83" t="e">
        <f t="array" ref="BO80">_xlfn.STDEV.P(IF($E$5:$E$41=$E79,BO$5:BO$41))</f>
        <v>#DIV/0!</v>
      </c>
      <c r="BP80" s="83" t="e">
        <f t="array" ref="BP80">_xlfn.STDEV.P(IF($E$5:$E$41=$E79,BP$5:BP$41))</f>
        <v>#DIV/0!</v>
      </c>
      <c r="BQ80" s="83" t="e">
        <f t="array" ref="BQ80">_xlfn.STDEV.P(IF($E$5:$E$41=$E79,BQ$5:BQ$41))</f>
        <v>#DIV/0!</v>
      </c>
      <c r="BR80" s="83" t="e">
        <f t="array" ref="BR80">_xlfn.STDEV.P(IF($E$5:$E$41=$E79,BR$5:BR$41))</f>
        <v>#DIV/0!</v>
      </c>
      <c r="BS80" s="83" t="e">
        <f t="array" ref="BS80">_xlfn.STDEV.P(IF($E$5:$E$41=$E79,BS$5:BS$41))</f>
        <v>#DIV/0!</v>
      </c>
      <c r="BT80" s="83" t="e">
        <f t="array" ref="BT80">_xlfn.STDEV.P(IF($E$5:$E$41=$E79,BT$5:BT$41))</f>
        <v>#DIV/0!</v>
      </c>
      <c r="BU80" s="83" t="e">
        <f t="array" ref="BU80">_xlfn.STDEV.P(IF($E$5:$E$41=$E79,BU$5:BU$41))</f>
        <v>#DIV/0!</v>
      </c>
      <c r="BV80" s="83" t="e">
        <f t="array" ref="BV80">_xlfn.STDEV.P(IF($E$5:$E$41=$E79,BV$5:BV$41))</f>
        <v>#DIV/0!</v>
      </c>
      <c r="BW80" s="83" t="e">
        <f t="array" ref="BW80">_xlfn.STDEV.P(IF($E$5:$E$41=$E79,BW$5:BW$41))</f>
        <v>#DIV/0!</v>
      </c>
      <c r="BX80" s="83" t="e">
        <f t="array" ref="BX80">_xlfn.STDEV.P(IF($E$5:$E$41=$E79,BX$5:BX$41))</f>
        <v>#DIV/0!</v>
      </c>
      <c r="BY80" s="83" t="e">
        <f t="array" ref="BY80">_xlfn.STDEV.P(IF($E$5:$E$41=$E79,BY$5:BY$41))</f>
        <v>#DIV/0!</v>
      </c>
      <c r="BZ80" s="83" t="e">
        <f t="array" ref="BZ80">_xlfn.STDEV.P(IF($E$5:$E$41=$E79,BZ$5:BZ$41))</f>
        <v>#DIV/0!</v>
      </c>
      <c r="CA80" s="83" t="e">
        <f t="array" ref="CA80">_xlfn.STDEV.P(IF($E$5:$E$41=$E79,CA$5:CA$41))</f>
        <v>#DIV/0!</v>
      </c>
      <c r="CB80" s="83" t="e">
        <f t="array" ref="CB80">_xlfn.STDEV.P(IF($E$5:$E$41=$E79,CB$5:CB$41))</f>
        <v>#DIV/0!</v>
      </c>
      <c r="CC80" s="83" t="e">
        <f t="array" ref="CC80">_xlfn.STDEV.P(IF($E$5:$E$41=$E79,CC$5:CC$41))</f>
        <v>#DIV/0!</v>
      </c>
      <c r="CD80" s="83" t="e">
        <f t="array" ref="CD80">_xlfn.STDEV.P(IF($E$5:$E$41=$E79,CD$5:CD$41))</f>
        <v>#DIV/0!</v>
      </c>
      <c r="CE80" s="83" t="e">
        <f t="array" ref="CE80">_xlfn.STDEV.P(IF($E$5:$E$41=$E79,CE$5:CE$41))</f>
        <v>#DIV/0!</v>
      </c>
      <c r="CF80" s="83" t="e">
        <f t="array" ref="CF80">_xlfn.STDEV.P(IF($E$5:$E$41=$E79,CF$5:CF$41))</f>
        <v>#DIV/0!</v>
      </c>
      <c r="CG80" s="83" t="e">
        <f t="array" ref="CG80">_xlfn.STDEV.P(IF($E$5:$E$41=$E79,CG$5:CG$41))</f>
        <v>#DIV/0!</v>
      </c>
      <c r="CH80" s="83" t="e">
        <f t="array" ref="CH80">_xlfn.STDEV.P(IF($E$5:$E$41=$E79,CH$5:CH$41))</f>
        <v>#DIV/0!</v>
      </c>
      <c r="CI80" s="83" t="e">
        <f t="array" ref="CI80">_xlfn.STDEV.P(IF($E$5:$E$41=$E79,CI$5:CI$41))</f>
        <v>#DIV/0!</v>
      </c>
      <c r="CJ80" s="83" t="e">
        <f t="array" ref="CJ80">_xlfn.STDEV.P(IF($E$5:$E$41=$E79,CJ$5:CJ$41))</f>
        <v>#DIV/0!</v>
      </c>
      <c r="CK80" s="83" t="e">
        <f t="array" ref="CK80">_xlfn.STDEV.P(IF($E$5:$E$41=$E79,CK$5:CK$41))</f>
        <v>#DIV/0!</v>
      </c>
      <c r="CL80" s="85"/>
    </row>
    <row r="81" spans="1:90" ht="15">
      <c r="A81" s="129"/>
      <c r="E81" s="134"/>
      <c r="H81" s="58"/>
    </row>
    <row r="82" spans="1:90" ht="14.25" customHeight="1">
      <c r="A82" s="129"/>
      <c r="E82" s="134" t="str">
        <f>'RAD_DOSE Groups'!C18</f>
        <v>Group 13</v>
      </c>
      <c r="H82" s="134" t="str">
        <f>E82</f>
        <v>Group 13</v>
      </c>
      <c r="I82" s="120" t="e">
        <f>AVERAGEIF($E$5:$E$41,$E82,I$5:I$41)</f>
        <v>#DIV/0!</v>
      </c>
      <c r="J82" s="81" t="s">
        <v>10</v>
      </c>
      <c r="K82" s="87" t="e">
        <f t="shared" ref="K82:AW82" si="94">AVERAGEIF($E$5:$E$41,$E82,K$5:K$41)</f>
        <v>#DIV/0!</v>
      </c>
      <c r="L82" s="87" t="e">
        <f t="shared" si="94"/>
        <v>#DIV/0!</v>
      </c>
      <c r="M82" s="87" t="e">
        <f t="shared" si="94"/>
        <v>#DIV/0!</v>
      </c>
      <c r="N82" s="87" t="e">
        <f t="shared" si="94"/>
        <v>#DIV/0!</v>
      </c>
      <c r="O82" s="87" t="e">
        <f t="shared" si="94"/>
        <v>#DIV/0!</v>
      </c>
      <c r="P82" s="87" t="e">
        <f t="shared" si="94"/>
        <v>#DIV/0!</v>
      </c>
      <c r="Q82" s="87" t="e">
        <f t="shared" si="94"/>
        <v>#DIV/0!</v>
      </c>
      <c r="R82" s="87" t="e">
        <f t="shared" si="94"/>
        <v>#DIV/0!</v>
      </c>
      <c r="S82" s="87" t="e">
        <f t="shared" si="94"/>
        <v>#DIV/0!</v>
      </c>
      <c r="T82" s="87" t="e">
        <f t="shared" si="94"/>
        <v>#DIV/0!</v>
      </c>
      <c r="U82" s="87" t="e">
        <f t="shared" si="94"/>
        <v>#DIV/0!</v>
      </c>
      <c r="V82" s="87" t="e">
        <f t="shared" si="94"/>
        <v>#DIV/0!</v>
      </c>
      <c r="W82" s="87" t="e">
        <f t="shared" si="94"/>
        <v>#DIV/0!</v>
      </c>
      <c r="X82" s="87" t="e">
        <f t="shared" si="94"/>
        <v>#DIV/0!</v>
      </c>
      <c r="Y82" s="87" t="e">
        <f t="shared" si="94"/>
        <v>#DIV/0!</v>
      </c>
      <c r="Z82" s="87" t="e">
        <f t="shared" si="94"/>
        <v>#DIV/0!</v>
      </c>
      <c r="AA82" s="87" t="e">
        <f t="shared" si="94"/>
        <v>#DIV/0!</v>
      </c>
      <c r="AB82" s="87" t="e">
        <f t="shared" si="94"/>
        <v>#DIV/0!</v>
      </c>
      <c r="AC82" s="87" t="e">
        <f t="shared" si="94"/>
        <v>#DIV/0!</v>
      </c>
      <c r="AD82" s="87" t="e">
        <f t="shared" si="94"/>
        <v>#DIV/0!</v>
      </c>
      <c r="AE82" s="87" t="e">
        <f t="shared" si="94"/>
        <v>#DIV/0!</v>
      </c>
      <c r="AF82" s="87" t="e">
        <f t="shared" si="94"/>
        <v>#DIV/0!</v>
      </c>
      <c r="AG82" s="87" t="e">
        <f t="shared" si="94"/>
        <v>#DIV/0!</v>
      </c>
      <c r="AH82" s="87" t="e">
        <f t="shared" si="94"/>
        <v>#DIV/0!</v>
      </c>
      <c r="AI82" s="87" t="e">
        <f t="shared" si="94"/>
        <v>#DIV/0!</v>
      </c>
      <c r="AJ82" s="87" t="e">
        <f t="shared" si="94"/>
        <v>#DIV/0!</v>
      </c>
      <c r="AK82" s="87" t="e">
        <f t="shared" si="94"/>
        <v>#DIV/0!</v>
      </c>
      <c r="AL82" s="87" t="e">
        <f t="shared" si="94"/>
        <v>#DIV/0!</v>
      </c>
      <c r="AM82" s="87" t="e">
        <f t="shared" si="94"/>
        <v>#DIV/0!</v>
      </c>
      <c r="AN82" s="87" t="e">
        <f t="shared" si="94"/>
        <v>#DIV/0!</v>
      </c>
      <c r="AO82" s="87" t="e">
        <f t="shared" si="94"/>
        <v>#DIV/0!</v>
      </c>
      <c r="AP82" s="87" t="e">
        <f t="shared" si="94"/>
        <v>#DIV/0!</v>
      </c>
      <c r="AQ82" s="87" t="e">
        <f t="shared" si="94"/>
        <v>#DIV/0!</v>
      </c>
      <c r="AR82" s="87" t="e">
        <f t="shared" si="94"/>
        <v>#DIV/0!</v>
      </c>
      <c r="AS82" s="87" t="e">
        <f t="shared" si="94"/>
        <v>#DIV/0!</v>
      </c>
      <c r="AT82" s="87" t="e">
        <f t="shared" si="94"/>
        <v>#DIV/0!</v>
      </c>
      <c r="AU82" s="87" t="e">
        <f t="shared" si="94"/>
        <v>#DIV/0!</v>
      </c>
      <c r="AV82" s="87" t="e">
        <f t="shared" si="94"/>
        <v>#DIV/0!</v>
      </c>
      <c r="AW82" s="87" t="e">
        <f t="shared" si="94"/>
        <v>#DIV/0!</v>
      </c>
      <c r="AX82" s="114" t="s">
        <v>10</v>
      </c>
      <c r="AY82" s="82" t="e">
        <f t="shared" ref="AY82:CK82" si="95">AVERAGEIF($E$5:$E$41,$E82,AY$5:AY$41)</f>
        <v>#DIV/0!</v>
      </c>
      <c r="AZ82" s="82" t="e">
        <f t="shared" si="95"/>
        <v>#DIV/0!</v>
      </c>
      <c r="BA82" s="82" t="e">
        <f t="shared" si="95"/>
        <v>#DIV/0!</v>
      </c>
      <c r="BB82" s="82" t="e">
        <f t="shared" si="95"/>
        <v>#DIV/0!</v>
      </c>
      <c r="BC82" s="82" t="e">
        <f t="shared" si="95"/>
        <v>#DIV/0!</v>
      </c>
      <c r="BD82" s="82" t="e">
        <f t="shared" si="95"/>
        <v>#DIV/0!</v>
      </c>
      <c r="BE82" s="82" t="e">
        <f t="shared" si="95"/>
        <v>#DIV/0!</v>
      </c>
      <c r="BF82" s="82" t="e">
        <f t="shared" si="95"/>
        <v>#DIV/0!</v>
      </c>
      <c r="BG82" s="82" t="e">
        <f t="shared" si="95"/>
        <v>#DIV/0!</v>
      </c>
      <c r="BH82" s="82" t="e">
        <f t="shared" si="95"/>
        <v>#DIV/0!</v>
      </c>
      <c r="BI82" s="82" t="e">
        <f t="shared" si="95"/>
        <v>#DIV/0!</v>
      </c>
      <c r="BJ82" s="82" t="e">
        <f t="shared" si="95"/>
        <v>#DIV/0!</v>
      </c>
      <c r="BK82" s="82" t="e">
        <f t="shared" si="95"/>
        <v>#DIV/0!</v>
      </c>
      <c r="BL82" s="82" t="e">
        <f t="shared" si="95"/>
        <v>#DIV/0!</v>
      </c>
      <c r="BM82" s="82" t="e">
        <f t="shared" si="95"/>
        <v>#DIV/0!</v>
      </c>
      <c r="BN82" s="82" t="e">
        <f t="shared" si="95"/>
        <v>#DIV/0!</v>
      </c>
      <c r="BO82" s="82" t="e">
        <f t="shared" si="95"/>
        <v>#DIV/0!</v>
      </c>
      <c r="BP82" s="82" t="e">
        <f t="shared" si="95"/>
        <v>#DIV/0!</v>
      </c>
      <c r="BQ82" s="82" t="e">
        <f t="shared" si="95"/>
        <v>#DIV/0!</v>
      </c>
      <c r="BR82" s="82" t="e">
        <f t="shared" si="95"/>
        <v>#DIV/0!</v>
      </c>
      <c r="BS82" s="82" t="e">
        <f t="shared" si="95"/>
        <v>#DIV/0!</v>
      </c>
      <c r="BT82" s="82" t="e">
        <f t="shared" si="95"/>
        <v>#DIV/0!</v>
      </c>
      <c r="BU82" s="82" t="e">
        <f t="shared" si="95"/>
        <v>#DIV/0!</v>
      </c>
      <c r="BV82" s="82" t="e">
        <f t="shared" si="95"/>
        <v>#DIV/0!</v>
      </c>
      <c r="BW82" s="82" t="e">
        <f t="shared" si="95"/>
        <v>#DIV/0!</v>
      </c>
      <c r="BX82" s="82" t="e">
        <f t="shared" si="95"/>
        <v>#DIV/0!</v>
      </c>
      <c r="BY82" s="82" t="e">
        <f t="shared" si="95"/>
        <v>#DIV/0!</v>
      </c>
      <c r="BZ82" s="82" t="e">
        <f t="shared" si="95"/>
        <v>#DIV/0!</v>
      </c>
      <c r="CA82" s="82" t="e">
        <f t="shared" si="95"/>
        <v>#DIV/0!</v>
      </c>
      <c r="CB82" s="82" t="e">
        <f t="shared" si="95"/>
        <v>#DIV/0!</v>
      </c>
      <c r="CC82" s="82" t="e">
        <f t="shared" si="95"/>
        <v>#DIV/0!</v>
      </c>
      <c r="CD82" s="82" t="e">
        <f t="shared" si="95"/>
        <v>#DIV/0!</v>
      </c>
      <c r="CE82" s="82" t="e">
        <f t="shared" si="95"/>
        <v>#DIV/0!</v>
      </c>
      <c r="CF82" s="82" t="e">
        <f t="shared" si="95"/>
        <v>#DIV/0!</v>
      </c>
      <c r="CG82" s="82" t="e">
        <f t="shared" si="95"/>
        <v>#DIV/0!</v>
      </c>
      <c r="CH82" s="82" t="e">
        <f t="shared" si="95"/>
        <v>#DIV/0!</v>
      </c>
      <c r="CI82" s="82" t="e">
        <f t="shared" si="95"/>
        <v>#DIV/0!</v>
      </c>
      <c r="CJ82" s="82" t="e">
        <f t="shared" si="95"/>
        <v>#DIV/0!</v>
      </c>
      <c r="CK82" s="82" t="e">
        <f t="shared" si="95"/>
        <v>#DIV/0!</v>
      </c>
      <c r="CL82" s="85"/>
    </row>
    <row r="83" spans="1:90" ht="14.25" customHeight="1">
      <c r="A83" s="129"/>
      <c r="E83" s="104"/>
      <c r="H83" s="104"/>
      <c r="I83" s="120" t="e">
        <f t="array" ref="I83">_xlfn.STDEV.P(IF($E$5:$E$41=$E82,I$5:I$41))</f>
        <v>#DIV/0!</v>
      </c>
      <c r="J83" s="81" t="s">
        <v>12</v>
      </c>
      <c r="K83" s="90" t="e">
        <f t="array" ref="K83">_xlfn.STDEV.P(IF($E$5:$E$41=$E82,K$5:K$41))</f>
        <v>#DIV/0!</v>
      </c>
      <c r="L83" s="90" t="e">
        <f t="array" ref="L83">_xlfn.STDEV.P(IF($E$5:$E$41=$E82,L$5:L$41))</f>
        <v>#DIV/0!</v>
      </c>
      <c r="M83" s="90" t="e">
        <f t="array" ref="M83">_xlfn.STDEV.P(IF($E$5:$E$41=$E82,M$5:M$41))</f>
        <v>#DIV/0!</v>
      </c>
      <c r="N83" s="90" t="e">
        <f t="array" ref="N83">_xlfn.STDEV.P(IF($E$5:$E$41=$E82,N$5:N$41))</f>
        <v>#DIV/0!</v>
      </c>
      <c r="O83" s="90" t="e">
        <f t="array" ref="O83">_xlfn.STDEV.P(IF($E$5:$E$41=$E82,O$5:O$41))</f>
        <v>#DIV/0!</v>
      </c>
      <c r="P83" s="90" t="e">
        <f t="array" ref="P83">_xlfn.STDEV.P(IF($E$5:$E$41=$E82,P$5:P$41))</f>
        <v>#DIV/0!</v>
      </c>
      <c r="Q83" s="90" t="e">
        <f t="array" ref="Q83">_xlfn.STDEV.P(IF($E$5:$E$41=$E82,Q$5:Q$41))</f>
        <v>#DIV/0!</v>
      </c>
      <c r="R83" s="90" t="e">
        <f t="array" ref="R83">_xlfn.STDEV.P(IF($E$5:$E$41=$E82,R$5:R$41))</f>
        <v>#DIV/0!</v>
      </c>
      <c r="S83" s="90" t="e">
        <f t="array" ref="S83">_xlfn.STDEV.P(IF($E$5:$E$41=$E82,S$5:S$41))</f>
        <v>#DIV/0!</v>
      </c>
      <c r="T83" s="90" t="e">
        <f t="array" ref="T83">_xlfn.STDEV.P(IF($E$5:$E$41=$E82,T$5:T$41))</f>
        <v>#DIV/0!</v>
      </c>
      <c r="U83" s="90" t="e">
        <f t="array" ref="U83">_xlfn.STDEV.P(IF($E$5:$E$41=$E82,U$5:U$41))</f>
        <v>#DIV/0!</v>
      </c>
      <c r="V83" s="90" t="e">
        <f t="array" ref="V83">_xlfn.STDEV.P(IF($E$5:$E$41=$E82,V$5:V$41))</f>
        <v>#DIV/0!</v>
      </c>
      <c r="W83" s="90" t="e">
        <f t="array" ref="W83">_xlfn.STDEV.P(IF($E$5:$E$41=$E82,W$5:W$41))</f>
        <v>#DIV/0!</v>
      </c>
      <c r="X83" s="90" t="e">
        <f t="array" ref="X83">_xlfn.STDEV.P(IF($E$5:$E$41=$E82,X$5:X$41))</f>
        <v>#DIV/0!</v>
      </c>
      <c r="Y83" s="90" t="e">
        <f t="array" ref="Y83">_xlfn.STDEV.P(IF($E$5:$E$41=$E82,Y$5:Y$41))</f>
        <v>#DIV/0!</v>
      </c>
      <c r="Z83" s="90" t="e">
        <f t="array" ref="Z83">_xlfn.STDEV.P(IF($E$5:$E$41=$E82,Z$5:Z$41))</f>
        <v>#DIV/0!</v>
      </c>
      <c r="AA83" s="90" t="e">
        <f t="array" ref="AA83">_xlfn.STDEV.P(IF($E$5:$E$41=$E82,AA$5:AA$41))</f>
        <v>#DIV/0!</v>
      </c>
      <c r="AB83" s="90" t="e">
        <f t="array" ref="AB83">_xlfn.STDEV.P(IF($E$5:$E$41=$E82,AB$5:AB$41))</f>
        <v>#DIV/0!</v>
      </c>
      <c r="AC83" s="90" t="e">
        <f t="array" ref="AC83">_xlfn.STDEV.P(IF($E$5:$E$41=$E82,AC$5:AC$41))</f>
        <v>#DIV/0!</v>
      </c>
      <c r="AD83" s="90" t="e">
        <f t="array" ref="AD83">_xlfn.STDEV.P(IF($E$5:$E$41=$E82,AD$5:AD$41))</f>
        <v>#DIV/0!</v>
      </c>
      <c r="AE83" s="90" t="e">
        <f t="array" ref="AE83">_xlfn.STDEV.P(IF($E$5:$E$41=$E82,AE$5:AE$41))</f>
        <v>#DIV/0!</v>
      </c>
      <c r="AF83" s="90" t="e">
        <f t="array" ref="AF83">_xlfn.STDEV.P(IF($E$5:$E$41=$E82,AF$5:AF$41))</f>
        <v>#DIV/0!</v>
      </c>
      <c r="AG83" s="90" t="e">
        <f t="array" ref="AG83">_xlfn.STDEV.P(IF($E$5:$E$41=$E82,AG$5:AG$41))</f>
        <v>#DIV/0!</v>
      </c>
      <c r="AH83" s="90" t="e">
        <f t="array" ref="AH83">_xlfn.STDEV.P(IF($E$5:$E$41=$E82,AH$5:AH$41))</f>
        <v>#DIV/0!</v>
      </c>
      <c r="AI83" s="90" t="e">
        <f t="array" ref="AI83">_xlfn.STDEV.P(IF($E$5:$E$41=$E82,AI$5:AI$41))</f>
        <v>#DIV/0!</v>
      </c>
      <c r="AJ83" s="90" t="e">
        <f t="array" ref="AJ83">_xlfn.STDEV.P(IF($E$5:$E$41=$E82,AJ$5:AJ$41))</f>
        <v>#DIV/0!</v>
      </c>
      <c r="AK83" s="90" t="e">
        <f t="array" ref="AK83">_xlfn.STDEV.P(IF($E$5:$E$41=$E82,AK$5:AK$41))</f>
        <v>#DIV/0!</v>
      </c>
      <c r="AL83" s="90" t="e">
        <f t="array" ref="AL83">_xlfn.STDEV.P(IF($E$5:$E$41=$E82,AL$5:AL$41))</f>
        <v>#DIV/0!</v>
      </c>
      <c r="AM83" s="90" t="e">
        <f t="array" ref="AM83">_xlfn.STDEV.P(IF($E$5:$E$41=$E82,AM$5:AM$41))</f>
        <v>#DIV/0!</v>
      </c>
      <c r="AN83" s="90" t="e">
        <f t="array" ref="AN83">_xlfn.STDEV.P(IF($E$5:$E$41=$E82,AN$5:AN$41))</f>
        <v>#DIV/0!</v>
      </c>
      <c r="AO83" s="90" t="e">
        <f t="array" ref="AO83">_xlfn.STDEV.P(IF($E$5:$E$41=$E82,AO$5:AO$41))</f>
        <v>#DIV/0!</v>
      </c>
      <c r="AP83" s="90" t="e">
        <f t="array" ref="AP83">_xlfn.STDEV.P(IF($E$5:$E$41=$E82,AP$5:AP$41))</f>
        <v>#DIV/0!</v>
      </c>
      <c r="AQ83" s="90" t="e">
        <f t="array" ref="AQ83">_xlfn.STDEV.P(IF($E$5:$E$41=$E82,AQ$5:AQ$41))</f>
        <v>#DIV/0!</v>
      </c>
      <c r="AR83" s="90" t="e">
        <f t="array" ref="AR83">_xlfn.STDEV.P(IF($E$5:$E$41=$E82,AR$5:AR$41))</f>
        <v>#DIV/0!</v>
      </c>
      <c r="AS83" s="90" t="e">
        <f t="array" ref="AS83">_xlfn.STDEV.P(IF($E$5:$E$41=$E82,AS$5:AS$41))</f>
        <v>#DIV/0!</v>
      </c>
      <c r="AT83" s="90" t="e">
        <f t="array" ref="AT83">_xlfn.STDEV.P(IF($E$5:$E$41=$E82,AT$5:AT$41))</f>
        <v>#DIV/0!</v>
      </c>
      <c r="AU83" s="90" t="e">
        <f t="array" ref="AU83">_xlfn.STDEV.P(IF($E$5:$E$41=$E82,AU$5:AU$41))</f>
        <v>#DIV/0!</v>
      </c>
      <c r="AV83" s="90" t="e">
        <f t="array" ref="AV83">_xlfn.STDEV.P(IF($E$5:$E$41=$E82,AV$5:AV$41))</f>
        <v>#DIV/0!</v>
      </c>
      <c r="AW83" s="90" t="e">
        <f t="array" ref="AW83">_xlfn.STDEV.P(IF($E$5:$E$41=$E82,AW$5:AW$41))</f>
        <v>#DIV/0!</v>
      </c>
      <c r="AX83" s="115" t="s">
        <v>12</v>
      </c>
      <c r="AY83" s="83" t="e">
        <f t="array" ref="AY83">_xlfn.STDEV.P(IF($E$5:$E$41=$E82,AY$5:AY$41))</f>
        <v>#DIV/0!</v>
      </c>
      <c r="AZ83" s="83" t="e">
        <f t="array" ref="AZ83">_xlfn.STDEV.P(IF($E$5:$E$41=$E82,AZ$5:AZ$41))</f>
        <v>#DIV/0!</v>
      </c>
      <c r="BA83" s="83" t="e">
        <f t="array" ref="BA83">_xlfn.STDEV.P(IF($E$5:$E$41=$E82,BA$5:BA$41))</f>
        <v>#DIV/0!</v>
      </c>
      <c r="BB83" s="83" t="e">
        <f t="array" ref="BB83">_xlfn.STDEV.P(IF($E$5:$E$41=$E82,BB$5:BB$41))</f>
        <v>#DIV/0!</v>
      </c>
      <c r="BC83" s="83" t="e">
        <f t="array" ref="BC83">_xlfn.STDEV.P(IF($E$5:$E$41=$E82,BC$5:BC$41))</f>
        <v>#DIV/0!</v>
      </c>
      <c r="BD83" s="83" t="e">
        <f t="array" ref="BD83">_xlfn.STDEV.P(IF($E$5:$E$41=$E82,BD$5:BD$41))</f>
        <v>#DIV/0!</v>
      </c>
      <c r="BE83" s="83" t="e">
        <f t="array" ref="BE83">_xlfn.STDEV.P(IF($E$5:$E$41=$E82,BE$5:BE$41))</f>
        <v>#DIV/0!</v>
      </c>
      <c r="BF83" s="83" t="e">
        <f t="array" ref="BF83">_xlfn.STDEV.P(IF($E$5:$E$41=$E82,BF$5:BF$41))</f>
        <v>#DIV/0!</v>
      </c>
      <c r="BG83" s="83" t="e">
        <f t="array" ref="BG83">_xlfn.STDEV.P(IF($E$5:$E$41=$E82,BG$5:BG$41))</f>
        <v>#DIV/0!</v>
      </c>
      <c r="BH83" s="83" t="e">
        <f t="array" ref="BH83">_xlfn.STDEV.P(IF($E$5:$E$41=$E82,BH$5:BH$41))</f>
        <v>#DIV/0!</v>
      </c>
      <c r="BI83" s="83" t="e">
        <f t="array" ref="BI83">_xlfn.STDEV.P(IF($E$5:$E$41=$E82,BI$5:BI$41))</f>
        <v>#DIV/0!</v>
      </c>
      <c r="BJ83" s="83" t="e">
        <f t="array" ref="BJ83">_xlfn.STDEV.P(IF($E$5:$E$41=$E82,BJ$5:BJ$41))</f>
        <v>#DIV/0!</v>
      </c>
      <c r="BK83" s="83" t="e">
        <f t="array" ref="BK83">_xlfn.STDEV.P(IF($E$5:$E$41=$E82,BK$5:BK$41))</f>
        <v>#DIV/0!</v>
      </c>
      <c r="BL83" s="83" t="e">
        <f t="array" ref="BL83">_xlfn.STDEV.P(IF($E$5:$E$41=$E82,BL$5:BL$41))</f>
        <v>#DIV/0!</v>
      </c>
      <c r="BM83" s="83" t="e">
        <f t="array" ref="BM83">_xlfn.STDEV.P(IF($E$5:$E$41=$E82,BM$5:BM$41))</f>
        <v>#DIV/0!</v>
      </c>
      <c r="BN83" s="83" t="e">
        <f t="array" ref="BN83">_xlfn.STDEV.P(IF($E$5:$E$41=$E82,BN$5:BN$41))</f>
        <v>#DIV/0!</v>
      </c>
      <c r="BO83" s="83" t="e">
        <f t="array" ref="BO83">_xlfn.STDEV.P(IF($E$5:$E$41=$E82,BO$5:BO$41))</f>
        <v>#DIV/0!</v>
      </c>
      <c r="BP83" s="83" t="e">
        <f t="array" ref="BP83">_xlfn.STDEV.P(IF($E$5:$E$41=$E82,BP$5:BP$41))</f>
        <v>#DIV/0!</v>
      </c>
      <c r="BQ83" s="83" t="e">
        <f t="array" ref="BQ83">_xlfn.STDEV.P(IF($E$5:$E$41=$E82,BQ$5:BQ$41))</f>
        <v>#DIV/0!</v>
      </c>
      <c r="BR83" s="83" t="e">
        <f t="array" ref="BR83">_xlfn.STDEV.P(IF($E$5:$E$41=$E82,BR$5:BR$41))</f>
        <v>#DIV/0!</v>
      </c>
      <c r="BS83" s="83" t="e">
        <f t="array" ref="BS83">_xlfn.STDEV.P(IF($E$5:$E$41=$E82,BS$5:BS$41))</f>
        <v>#DIV/0!</v>
      </c>
      <c r="BT83" s="83" t="e">
        <f t="array" ref="BT83">_xlfn.STDEV.P(IF($E$5:$E$41=$E82,BT$5:BT$41))</f>
        <v>#DIV/0!</v>
      </c>
      <c r="BU83" s="83" t="e">
        <f t="array" ref="BU83">_xlfn.STDEV.P(IF($E$5:$E$41=$E82,BU$5:BU$41))</f>
        <v>#DIV/0!</v>
      </c>
      <c r="BV83" s="83" t="e">
        <f t="array" ref="BV83">_xlfn.STDEV.P(IF($E$5:$E$41=$E82,BV$5:BV$41))</f>
        <v>#DIV/0!</v>
      </c>
      <c r="BW83" s="83" t="e">
        <f t="array" ref="BW83">_xlfn.STDEV.P(IF($E$5:$E$41=$E82,BW$5:BW$41))</f>
        <v>#DIV/0!</v>
      </c>
      <c r="BX83" s="83" t="e">
        <f t="array" ref="BX83">_xlfn.STDEV.P(IF($E$5:$E$41=$E82,BX$5:BX$41))</f>
        <v>#DIV/0!</v>
      </c>
      <c r="BY83" s="83" t="e">
        <f t="array" ref="BY83">_xlfn.STDEV.P(IF($E$5:$E$41=$E82,BY$5:BY$41))</f>
        <v>#DIV/0!</v>
      </c>
      <c r="BZ83" s="83" t="e">
        <f t="array" ref="BZ83">_xlfn.STDEV.P(IF($E$5:$E$41=$E82,BZ$5:BZ$41))</f>
        <v>#DIV/0!</v>
      </c>
      <c r="CA83" s="83" t="e">
        <f t="array" ref="CA83">_xlfn.STDEV.P(IF($E$5:$E$41=$E82,CA$5:CA$41))</f>
        <v>#DIV/0!</v>
      </c>
      <c r="CB83" s="83" t="e">
        <f t="array" ref="CB83">_xlfn.STDEV.P(IF($E$5:$E$41=$E82,CB$5:CB$41))</f>
        <v>#DIV/0!</v>
      </c>
      <c r="CC83" s="83" t="e">
        <f t="array" ref="CC83">_xlfn.STDEV.P(IF($E$5:$E$41=$E82,CC$5:CC$41))</f>
        <v>#DIV/0!</v>
      </c>
      <c r="CD83" s="83" t="e">
        <f t="array" ref="CD83">_xlfn.STDEV.P(IF($E$5:$E$41=$E82,CD$5:CD$41))</f>
        <v>#DIV/0!</v>
      </c>
      <c r="CE83" s="83" t="e">
        <f t="array" ref="CE83">_xlfn.STDEV.P(IF($E$5:$E$41=$E82,CE$5:CE$41))</f>
        <v>#DIV/0!</v>
      </c>
      <c r="CF83" s="83" t="e">
        <f t="array" ref="CF83">_xlfn.STDEV.P(IF($E$5:$E$41=$E82,CF$5:CF$41))</f>
        <v>#DIV/0!</v>
      </c>
      <c r="CG83" s="83" t="e">
        <f t="array" ref="CG83">_xlfn.STDEV.P(IF($E$5:$E$41=$E82,CG$5:CG$41))</f>
        <v>#DIV/0!</v>
      </c>
      <c r="CH83" s="83" t="e">
        <f t="array" ref="CH83">_xlfn.STDEV.P(IF($E$5:$E$41=$E82,CH$5:CH$41))</f>
        <v>#DIV/0!</v>
      </c>
      <c r="CI83" s="83" t="e">
        <f t="array" ref="CI83">_xlfn.STDEV.P(IF($E$5:$E$41=$E82,CI$5:CI$41))</f>
        <v>#DIV/0!</v>
      </c>
      <c r="CJ83" s="83" t="e">
        <f t="array" ref="CJ83">_xlfn.STDEV.P(IF($E$5:$E$41=$E82,CJ$5:CJ$41))</f>
        <v>#DIV/0!</v>
      </c>
      <c r="CK83" s="83" t="e">
        <f t="array" ref="CK83">_xlfn.STDEV.P(IF($E$5:$E$41=$E82,CK$5:CK$41))</f>
        <v>#DIV/0!</v>
      </c>
      <c r="CL83" s="85"/>
    </row>
    <row r="84" spans="1:90" ht="15">
      <c r="A84" s="129"/>
      <c r="E84" s="134"/>
      <c r="H84" s="58"/>
    </row>
    <row r="85" spans="1:90" ht="14.25" customHeight="1">
      <c r="A85" s="129"/>
      <c r="E85" s="134" t="str">
        <f>'RAD_DOSE Groups'!C19</f>
        <v>Group 14</v>
      </c>
      <c r="H85" s="134" t="str">
        <f>E85</f>
        <v>Group 14</v>
      </c>
      <c r="I85" s="120" t="e">
        <f>AVERAGEIF($E$5:$E$41,$E85,I$5:I$41)</f>
        <v>#DIV/0!</v>
      </c>
      <c r="J85" s="81" t="s">
        <v>10</v>
      </c>
      <c r="K85" s="87" t="e">
        <f t="shared" ref="K85:AW85" si="96">AVERAGEIF($E$5:$E$41,$E85,K$5:K$41)</f>
        <v>#DIV/0!</v>
      </c>
      <c r="L85" s="87" t="e">
        <f t="shared" si="96"/>
        <v>#DIV/0!</v>
      </c>
      <c r="M85" s="87" t="e">
        <f t="shared" si="96"/>
        <v>#DIV/0!</v>
      </c>
      <c r="N85" s="87" t="e">
        <f t="shared" si="96"/>
        <v>#DIV/0!</v>
      </c>
      <c r="O85" s="87" t="e">
        <f t="shared" si="96"/>
        <v>#DIV/0!</v>
      </c>
      <c r="P85" s="87" t="e">
        <f t="shared" si="96"/>
        <v>#DIV/0!</v>
      </c>
      <c r="Q85" s="87" t="e">
        <f t="shared" si="96"/>
        <v>#DIV/0!</v>
      </c>
      <c r="R85" s="87" t="e">
        <f t="shared" si="96"/>
        <v>#DIV/0!</v>
      </c>
      <c r="S85" s="87" t="e">
        <f t="shared" si="96"/>
        <v>#DIV/0!</v>
      </c>
      <c r="T85" s="87" t="e">
        <f t="shared" si="96"/>
        <v>#DIV/0!</v>
      </c>
      <c r="U85" s="87" t="e">
        <f t="shared" si="96"/>
        <v>#DIV/0!</v>
      </c>
      <c r="V85" s="87" t="e">
        <f t="shared" si="96"/>
        <v>#DIV/0!</v>
      </c>
      <c r="W85" s="87" t="e">
        <f t="shared" si="96"/>
        <v>#DIV/0!</v>
      </c>
      <c r="X85" s="87" t="e">
        <f t="shared" si="96"/>
        <v>#DIV/0!</v>
      </c>
      <c r="Y85" s="87" t="e">
        <f t="shared" si="96"/>
        <v>#DIV/0!</v>
      </c>
      <c r="Z85" s="87" t="e">
        <f t="shared" si="96"/>
        <v>#DIV/0!</v>
      </c>
      <c r="AA85" s="87" t="e">
        <f t="shared" si="96"/>
        <v>#DIV/0!</v>
      </c>
      <c r="AB85" s="87" t="e">
        <f t="shared" si="96"/>
        <v>#DIV/0!</v>
      </c>
      <c r="AC85" s="87" t="e">
        <f t="shared" si="96"/>
        <v>#DIV/0!</v>
      </c>
      <c r="AD85" s="87" t="e">
        <f t="shared" si="96"/>
        <v>#DIV/0!</v>
      </c>
      <c r="AE85" s="87" t="e">
        <f t="shared" si="96"/>
        <v>#DIV/0!</v>
      </c>
      <c r="AF85" s="87" t="e">
        <f t="shared" si="96"/>
        <v>#DIV/0!</v>
      </c>
      <c r="AG85" s="87" t="e">
        <f t="shared" si="96"/>
        <v>#DIV/0!</v>
      </c>
      <c r="AH85" s="87" t="e">
        <f t="shared" si="96"/>
        <v>#DIV/0!</v>
      </c>
      <c r="AI85" s="87" t="e">
        <f t="shared" si="96"/>
        <v>#DIV/0!</v>
      </c>
      <c r="AJ85" s="87" t="e">
        <f t="shared" si="96"/>
        <v>#DIV/0!</v>
      </c>
      <c r="AK85" s="87" t="e">
        <f t="shared" si="96"/>
        <v>#DIV/0!</v>
      </c>
      <c r="AL85" s="87" t="e">
        <f t="shared" si="96"/>
        <v>#DIV/0!</v>
      </c>
      <c r="AM85" s="87" t="e">
        <f t="shared" si="96"/>
        <v>#DIV/0!</v>
      </c>
      <c r="AN85" s="87" t="e">
        <f t="shared" si="96"/>
        <v>#DIV/0!</v>
      </c>
      <c r="AO85" s="87" t="e">
        <f t="shared" si="96"/>
        <v>#DIV/0!</v>
      </c>
      <c r="AP85" s="87" t="e">
        <f t="shared" si="96"/>
        <v>#DIV/0!</v>
      </c>
      <c r="AQ85" s="87" t="e">
        <f t="shared" si="96"/>
        <v>#DIV/0!</v>
      </c>
      <c r="AR85" s="87" t="e">
        <f t="shared" si="96"/>
        <v>#DIV/0!</v>
      </c>
      <c r="AS85" s="87" t="e">
        <f t="shared" si="96"/>
        <v>#DIV/0!</v>
      </c>
      <c r="AT85" s="87" t="e">
        <f t="shared" si="96"/>
        <v>#DIV/0!</v>
      </c>
      <c r="AU85" s="87" t="e">
        <f t="shared" si="96"/>
        <v>#DIV/0!</v>
      </c>
      <c r="AV85" s="87" t="e">
        <f t="shared" si="96"/>
        <v>#DIV/0!</v>
      </c>
      <c r="AW85" s="87" t="e">
        <f t="shared" si="96"/>
        <v>#DIV/0!</v>
      </c>
      <c r="AX85" s="114" t="s">
        <v>10</v>
      </c>
      <c r="AY85" s="82" t="e">
        <f t="shared" ref="AY85:CK85" si="97">AVERAGEIF($E$5:$E$41,$E85,AY$5:AY$41)</f>
        <v>#DIV/0!</v>
      </c>
      <c r="AZ85" s="82" t="e">
        <f t="shared" si="97"/>
        <v>#DIV/0!</v>
      </c>
      <c r="BA85" s="82" t="e">
        <f t="shared" si="97"/>
        <v>#DIV/0!</v>
      </c>
      <c r="BB85" s="82" t="e">
        <f t="shared" si="97"/>
        <v>#DIV/0!</v>
      </c>
      <c r="BC85" s="82" t="e">
        <f t="shared" si="97"/>
        <v>#DIV/0!</v>
      </c>
      <c r="BD85" s="82" t="e">
        <f t="shared" si="97"/>
        <v>#DIV/0!</v>
      </c>
      <c r="BE85" s="82" t="e">
        <f t="shared" si="97"/>
        <v>#DIV/0!</v>
      </c>
      <c r="BF85" s="82" t="e">
        <f t="shared" si="97"/>
        <v>#DIV/0!</v>
      </c>
      <c r="BG85" s="82" t="e">
        <f t="shared" si="97"/>
        <v>#DIV/0!</v>
      </c>
      <c r="BH85" s="82" t="e">
        <f t="shared" si="97"/>
        <v>#DIV/0!</v>
      </c>
      <c r="BI85" s="82" t="e">
        <f t="shared" si="97"/>
        <v>#DIV/0!</v>
      </c>
      <c r="BJ85" s="82" t="e">
        <f t="shared" si="97"/>
        <v>#DIV/0!</v>
      </c>
      <c r="BK85" s="82" t="e">
        <f t="shared" si="97"/>
        <v>#DIV/0!</v>
      </c>
      <c r="BL85" s="82" t="e">
        <f t="shared" si="97"/>
        <v>#DIV/0!</v>
      </c>
      <c r="BM85" s="82" t="e">
        <f t="shared" si="97"/>
        <v>#DIV/0!</v>
      </c>
      <c r="BN85" s="82" t="e">
        <f t="shared" si="97"/>
        <v>#DIV/0!</v>
      </c>
      <c r="BO85" s="82" t="e">
        <f t="shared" si="97"/>
        <v>#DIV/0!</v>
      </c>
      <c r="BP85" s="82" t="e">
        <f t="shared" si="97"/>
        <v>#DIV/0!</v>
      </c>
      <c r="BQ85" s="82" t="e">
        <f t="shared" si="97"/>
        <v>#DIV/0!</v>
      </c>
      <c r="BR85" s="82" t="e">
        <f t="shared" si="97"/>
        <v>#DIV/0!</v>
      </c>
      <c r="BS85" s="82" t="e">
        <f t="shared" si="97"/>
        <v>#DIV/0!</v>
      </c>
      <c r="BT85" s="82" t="e">
        <f t="shared" si="97"/>
        <v>#DIV/0!</v>
      </c>
      <c r="BU85" s="82" t="e">
        <f t="shared" si="97"/>
        <v>#DIV/0!</v>
      </c>
      <c r="BV85" s="82" t="e">
        <f t="shared" si="97"/>
        <v>#DIV/0!</v>
      </c>
      <c r="BW85" s="82" t="e">
        <f t="shared" si="97"/>
        <v>#DIV/0!</v>
      </c>
      <c r="BX85" s="82" t="e">
        <f t="shared" si="97"/>
        <v>#DIV/0!</v>
      </c>
      <c r="BY85" s="82" t="e">
        <f t="shared" si="97"/>
        <v>#DIV/0!</v>
      </c>
      <c r="BZ85" s="82" t="e">
        <f t="shared" si="97"/>
        <v>#DIV/0!</v>
      </c>
      <c r="CA85" s="82" t="e">
        <f t="shared" si="97"/>
        <v>#DIV/0!</v>
      </c>
      <c r="CB85" s="82" t="e">
        <f t="shared" si="97"/>
        <v>#DIV/0!</v>
      </c>
      <c r="CC85" s="82" t="e">
        <f t="shared" si="97"/>
        <v>#DIV/0!</v>
      </c>
      <c r="CD85" s="82" t="e">
        <f t="shared" si="97"/>
        <v>#DIV/0!</v>
      </c>
      <c r="CE85" s="82" t="e">
        <f t="shared" si="97"/>
        <v>#DIV/0!</v>
      </c>
      <c r="CF85" s="82" t="e">
        <f t="shared" si="97"/>
        <v>#DIV/0!</v>
      </c>
      <c r="CG85" s="82" t="e">
        <f t="shared" si="97"/>
        <v>#DIV/0!</v>
      </c>
      <c r="CH85" s="82" t="e">
        <f t="shared" si="97"/>
        <v>#DIV/0!</v>
      </c>
      <c r="CI85" s="82" t="e">
        <f t="shared" si="97"/>
        <v>#DIV/0!</v>
      </c>
      <c r="CJ85" s="82" t="e">
        <f t="shared" si="97"/>
        <v>#DIV/0!</v>
      </c>
      <c r="CK85" s="82" t="e">
        <f t="shared" si="97"/>
        <v>#DIV/0!</v>
      </c>
      <c r="CL85" s="85"/>
    </row>
    <row r="86" spans="1:90" ht="14.25" customHeight="1">
      <c r="A86" s="129"/>
      <c r="E86" s="104"/>
      <c r="H86" s="104"/>
      <c r="I86" s="120" t="e">
        <f t="array" ref="I86">_xlfn.STDEV.P(IF($E$5:$E$41=$E85,I$5:I$41))</f>
        <v>#DIV/0!</v>
      </c>
      <c r="J86" s="81" t="s">
        <v>12</v>
      </c>
      <c r="K86" s="90" t="e">
        <f t="array" ref="K86">_xlfn.STDEV.P(IF($E$5:$E$41=$E85,K$5:K$41))</f>
        <v>#DIV/0!</v>
      </c>
      <c r="L86" s="90" t="e">
        <f t="array" ref="L86">_xlfn.STDEV.P(IF($E$5:$E$41=$E85,L$5:L$41))</f>
        <v>#DIV/0!</v>
      </c>
      <c r="M86" s="90" t="e">
        <f t="array" ref="M86">_xlfn.STDEV.P(IF($E$5:$E$41=$E85,M$5:M$41))</f>
        <v>#DIV/0!</v>
      </c>
      <c r="N86" s="90" t="e">
        <f t="array" ref="N86">_xlfn.STDEV.P(IF($E$5:$E$41=$E85,N$5:N$41))</f>
        <v>#DIV/0!</v>
      </c>
      <c r="O86" s="90" t="e">
        <f t="array" ref="O86">_xlfn.STDEV.P(IF($E$5:$E$41=$E85,O$5:O$41))</f>
        <v>#DIV/0!</v>
      </c>
      <c r="P86" s="90" t="e">
        <f t="array" ref="P86">_xlfn.STDEV.P(IF($E$5:$E$41=$E85,P$5:P$41))</f>
        <v>#DIV/0!</v>
      </c>
      <c r="Q86" s="90" t="e">
        <f t="array" ref="Q86">_xlfn.STDEV.P(IF($E$5:$E$41=$E85,Q$5:Q$41))</f>
        <v>#DIV/0!</v>
      </c>
      <c r="R86" s="90" t="e">
        <f t="array" ref="R86">_xlfn.STDEV.P(IF($E$5:$E$41=$E85,R$5:R$41))</f>
        <v>#DIV/0!</v>
      </c>
      <c r="S86" s="90" t="e">
        <f t="array" ref="S86">_xlfn.STDEV.P(IF($E$5:$E$41=$E85,S$5:S$41))</f>
        <v>#DIV/0!</v>
      </c>
      <c r="T86" s="90" t="e">
        <f t="array" ref="T86">_xlfn.STDEV.P(IF($E$5:$E$41=$E85,T$5:T$41))</f>
        <v>#DIV/0!</v>
      </c>
      <c r="U86" s="90" t="e">
        <f t="array" ref="U86">_xlfn.STDEV.P(IF($E$5:$E$41=$E85,U$5:U$41))</f>
        <v>#DIV/0!</v>
      </c>
      <c r="V86" s="90" t="e">
        <f t="array" ref="V86">_xlfn.STDEV.P(IF($E$5:$E$41=$E85,V$5:V$41))</f>
        <v>#DIV/0!</v>
      </c>
      <c r="W86" s="90" t="e">
        <f t="array" ref="W86">_xlfn.STDEV.P(IF($E$5:$E$41=$E85,W$5:W$41))</f>
        <v>#DIV/0!</v>
      </c>
      <c r="X86" s="90" t="e">
        <f t="array" ref="X86">_xlfn.STDEV.P(IF($E$5:$E$41=$E85,X$5:X$41))</f>
        <v>#DIV/0!</v>
      </c>
      <c r="Y86" s="90" t="e">
        <f t="array" ref="Y86">_xlfn.STDEV.P(IF($E$5:$E$41=$E85,Y$5:Y$41))</f>
        <v>#DIV/0!</v>
      </c>
      <c r="Z86" s="90" t="e">
        <f t="array" ref="Z86">_xlfn.STDEV.P(IF($E$5:$E$41=$E85,Z$5:Z$41))</f>
        <v>#DIV/0!</v>
      </c>
      <c r="AA86" s="90" t="e">
        <f t="array" ref="AA86">_xlfn.STDEV.P(IF($E$5:$E$41=$E85,AA$5:AA$41))</f>
        <v>#DIV/0!</v>
      </c>
      <c r="AB86" s="90" t="e">
        <f t="array" ref="AB86">_xlfn.STDEV.P(IF($E$5:$E$41=$E85,AB$5:AB$41))</f>
        <v>#DIV/0!</v>
      </c>
      <c r="AC86" s="90" t="e">
        <f t="array" ref="AC86">_xlfn.STDEV.P(IF($E$5:$E$41=$E85,AC$5:AC$41))</f>
        <v>#DIV/0!</v>
      </c>
      <c r="AD86" s="90" t="e">
        <f t="array" ref="AD86">_xlfn.STDEV.P(IF($E$5:$E$41=$E85,AD$5:AD$41))</f>
        <v>#DIV/0!</v>
      </c>
      <c r="AE86" s="90" t="e">
        <f t="array" ref="AE86">_xlfn.STDEV.P(IF($E$5:$E$41=$E85,AE$5:AE$41))</f>
        <v>#DIV/0!</v>
      </c>
      <c r="AF86" s="90" t="e">
        <f t="array" ref="AF86">_xlfn.STDEV.P(IF($E$5:$E$41=$E85,AF$5:AF$41))</f>
        <v>#DIV/0!</v>
      </c>
      <c r="AG86" s="90" t="e">
        <f t="array" ref="AG86">_xlfn.STDEV.P(IF($E$5:$E$41=$E85,AG$5:AG$41))</f>
        <v>#DIV/0!</v>
      </c>
      <c r="AH86" s="90" t="e">
        <f t="array" ref="AH86">_xlfn.STDEV.P(IF($E$5:$E$41=$E85,AH$5:AH$41))</f>
        <v>#DIV/0!</v>
      </c>
      <c r="AI86" s="90" t="e">
        <f t="array" ref="AI86">_xlfn.STDEV.P(IF($E$5:$E$41=$E85,AI$5:AI$41))</f>
        <v>#DIV/0!</v>
      </c>
      <c r="AJ86" s="90" t="e">
        <f t="array" ref="AJ86">_xlfn.STDEV.P(IF($E$5:$E$41=$E85,AJ$5:AJ$41))</f>
        <v>#DIV/0!</v>
      </c>
      <c r="AK86" s="90" t="e">
        <f t="array" ref="AK86">_xlfn.STDEV.P(IF($E$5:$E$41=$E85,AK$5:AK$41))</f>
        <v>#DIV/0!</v>
      </c>
      <c r="AL86" s="90" t="e">
        <f t="array" ref="AL86">_xlfn.STDEV.P(IF($E$5:$E$41=$E85,AL$5:AL$41))</f>
        <v>#DIV/0!</v>
      </c>
      <c r="AM86" s="90" t="e">
        <f t="array" ref="AM86">_xlfn.STDEV.P(IF($E$5:$E$41=$E85,AM$5:AM$41))</f>
        <v>#DIV/0!</v>
      </c>
      <c r="AN86" s="90" t="e">
        <f t="array" ref="AN86">_xlfn.STDEV.P(IF($E$5:$E$41=$E85,AN$5:AN$41))</f>
        <v>#DIV/0!</v>
      </c>
      <c r="AO86" s="90" t="e">
        <f t="array" ref="AO86">_xlfn.STDEV.P(IF($E$5:$E$41=$E85,AO$5:AO$41))</f>
        <v>#DIV/0!</v>
      </c>
      <c r="AP86" s="90" t="e">
        <f t="array" ref="AP86">_xlfn.STDEV.P(IF($E$5:$E$41=$E85,AP$5:AP$41))</f>
        <v>#DIV/0!</v>
      </c>
      <c r="AQ86" s="90" t="e">
        <f t="array" ref="AQ86">_xlfn.STDEV.P(IF($E$5:$E$41=$E85,AQ$5:AQ$41))</f>
        <v>#DIV/0!</v>
      </c>
      <c r="AR86" s="90" t="e">
        <f t="array" ref="AR86">_xlfn.STDEV.P(IF($E$5:$E$41=$E85,AR$5:AR$41))</f>
        <v>#DIV/0!</v>
      </c>
      <c r="AS86" s="90" t="e">
        <f t="array" ref="AS86">_xlfn.STDEV.P(IF($E$5:$E$41=$E85,AS$5:AS$41))</f>
        <v>#DIV/0!</v>
      </c>
      <c r="AT86" s="90" t="e">
        <f t="array" ref="AT86">_xlfn.STDEV.P(IF($E$5:$E$41=$E85,AT$5:AT$41))</f>
        <v>#DIV/0!</v>
      </c>
      <c r="AU86" s="90" t="e">
        <f t="array" ref="AU86">_xlfn.STDEV.P(IF($E$5:$E$41=$E85,AU$5:AU$41))</f>
        <v>#DIV/0!</v>
      </c>
      <c r="AV86" s="90" t="e">
        <f t="array" ref="AV86">_xlfn.STDEV.P(IF($E$5:$E$41=$E85,AV$5:AV$41))</f>
        <v>#DIV/0!</v>
      </c>
      <c r="AW86" s="90" t="e">
        <f t="array" ref="AW86">_xlfn.STDEV.P(IF($E$5:$E$41=$E85,AW$5:AW$41))</f>
        <v>#DIV/0!</v>
      </c>
      <c r="AX86" s="115" t="s">
        <v>12</v>
      </c>
      <c r="AY86" s="83" t="e">
        <f t="array" ref="AY86">_xlfn.STDEV.P(IF($E$5:$E$41=$E85,AY$5:AY$41))</f>
        <v>#DIV/0!</v>
      </c>
      <c r="AZ86" s="83" t="e">
        <f t="array" ref="AZ86">_xlfn.STDEV.P(IF($E$5:$E$41=$E85,AZ$5:AZ$41))</f>
        <v>#DIV/0!</v>
      </c>
      <c r="BA86" s="83" t="e">
        <f t="array" ref="BA86">_xlfn.STDEV.P(IF($E$5:$E$41=$E85,BA$5:BA$41))</f>
        <v>#DIV/0!</v>
      </c>
      <c r="BB86" s="83" t="e">
        <f t="array" ref="BB86">_xlfn.STDEV.P(IF($E$5:$E$41=$E85,BB$5:BB$41))</f>
        <v>#DIV/0!</v>
      </c>
      <c r="BC86" s="83" t="e">
        <f t="array" ref="BC86">_xlfn.STDEV.P(IF($E$5:$E$41=$E85,BC$5:BC$41))</f>
        <v>#DIV/0!</v>
      </c>
      <c r="BD86" s="83" t="e">
        <f t="array" ref="BD86">_xlfn.STDEV.P(IF($E$5:$E$41=$E85,BD$5:BD$41))</f>
        <v>#DIV/0!</v>
      </c>
      <c r="BE86" s="83" t="e">
        <f t="array" ref="BE86">_xlfn.STDEV.P(IF($E$5:$E$41=$E85,BE$5:BE$41))</f>
        <v>#DIV/0!</v>
      </c>
      <c r="BF86" s="83" t="e">
        <f t="array" ref="BF86">_xlfn.STDEV.P(IF($E$5:$E$41=$E85,BF$5:BF$41))</f>
        <v>#DIV/0!</v>
      </c>
      <c r="BG86" s="83" t="e">
        <f t="array" ref="BG86">_xlfn.STDEV.P(IF($E$5:$E$41=$E85,BG$5:BG$41))</f>
        <v>#DIV/0!</v>
      </c>
      <c r="BH86" s="83" t="e">
        <f t="array" ref="BH86">_xlfn.STDEV.P(IF($E$5:$E$41=$E85,BH$5:BH$41))</f>
        <v>#DIV/0!</v>
      </c>
      <c r="BI86" s="83" t="e">
        <f t="array" ref="BI86">_xlfn.STDEV.P(IF($E$5:$E$41=$E85,BI$5:BI$41))</f>
        <v>#DIV/0!</v>
      </c>
      <c r="BJ86" s="83" t="e">
        <f t="array" ref="BJ86">_xlfn.STDEV.P(IF($E$5:$E$41=$E85,BJ$5:BJ$41))</f>
        <v>#DIV/0!</v>
      </c>
      <c r="BK86" s="83" t="e">
        <f t="array" ref="BK86">_xlfn.STDEV.P(IF($E$5:$E$41=$E85,BK$5:BK$41))</f>
        <v>#DIV/0!</v>
      </c>
      <c r="BL86" s="83" t="e">
        <f t="array" ref="BL86">_xlfn.STDEV.P(IF($E$5:$E$41=$E85,BL$5:BL$41))</f>
        <v>#DIV/0!</v>
      </c>
      <c r="BM86" s="83" t="e">
        <f t="array" ref="BM86">_xlfn.STDEV.P(IF($E$5:$E$41=$E85,BM$5:BM$41))</f>
        <v>#DIV/0!</v>
      </c>
      <c r="BN86" s="83" t="e">
        <f t="array" ref="BN86">_xlfn.STDEV.P(IF($E$5:$E$41=$E85,BN$5:BN$41))</f>
        <v>#DIV/0!</v>
      </c>
      <c r="BO86" s="83" t="e">
        <f t="array" ref="BO86">_xlfn.STDEV.P(IF($E$5:$E$41=$E85,BO$5:BO$41))</f>
        <v>#DIV/0!</v>
      </c>
      <c r="BP86" s="83" t="e">
        <f t="array" ref="BP86">_xlfn.STDEV.P(IF($E$5:$E$41=$E85,BP$5:BP$41))</f>
        <v>#DIV/0!</v>
      </c>
      <c r="BQ86" s="83" t="e">
        <f t="array" ref="BQ86">_xlfn.STDEV.P(IF($E$5:$E$41=$E85,BQ$5:BQ$41))</f>
        <v>#DIV/0!</v>
      </c>
      <c r="BR86" s="83" t="e">
        <f t="array" ref="BR86">_xlfn.STDEV.P(IF($E$5:$E$41=$E85,BR$5:BR$41))</f>
        <v>#DIV/0!</v>
      </c>
      <c r="BS86" s="83" t="e">
        <f t="array" ref="BS86">_xlfn.STDEV.P(IF($E$5:$E$41=$E85,BS$5:BS$41))</f>
        <v>#DIV/0!</v>
      </c>
      <c r="BT86" s="83" t="e">
        <f t="array" ref="BT86">_xlfn.STDEV.P(IF($E$5:$E$41=$E85,BT$5:BT$41))</f>
        <v>#DIV/0!</v>
      </c>
      <c r="BU86" s="83" t="e">
        <f t="array" ref="BU86">_xlfn.STDEV.P(IF($E$5:$E$41=$E85,BU$5:BU$41))</f>
        <v>#DIV/0!</v>
      </c>
      <c r="BV86" s="83" t="e">
        <f t="array" ref="BV86">_xlfn.STDEV.P(IF($E$5:$E$41=$E85,BV$5:BV$41))</f>
        <v>#DIV/0!</v>
      </c>
      <c r="BW86" s="83" t="e">
        <f t="array" ref="BW86">_xlfn.STDEV.P(IF($E$5:$E$41=$E85,BW$5:BW$41))</f>
        <v>#DIV/0!</v>
      </c>
      <c r="BX86" s="83" t="e">
        <f t="array" ref="BX86">_xlfn.STDEV.P(IF($E$5:$E$41=$E85,BX$5:BX$41))</f>
        <v>#DIV/0!</v>
      </c>
      <c r="BY86" s="83" t="e">
        <f t="array" ref="BY86">_xlfn.STDEV.P(IF($E$5:$E$41=$E85,BY$5:BY$41))</f>
        <v>#DIV/0!</v>
      </c>
      <c r="BZ86" s="83" t="e">
        <f t="array" ref="BZ86">_xlfn.STDEV.P(IF($E$5:$E$41=$E85,BZ$5:BZ$41))</f>
        <v>#DIV/0!</v>
      </c>
      <c r="CA86" s="83" t="e">
        <f t="array" ref="CA86">_xlfn.STDEV.P(IF($E$5:$E$41=$E85,CA$5:CA$41))</f>
        <v>#DIV/0!</v>
      </c>
      <c r="CB86" s="83" t="e">
        <f t="array" ref="CB86">_xlfn.STDEV.P(IF($E$5:$E$41=$E85,CB$5:CB$41))</f>
        <v>#DIV/0!</v>
      </c>
      <c r="CC86" s="83" t="e">
        <f t="array" ref="CC86">_xlfn.STDEV.P(IF($E$5:$E$41=$E85,CC$5:CC$41))</f>
        <v>#DIV/0!</v>
      </c>
      <c r="CD86" s="83" t="e">
        <f t="array" ref="CD86">_xlfn.STDEV.P(IF($E$5:$E$41=$E85,CD$5:CD$41))</f>
        <v>#DIV/0!</v>
      </c>
      <c r="CE86" s="83" t="e">
        <f t="array" ref="CE86">_xlfn.STDEV.P(IF($E$5:$E$41=$E85,CE$5:CE$41))</f>
        <v>#DIV/0!</v>
      </c>
      <c r="CF86" s="83" t="e">
        <f t="array" ref="CF86">_xlfn.STDEV.P(IF($E$5:$E$41=$E85,CF$5:CF$41))</f>
        <v>#DIV/0!</v>
      </c>
      <c r="CG86" s="83" t="e">
        <f t="array" ref="CG86">_xlfn.STDEV.P(IF($E$5:$E$41=$E85,CG$5:CG$41))</f>
        <v>#DIV/0!</v>
      </c>
      <c r="CH86" s="83" t="e">
        <f t="array" ref="CH86">_xlfn.STDEV.P(IF($E$5:$E$41=$E85,CH$5:CH$41))</f>
        <v>#DIV/0!</v>
      </c>
      <c r="CI86" s="83" t="e">
        <f t="array" ref="CI86">_xlfn.STDEV.P(IF($E$5:$E$41=$E85,CI$5:CI$41))</f>
        <v>#DIV/0!</v>
      </c>
      <c r="CJ86" s="83" t="e">
        <f t="array" ref="CJ86">_xlfn.STDEV.P(IF($E$5:$E$41=$E85,CJ$5:CJ$41))</f>
        <v>#DIV/0!</v>
      </c>
      <c r="CK86" s="83" t="e">
        <f t="array" ref="CK86">_xlfn.STDEV.P(IF($E$5:$E$41=$E85,CK$5:CK$41))</f>
        <v>#DIV/0!</v>
      </c>
      <c r="CL86" s="85"/>
    </row>
    <row r="87" spans="1:90" ht="15">
      <c r="A87" s="129"/>
      <c r="E87" s="134"/>
      <c r="H87" s="58"/>
    </row>
    <row r="88" spans="1:90" ht="14.25" customHeight="1">
      <c r="A88" s="129"/>
      <c r="E88" s="134" t="str">
        <f>'RAD_DOSE Groups'!C20</f>
        <v>Group 15</v>
      </c>
      <c r="H88" s="134" t="str">
        <f>E88</f>
        <v>Group 15</v>
      </c>
      <c r="I88" s="120" t="e">
        <f>AVERAGEIF($E$5:$E$41,$E88,I$5:I$41)</f>
        <v>#DIV/0!</v>
      </c>
      <c r="J88" s="81" t="s">
        <v>10</v>
      </c>
      <c r="K88" s="87" t="e">
        <f t="shared" ref="K88:AW88" si="98">AVERAGEIF($E$5:$E$41,$E88,K$5:K$41)</f>
        <v>#DIV/0!</v>
      </c>
      <c r="L88" s="87" t="e">
        <f t="shared" si="98"/>
        <v>#DIV/0!</v>
      </c>
      <c r="M88" s="87" t="e">
        <f t="shared" si="98"/>
        <v>#DIV/0!</v>
      </c>
      <c r="N88" s="87" t="e">
        <f t="shared" si="98"/>
        <v>#DIV/0!</v>
      </c>
      <c r="O88" s="87" t="e">
        <f t="shared" si="98"/>
        <v>#DIV/0!</v>
      </c>
      <c r="P88" s="87" t="e">
        <f t="shared" si="98"/>
        <v>#DIV/0!</v>
      </c>
      <c r="Q88" s="87" t="e">
        <f t="shared" si="98"/>
        <v>#DIV/0!</v>
      </c>
      <c r="R88" s="87" t="e">
        <f t="shared" si="98"/>
        <v>#DIV/0!</v>
      </c>
      <c r="S88" s="87" t="e">
        <f t="shared" si="98"/>
        <v>#DIV/0!</v>
      </c>
      <c r="T88" s="87" t="e">
        <f t="shared" si="98"/>
        <v>#DIV/0!</v>
      </c>
      <c r="U88" s="87" t="e">
        <f t="shared" si="98"/>
        <v>#DIV/0!</v>
      </c>
      <c r="V88" s="87" t="e">
        <f t="shared" si="98"/>
        <v>#DIV/0!</v>
      </c>
      <c r="W88" s="87" t="e">
        <f t="shared" si="98"/>
        <v>#DIV/0!</v>
      </c>
      <c r="X88" s="87" t="e">
        <f t="shared" si="98"/>
        <v>#DIV/0!</v>
      </c>
      <c r="Y88" s="87" t="e">
        <f t="shared" si="98"/>
        <v>#DIV/0!</v>
      </c>
      <c r="Z88" s="87" t="e">
        <f t="shared" si="98"/>
        <v>#DIV/0!</v>
      </c>
      <c r="AA88" s="87" t="e">
        <f t="shared" si="98"/>
        <v>#DIV/0!</v>
      </c>
      <c r="AB88" s="87" t="e">
        <f t="shared" si="98"/>
        <v>#DIV/0!</v>
      </c>
      <c r="AC88" s="87" t="e">
        <f t="shared" si="98"/>
        <v>#DIV/0!</v>
      </c>
      <c r="AD88" s="87" t="e">
        <f t="shared" si="98"/>
        <v>#DIV/0!</v>
      </c>
      <c r="AE88" s="87" t="e">
        <f t="shared" si="98"/>
        <v>#DIV/0!</v>
      </c>
      <c r="AF88" s="87" t="e">
        <f t="shared" si="98"/>
        <v>#DIV/0!</v>
      </c>
      <c r="AG88" s="87" t="e">
        <f t="shared" si="98"/>
        <v>#DIV/0!</v>
      </c>
      <c r="AH88" s="87" t="e">
        <f t="shared" si="98"/>
        <v>#DIV/0!</v>
      </c>
      <c r="AI88" s="87" t="e">
        <f t="shared" si="98"/>
        <v>#DIV/0!</v>
      </c>
      <c r="AJ88" s="87" t="e">
        <f t="shared" si="98"/>
        <v>#DIV/0!</v>
      </c>
      <c r="AK88" s="87" t="e">
        <f t="shared" si="98"/>
        <v>#DIV/0!</v>
      </c>
      <c r="AL88" s="87" t="e">
        <f t="shared" si="98"/>
        <v>#DIV/0!</v>
      </c>
      <c r="AM88" s="87" t="e">
        <f t="shared" si="98"/>
        <v>#DIV/0!</v>
      </c>
      <c r="AN88" s="87" t="e">
        <f t="shared" si="98"/>
        <v>#DIV/0!</v>
      </c>
      <c r="AO88" s="87" t="e">
        <f t="shared" si="98"/>
        <v>#DIV/0!</v>
      </c>
      <c r="AP88" s="87" t="e">
        <f t="shared" si="98"/>
        <v>#DIV/0!</v>
      </c>
      <c r="AQ88" s="87" t="e">
        <f t="shared" si="98"/>
        <v>#DIV/0!</v>
      </c>
      <c r="AR88" s="87" t="e">
        <f t="shared" si="98"/>
        <v>#DIV/0!</v>
      </c>
      <c r="AS88" s="87" t="e">
        <f t="shared" si="98"/>
        <v>#DIV/0!</v>
      </c>
      <c r="AT88" s="87" t="e">
        <f t="shared" si="98"/>
        <v>#DIV/0!</v>
      </c>
      <c r="AU88" s="87" t="e">
        <f t="shared" si="98"/>
        <v>#DIV/0!</v>
      </c>
      <c r="AV88" s="87" t="e">
        <f t="shared" si="98"/>
        <v>#DIV/0!</v>
      </c>
      <c r="AW88" s="87" t="e">
        <f t="shared" si="98"/>
        <v>#DIV/0!</v>
      </c>
      <c r="AX88" s="114" t="s">
        <v>10</v>
      </c>
      <c r="AY88" s="82" t="e">
        <f t="shared" ref="AY88:CK88" si="99">AVERAGEIF($E$5:$E$41,$E88,AY$5:AY$41)</f>
        <v>#DIV/0!</v>
      </c>
      <c r="AZ88" s="82" t="e">
        <f t="shared" si="99"/>
        <v>#DIV/0!</v>
      </c>
      <c r="BA88" s="82" t="e">
        <f t="shared" si="99"/>
        <v>#DIV/0!</v>
      </c>
      <c r="BB88" s="82" t="e">
        <f t="shared" si="99"/>
        <v>#DIV/0!</v>
      </c>
      <c r="BC88" s="82" t="e">
        <f t="shared" si="99"/>
        <v>#DIV/0!</v>
      </c>
      <c r="BD88" s="82" t="e">
        <f t="shared" si="99"/>
        <v>#DIV/0!</v>
      </c>
      <c r="BE88" s="82" t="e">
        <f t="shared" si="99"/>
        <v>#DIV/0!</v>
      </c>
      <c r="BF88" s="82" t="e">
        <f t="shared" si="99"/>
        <v>#DIV/0!</v>
      </c>
      <c r="BG88" s="82" t="e">
        <f t="shared" si="99"/>
        <v>#DIV/0!</v>
      </c>
      <c r="BH88" s="82" t="e">
        <f t="shared" si="99"/>
        <v>#DIV/0!</v>
      </c>
      <c r="BI88" s="82" t="e">
        <f t="shared" si="99"/>
        <v>#DIV/0!</v>
      </c>
      <c r="BJ88" s="82" t="e">
        <f t="shared" si="99"/>
        <v>#DIV/0!</v>
      </c>
      <c r="BK88" s="82" t="e">
        <f t="shared" si="99"/>
        <v>#DIV/0!</v>
      </c>
      <c r="BL88" s="82" t="e">
        <f t="shared" si="99"/>
        <v>#DIV/0!</v>
      </c>
      <c r="BM88" s="82" t="e">
        <f t="shared" si="99"/>
        <v>#DIV/0!</v>
      </c>
      <c r="BN88" s="82" t="e">
        <f t="shared" si="99"/>
        <v>#DIV/0!</v>
      </c>
      <c r="BO88" s="82" t="e">
        <f t="shared" si="99"/>
        <v>#DIV/0!</v>
      </c>
      <c r="BP88" s="82" t="e">
        <f t="shared" si="99"/>
        <v>#DIV/0!</v>
      </c>
      <c r="BQ88" s="82" t="e">
        <f t="shared" si="99"/>
        <v>#DIV/0!</v>
      </c>
      <c r="BR88" s="82" t="e">
        <f t="shared" si="99"/>
        <v>#DIV/0!</v>
      </c>
      <c r="BS88" s="82" t="e">
        <f t="shared" si="99"/>
        <v>#DIV/0!</v>
      </c>
      <c r="BT88" s="82" t="e">
        <f t="shared" si="99"/>
        <v>#DIV/0!</v>
      </c>
      <c r="BU88" s="82" t="e">
        <f t="shared" si="99"/>
        <v>#DIV/0!</v>
      </c>
      <c r="BV88" s="82" t="e">
        <f t="shared" si="99"/>
        <v>#DIV/0!</v>
      </c>
      <c r="BW88" s="82" t="e">
        <f t="shared" si="99"/>
        <v>#DIV/0!</v>
      </c>
      <c r="BX88" s="82" t="e">
        <f t="shared" si="99"/>
        <v>#DIV/0!</v>
      </c>
      <c r="BY88" s="82" t="e">
        <f t="shared" si="99"/>
        <v>#DIV/0!</v>
      </c>
      <c r="BZ88" s="82" t="e">
        <f t="shared" si="99"/>
        <v>#DIV/0!</v>
      </c>
      <c r="CA88" s="82" t="e">
        <f t="shared" si="99"/>
        <v>#DIV/0!</v>
      </c>
      <c r="CB88" s="82" t="e">
        <f t="shared" si="99"/>
        <v>#DIV/0!</v>
      </c>
      <c r="CC88" s="82" t="e">
        <f t="shared" si="99"/>
        <v>#DIV/0!</v>
      </c>
      <c r="CD88" s="82" t="e">
        <f t="shared" si="99"/>
        <v>#DIV/0!</v>
      </c>
      <c r="CE88" s="82" t="e">
        <f t="shared" si="99"/>
        <v>#DIV/0!</v>
      </c>
      <c r="CF88" s="82" t="e">
        <f t="shared" si="99"/>
        <v>#DIV/0!</v>
      </c>
      <c r="CG88" s="82" t="e">
        <f t="shared" si="99"/>
        <v>#DIV/0!</v>
      </c>
      <c r="CH88" s="82" t="e">
        <f t="shared" si="99"/>
        <v>#DIV/0!</v>
      </c>
      <c r="CI88" s="82" t="e">
        <f t="shared" si="99"/>
        <v>#DIV/0!</v>
      </c>
      <c r="CJ88" s="82" t="e">
        <f t="shared" si="99"/>
        <v>#DIV/0!</v>
      </c>
      <c r="CK88" s="82" t="e">
        <f t="shared" si="99"/>
        <v>#DIV/0!</v>
      </c>
      <c r="CL88" s="85"/>
    </row>
    <row r="89" spans="1:90" ht="14.25" customHeight="1">
      <c r="A89" s="129"/>
      <c r="E89" s="104"/>
      <c r="H89" s="104"/>
      <c r="I89" s="120" t="e">
        <f t="array" ref="I89">_xlfn.STDEV.P(IF($E$5:$E$41=$E88,I$5:I$41))</f>
        <v>#DIV/0!</v>
      </c>
      <c r="J89" s="81" t="s">
        <v>12</v>
      </c>
      <c r="K89" s="90" t="e">
        <f t="array" ref="K89">_xlfn.STDEV.P(IF($E$5:$E$41=$E88,K$5:K$41))</f>
        <v>#DIV/0!</v>
      </c>
      <c r="L89" s="90" t="e">
        <f t="array" ref="L89">_xlfn.STDEV.P(IF($E$5:$E$41=$E88,L$5:L$41))</f>
        <v>#DIV/0!</v>
      </c>
      <c r="M89" s="90" t="e">
        <f t="array" ref="M89">_xlfn.STDEV.P(IF($E$5:$E$41=$E88,M$5:M$41))</f>
        <v>#DIV/0!</v>
      </c>
      <c r="N89" s="90" t="e">
        <f t="array" ref="N89">_xlfn.STDEV.P(IF($E$5:$E$41=$E88,N$5:N$41))</f>
        <v>#DIV/0!</v>
      </c>
      <c r="O89" s="90" t="e">
        <f t="array" ref="O89">_xlfn.STDEV.P(IF($E$5:$E$41=$E88,O$5:O$41))</f>
        <v>#DIV/0!</v>
      </c>
      <c r="P89" s="90" t="e">
        <f t="array" ref="P89">_xlfn.STDEV.P(IF($E$5:$E$41=$E88,P$5:P$41))</f>
        <v>#DIV/0!</v>
      </c>
      <c r="Q89" s="90" t="e">
        <f t="array" ref="Q89">_xlfn.STDEV.P(IF($E$5:$E$41=$E88,Q$5:Q$41))</f>
        <v>#DIV/0!</v>
      </c>
      <c r="R89" s="90" t="e">
        <f t="array" ref="R89">_xlfn.STDEV.P(IF($E$5:$E$41=$E88,R$5:R$41))</f>
        <v>#DIV/0!</v>
      </c>
      <c r="S89" s="90" t="e">
        <f t="array" ref="S89">_xlfn.STDEV.P(IF($E$5:$E$41=$E88,S$5:S$41))</f>
        <v>#DIV/0!</v>
      </c>
      <c r="T89" s="90" t="e">
        <f t="array" ref="T89">_xlfn.STDEV.P(IF($E$5:$E$41=$E88,T$5:T$41))</f>
        <v>#DIV/0!</v>
      </c>
      <c r="U89" s="90" t="e">
        <f t="array" ref="U89">_xlfn.STDEV.P(IF($E$5:$E$41=$E88,U$5:U$41))</f>
        <v>#DIV/0!</v>
      </c>
      <c r="V89" s="90" t="e">
        <f t="array" ref="V89">_xlfn.STDEV.P(IF($E$5:$E$41=$E88,V$5:V$41))</f>
        <v>#DIV/0!</v>
      </c>
      <c r="W89" s="90" t="e">
        <f t="array" ref="W89">_xlfn.STDEV.P(IF($E$5:$E$41=$E88,W$5:W$41))</f>
        <v>#DIV/0!</v>
      </c>
      <c r="X89" s="90" t="e">
        <f t="array" ref="X89">_xlfn.STDEV.P(IF($E$5:$E$41=$E88,X$5:X$41))</f>
        <v>#DIV/0!</v>
      </c>
      <c r="Y89" s="90" t="e">
        <f t="array" ref="Y89">_xlfn.STDEV.P(IF($E$5:$E$41=$E88,Y$5:Y$41))</f>
        <v>#DIV/0!</v>
      </c>
      <c r="Z89" s="90" t="e">
        <f t="array" ref="Z89">_xlfn.STDEV.P(IF($E$5:$E$41=$E88,Z$5:Z$41))</f>
        <v>#DIV/0!</v>
      </c>
      <c r="AA89" s="90" t="e">
        <f t="array" ref="AA89">_xlfn.STDEV.P(IF($E$5:$E$41=$E88,AA$5:AA$41))</f>
        <v>#DIV/0!</v>
      </c>
      <c r="AB89" s="90" t="e">
        <f t="array" ref="AB89">_xlfn.STDEV.P(IF($E$5:$E$41=$E88,AB$5:AB$41))</f>
        <v>#DIV/0!</v>
      </c>
      <c r="AC89" s="90" t="e">
        <f t="array" ref="AC89">_xlfn.STDEV.P(IF($E$5:$E$41=$E88,AC$5:AC$41))</f>
        <v>#DIV/0!</v>
      </c>
      <c r="AD89" s="90" t="e">
        <f t="array" ref="AD89">_xlfn.STDEV.P(IF($E$5:$E$41=$E88,AD$5:AD$41))</f>
        <v>#DIV/0!</v>
      </c>
      <c r="AE89" s="90" t="e">
        <f t="array" ref="AE89">_xlfn.STDEV.P(IF($E$5:$E$41=$E88,AE$5:AE$41))</f>
        <v>#DIV/0!</v>
      </c>
      <c r="AF89" s="90" t="e">
        <f t="array" ref="AF89">_xlfn.STDEV.P(IF($E$5:$E$41=$E88,AF$5:AF$41))</f>
        <v>#DIV/0!</v>
      </c>
      <c r="AG89" s="90" t="e">
        <f t="array" ref="AG89">_xlfn.STDEV.P(IF($E$5:$E$41=$E88,AG$5:AG$41))</f>
        <v>#DIV/0!</v>
      </c>
      <c r="AH89" s="90" t="e">
        <f t="array" ref="AH89">_xlfn.STDEV.P(IF($E$5:$E$41=$E88,AH$5:AH$41))</f>
        <v>#DIV/0!</v>
      </c>
      <c r="AI89" s="90" t="e">
        <f t="array" ref="AI89">_xlfn.STDEV.P(IF($E$5:$E$41=$E88,AI$5:AI$41))</f>
        <v>#DIV/0!</v>
      </c>
      <c r="AJ89" s="90" t="e">
        <f t="array" ref="AJ89">_xlfn.STDEV.P(IF($E$5:$E$41=$E88,AJ$5:AJ$41))</f>
        <v>#DIV/0!</v>
      </c>
      <c r="AK89" s="90" t="e">
        <f t="array" ref="AK89">_xlfn.STDEV.P(IF($E$5:$E$41=$E88,AK$5:AK$41))</f>
        <v>#DIV/0!</v>
      </c>
      <c r="AL89" s="90" t="e">
        <f t="array" ref="AL89">_xlfn.STDEV.P(IF($E$5:$E$41=$E88,AL$5:AL$41))</f>
        <v>#DIV/0!</v>
      </c>
      <c r="AM89" s="90" t="e">
        <f t="array" ref="AM89">_xlfn.STDEV.P(IF($E$5:$E$41=$E88,AM$5:AM$41))</f>
        <v>#DIV/0!</v>
      </c>
      <c r="AN89" s="90" t="e">
        <f t="array" ref="AN89">_xlfn.STDEV.P(IF($E$5:$E$41=$E88,AN$5:AN$41))</f>
        <v>#DIV/0!</v>
      </c>
      <c r="AO89" s="90" t="e">
        <f t="array" ref="AO89">_xlfn.STDEV.P(IF($E$5:$E$41=$E88,AO$5:AO$41))</f>
        <v>#DIV/0!</v>
      </c>
      <c r="AP89" s="90" t="e">
        <f t="array" ref="AP89">_xlfn.STDEV.P(IF($E$5:$E$41=$E88,AP$5:AP$41))</f>
        <v>#DIV/0!</v>
      </c>
      <c r="AQ89" s="90" t="e">
        <f t="array" ref="AQ89">_xlfn.STDEV.P(IF($E$5:$E$41=$E88,AQ$5:AQ$41))</f>
        <v>#DIV/0!</v>
      </c>
      <c r="AR89" s="90" t="e">
        <f t="array" ref="AR89">_xlfn.STDEV.P(IF($E$5:$E$41=$E88,AR$5:AR$41))</f>
        <v>#DIV/0!</v>
      </c>
      <c r="AS89" s="90" t="e">
        <f t="array" ref="AS89">_xlfn.STDEV.P(IF($E$5:$E$41=$E88,AS$5:AS$41))</f>
        <v>#DIV/0!</v>
      </c>
      <c r="AT89" s="90" t="e">
        <f t="array" ref="AT89">_xlfn.STDEV.P(IF($E$5:$E$41=$E88,AT$5:AT$41))</f>
        <v>#DIV/0!</v>
      </c>
      <c r="AU89" s="90" t="e">
        <f t="array" ref="AU89">_xlfn.STDEV.P(IF($E$5:$E$41=$E88,AU$5:AU$41))</f>
        <v>#DIV/0!</v>
      </c>
      <c r="AV89" s="90" t="e">
        <f t="array" ref="AV89">_xlfn.STDEV.P(IF($E$5:$E$41=$E88,AV$5:AV$41))</f>
        <v>#DIV/0!</v>
      </c>
      <c r="AW89" s="90" t="e">
        <f t="array" ref="AW89">_xlfn.STDEV.P(IF($E$5:$E$41=$E88,AW$5:AW$41))</f>
        <v>#DIV/0!</v>
      </c>
      <c r="AX89" s="115" t="s">
        <v>12</v>
      </c>
      <c r="AY89" s="83" t="e">
        <f t="array" ref="AY89">_xlfn.STDEV.P(IF($E$5:$E$41=$E88,AY$5:AY$41))</f>
        <v>#DIV/0!</v>
      </c>
      <c r="AZ89" s="83" t="e">
        <f t="array" ref="AZ89">_xlfn.STDEV.P(IF($E$5:$E$41=$E88,AZ$5:AZ$41))</f>
        <v>#DIV/0!</v>
      </c>
      <c r="BA89" s="83" t="e">
        <f t="array" ref="BA89">_xlfn.STDEV.P(IF($E$5:$E$41=$E88,BA$5:BA$41))</f>
        <v>#DIV/0!</v>
      </c>
      <c r="BB89" s="83" t="e">
        <f t="array" ref="BB89">_xlfn.STDEV.P(IF($E$5:$E$41=$E88,BB$5:BB$41))</f>
        <v>#DIV/0!</v>
      </c>
      <c r="BC89" s="83" t="e">
        <f t="array" ref="BC89">_xlfn.STDEV.P(IF($E$5:$E$41=$E88,BC$5:BC$41))</f>
        <v>#DIV/0!</v>
      </c>
      <c r="BD89" s="83" t="e">
        <f t="array" ref="BD89">_xlfn.STDEV.P(IF($E$5:$E$41=$E88,BD$5:BD$41))</f>
        <v>#DIV/0!</v>
      </c>
      <c r="BE89" s="83" t="e">
        <f t="array" ref="BE89">_xlfn.STDEV.P(IF($E$5:$E$41=$E88,BE$5:BE$41))</f>
        <v>#DIV/0!</v>
      </c>
      <c r="BF89" s="83" t="e">
        <f t="array" ref="BF89">_xlfn.STDEV.P(IF($E$5:$E$41=$E88,BF$5:BF$41))</f>
        <v>#DIV/0!</v>
      </c>
      <c r="BG89" s="83" t="e">
        <f t="array" ref="BG89">_xlfn.STDEV.P(IF($E$5:$E$41=$E88,BG$5:BG$41))</f>
        <v>#DIV/0!</v>
      </c>
      <c r="BH89" s="83" t="e">
        <f t="array" ref="BH89">_xlfn.STDEV.P(IF($E$5:$E$41=$E88,BH$5:BH$41))</f>
        <v>#DIV/0!</v>
      </c>
      <c r="BI89" s="83" t="e">
        <f t="array" ref="BI89">_xlfn.STDEV.P(IF($E$5:$E$41=$E88,BI$5:BI$41))</f>
        <v>#DIV/0!</v>
      </c>
      <c r="BJ89" s="83" t="e">
        <f t="array" ref="BJ89">_xlfn.STDEV.P(IF($E$5:$E$41=$E88,BJ$5:BJ$41))</f>
        <v>#DIV/0!</v>
      </c>
      <c r="BK89" s="83" t="e">
        <f t="array" ref="BK89">_xlfn.STDEV.P(IF($E$5:$E$41=$E88,BK$5:BK$41))</f>
        <v>#DIV/0!</v>
      </c>
      <c r="BL89" s="83" t="e">
        <f t="array" ref="BL89">_xlfn.STDEV.P(IF($E$5:$E$41=$E88,BL$5:BL$41))</f>
        <v>#DIV/0!</v>
      </c>
      <c r="BM89" s="83" t="e">
        <f t="array" ref="BM89">_xlfn.STDEV.P(IF($E$5:$E$41=$E88,BM$5:BM$41))</f>
        <v>#DIV/0!</v>
      </c>
      <c r="BN89" s="83" t="e">
        <f t="array" ref="BN89">_xlfn.STDEV.P(IF($E$5:$E$41=$E88,BN$5:BN$41))</f>
        <v>#DIV/0!</v>
      </c>
      <c r="BO89" s="83" t="e">
        <f t="array" ref="BO89">_xlfn.STDEV.P(IF($E$5:$E$41=$E88,BO$5:BO$41))</f>
        <v>#DIV/0!</v>
      </c>
      <c r="BP89" s="83" t="e">
        <f t="array" ref="BP89">_xlfn.STDEV.P(IF($E$5:$E$41=$E88,BP$5:BP$41))</f>
        <v>#DIV/0!</v>
      </c>
      <c r="BQ89" s="83" t="e">
        <f t="array" ref="BQ89">_xlfn.STDEV.P(IF($E$5:$E$41=$E88,BQ$5:BQ$41))</f>
        <v>#DIV/0!</v>
      </c>
      <c r="BR89" s="83" t="e">
        <f t="array" ref="BR89">_xlfn.STDEV.P(IF($E$5:$E$41=$E88,BR$5:BR$41))</f>
        <v>#DIV/0!</v>
      </c>
      <c r="BS89" s="83" t="e">
        <f t="array" ref="BS89">_xlfn.STDEV.P(IF($E$5:$E$41=$E88,BS$5:BS$41))</f>
        <v>#DIV/0!</v>
      </c>
      <c r="BT89" s="83" t="e">
        <f t="array" ref="BT89">_xlfn.STDEV.P(IF($E$5:$E$41=$E88,BT$5:BT$41))</f>
        <v>#DIV/0!</v>
      </c>
      <c r="BU89" s="83" t="e">
        <f t="array" ref="BU89">_xlfn.STDEV.P(IF($E$5:$E$41=$E88,BU$5:BU$41))</f>
        <v>#DIV/0!</v>
      </c>
      <c r="BV89" s="83" t="e">
        <f t="array" ref="BV89">_xlfn.STDEV.P(IF($E$5:$E$41=$E88,BV$5:BV$41))</f>
        <v>#DIV/0!</v>
      </c>
      <c r="BW89" s="83" t="e">
        <f t="array" ref="BW89">_xlfn.STDEV.P(IF($E$5:$E$41=$E88,BW$5:BW$41))</f>
        <v>#DIV/0!</v>
      </c>
      <c r="BX89" s="83" t="e">
        <f t="array" ref="BX89">_xlfn.STDEV.P(IF($E$5:$E$41=$E88,BX$5:BX$41))</f>
        <v>#DIV/0!</v>
      </c>
      <c r="BY89" s="83" t="e">
        <f t="array" ref="BY89">_xlfn.STDEV.P(IF($E$5:$E$41=$E88,BY$5:BY$41))</f>
        <v>#DIV/0!</v>
      </c>
      <c r="BZ89" s="83" t="e">
        <f t="array" ref="BZ89">_xlfn.STDEV.P(IF($E$5:$E$41=$E88,BZ$5:BZ$41))</f>
        <v>#DIV/0!</v>
      </c>
      <c r="CA89" s="83" t="e">
        <f t="array" ref="CA89">_xlfn.STDEV.P(IF($E$5:$E$41=$E88,CA$5:CA$41))</f>
        <v>#DIV/0!</v>
      </c>
      <c r="CB89" s="83" t="e">
        <f t="array" ref="CB89">_xlfn.STDEV.P(IF($E$5:$E$41=$E88,CB$5:CB$41))</f>
        <v>#DIV/0!</v>
      </c>
      <c r="CC89" s="83" t="e">
        <f t="array" ref="CC89">_xlfn.STDEV.P(IF($E$5:$E$41=$E88,CC$5:CC$41))</f>
        <v>#DIV/0!</v>
      </c>
      <c r="CD89" s="83" t="e">
        <f t="array" ref="CD89">_xlfn.STDEV.P(IF($E$5:$E$41=$E88,CD$5:CD$41))</f>
        <v>#DIV/0!</v>
      </c>
      <c r="CE89" s="83" t="e">
        <f t="array" ref="CE89">_xlfn.STDEV.P(IF($E$5:$E$41=$E88,CE$5:CE$41))</f>
        <v>#DIV/0!</v>
      </c>
      <c r="CF89" s="83" t="e">
        <f t="array" ref="CF89">_xlfn.STDEV.P(IF($E$5:$E$41=$E88,CF$5:CF$41))</f>
        <v>#DIV/0!</v>
      </c>
      <c r="CG89" s="83" t="e">
        <f t="array" ref="CG89">_xlfn.STDEV.P(IF($E$5:$E$41=$E88,CG$5:CG$41))</f>
        <v>#DIV/0!</v>
      </c>
      <c r="CH89" s="83" t="e">
        <f t="array" ref="CH89">_xlfn.STDEV.P(IF($E$5:$E$41=$E88,CH$5:CH$41))</f>
        <v>#DIV/0!</v>
      </c>
      <c r="CI89" s="83" t="e">
        <f t="array" ref="CI89">_xlfn.STDEV.P(IF($E$5:$E$41=$E88,CI$5:CI$41))</f>
        <v>#DIV/0!</v>
      </c>
      <c r="CJ89" s="83" t="e">
        <f t="array" ref="CJ89">_xlfn.STDEV.P(IF($E$5:$E$41=$E88,CJ$5:CJ$41))</f>
        <v>#DIV/0!</v>
      </c>
      <c r="CK89" s="83" t="e">
        <f t="array" ref="CK89">_xlfn.STDEV.P(IF($E$5:$E$41=$E88,CK$5:CK$41))</f>
        <v>#DIV/0!</v>
      </c>
      <c r="CL89" s="85"/>
    </row>
    <row r="90" spans="1:90" ht="15">
      <c r="A90" s="129"/>
      <c r="E90" s="134"/>
      <c r="H90" s="58"/>
    </row>
    <row r="91" spans="1:90" ht="14.25" customHeight="1">
      <c r="A91" s="129"/>
      <c r="E91" s="134" t="str">
        <f>'RAD_DOSE Groups'!C21</f>
        <v>Group 16</v>
      </c>
      <c r="H91" s="134" t="str">
        <f>E91</f>
        <v>Group 16</v>
      </c>
      <c r="I91" s="120" t="e">
        <f>AVERAGEIF($E$5:$E$41,$E91,I$5:I$41)</f>
        <v>#DIV/0!</v>
      </c>
      <c r="J91" s="81" t="s">
        <v>10</v>
      </c>
      <c r="K91" s="87" t="e">
        <f t="shared" ref="K91:AW91" si="100">AVERAGEIF($E$5:$E$41,$E91,K$5:K$41)</f>
        <v>#DIV/0!</v>
      </c>
      <c r="L91" s="87" t="e">
        <f t="shared" si="100"/>
        <v>#DIV/0!</v>
      </c>
      <c r="M91" s="87" t="e">
        <f t="shared" si="100"/>
        <v>#DIV/0!</v>
      </c>
      <c r="N91" s="87" t="e">
        <f t="shared" si="100"/>
        <v>#DIV/0!</v>
      </c>
      <c r="O91" s="87" t="e">
        <f t="shared" si="100"/>
        <v>#DIV/0!</v>
      </c>
      <c r="P91" s="87" t="e">
        <f t="shared" si="100"/>
        <v>#DIV/0!</v>
      </c>
      <c r="Q91" s="87" t="e">
        <f t="shared" si="100"/>
        <v>#DIV/0!</v>
      </c>
      <c r="R91" s="87" t="e">
        <f t="shared" si="100"/>
        <v>#DIV/0!</v>
      </c>
      <c r="S91" s="87" t="e">
        <f t="shared" si="100"/>
        <v>#DIV/0!</v>
      </c>
      <c r="T91" s="87" t="e">
        <f t="shared" si="100"/>
        <v>#DIV/0!</v>
      </c>
      <c r="U91" s="87" t="e">
        <f t="shared" si="100"/>
        <v>#DIV/0!</v>
      </c>
      <c r="V91" s="87" t="e">
        <f t="shared" si="100"/>
        <v>#DIV/0!</v>
      </c>
      <c r="W91" s="87" t="e">
        <f t="shared" si="100"/>
        <v>#DIV/0!</v>
      </c>
      <c r="X91" s="87" t="e">
        <f t="shared" si="100"/>
        <v>#DIV/0!</v>
      </c>
      <c r="Y91" s="87" t="e">
        <f t="shared" si="100"/>
        <v>#DIV/0!</v>
      </c>
      <c r="Z91" s="87" t="e">
        <f t="shared" si="100"/>
        <v>#DIV/0!</v>
      </c>
      <c r="AA91" s="87" t="e">
        <f t="shared" si="100"/>
        <v>#DIV/0!</v>
      </c>
      <c r="AB91" s="87" t="e">
        <f t="shared" si="100"/>
        <v>#DIV/0!</v>
      </c>
      <c r="AC91" s="87" t="e">
        <f t="shared" si="100"/>
        <v>#DIV/0!</v>
      </c>
      <c r="AD91" s="87" t="e">
        <f t="shared" si="100"/>
        <v>#DIV/0!</v>
      </c>
      <c r="AE91" s="87" t="e">
        <f t="shared" si="100"/>
        <v>#DIV/0!</v>
      </c>
      <c r="AF91" s="87" t="e">
        <f t="shared" si="100"/>
        <v>#DIV/0!</v>
      </c>
      <c r="AG91" s="87" t="e">
        <f t="shared" si="100"/>
        <v>#DIV/0!</v>
      </c>
      <c r="AH91" s="87" t="e">
        <f t="shared" si="100"/>
        <v>#DIV/0!</v>
      </c>
      <c r="AI91" s="87" t="e">
        <f t="shared" si="100"/>
        <v>#DIV/0!</v>
      </c>
      <c r="AJ91" s="87" t="e">
        <f t="shared" si="100"/>
        <v>#DIV/0!</v>
      </c>
      <c r="AK91" s="87" t="e">
        <f t="shared" si="100"/>
        <v>#DIV/0!</v>
      </c>
      <c r="AL91" s="87" t="e">
        <f t="shared" si="100"/>
        <v>#DIV/0!</v>
      </c>
      <c r="AM91" s="87" t="e">
        <f t="shared" si="100"/>
        <v>#DIV/0!</v>
      </c>
      <c r="AN91" s="87" t="e">
        <f t="shared" si="100"/>
        <v>#DIV/0!</v>
      </c>
      <c r="AO91" s="87" t="e">
        <f t="shared" si="100"/>
        <v>#DIV/0!</v>
      </c>
      <c r="AP91" s="87" t="e">
        <f t="shared" si="100"/>
        <v>#DIV/0!</v>
      </c>
      <c r="AQ91" s="87" t="e">
        <f t="shared" si="100"/>
        <v>#DIV/0!</v>
      </c>
      <c r="AR91" s="87" t="e">
        <f t="shared" si="100"/>
        <v>#DIV/0!</v>
      </c>
      <c r="AS91" s="87" t="e">
        <f t="shared" si="100"/>
        <v>#DIV/0!</v>
      </c>
      <c r="AT91" s="87" t="e">
        <f t="shared" si="100"/>
        <v>#DIV/0!</v>
      </c>
      <c r="AU91" s="87" t="e">
        <f t="shared" si="100"/>
        <v>#DIV/0!</v>
      </c>
      <c r="AV91" s="87" t="e">
        <f t="shared" si="100"/>
        <v>#DIV/0!</v>
      </c>
      <c r="AW91" s="87" t="e">
        <f t="shared" si="100"/>
        <v>#DIV/0!</v>
      </c>
      <c r="AX91" s="114" t="s">
        <v>10</v>
      </c>
      <c r="AY91" s="82" t="e">
        <f t="shared" ref="AY91:CK91" si="101">AVERAGEIF($E$5:$E$41,$E91,AY$5:AY$41)</f>
        <v>#DIV/0!</v>
      </c>
      <c r="AZ91" s="82" t="e">
        <f t="shared" si="101"/>
        <v>#DIV/0!</v>
      </c>
      <c r="BA91" s="82" t="e">
        <f t="shared" si="101"/>
        <v>#DIV/0!</v>
      </c>
      <c r="BB91" s="82" t="e">
        <f t="shared" si="101"/>
        <v>#DIV/0!</v>
      </c>
      <c r="BC91" s="82" t="e">
        <f t="shared" si="101"/>
        <v>#DIV/0!</v>
      </c>
      <c r="BD91" s="82" t="e">
        <f t="shared" si="101"/>
        <v>#DIV/0!</v>
      </c>
      <c r="BE91" s="82" t="e">
        <f t="shared" si="101"/>
        <v>#DIV/0!</v>
      </c>
      <c r="BF91" s="82" t="e">
        <f t="shared" si="101"/>
        <v>#DIV/0!</v>
      </c>
      <c r="BG91" s="82" t="e">
        <f t="shared" si="101"/>
        <v>#DIV/0!</v>
      </c>
      <c r="BH91" s="82" t="e">
        <f t="shared" si="101"/>
        <v>#DIV/0!</v>
      </c>
      <c r="BI91" s="82" t="e">
        <f t="shared" si="101"/>
        <v>#DIV/0!</v>
      </c>
      <c r="BJ91" s="82" t="e">
        <f t="shared" si="101"/>
        <v>#DIV/0!</v>
      </c>
      <c r="BK91" s="82" t="e">
        <f t="shared" si="101"/>
        <v>#DIV/0!</v>
      </c>
      <c r="BL91" s="82" t="e">
        <f t="shared" si="101"/>
        <v>#DIV/0!</v>
      </c>
      <c r="BM91" s="82" t="e">
        <f t="shared" si="101"/>
        <v>#DIV/0!</v>
      </c>
      <c r="BN91" s="82" t="e">
        <f t="shared" si="101"/>
        <v>#DIV/0!</v>
      </c>
      <c r="BO91" s="82" t="e">
        <f t="shared" si="101"/>
        <v>#DIV/0!</v>
      </c>
      <c r="BP91" s="82" t="e">
        <f t="shared" si="101"/>
        <v>#DIV/0!</v>
      </c>
      <c r="BQ91" s="82" t="e">
        <f t="shared" si="101"/>
        <v>#DIV/0!</v>
      </c>
      <c r="BR91" s="82" t="e">
        <f t="shared" si="101"/>
        <v>#DIV/0!</v>
      </c>
      <c r="BS91" s="82" t="e">
        <f t="shared" si="101"/>
        <v>#DIV/0!</v>
      </c>
      <c r="BT91" s="82" t="e">
        <f t="shared" si="101"/>
        <v>#DIV/0!</v>
      </c>
      <c r="BU91" s="82" t="e">
        <f t="shared" si="101"/>
        <v>#DIV/0!</v>
      </c>
      <c r="BV91" s="82" t="e">
        <f t="shared" si="101"/>
        <v>#DIV/0!</v>
      </c>
      <c r="BW91" s="82" t="e">
        <f t="shared" si="101"/>
        <v>#DIV/0!</v>
      </c>
      <c r="BX91" s="82" t="e">
        <f t="shared" si="101"/>
        <v>#DIV/0!</v>
      </c>
      <c r="BY91" s="82" t="e">
        <f t="shared" si="101"/>
        <v>#DIV/0!</v>
      </c>
      <c r="BZ91" s="82" t="e">
        <f t="shared" si="101"/>
        <v>#DIV/0!</v>
      </c>
      <c r="CA91" s="82" t="e">
        <f t="shared" si="101"/>
        <v>#DIV/0!</v>
      </c>
      <c r="CB91" s="82" t="e">
        <f t="shared" si="101"/>
        <v>#DIV/0!</v>
      </c>
      <c r="CC91" s="82" t="e">
        <f t="shared" si="101"/>
        <v>#DIV/0!</v>
      </c>
      <c r="CD91" s="82" t="e">
        <f t="shared" si="101"/>
        <v>#DIV/0!</v>
      </c>
      <c r="CE91" s="82" t="e">
        <f t="shared" si="101"/>
        <v>#DIV/0!</v>
      </c>
      <c r="CF91" s="82" t="e">
        <f t="shared" si="101"/>
        <v>#DIV/0!</v>
      </c>
      <c r="CG91" s="82" t="e">
        <f t="shared" si="101"/>
        <v>#DIV/0!</v>
      </c>
      <c r="CH91" s="82" t="e">
        <f t="shared" si="101"/>
        <v>#DIV/0!</v>
      </c>
      <c r="CI91" s="82" t="e">
        <f t="shared" si="101"/>
        <v>#DIV/0!</v>
      </c>
      <c r="CJ91" s="82" t="e">
        <f t="shared" si="101"/>
        <v>#DIV/0!</v>
      </c>
      <c r="CK91" s="82" t="e">
        <f t="shared" si="101"/>
        <v>#DIV/0!</v>
      </c>
      <c r="CL91" s="85"/>
    </row>
    <row r="92" spans="1:90" ht="14.25" customHeight="1">
      <c r="A92" s="129"/>
      <c r="E92" s="104"/>
      <c r="H92" s="104"/>
      <c r="I92" s="120" t="e">
        <f t="array" ref="I92">_xlfn.STDEV.P(IF($E$5:$E$41=$E91,I$5:I$41))</f>
        <v>#DIV/0!</v>
      </c>
      <c r="J92" s="81" t="s">
        <v>12</v>
      </c>
      <c r="K92" s="90" t="e">
        <f t="array" ref="K92">_xlfn.STDEV.P(IF($E$5:$E$41=$E91,K$5:K$41))</f>
        <v>#DIV/0!</v>
      </c>
      <c r="L92" s="90" t="e">
        <f t="array" ref="L92">_xlfn.STDEV.P(IF($E$5:$E$41=$E91,L$5:L$41))</f>
        <v>#DIV/0!</v>
      </c>
      <c r="M92" s="90" t="e">
        <f t="array" ref="M92">_xlfn.STDEV.P(IF($E$5:$E$41=$E91,M$5:M$41))</f>
        <v>#DIV/0!</v>
      </c>
      <c r="N92" s="90" t="e">
        <f t="array" ref="N92">_xlfn.STDEV.P(IF($E$5:$E$41=$E91,N$5:N$41))</f>
        <v>#DIV/0!</v>
      </c>
      <c r="O92" s="90" t="e">
        <f t="array" ref="O92">_xlfn.STDEV.P(IF($E$5:$E$41=$E91,O$5:O$41))</f>
        <v>#DIV/0!</v>
      </c>
      <c r="P92" s="90" t="e">
        <f t="array" ref="P92">_xlfn.STDEV.P(IF($E$5:$E$41=$E91,P$5:P$41))</f>
        <v>#DIV/0!</v>
      </c>
      <c r="Q92" s="90" t="e">
        <f t="array" ref="Q92">_xlfn.STDEV.P(IF($E$5:$E$41=$E91,Q$5:Q$41))</f>
        <v>#DIV/0!</v>
      </c>
      <c r="R92" s="90" t="e">
        <f t="array" ref="R92">_xlfn.STDEV.P(IF($E$5:$E$41=$E91,R$5:R$41))</f>
        <v>#DIV/0!</v>
      </c>
      <c r="S92" s="90" t="e">
        <f t="array" ref="S92">_xlfn.STDEV.P(IF($E$5:$E$41=$E91,S$5:S$41))</f>
        <v>#DIV/0!</v>
      </c>
      <c r="T92" s="90" t="e">
        <f t="array" ref="T92">_xlfn.STDEV.P(IF($E$5:$E$41=$E91,T$5:T$41))</f>
        <v>#DIV/0!</v>
      </c>
      <c r="U92" s="90" t="e">
        <f t="array" ref="U92">_xlfn.STDEV.P(IF($E$5:$E$41=$E91,U$5:U$41))</f>
        <v>#DIV/0!</v>
      </c>
      <c r="V92" s="90" t="e">
        <f t="array" ref="V92">_xlfn.STDEV.P(IF($E$5:$E$41=$E91,V$5:V$41))</f>
        <v>#DIV/0!</v>
      </c>
      <c r="W92" s="90" t="e">
        <f t="array" ref="W92">_xlfn.STDEV.P(IF($E$5:$E$41=$E91,W$5:W$41))</f>
        <v>#DIV/0!</v>
      </c>
      <c r="X92" s="90" t="e">
        <f t="array" ref="X92">_xlfn.STDEV.P(IF($E$5:$E$41=$E91,X$5:X$41))</f>
        <v>#DIV/0!</v>
      </c>
      <c r="Y92" s="90" t="e">
        <f t="array" ref="Y92">_xlfn.STDEV.P(IF($E$5:$E$41=$E91,Y$5:Y$41))</f>
        <v>#DIV/0!</v>
      </c>
      <c r="Z92" s="90" t="e">
        <f t="array" ref="Z92">_xlfn.STDEV.P(IF($E$5:$E$41=$E91,Z$5:Z$41))</f>
        <v>#DIV/0!</v>
      </c>
      <c r="AA92" s="90" t="e">
        <f t="array" ref="AA92">_xlfn.STDEV.P(IF($E$5:$E$41=$E91,AA$5:AA$41))</f>
        <v>#DIV/0!</v>
      </c>
      <c r="AB92" s="90" t="e">
        <f t="array" ref="AB92">_xlfn.STDEV.P(IF($E$5:$E$41=$E91,AB$5:AB$41))</f>
        <v>#DIV/0!</v>
      </c>
      <c r="AC92" s="90" t="e">
        <f t="array" ref="AC92">_xlfn.STDEV.P(IF($E$5:$E$41=$E91,AC$5:AC$41))</f>
        <v>#DIV/0!</v>
      </c>
      <c r="AD92" s="90" t="e">
        <f t="array" ref="AD92">_xlfn.STDEV.P(IF($E$5:$E$41=$E91,AD$5:AD$41))</f>
        <v>#DIV/0!</v>
      </c>
      <c r="AE92" s="90" t="e">
        <f t="array" ref="AE92">_xlfn.STDEV.P(IF($E$5:$E$41=$E91,AE$5:AE$41))</f>
        <v>#DIV/0!</v>
      </c>
      <c r="AF92" s="90" t="e">
        <f t="array" ref="AF92">_xlfn.STDEV.P(IF($E$5:$E$41=$E91,AF$5:AF$41))</f>
        <v>#DIV/0!</v>
      </c>
      <c r="AG92" s="90" t="e">
        <f t="array" ref="AG92">_xlfn.STDEV.P(IF($E$5:$E$41=$E91,AG$5:AG$41))</f>
        <v>#DIV/0!</v>
      </c>
      <c r="AH92" s="90" t="e">
        <f t="array" ref="AH92">_xlfn.STDEV.P(IF($E$5:$E$41=$E91,AH$5:AH$41))</f>
        <v>#DIV/0!</v>
      </c>
      <c r="AI92" s="90" t="e">
        <f t="array" ref="AI92">_xlfn.STDEV.P(IF($E$5:$E$41=$E91,AI$5:AI$41))</f>
        <v>#DIV/0!</v>
      </c>
      <c r="AJ92" s="90" t="e">
        <f t="array" ref="AJ92">_xlfn.STDEV.P(IF($E$5:$E$41=$E91,AJ$5:AJ$41))</f>
        <v>#DIV/0!</v>
      </c>
      <c r="AK92" s="90" t="e">
        <f t="array" ref="AK92">_xlfn.STDEV.P(IF($E$5:$E$41=$E91,AK$5:AK$41))</f>
        <v>#DIV/0!</v>
      </c>
      <c r="AL92" s="90" t="e">
        <f t="array" ref="AL92">_xlfn.STDEV.P(IF($E$5:$E$41=$E91,AL$5:AL$41))</f>
        <v>#DIV/0!</v>
      </c>
      <c r="AM92" s="90" t="e">
        <f t="array" ref="AM92">_xlfn.STDEV.P(IF($E$5:$E$41=$E91,AM$5:AM$41))</f>
        <v>#DIV/0!</v>
      </c>
      <c r="AN92" s="90" t="e">
        <f t="array" ref="AN92">_xlfn.STDEV.P(IF($E$5:$E$41=$E91,AN$5:AN$41))</f>
        <v>#DIV/0!</v>
      </c>
      <c r="AO92" s="90" t="e">
        <f t="array" ref="AO92">_xlfn.STDEV.P(IF($E$5:$E$41=$E91,AO$5:AO$41))</f>
        <v>#DIV/0!</v>
      </c>
      <c r="AP92" s="90" t="e">
        <f t="array" ref="AP92">_xlfn.STDEV.P(IF($E$5:$E$41=$E91,AP$5:AP$41))</f>
        <v>#DIV/0!</v>
      </c>
      <c r="AQ92" s="90" t="e">
        <f t="array" ref="AQ92">_xlfn.STDEV.P(IF($E$5:$E$41=$E91,AQ$5:AQ$41))</f>
        <v>#DIV/0!</v>
      </c>
      <c r="AR92" s="90" t="e">
        <f t="array" ref="AR92">_xlfn.STDEV.P(IF($E$5:$E$41=$E91,AR$5:AR$41))</f>
        <v>#DIV/0!</v>
      </c>
      <c r="AS92" s="90" t="e">
        <f t="array" ref="AS92">_xlfn.STDEV.P(IF($E$5:$E$41=$E91,AS$5:AS$41))</f>
        <v>#DIV/0!</v>
      </c>
      <c r="AT92" s="90" t="e">
        <f t="array" ref="AT92">_xlfn.STDEV.P(IF($E$5:$E$41=$E91,AT$5:AT$41))</f>
        <v>#DIV/0!</v>
      </c>
      <c r="AU92" s="90" t="e">
        <f t="array" ref="AU92">_xlfn.STDEV.P(IF($E$5:$E$41=$E91,AU$5:AU$41))</f>
        <v>#DIV/0!</v>
      </c>
      <c r="AV92" s="90" t="e">
        <f t="array" ref="AV92">_xlfn.STDEV.P(IF($E$5:$E$41=$E91,AV$5:AV$41))</f>
        <v>#DIV/0!</v>
      </c>
      <c r="AW92" s="90" t="e">
        <f t="array" ref="AW92">_xlfn.STDEV.P(IF($E$5:$E$41=$E91,AW$5:AW$41))</f>
        <v>#DIV/0!</v>
      </c>
      <c r="AX92" s="115" t="s">
        <v>12</v>
      </c>
      <c r="AY92" s="83" t="e">
        <f t="array" ref="AY92">_xlfn.STDEV.P(IF($E$5:$E$41=$E91,AY$5:AY$41))</f>
        <v>#DIV/0!</v>
      </c>
      <c r="AZ92" s="83" t="e">
        <f t="array" ref="AZ92">_xlfn.STDEV.P(IF($E$5:$E$41=$E91,AZ$5:AZ$41))</f>
        <v>#DIV/0!</v>
      </c>
      <c r="BA92" s="83" t="e">
        <f t="array" ref="BA92">_xlfn.STDEV.P(IF($E$5:$E$41=$E91,BA$5:BA$41))</f>
        <v>#DIV/0!</v>
      </c>
      <c r="BB92" s="83" t="e">
        <f t="array" ref="BB92">_xlfn.STDEV.P(IF($E$5:$E$41=$E91,BB$5:BB$41))</f>
        <v>#DIV/0!</v>
      </c>
      <c r="BC92" s="83" t="e">
        <f t="array" ref="BC92">_xlfn.STDEV.P(IF($E$5:$E$41=$E91,BC$5:BC$41))</f>
        <v>#DIV/0!</v>
      </c>
      <c r="BD92" s="83" t="e">
        <f t="array" ref="BD92">_xlfn.STDEV.P(IF($E$5:$E$41=$E91,BD$5:BD$41))</f>
        <v>#DIV/0!</v>
      </c>
      <c r="BE92" s="83" t="e">
        <f t="array" ref="BE92">_xlfn.STDEV.P(IF($E$5:$E$41=$E91,BE$5:BE$41))</f>
        <v>#DIV/0!</v>
      </c>
      <c r="BF92" s="83" t="e">
        <f t="array" ref="BF92">_xlfn.STDEV.P(IF($E$5:$E$41=$E91,BF$5:BF$41))</f>
        <v>#DIV/0!</v>
      </c>
      <c r="BG92" s="83" t="e">
        <f t="array" ref="BG92">_xlfn.STDEV.P(IF($E$5:$E$41=$E91,BG$5:BG$41))</f>
        <v>#DIV/0!</v>
      </c>
      <c r="BH92" s="83" t="e">
        <f t="array" ref="BH92">_xlfn.STDEV.P(IF($E$5:$E$41=$E91,BH$5:BH$41))</f>
        <v>#DIV/0!</v>
      </c>
      <c r="BI92" s="83" t="e">
        <f t="array" ref="BI92">_xlfn.STDEV.P(IF($E$5:$E$41=$E91,BI$5:BI$41))</f>
        <v>#DIV/0!</v>
      </c>
      <c r="BJ92" s="83" t="e">
        <f t="array" ref="BJ92">_xlfn.STDEV.P(IF($E$5:$E$41=$E91,BJ$5:BJ$41))</f>
        <v>#DIV/0!</v>
      </c>
      <c r="BK92" s="83" t="e">
        <f t="array" ref="BK92">_xlfn.STDEV.P(IF($E$5:$E$41=$E91,BK$5:BK$41))</f>
        <v>#DIV/0!</v>
      </c>
      <c r="BL92" s="83" t="e">
        <f t="array" ref="BL92">_xlfn.STDEV.P(IF($E$5:$E$41=$E91,BL$5:BL$41))</f>
        <v>#DIV/0!</v>
      </c>
      <c r="BM92" s="83" t="e">
        <f t="array" ref="BM92">_xlfn.STDEV.P(IF($E$5:$E$41=$E91,BM$5:BM$41))</f>
        <v>#DIV/0!</v>
      </c>
      <c r="BN92" s="83" t="e">
        <f t="array" ref="BN92">_xlfn.STDEV.P(IF($E$5:$E$41=$E91,BN$5:BN$41))</f>
        <v>#DIV/0!</v>
      </c>
      <c r="BO92" s="83" t="e">
        <f t="array" ref="BO92">_xlfn.STDEV.P(IF($E$5:$E$41=$E91,BO$5:BO$41))</f>
        <v>#DIV/0!</v>
      </c>
      <c r="BP92" s="83" t="e">
        <f t="array" ref="BP92">_xlfn.STDEV.P(IF($E$5:$E$41=$E91,BP$5:BP$41))</f>
        <v>#DIV/0!</v>
      </c>
      <c r="BQ92" s="83" t="e">
        <f t="array" ref="BQ92">_xlfn.STDEV.P(IF($E$5:$E$41=$E91,BQ$5:BQ$41))</f>
        <v>#DIV/0!</v>
      </c>
      <c r="BR92" s="83" t="e">
        <f t="array" ref="BR92">_xlfn.STDEV.P(IF($E$5:$E$41=$E91,BR$5:BR$41))</f>
        <v>#DIV/0!</v>
      </c>
      <c r="BS92" s="83" t="e">
        <f t="array" ref="BS92">_xlfn.STDEV.P(IF($E$5:$E$41=$E91,BS$5:BS$41))</f>
        <v>#DIV/0!</v>
      </c>
      <c r="BT92" s="83" t="e">
        <f t="array" ref="BT92">_xlfn.STDEV.P(IF($E$5:$E$41=$E91,BT$5:BT$41))</f>
        <v>#DIV/0!</v>
      </c>
      <c r="BU92" s="83" t="e">
        <f t="array" ref="BU92">_xlfn.STDEV.P(IF($E$5:$E$41=$E91,BU$5:BU$41))</f>
        <v>#DIV/0!</v>
      </c>
      <c r="BV92" s="83" t="e">
        <f t="array" ref="BV92">_xlfn.STDEV.P(IF($E$5:$E$41=$E91,BV$5:BV$41))</f>
        <v>#DIV/0!</v>
      </c>
      <c r="BW92" s="83" t="e">
        <f t="array" ref="BW92">_xlfn.STDEV.P(IF($E$5:$E$41=$E91,BW$5:BW$41))</f>
        <v>#DIV/0!</v>
      </c>
      <c r="BX92" s="83" t="e">
        <f t="array" ref="BX92">_xlfn.STDEV.P(IF($E$5:$E$41=$E91,BX$5:BX$41))</f>
        <v>#DIV/0!</v>
      </c>
      <c r="BY92" s="83" t="e">
        <f t="array" ref="BY92">_xlfn.STDEV.P(IF($E$5:$E$41=$E91,BY$5:BY$41))</f>
        <v>#DIV/0!</v>
      </c>
      <c r="BZ92" s="83" t="e">
        <f t="array" ref="BZ92">_xlfn.STDEV.P(IF($E$5:$E$41=$E91,BZ$5:BZ$41))</f>
        <v>#DIV/0!</v>
      </c>
      <c r="CA92" s="83" t="e">
        <f t="array" ref="CA92">_xlfn.STDEV.P(IF($E$5:$E$41=$E91,CA$5:CA$41))</f>
        <v>#DIV/0!</v>
      </c>
      <c r="CB92" s="83" t="e">
        <f t="array" ref="CB92">_xlfn.STDEV.P(IF($E$5:$E$41=$E91,CB$5:CB$41))</f>
        <v>#DIV/0!</v>
      </c>
      <c r="CC92" s="83" t="e">
        <f t="array" ref="CC92">_xlfn.STDEV.P(IF($E$5:$E$41=$E91,CC$5:CC$41))</f>
        <v>#DIV/0!</v>
      </c>
      <c r="CD92" s="83" t="e">
        <f t="array" ref="CD92">_xlfn.STDEV.P(IF($E$5:$E$41=$E91,CD$5:CD$41))</f>
        <v>#DIV/0!</v>
      </c>
      <c r="CE92" s="83" t="e">
        <f t="array" ref="CE92">_xlfn.STDEV.P(IF($E$5:$E$41=$E91,CE$5:CE$41))</f>
        <v>#DIV/0!</v>
      </c>
      <c r="CF92" s="83" t="e">
        <f t="array" ref="CF92">_xlfn.STDEV.P(IF($E$5:$E$41=$E91,CF$5:CF$41))</f>
        <v>#DIV/0!</v>
      </c>
      <c r="CG92" s="83" t="e">
        <f t="array" ref="CG92">_xlfn.STDEV.P(IF($E$5:$E$41=$E91,CG$5:CG$41))</f>
        <v>#DIV/0!</v>
      </c>
      <c r="CH92" s="83" t="e">
        <f t="array" ref="CH92">_xlfn.STDEV.P(IF($E$5:$E$41=$E91,CH$5:CH$41))</f>
        <v>#DIV/0!</v>
      </c>
      <c r="CI92" s="83" t="e">
        <f t="array" ref="CI92">_xlfn.STDEV.P(IF($E$5:$E$41=$E91,CI$5:CI$41))</f>
        <v>#DIV/0!</v>
      </c>
      <c r="CJ92" s="83" t="e">
        <f t="array" ref="CJ92">_xlfn.STDEV.P(IF($E$5:$E$41=$E91,CJ$5:CJ$41))</f>
        <v>#DIV/0!</v>
      </c>
      <c r="CK92" s="83" t="e">
        <f t="array" ref="CK92">_xlfn.STDEV.P(IF($E$5:$E$41=$E91,CK$5:CK$41))</f>
        <v>#DIV/0!</v>
      </c>
      <c r="CL92" s="85"/>
    </row>
  </sheetData>
  <autoFilter ref="A4:CK41" xr:uid="{00000000-0009-0000-0000-000001000000}">
    <sortState xmlns:xlrd2="http://schemas.microsoft.com/office/spreadsheetml/2017/richdata2" ref="A5:AW41">
      <sortCondition ref="B4:B41"/>
    </sortState>
  </autoFilter>
  <mergeCells count="3">
    <mergeCell ref="F2:G3"/>
    <mergeCell ref="H2:I3"/>
    <mergeCell ref="H43:H44"/>
  </mergeCells>
  <conditionalFormatting sqref="AY5:CK41">
    <cfRule type="cellIs" dxfId="7" priority="5" operator="between">
      <formula>0.85</formula>
      <formula>0.88</formula>
    </cfRule>
    <cfRule type="cellIs" dxfId="6" priority="6" operator="lessThan">
      <formula>0.85</formula>
    </cfRule>
  </conditionalFormatting>
  <dataValidations count="1">
    <dataValidation type="list" allowBlank="1" showInputMessage="1" showErrorMessage="1" sqref="E46:E1048576 E5:E41" xr:uid="{00000000-0002-0000-01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'RAD_DOSE Groups'!$C$6:$C$21</xm:f>
          </x14:formula1>
          <xm:sqref>H46:H92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17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19" style="50" hidden="1" customWidth="1" outlineLevel="1"/>
    <col min="5" max="5" width="17.5703125" style="59" customWidth="1" collapsed="1"/>
    <col min="6" max="6" width="12.7109375" style="62" customWidth="1"/>
    <col min="7" max="7" width="12.7109375" style="63" hidden="1" customWidth="1" outlineLevel="1"/>
    <col min="8" max="8" width="10.7109375" style="62" customWidth="1" collapsed="1"/>
    <col min="9" max="10" width="9.140625" style="63" customWidth="1" outlineLevel="1"/>
    <col min="11" max="11" width="7.85546875" style="50" customWidth="1"/>
    <col min="12" max="13" width="8.5703125" style="50" customWidth="1"/>
    <col min="14" max="30" width="8.5703125" style="50" customWidth="1" outlineLevel="1"/>
    <col min="31" max="31" width="14.140625" style="51" customWidth="1"/>
    <col min="32" max="33" width="8.5703125" style="50" customWidth="1"/>
    <col min="34" max="50" width="8.5703125" style="50" customWidth="1" outlineLevel="1"/>
    <col min="51" max="16384" width="9.140625" style="59"/>
  </cols>
  <sheetData>
    <row r="1" spans="1:51" s="7" customFormat="1" ht="28.5">
      <c r="A1" s="6" t="s">
        <v>98</v>
      </c>
      <c r="C1" s="8"/>
      <c r="D1" s="9"/>
      <c r="F1" s="10"/>
      <c r="G1" s="11"/>
      <c r="H1" s="10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3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</row>
    <row r="2" spans="1:51" s="56" customFormat="1" ht="15.75" customHeight="1">
      <c r="A2" s="139" t="s">
        <v>40</v>
      </c>
      <c r="B2" s="14"/>
      <c r="C2" s="15"/>
      <c r="D2" s="14"/>
      <c r="E2" s="16"/>
      <c r="F2" s="275" t="s">
        <v>14</v>
      </c>
      <c r="G2" s="276"/>
      <c r="H2" s="275" t="s">
        <v>0</v>
      </c>
      <c r="I2" s="276"/>
      <c r="J2" s="169"/>
      <c r="K2" s="17"/>
      <c r="L2" s="139" t="s">
        <v>42</v>
      </c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7"/>
      <c r="AE2" s="54"/>
      <c r="AF2" s="139" t="s">
        <v>69</v>
      </c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7"/>
      <c r="AY2" s="55"/>
    </row>
    <row r="3" spans="1:51" s="72" customFormat="1" ht="15.75">
      <c r="A3" s="65"/>
      <c r="B3" s="66"/>
      <c r="C3" s="67"/>
      <c r="D3" s="66"/>
      <c r="E3" s="68"/>
      <c r="F3" s="275"/>
      <c r="G3" s="276"/>
      <c r="H3" s="275"/>
      <c r="I3" s="276"/>
      <c r="J3" s="169"/>
      <c r="K3" s="69" t="s">
        <v>15</v>
      </c>
      <c r="L3" s="108">
        <v>42350</v>
      </c>
      <c r="M3" s="108">
        <v>42351</v>
      </c>
      <c r="N3" s="108">
        <v>42352</v>
      </c>
      <c r="O3" s="108">
        <v>42353</v>
      </c>
      <c r="P3" s="108">
        <v>42355</v>
      </c>
      <c r="Q3" s="108">
        <v>42358</v>
      </c>
      <c r="R3" s="108">
        <v>42360</v>
      </c>
      <c r="S3" s="108">
        <v>42365</v>
      </c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70" t="s">
        <v>15</v>
      </c>
      <c r="AF3" s="108">
        <f>IF(ISBLANK(L3)="TRUE","",L3)</f>
        <v>42350</v>
      </c>
      <c r="AG3" s="108">
        <f>IF(ISBLANK(M3)="TRUE","",M3)</f>
        <v>42351</v>
      </c>
      <c r="AH3" s="108">
        <f t="shared" ref="AG3:AX4" si="0">IF(ISBLANK(N3)="TRUE","",N3)</f>
        <v>42352</v>
      </c>
      <c r="AI3" s="108">
        <f t="shared" si="0"/>
        <v>42353</v>
      </c>
      <c r="AJ3" s="108">
        <f t="shared" si="0"/>
        <v>42355</v>
      </c>
      <c r="AK3" s="108">
        <f t="shared" si="0"/>
        <v>42358</v>
      </c>
      <c r="AL3" s="108">
        <f t="shared" si="0"/>
        <v>42360</v>
      </c>
      <c r="AM3" s="108">
        <f t="shared" si="0"/>
        <v>42365</v>
      </c>
      <c r="AN3" s="108">
        <f t="shared" si="0"/>
        <v>0</v>
      </c>
      <c r="AO3" s="108">
        <f t="shared" si="0"/>
        <v>0</v>
      </c>
      <c r="AP3" s="108">
        <f t="shared" si="0"/>
        <v>0</v>
      </c>
      <c r="AQ3" s="108">
        <f>IF(ISBLANK(W3)="TRUE","",W3)</f>
        <v>0</v>
      </c>
      <c r="AR3" s="108">
        <f t="shared" si="0"/>
        <v>0</v>
      </c>
      <c r="AS3" s="108">
        <f t="shared" si="0"/>
        <v>0</v>
      </c>
      <c r="AT3" s="108">
        <f t="shared" si="0"/>
        <v>0</v>
      </c>
      <c r="AU3" s="108">
        <f t="shared" si="0"/>
        <v>0</v>
      </c>
      <c r="AV3" s="108">
        <f t="shared" si="0"/>
        <v>0</v>
      </c>
      <c r="AW3" s="108">
        <f t="shared" si="0"/>
        <v>0</v>
      </c>
      <c r="AX3" s="108">
        <f t="shared" si="0"/>
        <v>0</v>
      </c>
      <c r="AY3" s="71"/>
    </row>
    <row r="4" spans="1:51" s="58" customFormat="1" ht="15.75" customHeight="1">
      <c r="A4" s="18" t="s">
        <v>6</v>
      </c>
      <c r="B4" s="19" t="s">
        <v>7</v>
      </c>
      <c r="C4" s="20" t="s">
        <v>8</v>
      </c>
      <c r="D4" s="18" t="s">
        <v>17</v>
      </c>
      <c r="E4" s="21" t="s">
        <v>11</v>
      </c>
      <c r="F4" s="22" t="s">
        <v>1</v>
      </c>
      <c r="G4" s="23" t="s">
        <v>2</v>
      </c>
      <c r="H4" s="22" t="s">
        <v>1</v>
      </c>
      <c r="I4" s="23" t="s">
        <v>41</v>
      </c>
      <c r="J4" s="23"/>
      <c r="K4" s="25" t="s">
        <v>9</v>
      </c>
      <c r="L4" s="136">
        <f>L3-$H5</f>
        <v>0</v>
      </c>
      <c r="M4" s="136">
        <f>M3-$H5</f>
        <v>1</v>
      </c>
      <c r="N4" s="136">
        <f t="shared" ref="N4:AD4" si="1">N3-$H5</f>
        <v>2</v>
      </c>
      <c r="O4" s="136">
        <f t="shared" si="1"/>
        <v>3</v>
      </c>
      <c r="P4" s="136">
        <f t="shared" si="1"/>
        <v>5</v>
      </c>
      <c r="Q4" s="136">
        <f t="shared" si="1"/>
        <v>8</v>
      </c>
      <c r="R4" s="136">
        <f t="shared" si="1"/>
        <v>10</v>
      </c>
      <c r="S4" s="136">
        <f t="shared" si="1"/>
        <v>15</v>
      </c>
      <c r="T4" s="136">
        <f t="shared" si="1"/>
        <v>-42350</v>
      </c>
      <c r="U4" s="136">
        <f t="shared" si="1"/>
        <v>-42350</v>
      </c>
      <c r="V4" s="136">
        <f t="shared" si="1"/>
        <v>-42350</v>
      </c>
      <c r="W4" s="136">
        <f t="shared" si="1"/>
        <v>-42350</v>
      </c>
      <c r="X4" s="136">
        <f t="shared" si="1"/>
        <v>-42350</v>
      </c>
      <c r="Y4" s="136">
        <f t="shared" si="1"/>
        <v>-42350</v>
      </c>
      <c r="Z4" s="136">
        <f t="shared" si="1"/>
        <v>-42350</v>
      </c>
      <c r="AA4" s="136">
        <f t="shared" si="1"/>
        <v>-42350</v>
      </c>
      <c r="AB4" s="136">
        <f t="shared" si="1"/>
        <v>-42350</v>
      </c>
      <c r="AC4" s="136">
        <f t="shared" si="1"/>
        <v>-42350</v>
      </c>
      <c r="AD4" s="136">
        <f t="shared" si="1"/>
        <v>-42350</v>
      </c>
      <c r="AE4" s="26" t="s">
        <v>9</v>
      </c>
      <c r="AF4" s="19">
        <f>IF(ISBLANK(L4)="TRUE","",L4)</f>
        <v>0</v>
      </c>
      <c r="AG4" s="19">
        <f t="shared" si="0"/>
        <v>1</v>
      </c>
      <c r="AH4" s="19">
        <f t="shared" si="0"/>
        <v>2</v>
      </c>
      <c r="AI4" s="19">
        <f t="shared" si="0"/>
        <v>3</v>
      </c>
      <c r="AJ4" s="19">
        <f t="shared" si="0"/>
        <v>5</v>
      </c>
      <c r="AK4" s="19">
        <f t="shared" si="0"/>
        <v>8</v>
      </c>
      <c r="AL4" s="19">
        <f t="shared" si="0"/>
        <v>10</v>
      </c>
      <c r="AM4" s="19">
        <f t="shared" si="0"/>
        <v>15</v>
      </c>
      <c r="AN4" s="19">
        <f t="shared" si="0"/>
        <v>-42350</v>
      </c>
      <c r="AO4" s="19">
        <f t="shared" si="0"/>
        <v>-42350</v>
      </c>
      <c r="AP4" s="19">
        <f t="shared" si="0"/>
        <v>-42350</v>
      </c>
      <c r="AQ4" s="19">
        <f t="shared" si="0"/>
        <v>-42350</v>
      </c>
      <c r="AR4" s="19">
        <f t="shared" si="0"/>
        <v>-42350</v>
      </c>
      <c r="AS4" s="19">
        <f t="shared" si="0"/>
        <v>-42350</v>
      </c>
      <c r="AT4" s="19">
        <f t="shared" si="0"/>
        <v>-42350</v>
      </c>
      <c r="AU4" s="19">
        <f t="shared" si="0"/>
        <v>-42350</v>
      </c>
      <c r="AV4" s="19">
        <f t="shared" si="0"/>
        <v>-42350</v>
      </c>
      <c r="AW4" s="19">
        <f t="shared" si="0"/>
        <v>-42350</v>
      </c>
      <c r="AX4" s="19">
        <f t="shared" si="0"/>
        <v>-42350</v>
      </c>
      <c r="AY4" s="57"/>
    </row>
    <row r="5" spans="1:51">
      <c r="A5" s="27">
        <v>961157</v>
      </c>
      <c r="B5" s="28">
        <v>11</v>
      </c>
      <c r="C5" s="29" t="str">
        <f t="shared" ref="C5:C25" si="2">CONCATENATE(A5,"-",B5)</f>
        <v>961157-11</v>
      </c>
      <c r="D5" s="28" t="s">
        <v>26</v>
      </c>
      <c r="E5" s="30" t="s">
        <v>50</v>
      </c>
      <c r="F5" s="31">
        <v>42340</v>
      </c>
      <c r="G5" s="32">
        <v>24.9</v>
      </c>
      <c r="H5" s="31">
        <v>42350</v>
      </c>
      <c r="I5" s="32">
        <v>1027</v>
      </c>
      <c r="J5" s="32"/>
      <c r="K5" s="35"/>
      <c r="L5" s="87">
        <v>1027</v>
      </c>
      <c r="M5" s="87">
        <v>884</v>
      </c>
      <c r="N5" s="87">
        <v>798</v>
      </c>
      <c r="O5" s="87">
        <v>705</v>
      </c>
      <c r="P5" s="87">
        <v>577</v>
      </c>
      <c r="Q5" s="87">
        <v>402</v>
      </c>
      <c r="R5" s="87">
        <v>322</v>
      </c>
      <c r="S5" s="87">
        <v>221</v>
      </c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36"/>
      <c r="AF5" s="86">
        <f t="shared" ref="AF5:AF25" si="3">IF(OR(ISERROR(L5/$I5)=TRUE,ISBLANK(L5)=TRUE),"",L5/$I5)</f>
        <v>1</v>
      </c>
      <c r="AG5" s="86">
        <f t="shared" ref="AG5:AG25" si="4">IF(OR(ISERROR(M5/$I5)=TRUE,ISBLANK(M5)=TRUE),"",M5/$I5)</f>
        <v>0.86075949367088611</v>
      </c>
      <c r="AH5" s="86">
        <f t="shared" ref="AH5:AH25" si="5">IF(OR(ISERROR(N5/$I5)=TRUE,ISBLANK(N5)=TRUE),"",N5/$I5)</f>
        <v>0.7770204479065238</v>
      </c>
      <c r="AI5" s="86">
        <f t="shared" ref="AI5:AI25" si="6">IF(OR(ISERROR(O5/$I5)=TRUE,ISBLANK(O5)=TRUE),"",O5/$I5)</f>
        <v>0.68646543330087639</v>
      </c>
      <c r="AJ5" s="86">
        <f t="shared" ref="AJ5:AJ25" si="7">IF(OR(ISERROR(P5/$I5)=TRUE,ISBLANK(P5)=TRUE),"",P5/$I5)</f>
        <v>0.56183057448880236</v>
      </c>
      <c r="AK5" s="86">
        <f t="shared" ref="AK5:AK25" si="8">IF(OR(ISERROR(Q5/$I5)=TRUE,ISBLANK(Q5)=TRUE),"",Q5/$I5)</f>
        <v>0.39143135345666991</v>
      </c>
      <c r="AL5" s="86">
        <f t="shared" ref="AL5:AL25" si="9">IF(OR(ISERROR(R5/$I5)=TRUE,ISBLANK(R5)=TRUE),"",R5/$I5)</f>
        <v>0.31353456669912366</v>
      </c>
      <c r="AM5" s="86">
        <f t="shared" ref="AM5:AM25" si="10">IF(OR(ISERROR(S5/$I5)=TRUE,ISBLANK(S5)=TRUE),"",S5/$I5)</f>
        <v>0.21518987341772153</v>
      </c>
      <c r="AN5" s="86" t="str">
        <f t="shared" ref="AN5:AN25" si="11">IF(OR(ISERROR(T5/$I5)=TRUE,ISBLANK(T5)=TRUE),"",T5/$I5)</f>
        <v/>
      </c>
      <c r="AO5" s="86" t="str">
        <f t="shared" ref="AO5:AO25" si="12">IF(OR(ISERROR(U5/$I5)=TRUE,ISBLANK(U5)=TRUE),"",U5/$I5)</f>
        <v/>
      </c>
      <c r="AP5" s="86" t="str">
        <f t="shared" ref="AP5:AP25" si="13">IF(OR(ISERROR(V5/$I5)=TRUE,ISBLANK(V5)=TRUE),"",V5/$I5)</f>
        <v/>
      </c>
      <c r="AQ5" s="86" t="str">
        <f t="shared" ref="AQ5:AQ25" si="14">IF(OR(ISERROR(W5/$I5)=TRUE,ISBLANK(W5)=TRUE),"",W5/$I5)</f>
        <v/>
      </c>
      <c r="AR5" s="86" t="str">
        <f t="shared" ref="AR5:AR25" si="15">IF(OR(ISERROR(X5/$I5)=TRUE,ISBLANK(X5)=TRUE),"",X5/$I5)</f>
        <v/>
      </c>
      <c r="AS5" s="86" t="str">
        <f t="shared" ref="AS5:AS25" si="16">IF(OR(ISERROR(Y5/$I5)=TRUE,ISBLANK(Y5)=TRUE),"",Y5/$I5)</f>
        <v/>
      </c>
      <c r="AT5" s="86" t="str">
        <f t="shared" ref="AT5:AT25" si="17">IF(OR(ISERROR(Z5/$I5)=TRUE,ISBLANK(Z5)=TRUE),"",Z5/$I5)</f>
        <v/>
      </c>
      <c r="AU5" s="86" t="str">
        <f t="shared" ref="AU5:AU25" si="18">IF(OR(ISERROR(AA5/$I5)=TRUE,ISBLANK(AA5)=TRUE),"",AA5/$I5)</f>
        <v/>
      </c>
      <c r="AV5" s="86" t="str">
        <f t="shared" ref="AV5:AV25" si="19">IF(OR(ISERROR(AB5/$I5)=TRUE,ISBLANK(AB5)=TRUE),"",AB5/$I5)</f>
        <v/>
      </c>
      <c r="AW5" s="86" t="str">
        <f t="shared" ref="AW5:AW25" si="20">IF(OR(ISERROR(AC5/$I5)=TRUE,ISBLANK(AC5)=TRUE),"",AC5/$I5)</f>
        <v/>
      </c>
      <c r="AX5" s="86" t="str">
        <f t="shared" ref="AX5:AX25" si="21">IF(OR(ISERROR(AD5/$I5)=TRUE,ISBLANK(AD5)=TRUE),"",AD5/$I5)</f>
        <v/>
      </c>
      <c r="AY5" s="3"/>
    </row>
    <row r="6" spans="1:51">
      <c r="A6" s="27">
        <v>961157</v>
      </c>
      <c r="B6" s="1">
        <v>12</v>
      </c>
      <c r="C6" s="29" t="str">
        <f t="shared" si="2"/>
        <v>961157-12</v>
      </c>
      <c r="D6" s="28" t="s">
        <v>26</v>
      </c>
      <c r="E6" s="37" t="s">
        <v>48</v>
      </c>
      <c r="F6" s="31">
        <v>42340</v>
      </c>
      <c r="G6" s="38">
        <v>28.2</v>
      </c>
      <c r="H6" s="31">
        <v>42350</v>
      </c>
      <c r="I6" s="38">
        <v>364</v>
      </c>
      <c r="J6" s="38"/>
      <c r="K6" s="40"/>
      <c r="L6" s="87">
        <v>364</v>
      </c>
      <c r="M6" s="93">
        <v>319</v>
      </c>
      <c r="N6" s="93">
        <v>280</v>
      </c>
      <c r="O6" s="93">
        <v>246</v>
      </c>
      <c r="P6" s="93">
        <v>203</v>
      </c>
      <c r="Q6" s="93">
        <v>148</v>
      </c>
      <c r="R6" s="93">
        <v>121</v>
      </c>
      <c r="S6" s="93">
        <v>84.5</v>
      </c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2"/>
      <c r="AF6" s="82">
        <f t="shared" si="3"/>
        <v>1</v>
      </c>
      <c r="AG6" s="82">
        <f t="shared" si="4"/>
        <v>0.87637362637362637</v>
      </c>
      <c r="AH6" s="82">
        <f t="shared" si="5"/>
        <v>0.76923076923076927</v>
      </c>
      <c r="AI6" s="82">
        <f t="shared" si="6"/>
        <v>0.67582417582417587</v>
      </c>
      <c r="AJ6" s="82">
        <f t="shared" si="7"/>
        <v>0.55769230769230771</v>
      </c>
      <c r="AK6" s="82">
        <f t="shared" si="8"/>
        <v>0.40659340659340659</v>
      </c>
      <c r="AL6" s="82">
        <f t="shared" si="9"/>
        <v>0.3324175824175824</v>
      </c>
      <c r="AM6" s="82">
        <f t="shared" si="10"/>
        <v>0.23214285714285715</v>
      </c>
      <c r="AN6" s="82" t="str">
        <f t="shared" si="11"/>
        <v/>
      </c>
      <c r="AO6" s="82" t="str">
        <f t="shared" si="12"/>
        <v/>
      </c>
      <c r="AP6" s="82" t="str">
        <f t="shared" si="13"/>
        <v/>
      </c>
      <c r="AQ6" s="82" t="str">
        <f t="shared" si="14"/>
        <v/>
      </c>
      <c r="AR6" s="82" t="str">
        <f t="shared" si="15"/>
        <v/>
      </c>
      <c r="AS6" s="82" t="str">
        <f t="shared" si="16"/>
        <v/>
      </c>
      <c r="AT6" s="82" t="str">
        <f t="shared" si="17"/>
        <v/>
      </c>
      <c r="AU6" s="82" t="str">
        <f t="shared" si="18"/>
        <v/>
      </c>
      <c r="AV6" s="82" t="str">
        <f t="shared" si="19"/>
        <v/>
      </c>
      <c r="AW6" s="82" t="str">
        <f t="shared" si="20"/>
        <v/>
      </c>
      <c r="AX6" s="82" t="str">
        <f t="shared" si="21"/>
        <v/>
      </c>
      <c r="AY6" s="3"/>
    </row>
    <row r="7" spans="1:51">
      <c r="A7" s="27">
        <v>961157</v>
      </c>
      <c r="B7" s="1">
        <v>14</v>
      </c>
      <c r="C7" s="29" t="str">
        <f t="shared" si="2"/>
        <v>961157-14</v>
      </c>
      <c r="D7" s="28" t="s">
        <v>26</v>
      </c>
      <c r="E7" s="37" t="s">
        <v>48</v>
      </c>
      <c r="F7" s="31">
        <v>42340</v>
      </c>
      <c r="G7" s="38">
        <v>24.5</v>
      </c>
      <c r="H7" s="31">
        <v>42350</v>
      </c>
      <c r="I7" s="38">
        <v>292</v>
      </c>
      <c r="J7" s="38"/>
      <c r="K7" s="40"/>
      <c r="L7" s="87">
        <v>292</v>
      </c>
      <c r="M7" s="93">
        <v>258</v>
      </c>
      <c r="N7" s="93">
        <v>207</v>
      </c>
      <c r="O7" s="93">
        <v>186</v>
      </c>
      <c r="P7" s="93">
        <v>153</v>
      </c>
      <c r="Q7" s="93">
        <v>108</v>
      </c>
      <c r="R7" s="93">
        <v>80</v>
      </c>
      <c r="S7" s="93">
        <v>55.6</v>
      </c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2"/>
      <c r="AF7" s="82">
        <f t="shared" si="3"/>
        <v>1</v>
      </c>
      <c r="AG7" s="82">
        <f t="shared" si="4"/>
        <v>0.88356164383561642</v>
      </c>
      <c r="AH7" s="82">
        <f t="shared" si="5"/>
        <v>0.70890410958904104</v>
      </c>
      <c r="AI7" s="82">
        <f t="shared" si="6"/>
        <v>0.63698630136986301</v>
      </c>
      <c r="AJ7" s="82">
        <f t="shared" si="7"/>
        <v>0.52397260273972601</v>
      </c>
      <c r="AK7" s="82">
        <f t="shared" si="8"/>
        <v>0.36986301369863012</v>
      </c>
      <c r="AL7" s="82">
        <f t="shared" si="9"/>
        <v>0.27397260273972601</v>
      </c>
      <c r="AM7" s="82">
        <f t="shared" si="10"/>
        <v>0.19041095890410958</v>
      </c>
      <c r="AN7" s="82" t="str">
        <f t="shared" si="11"/>
        <v/>
      </c>
      <c r="AO7" s="82" t="str">
        <f t="shared" si="12"/>
        <v/>
      </c>
      <c r="AP7" s="82" t="str">
        <f t="shared" si="13"/>
        <v/>
      </c>
      <c r="AQ7" s="82" t="str">
        <f t="shared" si="14"/>
        <v/>
      </c>
      <c r="AR7" s="82" t="str">
        <f t="shared" si="15"/>
        <v/>
      </c>
      <c r="AS7" s="82" t="str">
        <f t="shared" si="16"/>
        <v/>
      </c>
      <c r="AT7" s="82" t="str">
        <f t="shared" si="17"/>
        <v/>
      </c>
      <c r="AU7" s="82" t="str">
        <f t="shared" si="18"/>
        <v/>
      </c>
      <c r="AV7" s="82" t="str">
        <f t="shared" si="19"/>
        <v/>
      </c>
      <c r="AW7" s="82" t="str">
        <f t="shared" si="20"/>
        <v/>
      </c>
      <c r="AX7" s="82" t="str">
        <f t="shared" si="21"/>
        <v/>
      </c>
      <c r="AY7" s="3"/>
    </row>
    <row r="8" spans="1:51">
      <c r="A8" s="27">
        <v>961157</v>
      </c>
      <c r="B8" s="1">
        <v>15</v>
      </c>
      <c r="C8" s="29" t="str">
        <f t="shared" si="2"/>
        <v>961157-15</v>
      </c>
      <c r="D8" s="28" t="s">
        <v>26</v>
      </c>
      <c r="E8" s="37" t="s">
        <v>49</v>
      </c>
      <c r="F8" s="31">
        <v>42340</v>
      </c>
      <c r="G8" s="38">
        <v>28.4</v>
      </c>
      <c r="H8" s="31">
        <v>42350</v>
      </c>
      <c r="I8" s="38">
        <v>608</v>
      </c>
      <c r="J8" s="38"/>
      <c r="K8" s="40"/>
      <c r="L8" s="87">
        <v>608</v>
      </c>
      <c r="M8" s="93">
        <v>535</v>
      </c>
      <c r="N8" s="93">
        <v>461</v>
      </c>
      <c r="O8" s="93">
        <v>405</v>
      </c>
      <c r="P8" s="93">
        <v>344</v>
      </c>
      <c r="Q8" s="93">
        <v>250</v>
      </c>
      <c r="R8" s="93">
        <v>194</v>
      </c>
      <c r="S8" s="93">
        <v>128</v>
      </c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2"/>
      <c r="AF8" s="82">
        <f t="shared" si="3"/>
        <v>1</v>
      </c>
      <c r="AG8" s="82">
        <f t="shared" si="4"/>
        <v>0.87993421052631582</v>
      </c>
      <c r="AH8" s="82">
        <f t="shared" si="5"/>
        <v>0.75822368421052633</v>
      </c>
      <c r="AI8" s="82">
        <f t="shared" si="6"/>
        <v>0.66611842105263153</v>
      </c>
      <c r="AJ8" s="82">
        <f t="shared" si="7"/>
        <v>0.56578947368421051</v>
      </c>
      <c r="AK8" s="82">
        <f t="shared" si="8"/>
        <v>0.41118421052631576</v>
      </c>
      <c r="AL8" s="82">
        <f t="shared" si="9"/>
        <v>0.31907894736842107</v>
      </c>
      <c r="AM8" s="82">
        <f t="shared" si="10"/>
        <v>0.21052631578947367</v>
      </c>
      <c r="AN8" s="82" t="str">
        <f t="shared" si="11"/>
        <v/>
      </c>
      <c r="AO8" s="82" t="str">
        <f t="shared" si="12"/>
        <v/>
      </c>
      <c r="AP8" s="82" t="str">
        <f t="shared" si="13"/>
        <v/>
      </c>
      <c r="AQ8" s="82" t="str">
        <f t="shared" si="14"/>
        <v/>
      </c>
      <c r="AR8" s="82" t="str">
        <f t="shared" si="15"/>
        <v/>
      </c>
      <c r="AS8" s="82" t="str">
        <f t="shared" si="16"/>
        <v/>
      </c>
      <c r="AT8" s="82" t="str">
        <f t="shared" si="17"/>
        <v/>
      </c>
      <c r="AU8" s="82" t="str">
        <f t="shared" si="18"/>
        <v/>
      </c>
      <c r="AV8" s="82" t="str">
        <f t="shared" si="19"/>
        <v/>
      </c>
      <c r="AW8" s="82" t="str">
        <f t="shared" si="20"/>
        <v/>
      </c>
      <c r="AX8" s="82" t="str">
        <f t="shared" si="21"/>
        <v/>
      </c>
      <c r="AY8" s="3"/>
    </row>
    <row r="9" spans="1:51">
      <c r="A9" s="41">
        <v>961158</v>
      </c>
      <c r="B9" s="1">
        <v>23</v>
      </c>
      <c r="C9" s="29" t="str">
        <f t="shared" si="2"/>
        <v>961158-23</v>
      </c>
      <c r="D9" s="28" t="s">
        <v>26</v>
      </c>
      <c r="E9" s="37" t="s">
        <v>34</v>
      </c>
      <c r="F9" s="31">
        <v>42340</v>
      </c>
      <c r="G9" s="38">
        <v>23.8</v>
      </c>
      <c r="H9" s="31">
        <v>42350</v>
      </c>
      <c r="I9" s="38">
        <v>0</v>
      </c>
      <c r="J9" s="38"/>
      <c r="K9" s="40"/>
      <c r="L9" s="87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93">
        <v>0</v>
      </c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2"/>
      <c r="AF9" s="82" t="str">
        <f t="shared" si="3"/>
        <v/>
      </c>
      <c r="AG9" s="82" t="str">
        <f t="shared" si="4"/>
        <v/>
      </c>
      <c r="AH9" s="82" t="str">
        <f t="shared" si="5"/>
        <v/>
      </c>
      <c r="AI9" s="82" t="str">
        <f t="shared" si="6"/>
        <v/>
      </c>
      <c r="AJ9" s="82" t="str">
        <f t="shared" si="7"/>
        <v/>
      </c>
      <c r="AK9" s="82" t="str">
        <f t="shared" si="8"/>
        <v/>
      </c>
      <c r="AL9" s="82" t="str">
        <f t="shared" si="9"/>
        <v/>
      </c>
      <c r="AM9" s="82" t="str">
        <f t="shared" si="10"/>
        <v/>
      </c>
      <c r="AN9" s="82" t="str">
        <f t="shared" si="11"/>
        <v/>
      </c>
      <c r="AO9" s="82" t="str">
        <f t="shared" si="12"/>
        <v/>
      </c>
      <c r="AP9" s="82" t="str">
        <f t="shared" si="13"/>
        <v/>
      </c>
      <c r="AQ9" s="82" t="str">
        <f t="shared" si="14"/>
        <v/>
      </c>
      <c r="AR9" s="82" t="str">
        <f t="shared" si="15"/>
        <v/>
      </c>
      <c r="AS9" s="82" t="str">
        <f t="shared" si="16"/>
        <v/>
      </c>
      <c r="AT9" s="82" t="str">
        <f t="shared" si="17"/>
        <v/>
      </c>
      <c r="AU9" s="82" t="str">
        <f t="shared" si="18"/>
        <v/>
      </c>
      <c r="AV9" s="82" t="str">
        <f t="shared" si="19"/>
        <v/>
      </c>
      <c r="AW9" s="82" t="str">
        <f t="shared" si="20"/>
        <v/>
      </c>
      <c r="AX9" s="82" t="str">
        <f t="shared" si="21"/>
        <v/>
      </c>
      <c r="AY9" s="3"/>
    </row>
    <row r="10" spans="1:51">
      <c r="A10" s="41">
        <v>961158</v>
      </c>
      <c r="B10" s="1">
        <v>24</v>
      </c>
      <c r="C10" s="29" t="str">
        <f t="shared" si="2"/>
        <v>961158-24</v>
      </c>
      <c r="D10" s="28" t="s">
        <v>26</v>
      </c>
      <c r="E10" s="37" t="s">
        <v>47</v>
      </c>
      <c r="F10" s="31">
        <v>42340</v>
      </c>
      <c r="G10" s="38">
        <v>22.3</v>
      </c>
      <c r="H10" s="31">
        <v>42350</v>
      </c>
      <c r="I10" s="38">
        <v>131</v>
      </c>
      <c r="J10" s="38"/>
      <c r="K10" s="40"/>
      <c r="L10" s="87">
        <v>131</v>
      </c>
      <c r="M10" s="93">
        <v>117</v>
      </c>
      <c r="N10" s="93">
        <v>106</v>
      </c>
      <c r="O10" s="93">
        <v>101</v>
      </c>
      <c r="P10" s="93">
        <v>79</v>
      </c>
      <c r="Q10" s="93">
        <v>57</v>
      </c>
      <c r="R10" s="93">
        <v>43</v>
      </c>
      <c r="S10" s="93">
        <v>32.200000000000003</v>
      </c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2"/>
      <c r="AF10" s="82">
        <f t="shared" si="3"/>
        <v>1</v>
      </c>
      <c r="AG10" s="82">
        <f t="shared" si="4"/>
        <v>0.89312977099236646</v>
      </c>
      <c r="AH10" s="82">
        <f t="shared" si="5"/>
        <v>0.80916030534351147</v>
      </c>
      <c r="AI10" s="82">
        <f t="shared" si="6"/>
        <v>0.77099236641221369</v>
      </c>
      <c r="AJ10" s="82">
        <f t="shared" si="7"/>
        <v>0.60305343511450382</v>
      </c>
      <c r="AK10" s="82">
        <f t="shared" si="8"/>
        <v>0.4351145038167939</v>
      </c>
      <c r="AL10" s="82">
        <f t="shared" si="9"/>
        <v>0.3282442748091603</v>
      </c>
      <c r="AM10" s="82">
        <f t="shared" si="10"/>
        <v>0.24580152671755728</v>
      </c>
      <c r="AN10" s="82" t="str">
        <f t="shared" si="11"/>
        <v/>
      </c>
      <c r="AO10" s="82" t="str">
        <f t="shared" si="12"/>
        <v/>
      </c>
      <c r="AP10" s="82" t="str">
        <f t="shared" si="13"/>
        <v/>
      </c>
      <c r="AQ10" s="82" t="str">
        <f t="shared" si="14"/>
        <v/>
      </c>
      <c r="AR10" s="82" t="str">
        <f t="shared" si="15"/>
        <v/>
      </c>
      <c r="AS10" s="82" t="str">
        <f t="shared" si="16"/>
        <v/>
      </c>
      <c r="AT10" s="82" t="str">
        <f t="shared" si="17"/>
        <v/>
      </c>
      <c r="AU10" s="82" t="str">
        <f t="shared" si="18"/>
        <v/>
      </c>
      <c r="AV10" s="82" t="str">
        <f t="shared" si="19"/>
        <v/>
      </c>
      <c r="AW10" s="82" t="str">
        <f t="shared" si="20"/>
        <v/>
      </c>
      <c r="AX10" s="82" t="str">
        <f t="shared" si="21"/>
        <v/>
      </c>
      <c r="AY10" s="3"/>
    </row>
    <row r="11" spans="1:51">
      <c r="A11" s="41">
        <v>961156</v>
      </c>
      <c r="B11" s="1">
        <v>31</v>
      </c>
      <c r="C11" s="29" t="str">
        <f t="shared" si="2"/>
        <v>961156-31</v>
      </c>
      <c r="D11" s="28" t="s">
        <v>26</v>
      </c>
      <c r="E11" s="37" t="s">
        <v>49</v>
      </c>
      <c r="F11" s="31">
        <v>42340</v>
      </c>
      <c r="G11" s="38">
        <v>22</v>
      </c>
      <c r="H11" s="31">
        <v>42350</v>
      </c>
      <c r="I11" s="38">
        <v>550</v>
      </c>
      <c r="J11" s="38"/>
      <c r="K11" s="40"/>
      <c r="L11" s="87">
        <v>550</v>
      </c>
      <c r="M11" s="93">
        <v>458</v>
      </c>
      <c r="N11" s="93">
        <v>412</v>
      </c>
      <c r="O11" s="93">
        <v>361</v>
      </c>
      <c r="P11" s="93">
        <v>302</v>
      </c>
      <c r="Q11" s="93">
        <v>212</v>
      </c>
      <c r="R11" s="93">
        <v>167</v>
      </c>
      <c r="S11" s="93">
        <v>113</v>
      </c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2"/>
      <c r="AF11" s="82">
        <f t="shared" si="3"/>
        <v>1</v>
      </c>
      <c r="AG11" s="82">
        <f t="shared" si="4"/>
        <v>0.83272727272727276</v>
      </c>
      <c r="AH11" s="82">
        <f t="shared" si="5"/>
        <v>0.74909090909090914</v>
      </c>
      <c r="AI11" s="82">
        <f t="shared" si="6"/>
        <v>0.65636363636363637</v>
      </c>
      <c r="AJ11" s="82">
        <f t="shared" si="7"/>
        <v>0.54909090909090907</v>
      </c>
      <c r="AK11" s="82">
        <f t="shared" si="8"/>
        <v>0.38545454545454544</v>
      </c>
      <c r="AL11" s="82">
        <f t="shared" si="9"/>
        <v>0.30363636363636365</v>
      </c>
      <c r="AM11" s="82">
        <f t="shared" si="10"/>
        <v>0.20545454545454545</v>
      </c>
      <c r="AN11" s="82" t="str">
        <f t="shared" si="11"/>
        <v/>
      </c>
      <c r="AO11" s="82" t="str">
        <f t="shared" si="12"/>
        <v/>
      </c>
      <c r="AP11" s="82" t="str">
        <f t="shared" si="13"/>
        <v/>
      </c>
      <c r="AQ11" s="82" t="str">
        <f t="shared" si="14"/>
        <v/>
      </c>
      <c r="AR11" s="82" t="str">
        <f t="shared" si="15"/>
        <v/>
      </c>
      <c r="AS11" s="82" t="str">
        <f t="shared" si="16"/>
        <v/>
      </c>
      <c r="AT11" s="82" t="str">
        <f t="shared" si="17"/>
        <v/>
      </c>
      <c r="AU11" s="82" t="str">
        <f t="shared" si="18"/>
        <v/>
      </c>
      <c r="AV11" s="82" t="str">
        <f t="shared" si="19"/>
        <v/>
      </c>
      <c r="AW11" s="82" t="str">
        <f t="shared" si="20"/>
        <v/>
      </c>
      <c r="AX11" s="82" t="str">
        <f t="shared" si="21"/>
        <v/>
      </c>
      <c r="AY11" s="3"/>
    </row>
    <row r="12" spans="1:51">
      <c r="A12" s="41">
        <v>961156</v>
      </c>
      <c r="B12" s="1">
        <v>34</v>
      </c>
      <c r="C12" s="29" t="str">
        <f t="shared" si="2"/>
        <v>961156-34</v>
      </c>
      <c r="D12" s="28" t="s">
        <v>26</v>
      </c>
      <c r="E12" s="37" t="s">
        <v>35</v>
      </c>
      <c r="F12" s="31">
        <v>42340</v>
      </c>
      <c r="G12" s="38">
        <v>23.2</v>
      </c>
      <c r="H12" s="31">
        <v>42350</v>
      </c>
      <c r="I12" s="38">
        <v>0</v>
      </c>
      <c r="J12" s="38"/>
      <c r="K12" s="40"/>
      <c r="L12" s="87">
        <v>0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93">
        <v>0</v>
      </c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2"/>
      <c r="AF12" s="82" t="str">
        <f t="shared" si="3"/>
        <v/>
      </c>
      <c r="AG12" s="82" t="str">
        <f t="shared" si="4"/>
        <v/>
      </c>
      <c r="AH12" s="82" t="str">
        <f t="shared" si="5"/>
        <v/>
      </c>
      <c r="AI12" s="82" t="str">
        <f t="shared" si="6"/>
        <v/>
      </c>
      <c r="AJ12" s="82" t="str">
        <f t="shared" si="7"/>
        <v/>
      </c>
      <c r="AK12" s="82" t="str">
        <f t="shared" si="8"/>
        <v/>
      </c>
      <c r="AL12" s="82" t="str">
        <f t="shared" si="9"/>
        <v/>
      </c>
      <c r="AM12" s="82" t="str">
        <f t="shared" si="10"/>
        <v/>
      </c>
      <c r="AN12" s="82" t="str">
        <f t="shared" si="11"/>
        <v/>
      </c>
      <c r="AO12" s="82" t="str">
        <f t="shared" si="12"/>
        <v/>
      </c>
      <c r="AP12" s="82" t="str">
        <f t="shared" si="13"/>
        <v/>
      </c>
      <c r="AQ12" s="82" t="str">
        <f t="shared" si="14"/>
        <v/>
      </c>
      <c r="AR12" s="82" t="str">
        <f t="shared" si="15"/>
        <v/>
      </c>
      <c r="AS12" s="82" t="str">
        <f t="shared" si="16"/>
        <v/>
      </c>
      <c r="AT12" s="82" t="str">
        <f t="shared" si="17"/>
        <v/>
      </c>
      <c r="AU12" s="82" t="str">
        <f t="shared" si="18"/>
        <v/>
      </c>
      <c r="AV12" s="82" t="str">
        <f t="shared" si="19"/>
        <v/>
      </c>
      <c r="AW12" s="82" t="str">
        <f t="shared" si="20"/>
        <v/>
      </c>
      <c r="AX12" s="82" t="str">
        <f t="shared" si="21"/>
        <v/>
      </c>
      <c r="AY12" s="3"/>
    </row>
    <row r="13" spans="1:51">
      <c r="A13" s="41">
        <v>961160</v>
      </c>
      <c r="B13" s="1">
        <v>42</v>
      </c>
      <c r="C13" s="29" t="str">
        <f t="shared" si="2"/>
        <v>961160-42</v>
      </c>
      <c r="D13" s="28" t="s">
        <v>26</v>
      </c>
      <c r="E13" s="37" t="s">
        <v>47</v>
      </c>
      <c r="F13" s="31">
        <v>42340</v>
      </c>
      <c r="G13" s="38">
        <v>22.7</v>
      </c>
      <c r="H13" s="31">
        <v>42350</v>
      </c>
      <c r="I13" s="38">
        <v>383</v>
      </c>
      <c r="J13" s="38"/>
      <c r="K13" s="40"/>
      <c r="L13" s="87">
        <v>383</v>
      </c>
      <c r="M13" s="93">
        <v>365</v>
      </c>
      <c r="N13" s="93">
        <v>296</v>
      </c>
      <c r="O13" s="93">
        <v>276</v>
      </c>
      <c r="P13" s="93">
        <v>221</v>
      </c>
      <c r="Q13" s="93">
        <v>167</v>
      </c>
      <c r="R13" s="93">
        <v>136</v>
      </c>
      <c r="S13" s="93">
        <v>90.9</v>
      </c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2"/>
      <c r="AF13" s="82">
        <f t="shared" si="3"/>
        <v>1</v>
      </c>
      <c r="AG13" s="82">
        <f t="shared" si="4"/>
        <v>0.95300261096605743</v>
      </c>
      <c r="AH13" s="82">
        <f t="shared" si="5"/>
        <v>0.77284595300261094</v>
      </c>
      <c r="AI13" s="82">
        <f t="shared" si="6"/>
        <v>0.72062663185378595</v>
      </c>
      <c r="AJ13" s="82">
        <f t="shared" si="7"/>
        <v>0.57702349869451697</v>
      </c>
      <c r="AK13" s="82">
        <f t="shared" si="8"/>
        <v>0.43603133159268931</v>
      </c>
      <c r="AL13" s="82">
        <f t="shared" si="9"/>
        <v>0.35509138381201044</v>
      </c>
      <c r="AM13" s="82">
        <f t="shared" si="10"/>
        <v>0.23733681462140993</v>
      </c>
      <c r="AN13" s="82" t="str">
        <f t="shared" si="11"/>
        <v/>
      </c>
      <c r="AO13" s="82" t="str">
        <f t="shared" si="12"/>
        <v/>
      </c>
      <c r="AP13" s="82" t="str">
        <f t="shared" si="13"/>
        <v/>
      </c>
      <c r="AQ13" s="82" t="str">
        <f t="shared" si="14"/>
        <v/>
      </c>
      <c r="AR13" s="82" t="str">
        <f t="shared" si="15"/>
        <v/>
      </c>
      <c r="AS13" s="82" t="str">
        <f t="shared" si="16"/>
        <v/>
      </c>
      <c r="AT13" s="82" t="str">
        <f t="shared" si="17"/>
        <v/>
      </c>
      <c r="AU13" s="82" t="str">
        <f t="shared" si="18"/>
        <v/>
      </c>
      <c r="AV13" s="82" t="str">
        <f t="shared" si="19"/>
        <v/>
      </c>
      <c r="AW13" s="82" t="str">
        <f t="shared" si="20"/>
        <v/>
      </c>
      <c r="AX13" s="82" t="str">
        <f t="shared" si="21"/>
        <v/>
      </c>
      <c r="AY13" s="3"/>
    </row>
    <row r="14" spans="1:51">
      <c r="A14" s="41">
        <v>961160</v>
      </c>
      <c r="B14" s="1">
        <v>43</v>
      </c>
      <c r="C14" s="29" t="str">
        <f t="shared" si="2"/>
        <v>961160-43</v>
      </c>
      <c r="D14" s="28" t="s">
        <v>26</v>
      </c>
      <c r="E14" s="37" t="s">
        <v>47</v>
      </c>
      <c r="F14" s="31">
        <v>42340</v>
      </c>
      <c r="G14" s="38">
        <v>24.8</v>
      </c>
      <c r="H14" s="31">
        <v>42350</v>
      </c>
      <c r="I14" s="38">
        <v>396</v>
      </c>
      <c r="J14" s="38"/>
      <c r="K14" s="40"/>
      <c r="L14" s="87">
        <v>396</v>
      </c>
      <c r="M14" s="93">
        <v>348</v>
      </c>
      <c r="N14" s="93">
        <v>313</v>
      </c>
      <c r="O14" s="93">
        <v>277</v>
      </c>
      <c r="P14" s="93">
        <v>234</v>
      </c>
      <c r="Q14" s="93">
        <v>168</v>
      </c>
      <c r="R14" s="93">
        <v>134</v>
      </c>
      <c r="S14" s="93">
        <v>93.6</v>
      </c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2"/>
      <c r="AF14" s="82">
        <f t="shared" si="3"/>
        <v>1</v>
      </c>
      <c r="AG14" s="82">
        <f t="shared" si="4"/>
        <v>0.87878787878787878</v>
      </c>
      <c r="AH14" s="82">
        <f t="shared" si="5"/>
        <v>0.79040404040404044</v>
      </c>
      <c r="AI14" s="82">
        <f t="shared" si="6"/>
        <v>0.6994949494949495</v>
      </c>
      <c r="AJ14" s="82">
        <f t="shared" si="7"/>
        <v>0.59090909090909094</v>
      </c>
      <c r="AK14" s="82">
        <f t="shared" si="8"/>
        <v>0.42424242424242425</v>
      </c>
      <c r="AL14" s="82">
        <f t="shared" si="9"/>
        <v>0.3383838383838384</v>
      </c>
      <c r="AM14" s="82">
        <f t="shared" si="10"/>
        <v>0.23636363636363636</v>
      </c>
      <c r="AN14" s="82" t="str">
        <f t="shared" si="11"/>
        <v/>
      </c>
      <c r="AO14" s="82" t="str">
        <f t="shared" si="12"/>
        <v/>
      </c>
      <c r="AP14" s="82" t="str">
        <f t="shared" si="13"/>
        <v/>
      </c>
      <c r="AQ14" s="82" t="str">
        <f t="shared" si="14"/>
        <v/>
      </c>
      <c r="AR14" s="82" t="str">
        <f t="shared" si="15"/>
        <v/>
      </c>
      <c r="AS14" s="82" t="str">
        <f t="shared" si="16"/>
        <v/>
      </c>
      <c r="AT14" s="82" t="str">
        <f t="shared" si="17"/>
        <v/>
      </c>
      <c r="AU14" s="82" t="str">
        <f t="shared" si="18"/>
        <v/>
      </c>
      <c r="AV14" s="82" t="str">
        <f t="shared" si="19"/>
        <v/>
      </c>
      <c r="AW14" s="82" t="str">
        <f t="shared" si="20"/>
        <v/>
      </c>
      <c r="AX14" s="82" t="str">
        <f t="shared" si="21"/>
        <v/>
      </c>
      <c r="AY14" s="3"/>
    </row>
    <row r="15" spans="1:51">
      <c r="A15" s="41">
        <v>961160</v>
      </c>
      <c r="B15" s="1">
        <v>44</v>
      </c>
      <c r="C15" s="29" t="str">
        <f t="shared" si="2"/>
        <v>961160-44</v>
      </c>
      <c r="D15" s="28" t="s">
        <v>26</v>
      </c>
      <c r="E15" s="37" t="s">
        <v>52</v>
      </c>
      <c r="F15" s="31">
        <v>42340</v>
      </c>
      <c r="G15" s="38">
        <v>25.4</v>
      </c>
      <c r="H15" s="31">
        <v>42350</v>
      </c>
      <c r="I15" s="38">
        <v>978</v>
      </c>
      <c r="J15" s="38"/>
      <c r="K15" s="40"/>
      <c r="L15" s="87">
        <v>978</v>
      </c>
      <c r="M15" s="93">
        <v>907</v>
      </c>
      <c r="N15" s="93">
        <v>754</v>
      </c>
      <c r="O15" s="93">
        <v>661</v>
      </c>
      <c r="P15" s="93">
        <v>553</v>
      </c>
      <c r="Q15" s="93">
        <v>384</v>
      </c>
      <c r="R15" s="93">
        <v>306</v>
      </c>
      <c r="S15" s="93">
        <v>202</v>
      </c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2"/>
      <c r="AF15" s="82">
        <f t="shared" si="3"/>
        <v>1</v>
      </c>
      <c r="AG15" s="82">
        <f t="shared" si="4"/>
        <v>0.92740286298568508</v>
      </c>
      <c r="AH15" s="82">
        <f t="shared" si="5"/>
        <v>0.77096114519427406</v>
      </c>
      <c r="AI15" s="82">
        <f t="shared" si="6"/>
        <v>0.67586912065439675</v>
      </c>
      <c r="AJ15" s="82">
        <f t="shared" si="7"/>
        <v>0.56543967280163598</v>
      </c>
      <c r="AK15" s="82">
        <f t="shared" si="8"/>
        <v>0.39263803680981596</v>
      </c>
      <c r="AL15" s="82">
        <f t="shared" si="9"/>
        <v>0.31288343558282211</v>
      </c>
      <c r="AM15" s="82">
        <f t="shared" si="10"/>
        <v>0.20654396728016361</v>
      </c>
      <c r="AN15" s="82" t="str">
        <f t="shared" si="11"/>
        <v/>
      </c>
      <c r="AO15" s="82" t="str">
        <f t="shared" si="12"/>
        <v/>
      </c>
      <c r="AP15" s="82" t="str">
        <f t="shared" si="13"/>
        <v/>
      </c>
      <c r="AQ15" s="82" t="str">
        <f t="shared" si="14"/>
        <v/>
      </c>
      <c r="AR15" s="82" t="str">
        <f t="shared" si="15"/>
        <v/>
      </c>
      <c r="AS15" s="82" t="str">
        <f t="shared" si="16"/>
        <v/>
      </c>
      <c r="AT15" s="82" t="str">
        <f t="shared" si="17"/>
        <v/>
      </c>
      <c r="AU15" s="82" t="str">
        <f t="shared" si="18"/>
        <v/>
      </c>
      <c r="AV15" s="82" t="str">
        <f t="shared" si="19"/>
        <v/>
      </c>
      <c r="AW15" s="82" t="str">
        <f t="shared" si="20"/>
        <v/>
      </c>
      <c r="AX15" s="82" t="str">
        <f t="shared" si="21"/>
        <v/>
      </c>
      <c r="AY15" s="3"/>
    </row>
    <row r="16" spans="1:51">
      <c r="A16" s="41">
        <v>961160</v>
      </c>
      <c r="B16" s="1">
        <v>45</v>
      </c>
      <c r="C16" s="29" t="str">
        <f t="shared" si="2"/>
        <v>961160-45</v>
      </c>
      <c r="D16" s="28" t="s">
        <v>26</v>
      </c>
      <c r="E16" s="30" t="s">
        <v>34</v>
      </c>
      <c r="F16" s="31">
        <v>42340</v>
      </c>
      <c r="G16" s="38">
        <v>24</v>
      </c>
      <c r="H16" s="31">
        <v>42350</v>
      </c>
      <c r="I16" s="38">
        <v>0</v>
      </c>
      <c r="J16" s="38"/>
      <c r="K16" s="40"/>
      <c r="L16" s="87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2"/>
      <c r="AF16" s="82" t="str">
        <f t="shared" si="3"/>
        <v/>
      </c>
      <c r="AG16" s="82" t="str">
        <f t="shared" si="4"/>
        <v/>
      </c>
      <c r="AH16" s="82" t="str">
        <f t="shared" si="5"/>
        <v/>
      </c>
      <c r="AI16" s="82" t="str">
        <f t="shared" si="6"/>
        <v/>
      </c>
      <c r="AJ16" s="82" t="str">
        <f t="shared" si="7"/>
        <v/>
      </c>
      <c r="AK16" s="82" t="str">
        <f t="shared" si="8"/>
        <v/>
      </c>
      <c r="AL16" s="82" t="str">
        <f t="shared" si="9"/>
        <v/>
      </c>
      <c r="AM16" s="82" t="str">
        <f t="shared" si="10"/>
        <v/>
      </c>
      <c r="AN16" s="82" t="str">
        <f t="shared" si="11"/>
        <v/>
      </c>
      <c r="AO16" s="82" t="str">
        <f t="shared" si="12"/>
        <v/>
      </c>
      <c r="AP16" s="82" t="str">
        <f t="shared" si="13"/>
        <v/>
      </c>
      <c r="AQ16" s="82" t="str">
        <f t="shared" si="14"/>
        <v/>
      </c>
      <c r="AR16" s="82" t="str">
        <f t="shared" si="15"/>
        <v/>
      </c>
      <c r="AS16" s="82" t="str">
        <f t="shared" si="16"/>
        <v/>
      </c>
      <c r="AT16" s="82" t="str">
        <f t="shared" si="17"/>
        <v/>
      </c>
      <c r="AU16" s="82" t="str">
        <f t="shared" si="18"/>
        <v/>
      </c>
      <c r="AV16" s="82" t="str">
        <f t="shared" si="19"/>
        <v/>
      </c>
      <c r="AW16" s="82" t="str">
        <f t="shared" si="20"/>
        <v/>
      </c>
      <c r="AX16" s="82" t="str">
        <f t="shared" si="21"/>
        <v/>
      </c>
      <c r="AY16" s="3"/>
    </row>
    <row r="17" spans="1:51">
      <c r="A17" s="41">
        <v>961147</v>
      </c>
      <c r="B17" s="1">
        <v>51</v>
      </c>
      <c r="C17" s="29" t="str">
        <f t="shared" si="2"/>
        <v>961147-51</v>
      </c>
      <c r="D17" s="28" t="s">
        <v>26</v>
      </c>
      <c r="E17" s="30" t="s">
        <v>51</v>
      </c>
      <c r="F17" s="31">
        <v>42340</v>
      </c>
      <c r="G17" s="38">
        <v>25.2</v>
      </c>
      <c r="H17" s="31">
        <v>42350</v>
      </c>
      <c r="I17" s="38">
        <v>1302</v>
      </c>
      <c r="J17" s="38"/>
      <c r="K17" s="40"/>
      <c r="L17" s="87">
        <v>1302</v>
      </c>
      <c r="M17" s="93">
        <v>1101</v>
      </c>
      <c r="N17" s="93">
        <v>998</v>
      </c>
      <c r="O17" s="93">
        <v>865</v>
      </c>
      <c r="P17" s="93">
        <v>720</v>
      </c>
      <c r="Q17" s="93">
        <v>509</v>
      </c>
      <c r="R17" s="93">
        <v>418</v>
      </c>
      <c r="S17" s="93">
        <v>269</v>
      </c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2"/>
      <c r="AF17" s="82">
        <f t="shared" si="3"/>
        <v>1</v>
      </c>
      <c r="AG17" s="82">
        <f t="shared" si="4"/>
        <v>0.84562211981566815</v>
      </c>
      <c r="AH17" s="82">
        <f t="shared" si="5"/>
        <v>0.76651305683563753</v>
      </c>
      <c r="AI17" s="82">
        <f t="shared" si="6"/>
        <v>0.66436251920122891</v>
      </c>
      <c r="AJ17" s="82">
        <f t="shared" si="7"/>
        <v>0.55299539170506917</v>
      </c>
      <c r="AK17" s="82">
        <f t="shared" si="8"/>
        <v>0.39093701996927804</v>
      </c>
      <c r="AL17" s="82">
        <f t="shared" si="9"/>
        <v>0.32104454685099848</v>
      </c>
      <c r="AM17" s="82">
        <f t="shared" si="10"/>
        <v>0.206605222734255</v>
      </c>
      <c r="AN17" s="82" t="str">
        <f t="shared" si="11"/>
        <v/>
      </c>
      <c r="AO17" s="82" t="str">
        <f t="shared" si="12"/>
        <v/>
      </c>
      <c r="AP17" s="82" t="str">
        <f t="shared" si="13"/>
        <v/>
      </c>
      <c r="AQ17" s="82" t="str">
        <f t="shared" si="14"/>
        <v/>
      </c>
      <c r="AR17" s="82" t="str">
        <f t="shared" si="15"/>
        <v/>
      </c>
      <c r="AS17" s="82" t="str">
        <f t="shared" si="16"/>
        <v/>
      </c>
      <c r="AT17" s="82" t="str">
        <f t="shared" si="17"/>
        <v/>
      </c>
      <c r="AU17" s="82" t="str">
        <f t="shared" si="18"/>
        <v/>
      </c>
      <c r="AV17" s="82" t="str">
        <f t="shared" si="19"/>
        <v/>
      </c>
      <c r="AW17" s="82" t="str">
        <f t="shared" si="20"/>
        <v/>
      </c>
      <c r="AX17" s="82" t="str">
        <f t="shared" si="21"/>
        <v/>
      </c>
      <c r="AY17" s="3"/>
    </row>
    <row r="18" spans="1:51">
      <c r="A18" s="41">
        <v>961147</v>
      </c>
      <c r="B18" s="1">
        <v>52</v>
      </c>
      <c r="C18" s="29" t="str">
        <f t="shared" si="2"/>
        <v>961147-52</v>
      </c>
      <c r="D18" s="28" t="s">
        <v>26</v>
      </c>
      <c r="E18" s="37" t="s">
        <v>47</v>
      </c>
      <c r="F18" s="31">
        <v>42340</v>
      </c>
      <c r="G18" s="38">
        <v>24.5</v>
      </c>
      <c r="H18" s="31">
        <v>42350</v>
      </c>
      <c r="I18" s="38">
        <v>204</v>
      </c>
      <c r="J18" s="38"/>
      <c r="K18" s="40"/>
      <c r="L18" s="87">
        <v>204</v>
      </c>
      <c r="M18" s="93">
        <v>172</v>
      </c>
      <c r="N18" s="93">
        <v>150</v>
      </c>
      <c r="O18" s="93">
        <v>127</v>
      </c>
      <c r="P18" s="93">
        <v>104</v>
      </c>
      <c r="Q18" s="93">
        <v>75</v>
      </c>
      <c r="R18" s="93">
        <v>53</v>
      </c>
      <c r="S18" s="93">
        <v>38.200000000000003</v>
      </c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2"/>
      <c r="AF18" s="82">
        <f t="shared" si="3"/>
        <v>1</v>
      </c>
      <c r="AG18" s="82">
        <f t="shared" si="4"/>
        <v>0.84313725490196079</v>
      </c>
      <c r="AH18" s="82">
        <f t="shared" si="5"/>
        <v>0.73529411764705888</v>
      </c>
      <c r="AI18" s="82">
        <f t="shared" si="6"/>
        <v>0.62254901960784315</v>
      </c>
      <c r="AJ18" s="82">
        <f t="shared" si="7"/>
        <v>0.50980392156862742</v>
      </c>
      <c r="AK18" s="82">
        <f t="shared" si="8"/>
        <v>0.36764705882352944</v>
      </c>
      <c r="AL18" s="82">
        <f t="shared" si="9"/>
        <v>0.25980392156862747</v>
      </c>
      <c r="AM18" s="82">
        <f t="shared" si="10"/>
        <v>0.18725490196078431</v>
      </c>
      <c r="AN18" s="82" t="str">
        <f t="shared" si="11"/>
        <v/>
      </c>
      <c r="AO18" s="82" t="str">
        <f t="shared" si="12"/>
        <v/>
      </c>
      <c r="AP18" s="82" t="str">
        <f t="shared" si="13"/>
        <v/>
      </c>
      <c r="AQ18" s="82" t="str">
        <f t="shared" si="14"/>
        <v/>
      </c>
      <c r="AR18" s="82" t="str">
        <f t="shared" si="15"/>
        <v/>
      </c>
      <c r="AS18" s="82" t="str">
        <f t="shared" si="16"/>
        <v/>
      </c>
      <c r="AT18" s="82" t="str">
        <f t="shared" si="17"/>
        <v/>
      </c>
      <c r="AU18" s="82" t="str">
        <f t="shared" si="18"/>
        <v/>
      </c>
      <c r="AV18" s="82" t="str">
        <f t="shared" si="19"/>
        <v/>
      </c>
      <c r="AW18" s="82" t="str">
        <f t="shared" si="20"/>
        <v/>
      </c>
      <c r="AX18" s="82" t="str">
        <f t="shared" si="21"/>
        <v/>
      </c>
      <c r="AY18" s="3"/>
    </row>
    <row r="19" spans="1:51">
      <c r="A19" s="41">
        <v>961147</v>
      </c>
      <c r="B19" s="1">
        <v>53</v>
      </c>
      <c r="C19" s="29" t="str">
        <f t="shared" si="2"/>
        <v>961147-53</v>
      </c>
      <c r="D19" s="28" t="s">
        <v>26</v>
      </c>
      <c r="E19" s="37" t="s">
        <v>51</v>
      </c>
      <c r="F19" s="31">
        <v>42340</v>
      </c>
      <c r="G19" s="38">
        <v>25.7</v>
      </c>
      <c r="H19" s="31">
        <v>42350</v>
      </c>
      <c r="I19" s="38">
        <v>1468</v>
      </c>
      <c r="J19" s="38"/>
      <c r="K19" s="40"/>
      <c r="L19" s="87">
        <v>1468</v>
      </c>
      <c r="M19" s="93">
        <v>1264</v>
      </c>
      <c r="N19" s="93">
        <v>1113</v>
      </c>
      <c r="O19" s="93">
        <v>941</v>
      </c>
      <c r="P19" s="93">
        <v>791</v>
      </c>
      <c r="Q19" s="93">
        <v>542</v>
      </c>
      <c r="R19" s="93">
        <v>433</v>
      </c>
      <c r="S19" s="93">
        <v>287</v>
      </c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2"/>
      <c r="AF19" s="82">
        <f t="shared" si="3"/>
        <v>1</v>
      </c>
      <c r="AG19" s="82">
        <f t="shared" si="4"/>
        <v>0.8610354223433242</v>
      </c>
      <c r="AH19" s="82">
        <f t="shared" si="5"/>
        <v>0.75817438692098094</v>
      </c>
      <c r="AI19" s="82">
        <f t="shared" si="6"/>
        <v>0.64100817438692093</v>
      </c>
      <c r="AJ19" s="82">
        <f t="shared" si="7"/>
        <v>0.53882833787465945</v>
      </c>
      <c r="AK19" s="82">
        <f t="shared" si="8"/>
        <v>0.36920980926430519</v>
      </c>
      <c r="AL19" s="82">
        <f t="shared" si="9"/>
        <v>0.29495912806539509</v>
      </c>
      <c r="AM19" s="82">
        <f t="shared" si="10"/>
        <v>0.19550408719346049</v>
      </c>
      <c r="AN19" s="82" t="str">
        <f t="shared" si="11"/>
        <v/>
      </c>
      <c r="AO19" s="82" t="str">
        <f t="shared" si="12"/>
        <v/>
      </c>
      <c r="AP19" s="82" t="str">
        <f t="shared" si="13"/>
        <v/>
      </c>
      <c r="AQ19" s="82" t="str">
        <f t="shared" si="14"/>
        <v/>
      </c>
      <c r="AR19" s="82" t="str">
        <f t="shared" si="15"/>
        <v/>
      </c>
      <c r="AS19" s="82" t="str">
        <f t="shared" si="16"/>
        <v/>
      </c>
      <c r="AT19" s="82" t="str">
        <f t="shared" si="17"/>
        <v/>
      </c>
      <c r="AU19" s="82" t="str">
        <f t="shared" si="18"/>
        <v/>
      </c>
      <c r="AV19" s="82" t="str">
        <f t="shared" si="19"/>
        <v/>
      </c>
      <c r="AW19" s="82" t="str">
        <f t="shared" si="20"/>
        <v/>
      </c>
      <c r="AX19" s="82" t="str">
        <f t="shared" si="21"/>
        <v/>
      </c>
      <c r="AY19" s="3"/>
    </row>
    <row r="20" spans="1:51">
      <c r="A20" s="41">
        <v>961147</v>
      </c>
      <c r="B20" s="1">
        <v>54</v>
      </c>
      <c r="C20" s="29" t="str">
        <f t="shared" si="2"/>
        <v>961147-54</v>
      </c>
      <c r="D20" s="28" t="s">
        <v>26</v>
      </c>
      <c r="E20" s="37" t="s">
        <v>48</v>
      </c>
      <c r="F20" s="31">
        <v>42340</v>
      </c>
      <c r="G20" s="38">
        <v>23.6</v>
      </c>
      <c r="H20" s="31">
        <v>42350</v>
      </c>
      <c r="I20" s="38">
        <v>254</v>
      </c>
      <c r="J20" s="38"/>
      <c r="K20" s="40"/>
      <c r="L20" s="87">
        <v>254</v>
      </c>
      <c r="M20" s="93">
        <v>233</v>
      </c>
      <c r="N20" s="93">
        <v>202</v>
      </c>
      <c r="O20" s="93">
        <v>184</v>
      </c>
      <c r="P20" s="93">
        <v>146</v>
      </c>
      <c r="Q20" s="93">
        <v>113</v>
      </c>
      <c r="R20" s="93">
        <v>86</v>
      </c>
      <c r="S20" s="93">
        <v>61.8</v>
      </c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2"/>
      <c r="AF20" s="82">
        <f t="shared" si="3"/>
        <v>1</v>
      </c>
      <c r="AG20" s="82">
        <f t="shared" si="4"/>
        <v>0.91732283464566933</v>
      </c>
      <c r="AH20" s="82">
        <f t="shared" si="5"/>
        <v>0.79527559055118113</v>
      </c>
      <c r="AI20" s="82">
        <f t="shared" si="6"/>
        <v>0.72440944881889768</v>
      </c>
      <c r="AJ20" s="82">
        <f t="shared" si="7"/>
        <v>0.57480314960629919</v>
      </c>
      <c r="AK20" s="82">
        <f t="shared" si="8"/>
        <v>0.44488188976377951</v>
      </c>
      <c r="AL20" s="82">
        <f t="shared" si="9"/>
        <v>0.33858267716535434</v>
      </c>
      <c r="AM20" s="82">
        <f t="shared" si="10"/>
        <v>0.24330708661417322</v>
      </c>
      <c r="AN20" s="82" t="str">
        <f t="shared" si="11"/>
        <v/>
      </c>
      <c r="AO20" s="82" t="str">
        <f t="shared" si="12"/>
        <v/>
      </c>
      <c r="AP20" s="82" t="str">
        <f t="shared" si="13"/>
        <v/>
      </c>
      <c r="AQ20" s="82" t="str">
        <f t="shared" si="14"/>
        <v/>
      </c>
      <c r="AR20" s="82" t="str">
        <f t="shared" si="15"/>
        <v/>
      </c>
      <c r="AS20" s="82" t="str">
        <f t="shared" si="16"/>
        <v/>
      </c>
      <c r="AT20" s="82" t="str">
        <f t="shared" si="17"/>
        <v/>
      </c>
      <c r="AU20" s="82" t="str">
        <f t="shared" si="18"/>
        <v/>
      </c>
      <c r="AV20" s="82" t="str">
        <f t="shared" si="19"/>
        <v/>
      </c>
      <c r="AW20" s="82" t="str">
        <f t="shared" si="20"/>
        <v/>
      </c>
      <c r="AX20" s="82" t="str">
        <f t="shared" si="21"/>
        <v/>
      </c>
      <c r="AY20" s="3"/>
    </row>
    <row r="21" spans="1:51">
      <c r="A21" s="41">
        <v>961147</v>
      </c>
      <c r="B21" s="1">
        <v>55</v>
      </c>
      <c r="C21" s="29" t="str">
        <f t="shared" si="2"/>
        <v>961147-55</v>
      </c>
      <c r="D21" s="28" t="s">
        <v>26</v>
      </c>
      <c r="E21" s="37" t="s">
        <v>52</v>
      </c>
      <c r="F21" s="31">
        <v>42340</v>
      </c>
      <c r="G21" s="38">
        <v>27.8</v>
      </c>
      <c r="H21" s="31">
        <v>42350</v>
      </c>
      <c r="I21" s="38">
        <v>1164</v>
      </c>
      <c r="J21" s="38"/>
      <c r="K21" s="40"/>
      <c r="L21" s="87">
        <v>1164</v>
      </c>
      <c r="M21" s="93">
        <v>1020</v>
      </c>
      <c r="N21" s="93">
        <v>812</v>
      </c>
      <c r="O21" s="93">
        <v>717</v>
      </c>
      <c r="P21" s="93">
        <v>569</v>
      </c>
      <c r="Q21" s="93">
        <v>418</v>
      </c>
      <c r="R21" s="93">
        <v>319</v>
      </c>
      <c r="S21" s="93">
        <v>206</v>
      </c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2"/>
      <c r="AF21" s="82">
        <f t="shared" si="3"/>
        <v>1</v>
      </c>
      <c r="AG21" s="82">
        <f t="shared" si="4"/>
        <v>0.87628865979381443</v>
      </c>
      <c r="AH21" s="82">
        <f t="shared" si="5"/>
        <v>0.69759450171821302</v>
      </c>
      <c r="AI21" s="82">
        <f t="shared" si="6"/>
        <v>0.615979381443299</v>
      </c>
      <c r="AJ21" s="82">
        <f t="shared" si="7"/>
        <v>0.4888316151202749</v>
      </c>
      <c r="AK21" s="82">
        <f t="shared" si="8"/>
        <v>0.35910652920962199</v>
      </c>
      <c r="AL21" s="82">
        <f t="shared" si="9"/>
        <v>0.27405498281786944</v>
      </c>
      <c r="AM21" s="82">
        <f t="shared" si="10"/>
        <v>0.17697594501718214</v>
      </c>
      <c r="AN21" s="82" t="str">
        <f t="shared" si="11"/>
        <v/>
      </c>
      <c r="AO21" s="82" t="str">
        <f t="shared" si="12"/>
        <v/>
      </c>
      <c r="AP21" s="82" t="str">
        <f t="shared" si="13"/>
        <v/>
      </c>
      <c r="AQ21" s="82" t="str">
        <f t="shared" si="14"/>
        <v/>
      </c>
      <c r="AR21" s="82" t="str">
        <f t="shared" si="15"/>
        <v/>
      </c>
      <c r="AS21" s="82" t="str">
        <f t="shared" si="16"/>
        <v/>
      </c>
      <c r="AT21" s="82" t="str">
        <f t="shared" si="17"/>
        <v/>
      </c>
      <c r="AU21" s="82" t="str">
        <f t="shared" si="18"/>
        <v/>
      </c>
      <c r="AV21" s="82" t="str">
        <f t="shared" si="19"/>
        <v/>
      </c>
      <c r="AW21" s="82" t="str">
        <f t="shared" si="20"/>
        <v/>
      </c>
      <c r="AX21" s="82" t="str">
        <f t="shared" si="21"/>
        <v/>
      </c>
      <c r="AY21" s="3"/>
    </row>
    <row r="22" spans="1:51">
      <c r="A22" s="41">
        <v>961146</v>
      </c>
      <c r="B22" s="1">
        <v>63</v>
      </c>
      <c r="C22" s="29" t="str">
        <f t="shared" si="2"/>
        <v>961146-63</v>
      </c>
      <c r="D22" s="28" t="s">
        <v>26</v>
      </c>
      <c r="E22" s="37" t="s">
        <v>47</v>
      </c>
      <c r="F22" s="31">
        <v>42340</v>
      </c>
      <c r="G22" s="38">
        <v>24.3</v>
      </c>
      <c r="H22" s="31">
        <v>42350</v>
      </c>
      <c r="I22" s="38">
        <v>294</v>
      </c>
      <c r="J22" s="38"/>
      <c r="K22" s="40"/>
      <c r="L22" s="87">
        <v>294</v>
      </c>
      <c r="M22" s="93">
        <v>257</v>
      </c>
      <c r="N22" s="93">
        <v>233</v>
      </c>
      <c r="O22" s="93">
        <v>205</v>
      </c>
      <c r="P22" s="93">
        <v>172</v>
      </c>
      <c r="Q22" s="93">
        <v>122</v>
      </c>
      <c r="R22" s="93">
        <v>95</v>
      </c>
      <c r="S22" s="93">
        <v>66.599999999999994</v>
      </c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2"/>
      <c r="AF22" s="82">
        <f t="shared" si="3"/>
        <v>1</v>
      </c>
      <c r="AG22" s="82">
        <f t="shared" si="4"/>
        <v>0.87414965986394555</v>
      </c>
      <c r="AH22" s="82">
        <f t="shared" si="5"/>
        <v>0.79251700680272108</v>
      </c>
      <c r="AI22" s="82">
        <f t="shared" si="6"/>
        <v>0.69727891156462585</v>
      </c>
      <c r="AJ22" s="82">
        <f t="shared" si="7"/>
        <v>0.58503401360544216</v>
      </c>
      <c r="AK22" s="82">
        <f t="shared" si="8"/>
        <v>0.41496598639455784</v>
      </c>
      <c r="AL22" s="82">
        <f t="shared" si="9"/>
        <v>0.3231292517006803</v>
      </c>
      <c r="AM22" s="82">
        <f t="shared" si="10"/>
        <v>0.22653061224489793</v>
      </c>
      <c r="AN22" s="82" t="str">
        <f t="shared" si="11"/>
        <v/>
      </c>
      <c r="AO22" s="82" t="str">
        <f t="shared" si="12"/>
        <v/>
      </c>
      <c r="AP22" s="82" t="str">
        <f t="shared" si="13"/>
        <v/>
      </c>
      <c r="AQ22" s="82" t="str">
        <f t="shared" si="14"/>
        <v/>
      </c>
      <c r="AR22" s="82" t="str">
        <f t="shared" si="15"/>
        <v/>
      </c>
      <c r="AS22" s="82" t="str">
        <f t="shared" si="16"/>
        <v/>
      </c>
      <c r="AT22" s="82" t="str">
        <f t="shared" si="17"/>
        <v/>
      </c>
      <c r="AU22" s="82" t="str">
        <f t="shared" si="18"/>
        <v/>
      </c>
      <c r="AV22" s="82" t="str">
        <f t="shared" si="19"/>
        <v/>
      </c>
      <c r="AW22" s="82" t="str">
        <f t="shared" si="20"/>
        <v/>
      </c>
      <c r="AX22" s="82" t="str">
        <f t="shared" si="21"/>
        <v/>
      </c>
      <c r="AY22" s="3"/>
    </row>
    <row r="23" spans="1:51">
      <c r="A23" s="41">
        <v>961146</v>
      </c>
      <c r="B23" s="1">
        <v>65</v>
      </c>
      <c r="C23" s="29" t="str">
        <f t="shared" si="2"/>
        <v>961146-65</v>
      </c>
      <c r="D23" s="28" t="s">
        <v>26</v>
      </c>
      <c r="E23" s="37" t="s">
        <v>51</v>
      </c>
      <c r="F23" s="31">
        <v>42340</v>
      </c>
      <c r="G23" s="38">
        <v>24.8</v>
      </c>
      <c r="H23" s="31">
        <v>42350</v>
      </c>
      <c r="I23" s="38">
        <v>1272</v>
      </c>
      <c r="J23" s="38"/>
      <c r="K23" s="40"/>
      <c r="L23" s="87">
        <v>1272</v>
      </c>
      <c r="M23" s="93">
        <v>1103</v>
      </c>
      <c r="N23" s="93">
        <v>963</v>
      </c>
      <c r="O23" s="93">
        <v>856</v>
      </c>
      <c r="P23" s="93">
        <v>702</v>
      </c>
      <c r="Q23" s="93">
        <v>482</v>
      </c>
      <c r="R23" s="93">
        <v>396</v>
      </c>
      <c r="S23" s="93">
        <v>255</v>
      </c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2"/>
      <c r="AF23" s="82">
        <f t="shared" si="3"/>
        <v>1</v>
      </c>
      <c r="AG23" s="82">
        <f t="shared" si="4"/>
        <v>0.86713836477987416</v>
      </c>
      <c r="AH23" s="82">
        <f t="shared" si="5"/>
        <v>0.75707547169811318</v>
      </c>
      <c r="AI23" s="82">
        <f t="shared" si="6"/>
        <v>0.67295597484276726</v>
      </c>
      <c r="AJ23" s="82">
        <f t="shared" si="7"/>
        <v>0.55188679245283023</v>
      </c>
      <c r="AK23" s="82">
        <f t="shared" si="8"/>
        <v>0.37893081761006292</v>
      </c>
      <c r="AL23" s="82">
        <f t="shared" si="9"/>
        <v>0.31132075471698112</v>
      </c>
      <c r="AM23" s="82">
        <f t="shared" si="10"/>
        <v>0.20047169811320756</v>
      </c>
      <c r="AN23" s="82" t="str">
        <f t="shared" si="11"/>
        <v/>
      </c>
      <c r="AO23" s="82" t="str">
        <f t="shared" si="12"/>
        <v/>
      </c>
      <c r="AP23" s="82" t="str">
        <f t="shared" si="13"/>
        <v/>
      </c>
      <c r="AQ23" s="82" t="str">
        <f t="shared" si="14"/>
        <v/>
      </c>
      <c r="AR23" s="82" t="str">
        <f t="shared" si="15"/>
        <v/>
      </c>
      <c r="AS23" s="82" t="str">
        <f t="shared" si="16"/>
        <v/>
      </c>
      <c r="AT23" s="82" t="str">
        <f t="shared" si="17"/>
        <v/>
      </c>
      <c r="AU23" s="82" t="str">
        <f t="shared" si="18"/>
        <v/>
      </c>
      <c r="AV23" s="82" t="str">
        <f t="shared" si="19"/>
        <v/>
      </c>
      <c r="AW23" s="82" t="str">
        <f t="shared" si="20"/>
        <v/>
      </c>
      <c r="AX23" s="82" t="str">
        <f t="shared" si="21"/>
        <v/>
      </c>
      <c r="AY23" s="3"/>
    </row>
    <row r="24" spans="1:51">
      <c r="A24" s="41">
        <v>961159</v>
      </c>
      <c r="B24" s="1">
        <v>71</v>
      </c>
      <c r="C24" s="29" t="str">
        <f t="shared" si="2"/>
        <v>961159-71</v>
      </c>
      <c r="D24" s="28" t="s">
        <v>26</v>
      </c>
      <c r="E24" s="37" t="s">
        <v>50</v>
      </c>
      <c r="F24" s="31">
        <v>42340</v>
      </c>
      <c r="G24" s="38">
        <v>26.4</v>
      </c>
      <c r="H24" s="31">
        <v>42350</v>
      </c>
      <c r="I24" s="38">
        <v>1298</v>
      </c>
      <c r="J24" s="38"/>
      <c r="K24" s="40"/>
      <c r="L24" s="87">
        <v>1298</v>
      </c>
      <c r="M24" s="93">
        <v>1113</v>
      </c>
      <c r="N24" s="93">
        <v>968</v>
      </c>
      <c r="O24" s="93">
        <v>852</v>
      </c>
      <c r="P24" s="93">
        <v>720</v>
      </c>
      <c r="Q24" s="93">
        <v>506</v>
      </c>
      <c r="R24" s="93">
        <v>410</v>
      </c>
      <c r="S24" s="93">
        <v>276</v>
      </c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2"/>
      <c r="AF24" s="82">
        <f t="shared" si="3"/>
        <v>1</v>
      </c>
      <c r="AG24" s="82">
        <f t="shared" si="4"/>
        <v>0.85747303543913711</v>
      </c>
      <c r="AH24" s="82">
        <f t="shared" si="5"/>
        <v>0.74576271186440679</v>
      </c>
      <c r="AI24" s="82">
        <f t="shared" si="6"/>
        <v>0.65639445300462251</v>
      </c>
      <c r="AJ24" s="82">
        <f t="shared" si="7"/>
        <v>0.55469953775038516</v>
      </c>
      <c r="AK24" s="82">
        <f t="shared" si="8"/>
        <v>0.38983050847457629</v>
      </c>
      <c r="AL24" s="82">
        <f t="shared" si="9"/>
        <v>0.31587057010785824</v>
      </c>
      <c r="AM24" s="82">
        <f t="shared" si="10"/>
        <v>0.21263482280431434</v>
      </c>
      <c r="AN24" s="82" t="str">
        <f t="shared" si="11"/>
        <v/>
      </c>
      <c r="AO24" s="82" t="str">
        <f t="shared" si="12"/>
        <v/>
      </c>
      <c r="AP24" s="82" t="str">
        <f t="shared" si="13"/>
        <v/>
      </c>
      <c r="AQ24" s="82" t="str">
        <f t="shared" si="14"/>
        <v/>
      </c>
      <c r="AR24" s="82" t="str">
        <f t="shared" si="15"/>
        <v/>
      </c>
      <c r="AS24" s="82" t="str">
        <f t="shared" si="16"/>
        <v/>
      </c>
      <c r="AT24" s="82" t="str">
        <f t="shared" si="17"/>
        <v/>
      </c>
      <c r="AU24" s="82" t="str">
        <f t="shared" si="18"/>
        <v/>
      </c>
      <c r="AV24" s="82" t="str">
        <f t="shared" si="19"/>
        <v/>
      </c>
      <c r="AW24" s="82" t="str">
        <f t="shared" si="20"/>
        <v/>
      </c>
      <c r="AX24" s="82" t="str">
        <f t="shared" si="21"/>
        <v/>
      </c>
      <c r="AY24" s="3"/>
    </row>
    <row r="25" spans="1:51">
      <c r="A25" s="41">
        <v>961159</v>
      </c>
      <c r="B25" s="1">
        <v>72</v>
      </c>
      <c r="C25" s="29" t="str">
        <f t="shared" si="2"/>
        <v>961159-72</v>
      </c>
      <c r="D25" s="28" t="s">
        <v>26</v>
      </c>
      <c r="E25" s="37" t="s">
        <v>35</v>
      </c>
      <c r="F25" s="31">
        <v>42340</v>
      </c>
      <c r="G25" s="38">
        <v>22.5</v>
      </c>
      <c r="H25" s="31">
        <v>42350</v>
      </c>
      <c r="I25" s="38">
        <v>0</v>
      </c>
      <c r="J25" s="38"/>
      <c r="K25" s="40"/>
      <c r="L25" s="87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2"/>
      <c r="AF25" s="82" t="str">
        <f t="shared" si="3"/>
        <v/>
      </c>
      <c r="AG25" s="82" t="str">
        <f t="shared" si="4"/>
        <v/>
      </c>
      <c r="AH25" s="82" t="str">
        <f t="shared" si="5"/>
        <v/>
      </c>
      <c r="AI25" s="82" t="str">
        <f t="shared" si="6"/>
        <v/>
      </c>
      <c r="AJ25" s="82" t="str">
        <f t="shared" si="7"/>
        <v/>
      </c>
      <c r="AK25" s="82" t="str">
        <f t="shared" si="8"/>
        <v/>
      </c>
      <c r="AL25" s="82" t="str">
        <f t="shared" si="9"/>
        <v/>
      </c>
      <c r="AM25" s="82" t="str">
        <f t="shared" si="10"/>
        <v/>
      </c>
      <c r="AN25" s="82" t="str">
        <f t="shared" si="11"/>
        <v/>
      </c>
      <c r="AO25" s="82" t="str">
        <f t="shared" si="12"/>
        <v/>
      </c>
      <c r="AP25" s="82" t="str">
        <f t="shared" si="13"/>
        <v/>
      </c>
      <c r="AQ25" s="82" t="str">
        <f t="shared" si="14"/>
        <v/>
      </c>
      <c r="AR25" s="82" t="str">
        <f t="shared" si="15"/>
        <v/>
      </c>
      <c r="AS25" s="82" t="str">
        <f t="shared" si="16"/>
        <v/>
      </c>
      <c r="AT25" s="82" t="str">
        <f t="shared" si="17"/>
        <v/>
      </c>
      <c r="AU25" s="82" t="str">
        <f t="shared" si="18"/>
        <v/>
      </c>
      <c r="AV25" s="82" t="str">
        <f t="shared" si="19"/>
        <v/>
      </c>
      <c r="AW25" s="82" t="str">
        <f t="shared" si="20"/>
        <v/>
      </c>
      <c r="AX25" s="82" t="str">
        <f t="shared" si="21"/>
        <v/>
      </c>
      <c r="AY25" s="3"/>
    </row>
    <row r="26" spans="1:51">
      <c r="A26" s="41">
        <v>961159</v>
      </c>
      <c r="B26" s="1">
        <v>73</v>
      </c>
      <c r="C26" s="29" t="str">
        <f t="shared" ref="C26:C41" si="22">CONCATENATE(A26,"-",B26)</f>
        <v>961159-73</v>
      </c>
      <c r="D26" s="28" t="s">
        <v>26</v>
      </c>
      <c r="E26" s="37" t="s">
        <v>51</v>
      </c>
      <c r="F26" s="31">
        <v>42340</v>
      </c>
      <c r="G26" s="38">
        <v>21.7</v>
      </c>
      <c r="H26" s="31">
        <v>42350</v>
      </c>
      <c r="I26" s="38">
        <v>853</v>
      </c>
      <c r="J26" s="38"/>
      <c r="K26" s="40"/>
      <c r="L26" s="87">
        <v>853</v>
      </c>
      <c r="M26" s="93">
        <v>738</v>
      </c>
      <c r="N26" s="93">
        <v>652</v>
      </c>
      <c r="O26" s="93">
        <v>558</v>
      </c>
      <c r="P26" s="93">
        <v>454</v>
      </c>
      <c r="Q26" s="93">
        <v>321</v>
      </c>
      <c r="R26" s="93">
        <v>259</v>
      </c>
      <c r="S26" s="93">
        <v>166</v>
      </c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2"/>
      <c r="AF26" s="82">
        <f t="shared" ref="AF26:AF41" si="23">IF(OR(ISERROR(L26/$I26)=TRUE,ISBLANK(L26)=TRUE),"",L26/$I26)</f>
        <v>1</v>
      </c>
      <c r="AG26" s="82">
        <f t="shared" ref="AG26:AG41" si="24">IF(OR(ISERROR(M26/$I26)=TRUE,ISBLANK(M26)=TRUE),"",M26/$I26)</f>
        <v>0.86518171160609614</v>
      </c>
      <c r="AH26" s="82">
        <f t="shared" ref="AH26:AH41" si="25">IF(OR(ISERROR(N26/$I26)=TRUE,ISBLANK(N26)=TRUE),"",N26/$I26)</f>
        <v>0.76436107854630719</v>
      </c>
      <c r="AI26" s="82">
        <f t="shared" ref="AI26:AI41" si="26">IF(OR(ISERROR(O26/$I26)=TRUE,ISBLANK(O26)=TRUE),"",O26/$I26)</f>
        <v>0.65416178194607266</v>
      </c>
      <c r="AJ26" s="82">
        <f t="shared" ref="AJ26:AJ41" si="27">IF(OR(ISERROR(P26/$I26)=TRUE,ISBLANK(P26)=TRUE),"",P26/$I26)</f>
        <v>0.53223915592028137</v>
      </c>
      <c r="AK26" s="82">
        <f t="shared" ref="AK26:AK41" si="28">IF(OR(ISERROR(Q26/$I26)=TRUE,ISBLANK(Q26)=TRUE),"",Q26/$I26)</f>
        <v>0.37631887456037516</v>
      </c>
      <c r="AL26" s="82">
        <f t="shared" ref="AL26:AL41" si="29">IF(OR(ISERROR(R26/$I26)=TRUE,ISBLANK(R26)=TRUE),"",R26/$I26)</f>
        <v>0.30363423212192264</v>
      </c>
      <c r="AM26" s="82">
        <f t="shared" ref="AM26:AM41" si="30">IF(OR(ISERROR(S26/$I26)=TRUE,ISBLANK(S26)=TRUE),"",S26/$I26)</f>
        <v>0.19460726846424384</v>
      </c>
      <c r="AN26" s="82" t="str">
        <f t="shared" ref="AN26:AN41" si="31">IF(OR(ISERROR(T26/$I26)=TRUE,ISBLANK(T26)=TRUE),"",T26/$I26)</f>
        <v/>
      </c>
      <c r="AO26" s="82" t="str">
        <f t="shared" ref="AO26:AO41" si="32">IF(OR(ISERROR(U26/$I26)=TRUE,ISBLANK(U26)=TRUE),"",U26/$I26)</f>
        <v/>
      </c>
      <c r="AP26" s="82" t="str">
        <f t="shared" ref="AP26:AP41" si="33">IF(OR(ISERROR(V26/$I26)=TRUE,ISBLANK(V26)=TRUE),"",V26/$I26)</f>
        <v/>
      </c>
      <c r="AQ26" s="82" t="str">
        <f t="shared" ref="AQ26:AQ41" si="34">IF(OR(ISERROR(W26/$I26)=TRUE,ISBLANK(W26)=TRUE),"",W26/$I26)</f>
        <v/>
      </c>
      <c r="AR26" s="82" t="str">
        <f t="shared" ref="AR26:AR41" si="35">IF(OR(ISERROR(X26/$I26)=TRUE,ISBLANK(X26)=TRUE),"",X26/$I26)</f>
        <v/>
      </c>
      <c r="AS26" s="82" t="str">
        <f t="shared" ref="AS26:AS41" si="36">IF(OR(ISERROR(Y26/$I26)=TRUE,ISBLANK(Y26)=TRUE),"",Y26/$I26)</f>
        <v/>
      </c>
      <c r="AT26" s="82" t="str">
        <f t="shared" ref="AT26:AT41" si="37">IF(OR(ISERROR(Z26/$I26)=TRUE,ISBLANK(Z26)=TRUE),"",Z26/$I26)</f>
        <v/>
      </c>
      <c r="AU26" s="82" t="str">
        <f t="shared" ref="AU26:AU41" si="38">IF(OR(ISERROR(AA26/$I26)=TRUE,ISBLANK(AA26)=TRUE),"",AA26/$I26)</f>
        <v/>
      </c>
      <c r="AV26" s="82" t="str">
        <f t="shared" ref="AV26:AV41" si="39">IF(OR(ISERROR(AB26/$I26)=TRUE,ISBLANK(AB26)=TRUE),"",AB26/$I26)</f>
        <v/>
      </c>
      <c r="AW26" s="82" t="str">
        <f t="shared" ref="AW26:AW41" si="40">IF(OR(ISERROR(AC26/$I26)=TRUE,ISBLANK(AC26)=TRUE),"",AC26/$I26)</f>
        <v/>
      </c>
      <c r="AX26" s="82" t="str">
        <f t="shared" ref="AX26:AX41" si="41">IF(OR(ISERROR(AD26/$I26)=TRUE,ISBLANK(AD26)=TRUE),"",AD26/$I26)</f>
        <v/>
      </c>
      <c r="AY26" s="3"/>
    </row>
    <row r="27" spans="1:51">
      <c r="A27" s="41">
        <v>961159</v>
      </c>
      <c r="B27" s="1">
        <v>74</v>
      </c>
      <c r="C27" s="29" t="str">
        <f t="shared" si="22"/>
        <v>961159-74</v>
      </c>
      <c r="D27" s="28" t="s">
        <v>26</v>
      </c>
      <c r="E27" s="37" t="s">
        <v>50</v>
      </c>
      <c r="F27" s="31">
        <v>42340</v>
      </c>
      <c r="G27" s="38">
        <v>19.5</v>
      </c>
      <c r="H27" s="31">
        <v>42350</v>
      </c>
      <c r="I27" s="38">
        <v>635</v>
      </c>
      <c r="J27" s="38"/>
      <c r="K27" s="40"/>
      <c r="L27" s="87">
        <v>635</v>
      </c>
      <c r="M27" s="93">
        <v>516</v>
      </c>
      <c r="N27" s="93">
        <v>472</v>
      </c>
      <c r="O27" s="93">
        <v>407</v>
      </c>
      <c r="P27" s="93">
        <v>317</v>
      </c>
      <c r="Q27" s="93">
        <v>241</v>
      </c>
      <c r="R27" s="93">
        <v>187</v>
      </c>
      <c r="S27" s="93">
        <v>123.1</v>
      </c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2"/>
      <c r="AF27" s="82">
        <f t="shared" si="23"/>
        <v>1</v>
      </c>
      <c r="AG27" s="82">
        <f t="shared" si="24"/>
        <v>0.81259842519685044</v>
      </c>
      <c r="AH27" s="82">
        <f t="shared" si="25"/>
        <v>0.74330708661417322</v>
      </c>
      <c r="AI27" s="82">
        <f t="shared" si="26"/>
        <v>0.64094488188976373</v>
      </c>
      <c r="AJ27" s="82">
        <f t="shared" si="27"/>
        <v>0.49921259842519683</v>
      </c>
      <c r="AK27" s="82">
        <f t="shared" si="28"/>
        <v>0.37952755905511809</v>
      </c>
      <c r="AL27" s="82">
        <f t="shared" si="29"/>
        <v>0.29448818897637796</v>
      </c>
      <c r="AM27" s="82">
        <f t="shared" si="30"/>
        <v>0.19385826771653542</v>
      </c>
      <c r="AN27" s="82" t="str">
        <f t="shared" si="31"/>
        <v/>
      </c>
      <c r="AO27" s="82" t="str">
        <f t="shared" si="32"/>
        <v/>
      </c>
      <c r="AP27" s="82" t="str">
        <f t="shared" si="33"/>
        <v/>
      </c>
      <c r="AQ27" s="82" t="str">
        <f t="shared" si="34"/>
        <v/>
      </c>
      <c r="AR27" s="82" t="str">
        <f t="shared" si="35"/>
        <v/>
      </c>
      <c r="AS27" s="82" t="str">
        <f t="shared" si="36"/>
        <v/>
      </c>
      <c r="AT27" s="82" t="str">
        <f t="shared" si="37"/>
        <v/>
      </c>
      <c r="AU27" s="82" t="str">
        <f t="shared" si="38"/>
        <v/>
      </c>
      <c r="AV27" s="82" t="str">
        <f t="shared" si="39"/>
        <v/>
      </c>
      <c r="AW27" s="82" t="str">
        <f t="shared" si="40"/>
        <v/>
      </c>
      <c r="AX27" s="82" t="str">
        <f t="shared" si="41"/>
        <v/>
      </c>
      <c r="AY27" s="3"/>
    </row>
    <row r="28" spans="1:51">
      <c r="A28" s="41">
        <v>961161</v>
      </c>
      <c r="B28" s="1">
        <v>81</v>
      </c>
      <c r="C28" s="29" t="str">
        <f t="shared" si="22"/>
        <v>961161-81</v>
      </c>
      <c r="D28" s="28" t="s">
        <v>26</v>
      </c>
      <c r="E28" s="37" t="s">
        <v>52</v>
      </c>
      <c r="F28" s="31">
        <v>42340</v>
      </c>
      <c r="G28" s="38">
        <v>21.1</v>
      </c>
      <c r="H28" s="31">
        <v>42350</v>
      </c>
      <c r="I28" s="38">
        <v>1583</v>
      </c>
      <c r="J28" s="38"/>
      <c r="K28" s="40"/>
      <c r="L28" s="87">
        <v>1583</v>
      </c>
      <c r="M28" s="93">
        <v>1322</v>
      </c>
      <c r="N28" s="93">
        <v>1132</v>
      </c>
      <c r="O28" s="93">
        <v>977</v>
      </c>
      <c r="P28" s="93">
        <v>812</v>
      </c>
      <c r="Q28" s="93">
        <v>558</v>
      </c>
      <c r="R28" s="93">
        <v>447</v>
      </c>
      <c r="S28" s="93">
        <v>286</v>
      </c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2"/>
      <c r="AF28" s="82">
        <f t="shared" si="23"/>
        <v>1</v>
      </c>
      <c r="AG28" s="82">
        <f t="shared" si="24"/>
        <v>0.8351231838281743</v>
      </c>
      <c r="AH28" s="82">
        <f t="shared" si="25"/>
        <v>0.71509791535060008</v>
      </c>
      <c r="AI28" s="82">
        <f t="shared" si="26"/>
        <v>0.61718256475047384</v>
      </c>
      <c r="AJ28" s="82">
        <f t="shared" si="27"/>
        <v>0.51295009475679088</v>
      </c>
      <c r="AK28" s="82">
        <f t="shared" si="28"/>
        <v>0.35249526216045485</v>
      </c>
      <c r="AL28" s="82">
        <f t="shared" si="29"/>
        <v>0.28237523689197724</v>
      </c>
      <c r="AM28" s="82">
        <f t="shared" si="30"/>
        <v>0.18066961465571699</v>
      </c>
      <c r="AN28" s="82" t="str">
        <f t="shared" si="31"/>
        <v/>
      </c>
      <c r="AO28" s="82" t="str">
        <f t="shared" si="32"/>
        <v/>
      </c>
      <c r="AP28" s="82" t="str">
        <f t="shared" si="33"/>
        <v/>
      </c>
      <c r="AQ28" s="82" t="str">
        <f t="shared" si="34"/>
        <v/>
      </c>
      <c r="AR28" s="82" t="str">
        <f t="shared" si="35"/>
        <v/>
      </c>
      <c r="AS28" s="82" t="str">
        <f t="shared" si="36"/>
        <v/>
      </c>
      <c r="AT28" s="82" t="str">
        <f t="shared" si="37"/>
        <v/>
      </c>
      <c r="AU28" s="82" t="str">
        <f t="shared" si="38"/>
        <v/>
      </c>
      <c r="AV28" s="82" t="str">
        <f t="shared" si="39"/>
        <v/>
      </c>
      <c r="AW28" s="82" t="str">
        <f t="shared" si="40"/>
        <v/>
      </c>
      <c r="AX28" s="82" t="str">
        <f t="shared" si="41"/>
        <v/>
      </c>
      <c r="AY28" s="3"/>
    </row>
    <row r="29" spans="1:51">
      <c r="A29" s="41">
        <v>961161</v>
      </c>
      <c r="B29" s="1">
        <v>82</v>
      </c>
      <c r="C29" s="29" t="str">
        <f t="shared" si="22"/>
        <v>961161-82</v>
      </c>
      <c r="D29" s="28" t="s">
        <v>26</v>
      </c>
      <c r="E29" s="37" t="s">
        <v>34</v>
      </c>
      <c r="F29" s="31">
        <v>42340</v>
      </c>
      <c r="G29" s="38">
        <v>18.7</v>
      </c>
      <c r="H29" s="31">
        <v>42350</v>
      </c>
      <c r="I29" s="38">
        <v>0</v>
      </c>
      <c r="J29" s="38"/>
      <c r="K29" s="40"/>
      <c r="L29" s="87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  <c r="R29" s="93">
        <v>0</v>
      </c>
      <c r="S29" s="93">
        <v>0</v>
      </c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2"/>
      <c r="AF29" s="82" t="str">
        <f t="shared" si="23"/>
        <v/>
      </c>
      <c r="AG29" s="82" t="str">
        <f t="shared" si="24"/>
        <v/>
      </c>
      <c r="AH29" s="82" t="str">
        <f t="shared" si="25"/>
        <v/>
      </c>
      <c r="AI29" s="82" t="str">
        <f t="shared" si="26"/>
        <v/>
      </c>
      <c r="AJ29" s="82" t="str">
        <f t="shared" si="27"/>
        <v/>
      </c>
      <c r="AK29" s="82" t="str">
        <f t="shared" si="28"/>
        <v/>
      </c>
      <c r="AL29" s="82" t="str">
        <f t="shared" si="29"/>
        <v/>
      </c>
      <c r="AM29" s="82" t="str">
        <f t="shared" si="30"/>
        <v/>
      </c>
      <c r="AN29" s="82" t="str">
        <f t="shared" si="31"/>
        <v/>
      </c>
      <c r="AO29" s="82" t="str">
        <f t="shared" si="32"/>
        <v/>
      </c>
      <c r="AP29" s="82" t="str">
        <f t="shared" si="33"/>
        <v/>
      </c>
      <c r="AQ29" s="82" t="str">
        <f t="shared" si="34"/>
        <v/>
      </c>
      <c r="AR29" s="82" t="str">
        <f t="shared" si="35"/>
        <v/>
      </c>
      <c r="AS29" s="82" t="str">
        <f t="shared" si="36"/>
        <v/>
      </c>
      <c r="AT29" s="82" t="str">
        <f t="shared" si="37"/>
        <v/>
      </c>
      <c r="AU29" s="82" t="str">
        <f t="shared" si="38"/>
        <v/>
      </c>
      <c r="AV29" s="82" t="str">
        <f t="shared" si="39"/>
        <v/>
      </c>
      <c r="AW29" s="82" t="str">
        <f t="shared" si="40"/>
        <v/>
      </c>
      <c r="AX29" s="82" t="str">
        <f t="shared" si="41"/>
        <v/>
      </c>
      <c r="AY29" s="3"/>
    </row>
    <row r="30" spans="1:51">
      <c r="A30" s="41">
        <v>961161</v>
      </c>
      <c r="B30" s="1">
        <v>83</v>
      </c>
      <c r="C30" s="29" t="str">
        <f t="shared" si="22"/>
        <v>961161-83</v>
      </c>
      <c r="D30" s="28" t="s">
        <v>26</v>
      </c>
      <c r="E30" s="37" t="s">
        <v>49</v>
      </c>
      <c r="F30" s="31">
        <v>42340</v>
      </c>
      <c r="G30" s="38">
        <v>22.2</v>
      </c>
      <c r="H30" s="31">
        <v>42350</v>
      </c>
      <c r="I30" s="38">
        <v>911</v>
      </c>
      <c r="J30" s="38"/>
      <c r="K30" s="40"/>
      <c r="L30" s="87">
        <v>911</v>
      </c>
      <c r="M30" s="93">
        <v>753</v>
      </c>
      <c r="N30" s="93">
        <v>662</v>
      </c>
      <c r="O30" s="93">
        <v>583</v>
      </c>
      <c r="P30" s="93">
        <v>481</v>
      </c>
      <c r="Q30" s="93">
        <v>349</v>
      </c>
      <c r="R30" s="93">
        <v>278</v>
      </c>
      <c r="S30" s="93">
        <v>187.3</v>
      </c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2"/>
      <c r="AF30" s="82">
        <f t="shared" si="23"/>
        <v>1</v>
      </c>
      <c r="AG30" s="82">
        <f t="shared" si="24"/>
        <v>0.82656421514818879</v>
      </c>
      <c r="AH30" s="82">
        <f t="shared" si="25"/>
        <v>0.72667398463227217</v>
      </c>
      <c r="AI30" s="82">
        <f t="shared" si="26"/>
        <v>0.63995609220636662</v>
      </c>
      <c r="AJ30" s="82">
        <f t="shared" si="27"/>
        <v>0.52799121844127328</v>
      </c>
      <c r="AK30" s="82">
        <f t="shared" si="28"/>
        <v>0.38309549945115257</v>
      </c>
      <c r="AL30" s="82">
        <f t="shared" si="29"/>
        <v>0.30515916575192098</v>
      </c>
      <c r="AM30" s="82">
        <f t="shared" si="30"/>
        <v>0.20559824368825469</v>
      </c>
      <c r="AN30" s="82" t="str">
        <f t="shared" si="31"/>
        <v/>
      </c>
      <c r="AO30" s="82" t="str">
        <f t="shared" si="32"/>
        <v/>
      </c>
      <c r="AP30" s="82" t="str">
        <f t="shared" si="33"/>
        <v/>
      </c>
      <c r="AQ30" s="82" t="str">
        <f t="shared" si="34"/>
        <v/>
      </c>
      <c r="AR30" s="82" t="str">
        <f t="shared" si="35"/>
        <v/>
      </c>
      <c r="AS30" s="82" t="str">
        <f t="shared" si="36"/>
        <v/>
      </c>
      <c r="AT30" s="82" t="str">
        <f t="shared" si="37"/>
        <v/>
      </c>
      <c r="AU30" s="82" t="str">
        <f t="shared" si="38"/>
        <v/>
      </c>
      <c r="AV30" s="82" t="str">
        <f t="shared" si="39"/>
        <v/>
      </c>
      <c r="AW30" s="82" t="str">
        <f t="shared" si="40"/>
        <v/>
      </c>
      <c r="AX30" s="82" t="str">
        <f t="shared" si="41"/>
        <v/>
      </c>
      <c r="AY30" s="3"/>
    </row>
    <row r="31" spans="1:51">
      <c r="A31" s="41">
        <v>961161</v>
      </c>
      <c r="B31" s="1">
        <v>84</v>
      </c>
      <c r="C31" s="29" t="str">
        <f t="shared" si="22"/>
        <v>961161-84</v>
      </c>
      <c r="D31" s="28" t="s">
        <v>26</v>
      </c>
      <c r="E31" s="37" t="s">
        <v>34</v>
      </c>
      <c r="F31" s="31">
        <v>42340</v>
      </c>
      <c r="G31" s="38">
        <v>25.3</v>
      </c>
      <c r="H31" s="31">
        <v>42350</v>
      </c>
      <c r="I31" s="38">
        <v>0</v>
      </c>
      <c r="J31" s="38"/>
      <c r="K31" s="40"/>
      <c r="L31" s="87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  <c r="R31" s="93">
        <v>0</v>
      </c>
      <c r="S31" s="93">
        <v>0</v>
      </c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2"/>
      <c r="AF31" s="82" t="str">
        <f t="shared" si="23"/>
        <v/>
      </c>
      <c r="AG31" s="82" t="str">
        <f t="shared" si="24"/>
        <v/>
      </c>
      <c r="AH31" s="82" t="str">
        <f t="shared" si="25"/>
        <v/>
      </c>
      <c r="AI31" s="82" t="str">
        <f t="shared" si="26"/>
        <v/>
      </c>
      <c r="AJ31" s="82" t="str">
        <f t="shared" si="27"/>
        <v/>
      </c>
      <c r="AK31" s="82" t="str">
        <f t="shared" si="28"/>
        <v/>
      </c>
      <c r="AL31" s="82" t="str">
        <f t="shared" si="29"/>
        <v/>
      </c>
      <c r="AM31" s="82" t="str">
        <f t="shared" si="30"/>
        <v/>
      </c>
      <c r="AN31" s="82" t="str">
        <f t="shared" si="31"/>
        <v/>
      </c>
      <c r="AO31" s="82" t="str">
        <f t="shared" si="32"/>
        <v/>
      </c>
      <c r="AP31" s="82" t="str">
        <f t="shared" si="33"/>
        <v/>
      </c>
      <c r="AQ31" s="82" t="str">
        <f t="shared" si="34"/>
        <v/>
      </c>
      <c r="AR31" s="82" t="str">
        <f t="shared" si="35"/>
        <v/>
      </c>
      <c r="AS31" s="82" t="str">
        <f t="shared" si="36"/>
        <v/>
      </c>
      <c r="AT31" s="82" t="str">
        <f t="shared" si="37"/>
        <v/>
      </c>
      <c r="AU31" s="82" t="str">
        <f t="shared" si="38"/>
        <v/>
      </c>
      <c r="AV31" s="82" t="str">
        <f t="shared" si="39"/>
        <v/>
      </c>
      <c r="AW31" s="82" t="str">
        <f t="shared" si="40"/>
        <v/>
      </c>
      <c r="AX31" s="82" t="str">
        <f t="shared" si="41"/>
        <v/>
      </c>
      <c r="AY31" s="3"/>
    </row>
    <row r="32" spans="1:51">
      <c r="A32" s="41">
        <v>961161</v>
      </c>
      <c r="B32" s="1">
        <v>85</v>
      </c>
      <c r="C32" s="29" t="str">
        <f t="shared" si="22"/>
        <v>961161-85</v>
      </c>
      <c r="D32" s="28" t="s">
        <v>26</v>
      </c>
      <c r="E32" s="30" t="s">
        <v>52</v>
      </c>
      <c r="F32" s="31">
        <v>42340</v>
      </c>
      <c r="G32" s="38">
        <v>22.3</v>
      </c>
      <c r="H32" s="31">
        <v>42350</v>
      </c>
      <c r="I32" s="38">
        <v>1261</v>
      </c>
      <c r="J32" s="38"/>
      <c r="K32" s="40"/>
      <c r="L32" s="87">
        <v>1261</v>
      </c>
      <c r="M32" s="93">
        <v>1041</v>
      </c>
      <c r="N32" s="93">
        <v>882</v>
      </c>
      <c r="O32" s="93">
        <v>772</v>
      </c>
      <c r="P32" s="93">
        <v>633</v>
      </c>
      <c r="Q32" s="93">
        <v>432</v>
      </c>
      <c r="R32" s="93">
        <v>343</v>
      </c>
      <c r="S32" s="93">
        <v>216</v>
      </c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2"/>
      <c r="AF32" s="82">
        <f t="shared" si="23"/>
        <v>1</v>
      </c>
      <c r="AG32" s="82">
        <f t="shared" si="24"/>
        <v>0.82553528945281518</v>
      </c>
      <c r="AH32" s="82">
        <f t="shared" si="25"/>
        <v>0.69944488501189528</v>
      </c>
      <c r="AI32" s="82">
        <f t="shared" si="26"/>
        <v>0.61221252973830298</v>
      </c>
      <c r="AJ32" s="82">
        <f t="shared" si="27"/>
        <v>0.50198255352894527</v>
      </c>
      <c r="AK32" s="82">
        <f t="shared" si="28"/>
        <v>0.34258524980174465</v>
      </c>
      <c r="AL32" s="82">
        <f t="shared" si="29"/>
        <v>0.2720063441712926</v>
      </c>
      <c r="AM32" s="82">
        <f t="shared" si="30"/>
        <v>0.17129262490087233</v>
      </c>
      <c r="AN32" s="82" t="str">
        <f t="shared" si="31"/>
        <v/>
      </c>
      <c r="AO32" s="82" t="str">
        <f t="shared" si="32"/>
        <v/>
      </c>
      <c r="AP32" s="82" t="str">
        <f t="shared" si="33"/>
        <v/>
      </c>
      <c r="AQ32" s="82" t="str">
        <f t="shared" si="34"/>
        <v/>
      </c>
      <c r="AR32" s="82" t="str">
        <f t="shared" si="35"/>
        <v/>
      </c>
      <c r="AS32" s="82" t="str">
        <f t="shared" si="36"/>
        <v/>
      </c>
      <c r="AT32" s="82" t="str">
        <f t="shared" si="37"/>
        <v/>
      </c>
      <c r="AU32" s="82" t="str">
        <f t="shared" si="38"/>
        <v/>
      </c>
      <c r="AV32" s="82" t="str">
        <f t="shared" si="39"/>
        <v/>
      </c>
      <c r="AW32" s="82" t="str">
        <f t="shared" si="40"/>
        <v/>
      </c>
      <c r="AX32" s="82" t="str">
        <f t="shared" si="41"/>
        <v/>
      </c>
      <c r="AY32" s="3"/>
    </row>
    <row r="33" spans="1:51">
      <c r="A33" s="41">
        <v>961162</v>
      </c>
      <c r="B33" s="1">
        <v>91</v>
      </c>
      <c r="C33" s="29" t="str">
        <f t="shared" si="22"/>
        <v>961162-91</v>
      </c>
      <c r="D33" s="28" t="s">
        <v>26</v>
      </c>
      <c r="E33" s="37" t="s">
        <v>49</v>
      </c>
      <c r="F33" s="31">
        <v>42340</v>
      </c>
      <c r="G33" s="38">
        <v>23</v>
      </c>
      <c r="H33" s="31">
        <v>42350</v>
      </c>
      <c r="I33" s="38">
        <v>803</v>
      </c>
      <c r="J33" s="38"/>
      <c r="K33" s="40"/>
      <c r="L33" s="87">
        <v>803</v>
      </c>
      <c r="M33" s="93">
        <v>692</v>
      </c>
      <c r="N33" s="93">
        <v>599</v>
      </c>
      <c r="O33" s="93">
        <v>549</v>
      </c>
      <c r="P33" s="93">
        <v>418</v>
      </c>
      <c r="Q33" s="93">
        <v>323</v>
      </c>
      <c r="R33" s="93">
        <v>255</v>
      </c>
      <c r="S33" s="93">
        <v>166.9</v>
      </c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2"/>
      <c r="AF33" s="82">
        <f t="shared" si="23"/>
        <v>1</v>
      </c>
      <c r="AG33" s="82">
        <f t="shared" si="24"/>
        <v>0.86176836861768369</v>
      </c>
      <c r="AH33" s="82">
        <f t="shared" si="25"/>
        <v>0.74595267745952676</v>
      </c>
      <c r="AI33" s="82">
        <f t="shared" si="26"/>
        <v>0.68368617683686173</v>
      </c>
      <c r="AJ33" s="82">
        <f t="shared" si="27"/>
        <v>0.52054794520547942</v>
      </c>
      <c r="AK33" s="82">
        <f t="shared" si="28"/>
        <v>0.40224159402241594</v>
      </c>
      <c r="AL33" s="82">
        <f t="shared" si="29"/>
        <v>0.31755915317559152</v>
      </c>
      <c r="AM33" s="82">
        <f t="shared" si="30"/>
        <v>0.2078455790784558</v>
      </c>
      <c r="AN33" s="82" t="str">
        <f t="shared" si="31"/>
        <v/>
      </c>
      <c r="AO33" s="82" t="str">
        <f t="shared" si="32"/>
        <v/>
      </c>
      <c r="AP33" s="82" t="str">
        <f t="shared" si="33"/>
        <v/>
      </c>
      <c r="AQ33" s="82" t="str">
        <f t="shared" si="34"/>
        <v/>
      </c>
      <c r="AR33" s="82" t="str">
        <f t="shared" si="35"/>
        <v/>
      </c>
      <c r="AS33" s="82" t="str">
        <f t="shared" si="36"/>
        <v/>
      </c>
      <c r="AT33" s="82" t="str">
        <f t="shared" si="37"/>
        <v/>
      </c>
      <c r="AU33" s="82" t="str">
        <f t="shared" si="38"/>
        <v/>
      </c>
      <c r="AV33" s="82" t="str">
        <f t="shared" si="39"/>
        <v/>
      </c>
      <c r="AW33" s="82" t="str">
        <f t="shared" si="40"/>
        <v/>
      </c>
      <c r="AX33" s="82" t="str">
        <f t="shared" si="41"/>
        <v/>
      </c>
      <c r="AY33" s="3"/>
    </row>
    <row r="34" spans="1:51">
      <c r="A34" s="41">
        <v>961162</v>
      </c>
      <c r="B34" s="1">
        <v>92</v>
      </c>
      <c r="C34" s="29" t="str">
        <f t="shared" si="22"/>
        <v>961162-92</v>
      </c>
      <c r="D34" s="28" t="s">
        <v>26</v>
      </c>
      <c r="E34" s="37" t="s">
        <v>35</v>
      </c>
      <c r="F34" s="31">
        <v>42340</v>
      </c>
      <c r="G34" s="38">
        <v>24.3</v>
      </c>
      <c r="H34" s="31">
        <v>42350</v>
      </c>
      <c r="I34" s="38">
        <v>0</v>
      </c>
      <c r="J34" s="38"/>
      <c r="K34" s="40"/>
      <c r="L34" s="87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  <c r="R34" s="93">
        <v>0</v>
      </c>
      <c r="S34" s="93">
        <v>0</v>
      </c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2"/>
      <c r="AF34" s="82" t="str">
        <f t="shared" si="23"/>
        <v/>
      </c>
      <c r="AG34" s="82" t="str">
        <f t="shared" si="24"/>
        <v/>
      </c>
      <c r="AH34" s="82" t="str">
        <f t="shared" si="25"/>
        <v/>
      </c>
      <c r="AI34" s="82" t="str">
        <f t="shared" si="26"/>
        <v/>
      </c>
      <c r="AJ34" s="82" t="str">
        <f t="shared" si="27"/>
        <v/>
      </c>
      <c r="AK34" s="82" t="str">
        <f t="shared" si="28"/>
        <v/>
      </c>
      <c r="AL34" s="82" t="str">
        <f t="shared" si="29"/>
        <v/>
      </c>
      <c r="AM34" s="82" t="str">
        <f t="shared" si="30"/>
        <v/>
      </c>
      <c r="AN34" s="82" t="str">
        <f t="shared" si="31"/>
        <v/>
      </c>
      <c r="AO34" s="82" t="str">
        <f t="shared" si="32"/>
        <v/>
      </c>
      <c r="AP34" s="82" t="str">
        <f t="shared" si="33"/>
        <v/>
      </c>
      <c r="AQ34" s="82" t="str">
        <f t="shared" si="34"/>
        <v/>
      </c>
      <c r="AR34" s="82" t="str">
        <f t="shared" si="35"/>
        <v/>
      </c>
      <c r="AS34" s="82" t="str">
        <f t="shared" si="36"/>
        <v/>
      </c>
      <c r="AT34" s="82" t="str">
        <f t="shared" si="37"/>
        <v/>
      </c>
      <c r="AU34" s="82" t="str">
        <f t="shared" si="38"/>
        <v/>
      </c>
      <c r="AV34" s="82" t="str">
        <f t="shared" si="39"/>
        <v/>
      </c>
      <c r="AW34" s="82" t="str">
        <f t="shared" si="40"/>
        <v/>
      </c>
      <c r="AX34" s="82" t="str">
        <f t="shared" si="41"/>
        <v/>
      </c>
      <c r="AY34" s="3"/>
    </row>
    <row r="35" spans="1:51">
      <c r="A35" s="41">
        <v>961162</v>
      </c>
      <c r="B35" s="1">
        <v>93</v>
      </c>
      <c r="C35" s="29" t="str">
        <f t="shared" si="22"/>
        <v>961162-93</v>
      </c>
      <c r="D35" s="28" t="s">
        <v>26</v>
      </c>
      <c r="E35" s="37" t="s">
        <v>50</v>
      </c>
      <c r="F35" s="31">
        <v>42340</v>
      </c>
      <c r="G35" s="38">
        <v>22</v>
      </c>
      <c r="H35" s="31">
        <v>42350</v>
      </c>
      <c r="I35" s="38">
        <v>835</v>
      </c>
      <c r="J35" s="38"/>
      <c r="K35" s="40"/>
      <c r="L35" s="87">
        <v>835</v>
      </c>
      <c r="M35" s="93">
        <v>722</v>
      </c>
      <c r="N35" s="93">
        <v>647</v>
      </c>
      <c r="O35" s="93">
        <v>574</v>
      </c>
      <c r="P35" s="93">
        <v>457</v>
      </c>
      <c r="Q35" s="93">
        <v>329</v>
      </c>
      <c r="R35" s="93">
        <v>255</v>
      </c>
      <c r="S35" s="93">
        <v>167.7</v>
      </c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2"/>
      <c r="AF35" s="82">
        <f t="shared" si="23"/>
        <v>1</v>
      </c>
      <c r="AG35" s="82">
        <f t="shared" si="24"/>
        <v>0.86467065868263471</v>
      </c>
      <c r="AH35" s="82">
        <f t="shared" si="25"/>
        <v>0.77485029940119765</v>
      </c>
      <c r="AI35" s="82">
        <f t="shared" si="26"/>
        <v>0.68742514970059876</v>
      </c>
      <c r="AJ35" s="82">
        <f t="shared" si="27"/>
        <v>0.54730538922155691</v>
      </c>
      <c r="AK35" s="82">
        <f t="shared" si="28"/>
        <v>0.39401197604790417</v>
      </c>
      <c r="AL35" s="82">
        <f t="shared" si="29"/>
        <v>0.30538922155688625</v>
      </c>
      <c r="AM35" s="82">
        <f t="shared" si="30"/>
        <v>0.20083832335329341</v>
      </c>
      <c r="AN35" s="82" t="str">
        <f t="shared" si="31"/>
        <v/>
      </c>
      <c r="AO35" s="82" t="str">
        <f t="shared" si="32"/>
        <v/>
      </c>
      <c r="AP35" s="82" t="str">
        <f t="shared" si="33"/>
        <v/>
      </c>
      <c r="AQ35" s="82" t="str">
        <f t="shared" si="34"/>
        <v/>
      </c>
      <c r="AR35" s="82" t="str">
        <f t="shared" si="35"/>
        <v/>
      </c>
      <c r="AS35" s="82" t="str">
        <f t="shared" si="36"/>
        <v/>
      </c>
      <c r="AT35" s="82" t="str">
        <f t="shared" si="37"/>
        <v/>
      </c>
      <c r="AU35" s="82" t="str">
        <f t="shared" si="38"/>
        <v/>
      </c>
      <c r="AV35" s="82" t="str">
        <f t="shared" si="39"/>
        <v/>
      </c>
      <c r="AW35" s="82" t="str">
        <f t="shared" si="40"/>
        <v/>
      </c>
      <c r="AX35" s="82" t="str">
        <f t="shared" si="41"/>
        <v/>
      </c>
      <c r="AY35" s="3"/>
    </row>
    <row r="36" spans="1:51">
      <c r="A36" s="41">
        <v>961162</v>
      </c>
      <c r="B36" s="1">
        <v>94</v>
      </c>
      <c r="C36" s="29" t="str">
        <f t="shared" si="22"/>
        <v>961162-94</v>
      </c>
      <c r="D36" s="28" t="s">
        <v>26</v>
      </c>
      <c r="E36" s="37" t="s">
        <v>50</v>
      </c>
      <c r="F36" s="31">
        <v>42340</v>
      </c>
      <c r="G36" s="38">
        <v>25.4</v>
      </c>
      <c r="H36" s="31">
        <v>42350</v>
      </c>
      <c r="I36" s="38">
        <v>632</v>
      </c>
      <c r="J36" s="38"/>
      <c r="K36" s="40"/>
      <c r="L36" s="87">
        <v>632</v>
      </c>
      <c r="M36" s="93">
        <v>561</v>
      </c>
      <c r="N36" s="93">
        <v>519</v>
      </c>
      <c r="O36" s="93">
        <v>437</v>
      </c>
      <c r="P36" s="93">
        <v>364</v>
      </c>
      <c r="Q36" s="93">
        <v>262</v>
      </c>
      <c r="R36" s="93">
        <v>206</v>
      </c>
      <c r="S36" s="93">
        <v>137.9</v>
      </c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2"/>
      <c r="AF36" s="82">
        <f t="shared" si="23"/>
        <v>1</v>
      </c>
      <c r="AG36" s="82">
        <f t="shared" si="24"/>
        <v>0.88765822784810122</v>
      </c>
      <c r="AH36" s="82">
        <f t="shared" si="25"/>
        <v>0.82120253164556967</v>
      </c>
      <c r="AI36" s="82">
        <f t="shared" si="26"/>
        <v>0.69145569620253167</v>
      </c>
      <c r="AJ36" s="82">
        <f t="shared" si="27"/>
        <v>0.57594936708860756</v>
      </c>
      <c r="AK36" s="82">
        <f t="shared" si="28"/>
        <v>0.41455696202531644</v>
      </c>
      <c r="AL36" s="82">
        <f t="shared" si="29"/>
        <v>0.32594936708860761</v>
      </c>
      <c r="AM36" s="82">
        <f t="shared" si="30"/>
        <v>0.21819620253164557</v>
      </c>
      <c r="AN36" s="82" t="str">
        <f t="shared" si="31"/>
        <v/>
      </c>
      <c r="AO36" s="82" t="str">
        <f t="shared" si="32"/>
        <v/>
      </c>
      <c r="AP36" s="82" t="str">
        <f t="shared" si="33"/>
        <v/>
      </c>
      <c r="AQ36" s="82" t="str">
        <f t="shared" si="34"/>
        <v/>
      </c>
      <c r="AR36" s="82" t="str">
        <f t="shared" si="35"/>
        <v/>
      </c>
      <c r="AS36" s="82" t="str">
        <f t="shared" si="36"/>
        <v/>
      </c>
      <c r="AT36" s="82" t="str">
        <f t="shared" si="37"/>
        <v/>
      </c>
      <c r="AU36" s="82" t="str">
        <f t="shared" si="38"/>
        <v/>
      </c>
      <c r="AV36" s="82" t="str">
        <f t="shared" si="39"/>
        <v/>
      </c>
      <c r="AW36" s="82" t="str">
        <f t="shared" si="40"/>
        <v/>
      </c>
      <c r="AX36" s="82" t="str">
        <f t="shared" si="41"/>
        <v/>
      </c>
      <c r="AY36" s="3"/>
    </row>
    <row r="37" spans="1:51">
      <c r="A37" s="41">
        <v>961162</v>
      </c>
      <c r="B37" s="1">
        <v>95</v>
      </c>
      <c r="C37" s="29" t="str">
        <f t="shared" si="22"/>
        <v>961162-95</v>
      </c>
      <c r="D37" s="28" t="s">
        <v>26</v>
      </c>
      <c r="E37" s="37" t="s">
        <v>48</v>
      </c>
      <c r="F37" s="31">
        <v>42340</v>
      </c>
      <c r="G37" s="38">
        <v>23.2</v>
      </c>
      <c r="H37" s="31">
        <v>42350</v>
      </c>
      <c r="I37" s="38">
        <v>314</v>
      </c>
      <c r="J37" s="38"/>
      <c r="K37" s="40"/>
      <c r="L37" s="87">
        <v>314</v>
      </c>
      <c r="M37" s="93">
        <v>276</v>
      </c>
      <c r="N37" s="93">
        <v>249</v>
      </c>
      <c r="O37" s="93">
        <v>222</v>
      </c>
      <c r="P37" s="93">
        <v>179</v>
      </c>
      <c r="Q37" s="93">
        <v>131</v>
      </c>
      <c r="R37" s="93">
        <v>103</v>
      </c>
      <c r="S37" s="93">
        <v>70.599999999999994</v>
      </c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2"/>
      <c r="AF37" s="82">
        <f t="shared" si="23"/>
        <v>1</v>
      </c>
      <c r="AG37" s="82">
        <f t="shared" si="24"/>
        <v>0.87898089171974525</v>
      </c>
      <c r="AH37" s="82">
        <f t="shared" si="25"/>
        <v>0.79299363057324845</v>
      </c>
      <c r="AI37" s="82">
        <f t="shared" si="26"/>
        <v>0.70700636942675155</v>
      </c>
      <c r="AJ37" s="82">
        <f t="shared" si="27"/>
        <v>0.57006369426751591</v>
      </c>
      <c r="AK37" s="82">
        <f t="shared" si="28"/>
        <v>0.41719745222929938</v>
      </c>
      <c r="AL37" s="82">
        <f t="shared" si="29"/>
        <v>0.32802547770700635</v>
      </c>
      <c r="AM37" s="82">
        <f t="shared" si="30"/>
        <v>0.22484076433121017</v>
      </c>
      <c r="AN37" s="82" t="str">
        <f t="shared" si="31"/>
        <v/>
      </c>
      <c r="AO37" s="82" t="str">
        <f t="shared" si="32"/>
        <v/>
      </c>
      <c r="AP37" s="82" t="str">
        <f t="shared" si="33"/>
        <v/>
      </c>
      <c r="AQ37" s="82" t="str">
        <f t="shared" si="34"/>
        <v/>
      </c>
      <c r="AR37" s="82" t="str">
        <f t="shared" si="35"/>
        <v/>
      </c>
      <c r="AS37" s="82" t="str">
        <f t="shared" si="36"/>
        <v/>
      </c>
      <c r="AT37" s="82" t="str">
        <f t="shared" si="37"/>
        <v/>
      </c>
      <c r="AU37" s="82" t="str">
        <f t="shared" si="38"/>
        <v/>
      </c>
      <c r="AV37" s="82" t="str">
        <f t="shared" si="39"/>
        <v/>
      </c>
      <c r="AW37" s="82" t="str">
        <f t="shared" si="40"/>
        <v/>
      </c>
      <c r="AX37" s="82" t="str">
        <f t="shared" si="41"/>
        <v/>
      </c>
      <c r="AY37" s="3"/>
    </row>
    <row r="38" spans="1:51">
      <c r="A38" s="41">
        <v>961145</v>
      </c>
      <c r="B38" s="1">
        <v>101</v>
      </c>
      <c r="C38" s="29" t="str">
        <f t="shared" si="22"/>
        <v>961145-101</v>
      </c>
      <c r="D38" s="28" t="s">
        <v>26</v>
      </c>
      <c r="E38" s="37" t="s">
        <v>48</v>
      </c>
      <c r="F38" s="31">
        <v>42340</v>
      </c>
      <c r="G38" s="38">
        <v>24.7</v>
      </c>
      <c r="H38" s="31">
        <v>42350</v>
      </c>
      <c r="I38" s="38">
        <v>351</v>
      </c>
      <c r="J38" s="38"/>
      <c r="K38" s="40"/>
      <c r="L38" s="87">
        <v>351</v>
      </c>
      <c r="M38" s="93">
        <v>312</v>
      </c>
      <c r="N38" s="93">
        <v>294</v>
      </c>
      <c r="O38" s="93">
        <v>254</v>
      </c>
      <c r="P38" s="93">
        <v>204</v>
      </c>
      <c r="Q38" s="93">
        <v>148</v>
      </c>
      <c r="R38" s="93">
        <v>119</v>
      </c>
      <c r="S38" s="93">
        <v>81.400000000000006</v>
      </c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2"/>
      <c r="AF38" s="82">
        <f t="shared" si="23"/>
        <v>1</v>
      </c>
      <c r="AG38" s="82">
        <f t="shared" si="24"/>
        <v>0.88888888888888884</v>
      </c>
      <c r="AH38" s="82">
        <f t="shared" si="25"/>
        <v>0.83760683760683763</v>
      </c>
      <c r="AI38" s="82">
        <f t="shared" si="26"/>
        <v>0.72364672364672367</v>
      </c>
      <c r="AJ38" s="82">
        <f t="shared" si="27"/>
        <v>0.58119658119658124</v>
      </c>
      <c r="AK38" s="82">
        <f t="shared" si="28"/>
        <v>0.42165242165242167</v>
      </c>
      <c r="AL38" s="82">
        <f t="shared" si="29"/>
        <v>0.33903133903133903</v>
      </c>
      <c r="AM38" s="82">
        <f t="shared" si="30"/>
        <v>0.23190883190883194</v>
      </c>
      <c r="AN38" s="82" t="str">
        <f t="shared" si="31"/>
        <v/>
      </c>
      <c r="AO38" s="82" t="str">
        <f t="shared" si="32"/>
        <v/>
      </c>
      <c r="AP38" s="82" t="str">
        <f t="shared" si="33"/>
        <v/>
      </c>
      <c r="AQ38" s="82" t="str">
        <f t="shared" si="34"/>
        <v/>
      </c>
      <c r="AR38" s="82" t="str">
        <f t="shared" si="35"/>
        <v/>
      </c>
      <c r="AS38" s="82" t="str">
        <f t="shared" si="36"/>
        <v/>
      </c>
      <c r="AT38" s="82" t="str">
        <f t="shared" si="37"/>
        <v/>
      </c>
      <c r="AU38" s="82" t="str">
        <f t="shared" si="38"/>
        <v/>
      </c>
      <c r="AV38" s="82" t="str">
        <f t="shared" si="39"/>
        <v/>
      </c>
      <c r="AW38" s="82" t="str">
        <f t="shared" si="40"/>
        <v/>
      </c>
      <c r="AX38" s="82" t="str">
        <f t="shared" si="41"/>
        <v/>
      </c>
      <c r="AY38" s="3"/>
    </row>
    <row r="39" spans="1:51">
      <c r="A39" s="41">
        <v>961145</v>
      </c>
      <c r="B39" s="1">
        <v>102</v>
      </c>
      <c r="C39" s="29" t="str">
        <f t="shared" si="22"/>
        <v>961145-102</v>
      </c>
      <c r="D39" s="28" t="s">
        <v>26</v>
      </c>
      <c r="E39" s="37" t="s">
        <v>35</v>
      </c>
      <c r="F39" s="31">
        <v>42340</v>
      </c>
      <c r="G39" s="38">
        <v>25</v>
      </c>
      <c r="H39" s="31">
        <v>42350</v>
      </c>
      <c r="I39" s="38">
        <v>0</v>
      </c>
      <c r="J39" s="38"/>
      <c r="K39" s="40"/>
      <c r="L39" s="87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  <c r="R39" s="93">
        <v>0</v>
      </c>
      <c r="S39" s="93">
        <v>0</v>
      </c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2"/>
      <c r="AF39" s="82" t="str">
        <f t="shared" si="23"/>
        <v/>
      </c>
      <c r="AG39" s="82" t="str">
        <f t="shared" si="24"/>
        <v/>
      </c>
      <c r="AH39" s="82" t="str">
        <f t="shared" si="25"/>
        <v/>
      </c>
      <c r="AI39" s="82" t="str">
        <f t="shared" si="26"/>
        <v/>
      </c>
      <c r="AJ39" s="82" t="str">
        <f t="shared" si="27"/>
        <v/>
      </c>
      <c r="AK39" s="82" t="str">
        <f t="shared" si="28"/>
        <v/>
      </c>
      <c r="AL39" s="82" t="str">
        <f t="shared" si="29"/>
        <v/>
      </c>
      <c r="AM39" s="82" t="str">
        <f t="shared" si="30"/>
        <v/>
      </c>
      <c r="AN39" s="82" t="str">
        <f t="shared" si="31"/>
        <v/>
      </c>
      <c r="AO39" s="82" t="str">
        <f t="shared" si="32"/>
        <v/>
      </c>
      <c r="AP39" s="82" t="str">
        <f t="shared" si="33"/>
        <v/>
      </c>
      <c r="AQ39" s="82" t="str">
        <f t="shared" si="34"/>
        <v/>
      </c>
      <c r="AR39" s="82" t="str">
        <f t="shared" si="35"/>
        <v/>
      </c>
      <c r="AS39" s="82" t="str">
        <f t="shared" si="36"/>
        <v/>
      </c>
      <c r="AT39" s="82" t="str">
        <f t="shared" si="37"/>
        <v/>
      </c>
      <c r="AU39" s="82" t="str">
        <f t="shared" si="38"/>
        <v/>
      </c>
      <c r="AV39" s="82" t="str">
        <f t="shared" si="39"/>
        <v/>
      </c>
      <c r="AW39" s="82" t="str">
        <f t="shared" si="40"/>
        <v/>
      </c>
      <c r="AX39" s="82" t="str">
        <f t="shared" si="41"/>
        <v/>
      </c>
      <c r="AY39" s="3"/>
    </row>
    <row r="40" spans="1:51">
      <c r="A40" s="41">
        <v>961145</v>
      </c>
      <c r="B40" s="1">
        <v>103</v>
      </c>
      <c r="C40" s="29" t="str">
        <f t="shared" si="22"/>
        <v>961145-103</v>
      </c>
      <c r="D40" s="28" t="s">
        <v>26</v>
      </c>
      <c r="E40" s="37" t="s">
        <v>51</v>
      </c>
      <c r="F40" s="31">
        <v>42340</v>
      </c>
      <c r="G40" s="38">
        <v>24.6</v>
      </c>
      <c r="H40" s="31">
        <v>42350</v>
      </c>
      <c r="I40" s="38">
        <v>1616</v>
      </c>
      <c r="J40" s="38"/>
      <c r="K40" s="40"/>
      <c r="L40" s="87">
        <v>1616</v>
      </c>
      <c r="M40" s="93">
        <v>1448</v>
      </c>
      <c r="N40" s="93">
        <v>1302</v>
      </c>
      <c r="O40" s="93">
        <v>1063</v>
      </c>
      <c r="P40" s="93">
        <v>892</v>
      </c>
      <c r="Q40" s="93">
        <v>617</v>
      </c>
      <c r="R40" s="93">
        <v>495</v>
      </c>
      <c r="S40" s="93">
        <v>311</v>
      </c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2"/>
      <c r="AF40" s="82">
        <f t="shared" si="23"/>
        <v>1</v>
      </c>
      <c r="AG40" s="82">
        <f t="shared" si="24"/>
        <v>0.89603960396039606</v>
      </c>
      <c r="AH40" s="82">
        <f t="shared" si="25"/>
        <v>0.80569306930693074</v>
      </c>
      <c r="AI40" s="82">
        <f t="shared" si="26"/>
        <v>0.65779702970297027</v>
      </c>
      <c r="AJ40" s="82">
        <f t="shared" si="27"/>
        <v>0.55198019801980203</v>
      </c>
      <c r="AK40" s="82">
        <f t="shared" si="28"/>
        <v>0.38180693069306931</v>
      </c>
      <c r="AL40" s="82">
        <f t="shared" si="29"/>
        <v>0.30631188118811881</v>
      </c>
      <c r="AM40" s="82">
        <f t="shared" si="30"/>
        <v>0.19245049504950495</v>
      </c>
      <c r="AN40" s="82" t="str">
        <f t="shared" si="31"/>
        <v/>
      </c>
      <c r="AO40" s="82" t="str">
        <f t="shared" si="32"/>
        <v/>
      </c>
      <c r="AP40" s="82" t="str">
        <f t="shared" si="33"/>
        <v/>
      </c>
      <c r="AQ40" s="82" t="str">
        <f t="shared" si="34"/>
        <v/>
      </c>
      <c r="AR40" s="82" t="str">
        <f t="shared" si="35"/>
        <v/>
      </c>
      <c r="AS40" s="82" t="str">
        <f t="shared" si="36"/>
        <v/>
      </c>
      <c r="AT40" s="82" t="str">
        <f t="shared" si="37"/>
        <v/>
      </c>
      <c r="AU40" s="82" t="str">
        <f t="shared" si="38"/>
        <v/>
      </c>
      <c r="AV40" s="82" t="str">
        <f t="shared" si="39"/>
        <v/>
      </c>
      <c r="AW40" s="82" t="str">
        <f t="shared" si="40"/>
        <v/>
      </c>
      <c r="AX40" s="82" t="str">
        <f t="shared" si="41"/>
        <v/>
      </c>
      <c r="AY40" s="3"/>
    </row>
    <row r="41" spans="1:51">
      <c r="A41" s="42">
        <v>961145</v>
      </c>
      <c r="B41" s="4">
        <v>105</v>
      </c>
      <c r="C41" s="100" t="str">
        <f t="shared" si="22"/>
        <v>961145-105</v>
      </c>
      <c r="D41" s="4" t="s">
        <v>26</v>
      </c>
      <c r="E41" s="43" t="s">
        <v>49</v>
      </c>
      <c r="F41" s="44">
        <v>42340</v>
      </c>
      <c r="G41" s="45">
        <v>20.6</v>
      </c>
      <c r="H41" s="31">
        <v>42350</v>
      </c>
      <c r="I41" s="45">
        <v>837</v>
      </c>
      <c r="J41" s="45"/>
      <c r="K41" s="48"/>
      <c r="L41" s="102">
        <v>837</v>
      </c>
      <c r="M41" s="94">
        <v>686</v>
      </c>
      <c r="N41" s="94">
        <v>628</v>
      </c>
      <c r="O41" s="94">
        <v>552</v>
      </c>
      <c r="P41" s="94">
        <v>448</v>
      </c>
      <c r="Q41" s="94">
        <v>325</v>
      </c>
      <c r="R41" s="94">
        <v>259</v>
      </c>
      <c r="S41" s="94">
        <v>169.6</v>
      </c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5"/>
      <c r="AF41" s="82">
        <f t="shared" si="23"/>
        <v>1</v>
      </c>
      <c r="AG41" s="82">
        <f t="shared" si="24"/>
        <v>0.81959378733572286</v>
      </c>
      <c r="AH41" s="82">
        <f t="shared" si="25"/>
        <v>0.75029868578255676</v>
      </c>
      <c r="AI41" s="82">
        <f t="shared" si="26"/>
        <v>0.65949820788530467</v>
      </c>
      <c r="AJ41" s="82">
        <f t="shared" si="27"/>
        <v>0.53524492234169652</v>
      </c>
      <c r="AK41" s="82">
        <f t="shared" si="28"/>
        <v>0.38829151732377537</v>
      </c>
      <c r="AL41" s="82">
        <f t="shared" si="29"/>
        <v>0.30943847072879332</v>
      </c>
      <c r="AM41" s="82">
        <f t="shared" si="30"/>
        <v>0.2026284348864994</v>
      </c>
      <c r="AN41" s="82" t="str">
        <f t="shared" si="31"/>
        <v/>
      </c>
      <c r="AO41" s="82" t="str">
        <f t="shared" si="32"/>
        <v/>
      </c>
      <c r="AP41" s="82" t="str">
        <f t="shared" si="33"/>
        <v/>
      </c>
      <c r="AQ41" s="82" t="str">
        <f t="shared" si="34"/>
        <v/>
      </c>
      <c r="AR41" s="82" t="str">
        <f t="shared" si="35"/>
        <v/>
      </c>
      <c r="AS41" s="82" t="str">
        <f t="shared" si="36"/>
        <v/>
      </c>
      <c r="AT41" s="82" t="str">
        <f t="shared" si="37"/>
        <v/>
      </c>
      <c r="AU41" s="82" t="str">
        <f t="shared" si="38"/>
        <v/>
      </c>
      <c r="AV41" s="82" t="str">
        <f t="shared" si="39"/>
        <v/>
      </c>
      <c r="AW41" s="82" t="str">
        <f t="shared" si="40"/>
        <v/>
      </c>
      <c r="AX41" s="82" t="str">
        <f t="shared" si="41"/>
        <v/>
      </c>
      <c r="AY41" s="3"/>
    </row>
    <row r="42" spans="1:51" s="99" customFormat="1">
      <c r="A42" s="121"/>
      <c r="B42" s="101"/>
      <c r="C42" s="122"/>
      <c r="D42" s="101"/>
      <c r="E42" s="111"/>
      <c r="F42" s="123"/>
      <c r="G42" s="124"/>
      <c r="H42" s="123"/>
      <c r="I42" s="124"/>
      <c r="J42" s="124"/>
      <c r="K42" s="101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</row>
    <row r="43" spans="1:51" s="99" customFormat="1" ht="15" customHeight="1">
      <c r="A43" s="140"/>
      <c r="B43" s="98"/>
      <c r="C43" s="141"/>
      <c r="D43" s="98"/>
      <c r="E43" s="105" t="s">
        <v>21</v>
      </c>
      <c r="F43" s="142"/>
      <c r="G43" s="143"/>
      <c r="H43" s="279" t="s">
        <v>22</v>
      </c>
      <c r="I43" s="279"/>
      <c r="J43" s="279"/>
      <c r="K43" s="280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6" t="s">
        <v>22</v>
      </c>
      <c r="AF43" s="172">
        <f t="shared" ref="AF43:AX43" si="42">EXP(AF4*-LN(2)/8.0197)</f>
        <v>1</v>
      </c>
      <c r="AG43" s="172">
        <f t="shared" si="42"/>
        <v>0.91719923476942955</v>
      </c>
      <c r="AH43" s="172">
        <f t="shared" si="42"/>
        <v>0.8412544362616271</v>
      </c>
      <c r="AI43" s="172">
        <f t="shared" si="42"/>
        <v>0.77159792518555226</v>
      </c>
      <c r="AJ43" s="172">
        <f t="shared" si="42"/>
        <v>0.64911017757261291</v>
      </c>
      <c r="AK43" s="172">
        <f t="shared" si="42"/>
        <v>0.50085206623185352</v>
      </c>
      <c r="AL43" s="172">
        <f t="shared" si="42"/>
        <v>0.42134402262834902</v>
      </c>
      <c r="AM43" s="172">
        <f t="shared" si="42"/>
        <v>0.2734986933474467</v>
      </c>
      <c r="AN43" s="172" t="e">
        <f t="shared" si="42"/>
        <v>#NUM!</v>
      </c>
      <c r="AO43" s="172" t="e">
        <f t="shared" si="42"/>
        <v>#NUM!</v>
      </c>
      <c r="AP43" s="172" t="e">
        <f t="shared" si="42"/>
        <v>#NUM!</v>
      </c>
      <c r="AQ43" s="172" t="e">
        <f t="shared" si="42"/>
        <v>#NUM!</v>
      </c>
      <c r="AR43" s="172" t="e">
        <f t="shared" si="42"/>
        <v>#NUM!</v>
      </c>
      <c r="AS43" s="172" t="e">
        <f t="shared" si="42"/>
        <v>#NUM!</v>
      </c>
      <c r="AT43" s="172" t="e">
        <f t="shared" si="42"/>
        <v>#NUM!</v>
      </c>
      <c r="AU43" s="172" t="e">
        <f t="shared" si="42"/>
        <v>#NUM!</v>
      </c>
      <c r="AV43" s="172" t="e">
        <f t="shared" si="42"/>
        <v>#NUM!</v>
      </c>
      <c r="AW43" s="172" t="e">
        <f t="shared" si="42"/>
        <v>#NUM!</v>
      </c>
      <c r="AX43" s="173" t="e">
        <f t="shared" si="42"/>
        <v>#NUM!</v>
      </c>
      <c r="AY43" s="109"/>
    </row>
    <row r="44" spans="1:51" s="99" customFormat="1">
      <c r="A44" s="140"/>
      <c r="B44" s="98"/>
      <c r="C44" s="141"/>
      <c r="D44" s="98"/>
      <c r="F44" s="142"/>
      <c r="G44" s="143"/>
      <c r="H44" s="145"/>
      <c r="I44" s="143"/>
      <c r="J44" s="143"/>
      <c r="K44" s="98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51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09"/>
    </row>
    <row r="45" spans="1:51" ht="14.25" customHeight="1">
      <c r="A45" s="95"/>
      <c r="B45" s="95"/>
      <c r="C45" s="95"/>
      <c r="D45" s="51"/>
      <c r="E45" s="105" t="s">
        <v>20</v>
      </c>
      <c r="F45" s="96"/>
      <c r="G45" s="97"/>
      <c r="H45" s="277" t="s">
        <v>20</v>
      </c>
      <c r="I45" s="49">
        <f>AVERAGE(I5:I41)</f>
        <v>611.24324324324323</v>
      </c>
      <c r="J45" s="49"/>
      <c r="K45" s="117" t="s">
        <v>10</v>
      </c>
      <c r="L45" s="87">
        <f t="shared" ref="L45:AD45" si="43">AVERAGE(L5:L41)</f>
        <v>611.24324324324323</v>
      </c>
      <c r="M45" s="87">
        <f t="shared" si="43"/>
        <v>527.59459459459458</v>
      </c>
      <c r="N45" s="87">
        <f t="shared" si="43"/>
        <v>462.27027027027026</v>
      </c>
      <c r="O45" s="87">
        <f t="shared" si="43"/>
        <v>403.05405405405406</v>
      </c>
      <c r="P45" s="87">
        <f t="shared" si="43"/>
        <v>331.05405405405406</v>
      </c>
      <c r="Q45" s="87">
        <f t="shared" si="43"/>
        <v>235.1081081081081</v>
      </c>
      <c r="R45" s="87">
        <f t="shared" si="43"/>
        <v>187</v>
      </c>
      <c r="S45" s="87">
        <f t="shared" si="43"/>
        <v>123.34864864864866</v>
      </c>
      <c r="T45" s="87" t="e">
        <f t="shared" si="43"/>
        <v>#DIV/0!</v>
      </c>
      <c r="U45" s="87" t="e">
        <f t="shared" si="43"/>
        <v>#DIV/0!</v>
      </c>
      <c r="V45" s="87" t="e">
        <f t="shared" si="43"/>
        <v>#DIV/0!</v>
      </c>
      <c r="W45" s="87" t="e">
        <f t="shared" si="43"/>
        <v>#DIV/0!</v>
      </c>
      <c r="X45" s="87" t="e">
        <f t="shared" si="43"/>
        <v>#DIV/0!</v>
      </c>
      <c r="Y45" s="87" t="e">
        <f t="shared" si="43"/>
        <v>#DIV/0!</v>
      </c>
      <c r="Z45" s="87" t="e">
        <f t="shared" si="43"/>
        <v>#DIV/0!</v>
      </c>
      <c r="AA45" s="87" t="e">
        <f t="shared" si="43"/>
        <v>#DIV/0!</v>
      </c>
      <c r="AB45" s="87" t="e">
        <f t="shared" si="43"/>
        <v>#DIV/0!</v>
      </c>
      <c r="AC45" s="87" t="e">
        <f t="shared" si="43"/>
        <v>#DIV/0!</v>
      </c>
      <c r="AD45" s="87" t="e">
        <f t="shared" si="43"/>
        <v>#DIV/0!</v>
      </c>
      <c r="AE45" s="146" t="s">
        <v>10</v>
      </c>
      <c r="AF45" s="82">
        <f t="shared" ref="AF45:AX45" si="44">AVERAGE(AF5:AF41)</f>
        <v>1</v>
      </c>
      <c r="AG45" s="82">
        <f t="shared" si="44"/>
        <v>0.86863620602532399</v>
      </c>
      <c r="AH45" s="82">
        <f t="shared" si="44"/>
        <v>0.76315623758419437</v>
      </c>
      <c r="AI45" s="82">
        <f t="shared" si="44"/>
        <v>0.67098800424584326</v>
      </c>
      <c r="AJ45" s="82">
        <f t="shared" si="44"/>
        <v>0.54856372563148337</v>
      </c>
      <c r="AK45" s="82">
        <f t="shared" si="44"/>
        <v>0.39385668085255338</v>
      </c>
      <c r="AL45" s="82">
        <f t="shared" si="44"/>
        <v>0.31053023816664299</v>
      </c>
      <c r="AM45" s="82">
        <f t="shared" si="44"/>
        <v>0.20875136285995916</v>
      </c>
      <c r="AN45" s="82" t="e">
        <f t="shared" si="44"/>
        <v>#DIV/0!</v>
      </c>
      <c r="AO45" s="82" t="e">
        <f t="shared" si="44"/>
        <v>#DIV/0!</v>
      </c>
      <c r="AP45" s="82" t="e">
        <f t="shared" si="44"/>
        <v>#DIV/0!</v>
      </c>
      <c r="AQ45" s="82" t="e">
        <f t="shared" si="44"/>
        <v>#DIV/0!</v>
      </c>
      <c r="AR45" s="82" t="e">
        <f t="shared" si="44"/>
        <v>#DIV/0!</v>
      </c>
      <c r="AS45" s="82" t="e">
        <f t="shared" si="44"/>
        <v>#DIV/0!</v>
      </c>
      <c r="AT45" s="82" t="e">
        <f t="shared" si="44"/>
        <v>#DIV/0!</v>
      </c>
      <c r="AU45" s="82" t="e">
        <f t="shared" si="44"/>
        <v>#DIV/0!</v>
      </c>
      <c r="AV45" s="82" t="e">
        <f t="shared" si="44"/>
        <v>#DIV/0!</v>
      </c>
      <c r="AW45" s="82" t="e">
        <f t="shared" si="44"/>
        <v>#DIV/0!</v>
      </c>
      <c r="AX45" s="82" t="e">
        <f t="shared" si="44"/>
        <v>#DIV/0!</v>
      </c>
      <c r="AY45" s="85"/>
    </row>
    <row r="46" spans="1:51" ht="14.25" customHeight="1">
      <c r="A46" s="52"/>
      <c r="B46" s="51"/>
      <c r="C46" s="53"/>
      <c r="D46" s="51"/>
      <c r="E46" s="103"/>
      <c r="F46" s="80"/>
      <c r="G46" s="49"/>
      <c r="H46" s="277"/>
      <c r="I46" s="49">
        <f>_xlfn.STDEV.P(I5:I41)</f>
        <v>504.85349255089119</v>
      </c>
      <c r="J46" s="49"/>
      <c r="K46" s="117" t="s">
        <v>12</v>
      </c>
      <c r="L46" s="90">
        <f t="shared" ref="L46:AD46" si="45">STDEVA(L5:L41)</f>
        <v>511.81731796312533</v>
      </c>
      <c r="M46" s="90">
        <f t="shared" si="45"/>
        <v>439.62809152607485</v>
      </c>
      <c r="N46" s="90">
        <f t="shared" si="45"/>
        <v>383.8895709741314</v>
      </c>
      <c r="O46" s="90">
        <f t="shared" si="45"/>
        <v>329.6439110739164</v>
      </c>
      <c r="P46" s="90">
        <f t="shared" si="45"/>
        <v>273.48105215148979</v>
      </c>
      <c r="Q46" s="90">
        <f t="shared" si="45"/>
        <v>190.0978963855471</v>
      </c>
      <c r="R46" s="90">
        <f t="shared" si="45"/>
        <v>152.98946949962857</v>
      </c>
      <c r="S46" s="90">
        <f t="shared" si="45"/>
        <v>98.679342152081489</v>
      </c>
      <c r="T46" s="90" t="e">
        <f t="shared" si="45"/>
        <v>#DIV/0!</v>
      </c>
      <c r="U46" s="90" t="e">
        <f t="shared" si="45"/>
        <v>#DIV/0!</v>
      </c>
      <c r="V46" s="90" t="e">
        <f t="shared" si="45"/>
        <v>#DIV/0!</v>
      </c>
      <c r="W46" s="90" t="e">
        <f t="shared" si="45"/>
        <v>#DIV/0!</v>
      </c>
      <c r="X46" s="90" t="e">
        <f t="shared" si="45"/>
        <v>#DIV/0!</v>
      </c>
      <c r="Y46" s="90" t="e">
        <f t="shared" si="45"/>
        <v>#DIV/0!</v>
      </c>
      <c r="Z46" s="90" t="e">
        <f t="shared" si="45"/>
        <v>#DIV/0!</v>
      </c>
      <c r="AA46" s="90" t="e">
        <f t="shared" si="45"/>
        <v>#DIV/0!</v>
      </c>
      <c r="AB46" s="90" t="e">
        <f t="shared" si="45"/>
        <v>#DIV/0!</v>
      </c>
      <c r="AC46" s="90" t="e">
        <f t="shared" si="45"/>
        <v>#DIV/0!</v>
      </c>
      <c r="AD46" s="90" t="e">
        <f t="shared" si="45"/>
        <v>#DIV/0!</v>
      </c>
      <c r="AE46" s="152" t="s">
        <v>12</v>
      </c>
      <c r="AF46" s="83">
        <f t="shared" ref="AF46:AX46" si="46">STDEVA(AF5:AF41)</f>
        <v>0.41734179538380067</v>
      </c>
      <c r="AG46" s="83">
        <f t="shared" si="46"/>
        <v>0.36362223673055738</v>
      </c>
      <c r="AH46" s="83">
        <f t="shared" si="46"/>
        <v>0.31997870140117163</v>
      </c>
      <c r="AI46" s="83">
        <f t="shared" si="46"/>
        <v>0.28194717664094993</v>
      </c>
      <c r="AJ46" s="83">
        <f t="shared" si="46"/>
        <v>0.23039515289097218</v>
      </c>
      <c r="AK46" s="83">
        <f t="shared" si="46"/>
        <v>0.16591022478291517</v>
      </c>
      <c r="AL46" s="83">
        <f t="shared" si="46"/>
        <v>0.13112282300034636</v>
      </c>
      <c r="AM46" s="83">
        <f t="shared" si="46"/>
        <v>8.885956262128096E-2</v>
      </c>
      <c r="AN46" s="83">
        <f t="shared" si="46"/>
        <v>0</v>
      </c>
      <c r="AO46" s="83">
        <f t="shared" si="46"/>
        <v>0</v>
      </c>
      <c r="AP46" s="83">
        <f t="shared" si="46"/>
        <v>0</v>
      </c>
      <c r="AQ46" s="83">
        <f t="shared" si="46"/>
        <v>0</v>
      </c>
      <c r="AR46" s="83">
        <f t="shared" si="46"/>
        <v>0</v>
      </c>
      <c r="AS46" s="83">
        <f t="shared" si="46"/>
        <v>0</v>
      </c>
      <c r="AT46" s="83">
        <f t="shared" si="46"/>
        <v>0</v>
      </c>
      <c r="AU46" s="83">
        <f t="shared" si="46"/>
        <v>0</v>
      </c>
      <c r="AV46" s="83">
        <f t="shared" si="46"/>
        <v>0</v>
      </c>
      <c r="AW46" s="83">
        <f t="shared" si="46"/>
        <v>0</v>
      </c>
      <c r="AX46" s="83">
        <f t="shared" si="46"/>
        <v>0</v>
      </c>
      <c r="AY46" s="85"/>
    </row>
    <row r="47" spans="1:51" ht="12.75" customHeight="1">
      <c r="A47" s="129"/>
      <c r="E47" s="104"/>
      <c r="K47" s="149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149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147"/>
    </row>
    <row r="48" spans="1:51" ht="14.25" customHeight="1">
      <c r="A48" s="129"/>
      <c r="E48" s="134" t="str">
        <f>'RAD_DOSE Groups'!C6</f>
        <v>PBS Control</v>
      </c>
      <c r="H48" s="134" t="str">
        <f>E48</f>
        <v>PBS Control</v>
      </c>
      <c r="I48" s="120">
        <f>AVERAGEIF($E$5:$E$41,$E48,I$5:I$41)</f>
        <v>0</v>
      </c>
      <c r="J48" s="120"/>
      <c r="K48" s="117" t="s">
        <v>10</v>
      </c>
      <c r="L48" s="87">
        <f t="shared" ref="L48:AD48" si="47">AVERAGEIF($E$5:$E$41,$E48,L$5:L$41)</f>
        <v>0</v>
      </c>
      <c r="M48" s="87">
        <f t="shared" si="47"/>
        <v>0</v>
      </c>
      <c r="N48" s="87">
        <f t="shared" si="47"/>
        <v>0</v>
      </c>
      <c r="O48" s="87">
        <f t="shared" si="47"/>
        <v>0</v>
      </c>
      <c r="P48" s="87">
        <f t="shared" si="47"/>
        <v>0</v>
      </c>
      <c r="Q48" s="87">
        <f t="shared" si="47"/>
        <v>0</v>
      </c>
      <c r="R48" s="87">
        <f t="shared" si="47"/>
        <v>0</v>
      </c>
      <c r="S48" s="87">
        <f t="shared" si="47"/>
        <v>0</v>
      </c>
      <c r="T48" s="87" t="e">
        <f t="shared" si="47"/>
        <v>#DIV/0!</v>
      </c>
      <c r="U48" s="87" t="e">
        <f t="shared" si="47"/>
        <v>#DIV/0!</v>
      </c>
      <c r="V48" s="87" t="e">
        <f t="shared" si="47"/>
        <v>#DIV/0!</v>
      </c>
      <c r="W48" s="87" t="e">
        <f t="shared" si="47"/>
        <v>#DIV/0!</v>
      </c>
      <c r="X48" s="87" t="e">
        <f t="shared" si="47"/>
        <v>#DIV/0!</v>
      </c>
      <c r="Y48" s="87" t="e">
        <f t="shared" si="47"/>
        <v>#DIV/0!</v>
      </c>
      <c r="Z48" s="87" t="e">
        <f t="shared" si="47"/>
        <v>#DIV/0!</v>
      </c>
      <c r="AA48" s="87" t="e">
        <f t="shared" si="47"/>
        <v>#DIV/0!</v>
      </c>
      <c r="AB48" s="87" t="e">
        <f t="shared" si="47"/>
        <v>#DIV/0!</v>
      </c>
      <c r="AC48" s="87" t="e">
        <f t="shared" si="47"/>
        <v>#DIV/0!</v>
      </c>
      <c r="AD48" s="87" t="e">
        <f t="shared" si="47"/>
        <v>#DIV/0!</v>
      </c>
      <c r="AE48" s="153" t="s">
        <v>10</v>
      </c>
      <c r="AF48" s="82" t="e">
        <f t="shared" ref="AF48:AX48" si="48">AVERAGEIF($E$5:$E$41,$E48,AF$5:AF$41)</f>
        <v>#DIV/0!</v>
      </c>
      <c r="AG48" s="82" t="e">
        <f t="shared" si="48"/>
        <v>#DIV/0!</v>
      </c>
      <c r="AH48" s="82" t="e">
        <f t="shared" si="48"/>
        <v>#DIV/0!</v>
      </c>
      <c r="AI48" s="82" t="e">
        <f t="shared" si="48"/>
        <v>#DIV/0!</v>
      </c>
      <c r="AJ48" s="82" t="e">
        <f t="shared" si="48"/>
        <v>#DIV/0!</v>
      </c>
      <c r="AK48" s="82" t="e">
        <f t="shared" si="48"/>
        <v>#DIV/0!</v>
      </c>
      <c r="AL48" s="82" t="e">
        <f t="shared" si="48"/>
        <v>#DIV/0!</v>
      </c>
      <c r="AM48" s="82" t="e">
        <f t="shared" si="48"/>
        <v>#DIV/0!</v>
      </c>
      <c r="AN48" s="82" t="e">
        <f t="shared" si="48"/>
        <v>#DIV/0!</v>
      </c>
      <c r="AO48" s="82" t="e">
        <f t="shared" si="48"/>
        <v>#DIV/0!</v>
      </c>
      <c r="AP48" s="82" t="e">
        <f t="shared" si="48"/>
        <v>#DIV/0!</v>
      </c>
      <c r="AQ48" s="82" t="e">
        <f t="shared" si="48"/>
        <v>#DIV/0!</v>
      </c>
      <c r="AR48" s="82" t="e">
        <f t="shared" si="48"/>
        <v>#DIV/0!</v>
      </c>
      <c r="AS48" s="82" t="e">
        <f t="shared" si="48"/>
        <v>#DIV/0!</v>
      </c>
      <c r="AT48" s="82" t="e">
        <f t="shared" si="48"/>
        <v>#DIV/0!</v>
      </c>
      <c r="AU48" s="82" t="e">
        <f t="shared" si="48"/>
        <v>#DIV/0!</v>
      </c>
      <c r="AV48" s="82" t="e">
        <f t="shared" si="48"/>
        <v>#DIV/0!</v>
      </c>
      <c r="AW48" s="82" t="e">
        <f t="shared" si="48"/>
        <v>#DIV/0!</v>
      </c>
      <c r="AX48" s="82" t="e">
        <f t="shared" si="48"/>
        <v>#DIV/0!</v>
      </c>
      <c r="AY48" s="85"/>
    </row>
    <row r="49" spans="1:51" ht="14.25" customHeight="1">
      <c r="A49" s="129"/>
      <c r="E49" s="104"/>
      <c r="H49" s="104"/>
      <c r="I49" s="120">
        <f t="array" ref="I49">_xlfn.STDEV.P(IF($E$5:$E$41=$E48,I$5:I$41))</f>
        <v>0</v>
      </c>
      <c r="J49" s="120"/>
      <c r="K49" s="117" t="s">
        <v>12</v>
      </c>
      <c r="L49" s="87">
        <f t="array" ref="L49">_xlfn.STDEV.P(IF($E$5:$E$41=$E48,L$5:L$41))</f>
        <v>0</v>
      </c>
      <c r="M49" s="87">
        <f t="array" ref="M49">_xlfn.STDEV.P(IF($E$5:$E$41=$E48,M$5:M$41))</f>
        <v>0</v>
      </c>
      <c r="N49" s="87">
        <f t="array" ref="N49">_xlfn.STDEV.P(IF($E$5:$E$41=$E48,N$5:N$41))</f>
        <v>0</v>
      </c>
      <c r="O49" s="87">
        <f t="array" ref="O49">_xlfn.STDEV.P(IF($E$5:$E$41=$E48,O$5:O$41))</f>
        <v>0</v>
      </c>
      <c r="P49" s="87">
        <f t="array" ref="P49">_xlfn.STDEV.P(IF($E$5:$E$41=$E48,P$5:P$41))</f>
        <v>0</v>
      </c>
      <c r="Q49" s="87">
        <f t="array" ref="Q49">_xlfn.STDEV.P(IF($E$5:$E$41=$E48,Q$5:Q$41))</f>
        <v>0</v>
      </c>
      <c r="R49" s="87">
        <f t="array" ref="R49">_xlfn.STDEV.P(IF($E$5:$E$41=$E48,R$5:R$41))</f>
        <v>0</v>
      </c>
      <c r="S49" s="87">
        <f t="array" ref="S49">_xlfn.STDEV.P(IF($E$5:$E$41=$E48,S$5:S$41))</f>
        <v>0</v>
      </c>
      <c r="T49" s="87">
        <f t="array" ref="T49">_xlfn.STDEV.P(IF($E$5:$E$41=$E48,T$5:T$41))</f>
        <v>0</v>
      </c>
      <c r="U49" s="87">
        <f t="array" ref="U49">_xlfn.STDEV.P(IF($E$5:$E$41=$E48,U$5:U$41))</f>
        <v>0</v>
      </c>
      <c r="V49" s="87">
        <f t="array" ref="V49">_xlfn.STDEV.P(IF($E$5:$E$41=$E48,V$5:V$41))</f>
        <v>0</v>
      </c>
      <c r="W49" s="87">
        <f t="array" ref="W49">_xlfn.STDEV.P(IF($E$5:$E$41=$E48,W$5:W$41))</f>
        <v>0</v>
      </c>
      <c r="X49" s="87">
        <f t="array" ref="X49">_xlfn.STDEV.P(IF($E$5:$E$41=$E48,X$5:X$41))</f>
        <v>0</v>
      </c>
      <c r="Y49" s="87">
        <f t="array" ref="Y49">_xlfn.STDEV.P(IF($E$5:$E$41=$E48,Y$5:Y$41))</f>
        <v>0</v>
      </c>
      <c r="Z49" s="87">
        <f t="array" ref="Z49">_xlfn.STDEV.P(IF($E$5:$E$41=$E48,Z$5:Z$41))</f>
        <v>0</v>
      </c>
      <c r="AA49" s="87">
        <f t="array" ref="AA49">_xlfn.STDEV.P(IF($E$5:$E$41=$E48,AA$5:AA$41))</f>
        <v>0</v>
      </c>
      <c r="AB49" s="87">
        <f t="array" ref="AB49">_xlfn.STDEV.P(IF($E$5:$E$41=$E48,AB$5:AB$41))</f>
        <v>0</v>
      </c>
      <c r="AC49" s="87">
        <f t="array" ref="AC49">_xlfn.STDEV.P(IF($E$5:$E$41=$E48,AC$5:AC$41))</f>
        <v>0</v>
      </c>
      <c r="AD49" s="87">
        <f t="array" ref="AD49">_xlfn.STDEV.P(IF($E$5:$E$41=$E48,AD$5:AD$41))</f>
        <v>0</v>
      </c>
      <c r="AE49" s="154" t="s">
        <v>12</v>
      </c>
      <c r="AF49" s="83" t="e">
        <f t="array" ref="AF49">_xlfn.STDEV.P(IF($E$5:$E$41=$E48,AF$5:AF$41))</f>
        <v>#DIV/0!</v>
      </c>
      <c r="AG49" s="83" t="e">
        <f t="array" ref="AG49">_xlfn.STDEV.P(IF($E$5:$E$41=$E48,AG$5:AG$41))</f>
        <v>#DIV/0!</v>
      </c>
      <c r="AH49" s="83" t="e">
        <f t="array" ref="AH49">_xlfn.STDEV.P(IF($E$5:$E$41=$E48,AH$5:AH$41))</f>
        <v>#DIV/0!</v>
      </c>
      <c r="AI49" s="83" t="e">
        <f t="array" ref="AI49">_xlfn.STDEV.P(IF($E$5:$E$41=$E48,AI$5:AI$41))</f>
        <v>#DIV/0!</v>
      </c>
      <c r="AJ49" s="83" t="e">
        <f t="array" ref="AJ49">_xlfn.STDEV.P(IF($E$5:$E$41=$E48,AJ$5:AJ$41))</f>
        <v>#DIV/0!</v>
      </c>
      <c r="AK49" s="83" t="e">
        <f t="array" ref="AK49">_xlfn.STDEV.P(IF($E$5:$E$41=$E48,AK$5:AK$41))</f>
        <v>#DIV/0!</v>
      </c>
      <c r="AL49" s="83" t="e">
        <f t="array" ref="AL49">_xlfn.STDEV.P(IF($E$5:$E$41=$E48,AL$5:AL$41))</f>
        <v>#DIV/0!</v>
      </c>
      <c r="AM49" s="83" t="e">
        <f t="array" ref="AM49">_xlfn.STDEV.P(IF($E$5:$E$41=$E48,AM$5:AM$41))</f>
        <v>#DIV/0!</v>
      </c>
      <c r="AN49" s="83" t="e">
        <f t="array" ref="AN49">_xlfn.STDEV.P(IF($E$5:$E$41=$E48,AN$5:AN$41))</f>
        <v>#DIV/0!</v>
      </c>
      <c r="AO49" s="83" t="e">
        <f t="array" ref="AO49">_xlfn.STDEV.P(IF($E$5:$E$41=$E48,AO$5:AO$41))</f>
        <v>#DIV/0!</v>
      </c>
      <c r="AP49" s="83" t="e">
        <f t="array" ref="AP49">_xlfn.STDEV.P(IF($E$5:$E$41=$E48,AP$5:AP$41))</f>
        <v>#DIV/0!</v>
      </c>
      <c r="AQ49" s="83" t="e">
        <f t="array" ref="AQ49">_xlfn.STDEV.P(IF($E$5:$E$41=$E48,AQ$5:AQ$41))</f>
        <v>#DIV/0!</v>
      </c>
      <c r="AR49" s="83" t="e">
        <f t="array" ref="AR49">_xlfn.STDEV.P(IF($E$5:$E$41=$E48,AR$5:AR$41))</f>
        <v>#DIV/0!</v>
      </c>
      <c r="AS49" s="83" t="e">
        <f t="array" ref="AS49">_xlfn.STDEV.P(IF($E$5:$E$41=$E48,AS$5:AS$41))</f>
        <v>#DIV/0!</v>
      </c>
      <c r="AT49" s="83" t="e">
        <f t="array" ref="AT49">_xlfn.STDEV.P(IF($E$5:$E$41=$E48,AT$5:AT$41))</f>
        <v>#DIV/0!</v>
      </c>
      <c r="AU49" s="83" t="e">
        <f t="array" ref="AU49">_xlfn.STDEV.P(IF($E$5:$E$41=$E48,AU$5:AU$41))</f>
        <v>#DIV/0!</v>
      </c>
      <c r="AV49" s="83" t="e">
        <f t="array" ref="AV49">_xlfn.STDEV.P(IF($E$5:$E$41=$E48,AV$5:AV$41))</f>
        <v>#DIV/0!</v>
      </c>
      <c r="AW49" s="83" t="e">
        <f t="array" ref="AW49">_xlfn.STDEV.P(IF($E$5:$E$41=$E48,AW$5:AW$41))</f>
        <v>#DIV/0!</v>
      </c>
      <c r="AX49" s="83" t="e">
        <f t="array" ref="AX49">_xlfn.STDEV.P(IF($E$5:$E$41=$E48,AX$5:AX$41))</f>
        <v>#DIV/0!</v>
      </c>
      <c r="AY49" s="85"/>
    </row>
    <row r="50" spans="1:51" ht="14.25" customHeight="1">
      <c r="A50" s="129"/>
      <c r="E50" s="104"/>
      <c r="H50" s="104"/>
      <c r="I50" s="120"/>
      <c r="J50" s="120"/>
      <c r="K50" s="148" t="s">
        <v>43</v>
      </c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148" t="s">
        <v>43</v>
      </c>
      <c r="AF50" s="82" t="e">
        <f>AF48-AF$43</f>
        <v>#DIV/0!</v>
      </c>
      <c r="AG50" s="82" t="e">
        <f>AG48-AG$43</f>
        <v>#DIV/0!</v>
      </c>
      <c r="AH50" s="82" t="e">
        <f t="shared" ref="AH50:AX50" si="49">AH48-AH$43</f>
        <v>#DIV/0!</v>
      </c>
      <c r="AI50" s="82" t="e">
        <f t="shared" si="49"/>
        <v>#DIV/0!</v>
      </c>
      <c r="AJ50" s="82" t="e">
        <f t="shared" si="49"/>
        <v>#DIV/0!</v>
      </c>
      <c r="AK50" s="82" t="e">
        <f t="shared" si="49"/>
        <v>#DIV/0!</v>
      </c>
      <c r="AL50" s="82" t="e">
        <f t="shared" si="49"/>
        <v>#DIV/0!</v>
      </c>
      <c r="AM50" s="82" t="e">
        <f t="shared" si="49"/>
        <v>#DIV/0!</v>
      </c>
      <c r="AN50" s="82" t="e">
        <f t="shared" si="49"/>
        <v>#DIV/0!</v>
      </c>
      <c r="AO50" s="82" t="e">
        <f t="shared" si="49"/>
        <v>#DIV/0!</v>
      </c>
      <c r="AP50" s="82" t="e">
        <f t="shared" si="49"/>
        <v>#DIV/0!</v>
      </c>
      <c r="AQ50" s="82" t="e">
        <f t="shared" si="49"/>
        <v>#DIV/0!</v>
      </c>
      <c r="AR50" s="82" t="e">
        <f t="shared" si="49"/>
        <v>#DIV/0!</v>
      </c>
      <c r="AS50" s="82" t="e">
        <f t="shared" si="49"/>
        <v>#DIV/0!</v>
      </c>
      <c r="AT50" s="82" t="e">
        <f t="shared" si="49"/>
        <v>#DIV/0!</v>
      </c>
      <c r="AU50" s="82" t="e">
        <f t="shared" si="49"/>
        <v>#DIV/0!</v>
      </c>
      <c r="AV50" s="82" t="e">
        <f t="shared" si="49"/>
        <v>#DIV/0!</v>
      </c>
      <c r="AW50" s="82" t="e">
        <f t="shared" si="49"/>
        <v>#DIV/0!</v>
      </c>
      <c r="AX50" s="173" t="e">
        <f t="shared" si="49"/>
        <v>#DIV/0!</v>
      </c>
      <c r="AY50" s="147"/>
    </row>
    <row r="51" spans="1:51" ht="14.25" customHeight="1">
      <c r="A51" s="129"/>
      <c r="E51" s="104"/>
      <c r="H51" s="104"/>
      <c r="I51" s="120"/>
      <c r="J51" s="120"/>
      <c r="K51" s="116" t="s">
        <v>63</v>
      </c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116" t="s">
        <v>63</v>
      </c>
      <c r="AF51" s="82"/>
      <c r="AG51" s="82" t="e">
        <f>AF48*EXP((AG$4-AF$4)*-LN(2)/8.091)</f>
        <v>#DIV/0!</v>
      </c>
      <c r="AH51" s="82" t="e">
        <f>AG48*EXP((AH$4-AG$4)*-LN(2)/8.091)</f>
        <v>#DIV/0!</v>
      </c>
      <c r="AI51" s="82" t="e">
        <f t="shared" ref="AI51:AX51" si="50">AH48*EXP((AI$4-AH$4)*-LN(2)/8.091)</f>
        <v>#DIV/0!</v>
      </c>
      <c r="AJ51" s="82" t="e">
        <f t="shared" si="50"/>
        <v>#DIV/0!</v>
      </c>
      <c r="AK51" s="82" t="e">
        <f t="shared" si="50"/>
        <v>#DIV/0!</v>
      </c>
      <c r="AL51" s="82" t="e">
        <f t="shared" si="50"/>
        <v>#DIV/0!</v>
      </c>
      <c r="AM51" s="82" t="e">
        <f t="shared" si="50"/>
        <v>#DIV/0!</v>
      </c>
      <c r="AN51" s="82" t="e">
        <f t="shared" si="50"/>
        <v>#DIV/0!</v>
      </c>
      <c r="AO51" s="82" t="e">
        <f t="shared" si="50"/>
        <v>#DIV/0!</v>
      </c>
      <c r="AP51" s="82" t="e">
        <f t="shared" si="50"/>
        <v>#DIV/0!</v>
      </c>
      <c r="AQ51" s="82" t="e">
        <f t="shared" si="50"/>
        <v>#DIV/0!</v>
      </c>
      <c r="AR51" s="82" t="e">
        <f t="shared" si="50"/>
        <v>#DIV/0!</v>
      </c>
      <c r="AS51" s="82" t="e">
        <f t="shared" si="50"/>
        <v>#DIV/0!</v>
      </c>
      <c r="AT51" s="82" t="e">
        <f t="shared" si="50"/>
        <v>#DIV/0!</v>
      </c>
      <c r="AU51" s="82" t="e">
        <f t="shared" si="50"/>
        <v>#DIV/0!</v>
      </c>
      <c r="AV51" s="82" t="e">
        <f t="shared" si="50"/>
        <v>#DIV/0!</v>
      </c>
      <c r="AW51" s="82" t="e">
        <f t="shared" si="50"/>
        <v>#DIV/0!</v>
      </c>
      <c r="AX51" s="173" t="e">
        <f t="shared" si="50"/>
        <v>#DIV/0!</v>
      </c>
      <c r="AY51" s="147"/>
    </row>
    <row r="52" spans="1:51" ht="14.25" customHeight="1">
      <c r="A52" s="129"/>
      <c r="E52" s="104"/>
      <c r="H52" s="104"/>
      <c r="I52" s="120"/>
      <c r="J52" s="120"/>
      <c r="K52" s="116" t="s">
        <v>44</v>
      </c>
      <c r="L52" s="89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116" t="s">
        <v>44</v>
      </c>
      <c r="AF52" s="174"/>
      <c r="AG52" s="83" t="e">
        <f>AG48-AG51</f>
        <v>#DIV/0!</v>
      </c>
      <c r="AH52" s="83" t="e">
        <f>AH48-AH51</f>
        <v>#DIV/0!</v>
      </c>
      <c r="AI52" s="83" t="e">
        <f t="shared" ref="AI52:AX52" si="51">AI48-AI51</f>
        <v>#DIV/0!</v>
      </c>
      <c r="AJ52" s="83" t="e">
        <f t="shared" si="51"/>
        <v>#DIV/0!</v>
      </c>
      <c r="AK52" s="83" t="e">
        <f t="shared" si="51"/>
        <v>#DIV/0!</v>
      </c>
      <c r="AL52" s="83" t="e">
        <f t="shared" si="51"/>
        <v>#DIV/0!</v>
      </c>
      <c r="AM52" s="83" t="e">
        <f t="shared" si="51"/>
        <v>#DIV/0!</v>
      </c>
      <c r="AN52" s="83" t="e">
        <f t="shared" si="51"/>
        <v>#DIV/0!</v>
      </c>
      <c r="AO52" s="83" t="e">
        <f t="shared" si="51"/>
        <v>#DIV/0!</v>
      </c>
      <c r="AP52" s="83" t="e">
        <f t="shared" si="51"/>
        <v>#DIV/0!</v>
      </c>
      <c r="AQ52" s="83" t="e">
        <f t="shared" si="51"/>
        <v>#DIV/0!</v>
      </c>
      <c r="AR52" s="83" t="e">
        <f t="shared" si="51"/>
        <v>#DIV/0!</v>
      </c>
      <c r="AS52" s="83" t="e">
        <f t="shared" si="51"/>
        <v>#DIV/0!</v>
      </c>
      <c r="AT52" s="83" t="e">
        <f t="shared" si="51"/>
        <v>#DIV/0!</v>
      </c>
      <c r="AU52" s="83" t="e">
        <f t="shared" si="51"/>
        <v>#DIV/0!</v>
      </c>
      <c r="AV52" s="83" t="e">
        <f t="shared" si="51"/>
        <v>#DIV/0!</v>
      </c>
      <c r="AW52" s="83" t="e">
        <f t="shared" si="51"/>
        <v>#DIV/0!</v>
      </c>
      <c r="AX52" s="175" t="e">
        <f t="shared" si="51"/>
        <v>#DIV/0!</v>
      </c>
      <c r="AY52" s="147"/>
    </row>
    <row r="53" spans="1:51" ht="14.25" customHeight="1">
      <c r="A53" s="129"/>
      <c r="E53" s="104"/>
      <c r="H53" s="104"/>
      <c r="I53" s="120"/>
      <c r="J53" s="120"/>
      <c r="K53" s="116" t="s">
        <v>64</v>
      </c>
      <c r="L53" s="89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116" t="s">
        <v>64</v>
      </c>
      <c r="AF53" s="174" t="e">
        <f>AF48/AF$43</f>
        <v>#DIV/0!</v>
      </c>
      <c r="AG53" s="83" t="e">
        <f>AG48/AG$43</f>
        <v>#DIV/0!</v>
      </c>
      <c r="AH53" s="83" t="e">
        <f>AH48/AH$43</f>
        <v>#DIV/0!</v>
      </c>
      <c r="AI53" s="83" t="e">
        <f t="shared" ref="AI53:AX53" si="52">AI48/AI$43</f>
        <v>#DIV/0!</v>
      </c>
      <c r="AJ53" s="83" t="e">
        <f t="shared" si="52"/>
        <v>#DIV/0!</v>
      </c>
      <c r="AK53" s="83" t="e">
        <f t="shared" si="52"/>
        <v>#DIV/0!</v>
      </c>
      <c r="AL53" s="83" t="e">
        <f t="shared" si="52"/>
        <v>#DIV/0!</v>
      </c>
      <c r="AM53" s="83" t="e">
        <f t="shared" si="52"/>
        <v>#DIV/0!</v>
      </c>
      <c r="AN53" s="83" t="e">
        <f t="shared" si="52"/>
        <v>#DIV/0!</v>
      </c>
      <c r="AO53" s="83" t="e">
        <f t="shared" si="52"/>
        <v>#DIV/0!</v>
      </c>
      <c r="AP53" s="83" t="e">
        <f t="shared" si="52"/>
        <v>#DIV/0!</v>
      </c>
      <c r="AQ53" s="83" t="e">
        <f t="shared" si="52"/>
        <v>#DIV/0!</v>
      </c>
      <c r="AR53" s="83" t="e">
        <f t="shared" si="52"/>
        <v>#DIV/0!</v>
      </c>
      <c r="AS53" s="83" t="e">
        <f t="shared" si="52"/>
        <v>#DIV/0!</v>
      </c>
      <c r="AT53" s="83" t="e">
        <f t="shared" si="52"/>
        <v>#DIV/0!</v>
      </c>
      <c r="AU53" s="83" t="e">
        <f t="shared" si="52"/>
        <v>#DIV/0!</v>
      </c>
      <c r="AV53" s="83" t="e">
        <f t="shared" si="52"/>
        <v>#DIV/0!</v>
      </c>
      <c r="AW53" s="83" t="e">
        <f t="shared" si="52"/>
        <v>#DIV/0!</v>
      </c>
      <c r="AX53" s="175" t="e">
        <f t="shared" si="52"/>
        <v>#DIV/0!</v>
      </c>
      <c r="AY53" s="147"/>
    </row>
    <row r="54" spans="1:51" ht="15">
      <c r="A54" s="129"/>
      <c r="E54" s="58"/>
      <c r="H54" s="58"/>
      <c r="K54" s="150"/>
      <c r="AE54" s="149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176"/>
    </row>
    <row r="55" spans="1:51" ht="14.25" customHeight="1">
      <c r="A55" s="129"/>
      <c r="E55" s="134" t="str">
        <f>'RAD_DOSE Groups'!C7</f>
        <v>CP-PTX Control</v>
      </c>
      <c r="H55" s="134" t="str">
        <f>E55</f>
        <v>CP-PTX Control</v>
      </c>
      <c r="I55" s="120">
        <f>AVERAGEIF($E$5:$E$41,$E55,I$5:I$41)</f>
        <v>0</v>
      </c>
      <c r="J55" s="120"/>
      <c r="K55" s="117" t="s">
        <v>10</v>
      </c>
      <c r="L55" s="87">
        <f t="shared" ref="L55:AD55" si="53">AVERAGEIF($E$5:$E$41,$E55,L$5:L$41)</f>
        <v>0</v>
      </c>
      <c r="M55" s="87">
        <f t="shared" si="53"/>
        <v>0</v>
      </c>
      <c r="N55" s="87">
        <f t="shared" si="53"/>
        <v>0</v>
      </c>
      <c r="O55" s="87">
        <f t="shared" si="53"/>
        <v>0</v>
      </c>
      <c r="P55" s="87">
        <f t="shared" si="53"/>
        <v>0</v>
      </c>
      <c r="Q55" s="87">
        <f t="shared" si="53"/>
        <v>0</v>
      </c>
      <c r="R55" s="87">
        <f t="shared" si="53"/>
        <v>0</v>
      </c>
      <c r="S55" s="87">
        <f t="shared" si="53"/>
        <v>0</v>
      </c>
      <c r="T55" s="87" t="e">
        <f t="shared" si="53"/>
        <v>#DIV/0!</v>
      </c>
      <c r="U55" s="87" t="e">
        <f t="shared" si="53"/>
        <v>#DIV/0!</v>
      </c>
      <c r="V55" s="87" t="e">
        <f t="shared" si="53"/>
        <v>#DIV/0!</v>
      </c>
      <c r="W55" s="87" t="e">
        <f t="shared" si="53"/>
        <v>#DIV/0!</v>
      </c>
      <c r="X55" s="87" t="e">
        <f t="shared" si="53"/>
        <v>#DIV/0!</v>
      </c>
      <c r="Y55" s="87" t="e">
        <f t="shared" si="53"/>
        <v>#DIV/0!</v>
      </c>
      <c r="Z55" s="87" t="e">
        <f t="shared" si="53"/>
        <v>#DIV/0!</v>
      </c>
      <c r="AA55" s="87" t="e">
        <f t="shared" si="53"/>
        <v>#DIV/0!</v>
      </c>
      <c r="AB55" s="87" t="e">
        <f t="shared" si="53"/>
        <v>#DIV/0!</v>
      </c>
      <c r="AC55" s="87" t="e">
        <f t="shared" si="53"/>
        <v>#DIV/0!</v>
      </c>
      <c r="AD55" s="87" t="e">
        <f t="shared" si="53"/>
        <v>#DIV/0!</v>
      </c>
      <c r="AE55" s="153" t="s">
        <v>10</v>
      </c>
      <c r="AF55" s="82" t="e">
        <f t="shared" ref="AF55:AX55" si="54">AVERAGEIF($E$5:$E$41,$E55,AF$5:AF$41)</f>
        <v>#DIV/0!</v>
      </c>
      <c r="AG55" s="82" t="e">
        <f t="shared" si="54"/>
        <v>#DIV/0!</v>
      </c>
      <c r="AH55" s="82" t="e">
        <f t="shared" si="54"/>
        <v>#DIV/0!</v>
      </c>
      <c r="AI55" s="82" t="e">
        <f t="shared" si="54"/>
        <v>#DIV/0!</v>
      </c>
      <c r="AJ55" s="82" t="e">
        <f t="shared" si="54"/>
        <v>#DIV/0!</v>
      </c>
      <c r="AK55" s="82" t="e">
        <f t="shared" si="54"/>
        <v>#DIV/0!</v>
      </c>
      <c r="AL55" s="82" t="e">
        <f t="shared" si="54"/>
        <v>#DIV/0!</v>
      </c>
      <c r="AM55" s="82" t="e">
        <f t="shared" si="54"/>
        <v>#DIV/0!</v>
      </c>
      <c r="AN55" s="82" t="e">
        <f t="shared" si="54"/>
        <v>#DIV/0!</v>
      </c>
      <c r="AO55" s="82" t="e">
        <f t="shared" si="54"/>
        <v>#DIV/0!</v>
      </c>
      <c r="AP55" s="82" t="e">
        <f t="shared" si="54"/>
        <v>#DIV/0!</v>
      </c>
      <c r="AQ55" s="82" t="e">
        <f t="shared" si="54"/>
        <v>#DIV/0!</v>
      </c>
      <c r="AR55" s="82" t="e">
        <f t="shared" si="54"/>
        <v>#DIV/0!</v>
      </c>
      <c r="AS55" s="82" t="e">
        <f t="shared" si="54"/>
        <v>#DIV/0!</v>
      </c>
      <c r="AT55" s="82" t="e">
        <f t="shared" si="54"/>
        <v>#DIV/0!</v>
      </c>
      <c r="AU55" s="82" t="e">
        <f t="shared" si="54"/>
        <v>#DIV/0!</v>
      </c>
      <c r="AV55" s="82" t="e">
        <f t="shared" si="54"/>
        <v>#DIV/0!</v>
      </c>
      <c r="AW55" s="82" t="e">
        <f t="shared" si="54"/>
        <v>#DIV/0!</v>
      </c>
      <c r="AX55" s="82" t="e">
        <f t="shared" si="54"/>
        <v>#DIV/0!</v>
      </c>
      <c r="AY55" s="85"/>
    </row>
    <row r="56" spans="1:51" ht="14.25" customHeight="1">
      <c r="A56" s="129"/>
      <c r="E56" s="104"/>
      <c r="H56" s="104"/>
      <c r="I56" s="120">
        <f t="array" ref="I56">_xlfn.STDEV.P(IF($E$5:$E$41=$E55,I$5:I$41))</f>
        <v>0</v>
      </c>
      <c r="J56" s="120"/>
      <c r="K56" s="117" t="s">
        <v>12</v>
      </c>
      <c r="L56" s="90">
        <f t="array" ref="L56">_xlfn.STDEV.P(IF($E$5:$E$41=$E55,L$5:L$41))</f>
        <v>0</v>
      </c>
      <c r="M56" s="90">
        <f t="array" ref="M56">_xlfn.STDEV.P(IF($E$5:$E$41=$E55,M$5:M$41))</f>
        <v>0</v>
      </c>
      <c r="N56" s="90">
        <f t="array" ref="N56">_xlfn.STDEV.P(IF($E$5:$E$41=$E55,N$5:N$41))</f>
        <v>0</v>
      </c>
      <c r="O56" s="90">
        <f t="array" ref="O56">_xlfn.STDEV.P(IF($E$5:$E$41=$E55,O$5:O$41))</f>
        <v>0</v>
      </c>
      <c r="P56" s="90">
        <f t="array" ref="P56">_xlfn.STDEV.P(IF($E$5:$E$41=$E55,P$5:P$41))</f>
        <v>0</v>
      </c>
      <c r="Q56" s="90">
        <f t="array" ref="Q56">_xlfn.STDEV.P(IF($E$5:$E$41=$E55,Q$5:Q$41))</f>
        <v>0</v>
      </c>
      <c r="R56" s="90">
        <f t="array" ref="R56">_xlfn.STDEV.P(IF($E$5:$E$41=$E55,R$5:R$41))</f>
        <v>0</v>
      </c>
      <c r="S56" s="90">
        <f t="array" ref="S56">_xlfn.STDEV.P(IF($E$5:$E$41=$E55,S$5:S$41))</f>
        <v>0</v>
      </c>
      <c r="T56" s="90">
        <f t="array" ref="T56">_xlfn.STDEV.P(IF($E$5:$E$41=$E55,T$5:T$41))</f>
        <v>0</v>
      </c>
      <c r="U56" s="90">
        <f t="array" ref="U56">_xlfn.STDEV.P(IF($E$5:$E$41=$E55,U$5:U$41))</f>
        <v>0</v>
      </c>
      <c r="V56" s="90">
        <f t="array" ref="V56">_xlfn.STDEV.P(IF($E$5:$E$41=$E55,V$5:V$41))</f>
        <v>0</v>
      </c>
      <c r="W56" s="90">
        <f t="array" ref="W56">_xlfn.STDEV.P(IF($E$5:$E$41=$E55,W$5:W$41))</f>
        <v>0</v>
      </c>
      <c r="X56" s="90">
        <f t="array" ref="X56">_xlfn.STDEV.P(IF($E$5:$E$41=$E55,X$5:X$41))</f>
        <v>0</v>
      </c>
      <c r="Y56" s="90">
        <f t="array" ref="Y56">_xlfn.STDEV.P(IF($E$5:$E$41=$E55,Y$5:Y$41))</f>
        <v>0</v>
      </c>
      <c r="Z56" s="90">
        <f t="array" ref="Z56">_xlfn.STDEV.P(IF($E$5:$E$41=$E55,Z$5:Z$41))</f>
        <v>0</v>
      </c>
      <c r="AA56" s="90">
        <f t="array" ref="AA56">_xlfn.STDEV.P(IF($E$5:$E$41=$E55,AA$5:AA$41))</f>
        <v>0</v>
      </c>
      <c r="AB56" s="90">
        <f t="array" ref="AB56">_xlfn.STDEV.P(IF($E$5:$E$41=$E55,AB$5:AB$41))</f>
        <v>0</v>
      </c>
      <c r="AC56" s="90">
        <f t="array" ref="AC56">_xlfn.STDEV.P(IF($E$5:$E$41=$E55,AC$5:AC$41))</f>
        <v>0</v>
      </c>
      <c r="AD56" s="90">
        <f t="array" ref="AD56">_xlfn.STDEV.P(IF($E$5:$E$41=$E55,AD$5:AD$41))</f>
        <v>0</v>
      </c>
      <c r="AE56" s="154" t="s">
        <v>12</v>
      </c>
      <c r="AF56" s="83" t="e">
        <f t="array" ref="AF56">_xlfn.STDEV.P(IF($E$5:$E$41=$E55,AF$5:AF$41))</f>
        <v>#DIV/0!</v>
      </c>
      <c r="AG56" s="83" t="e">
        <f t="array" ref="AG56">_xlfn.STDEV.P(IF($E$5:$E$41=$E55,AG$5:AG$41))</f>
        <v>#DIV/0!</v>
      </c>
      <c r="AH56" s="83" t="e">
        <f t="array" ref="AH56">_xlfn.STDEV.P(IF($E$5:$E$41=$E55,AH$5:AH$41))</f>
        <v>#DIV/0!</v>
      </c>
      <c r="AI56" s="83" t="e">
        <f t="array" ref="AI56">_xlfn.STDEV.P(IF($E$5:$E$41=$E55,AI$5:AI$41))</f>
        <v>#DIV/0!</v>
      </c>
      <c r="AJ56" s="83" t="e">
        <f t="array" ref="AJ56">_xlfn.STDEV.P(IF($E$5:$E$41=$E55,AJ$5:AJ$41))</f>
        <v>#DIV/0!</v>
      </c>
      <c r="AK56" s="83" t="e">
        <f t="array" ref="AK56">_xlfn.STDEV.P(IF($E$5:$E$41=$E55,AK$5:AK$41))</f>
        <v>#DIV/0!</v>
      </c>
      <c r="AL56" s="83" t="e">
        <f t="array" ref="AL56">_xlfn.STDEV.P(IF($E$5:$E$41=$E55,AL$5:AL$41))</f>
        <v>#DIV/0!</v>
      </c>
      <c r="AM56" s="83" t="e">
        <f t="array" ref="AM56">_xlfn.STDEV.P(IF($E$5:$E$41=$E55,AM$5:AM$41))</f>
        <v>#DIV/0!</v>
      </c>
      <c r="AN56" s="83" t="e">
        <f t="array" ref="AN56">_xlfn.STDEV.P(IF($E$5:$E$41=$E55,AN$5:AN$41))</f>
        <v>#DIV/0!</v>
      </c>
      <c r="AO56" s="83" t="e">
        <f t="array" ref="AO56">_xlfn.STDEV.P(IF($E$5:$E$41=$E55,AO$5:AO$41))</f>
        <v>#DIV/0!</v>
      </c>
      <c r="AP56" s="83" t="e">
        <f t="array" ref="AP56">_xlfn.STDEV.P(IF($E$5:$E$41=$E55,AP$5:AP$41))</f>
        <v>#DIV/0!</v>
      </c>
      <c r="AQ56" s="83" t="e">
        <f t="array" ref="AQ56">_xlfn.STDEV.P(IF($E$5:$E$41=$E55,AQ$5:AQ$41))</f>
        <v>#DIV/0!</v>
      </c>
      <c r="AR56" s="83" t="e">
        <f t="array" ref="AR56">_xlfn.STDEV.P(IF($E$5:$E$41=$E55,AR$5:AR$41))</f>
        <v>#DIV/0!</v>
      </c>
      <c r="AS56" s="83" t="e">
        <f t="array" ref="AS56">_xlfn.STDEV.P(IF($E$5:$E$41=$E55,AS$5:AS$41))</f>
        <v>#DIV/0!</v>
      </c>
      <c r="AT56" s="83" t="e">
        <f t="array" ref="AT56">_xlfn.STDEV.P(IF($E$5:$E$41=$E55,AT$5:AT$41))</f>
        <v>#DIV/0!</v>
      </c>
      <c r="AU56" s="83" t="e">
        <f t="array" ref="AU56">_xlfn.STDEV.P(IF($E$5:$E$41=$E55,AU$5:AU$41))</f>
        <v>#DIV/0!</v>
      </c>
      <c r="AV56" s="83" t="e">
        <f t="array" ref="AV56">_xlfn.STDEV.P(IF($E$5:$E$41=$E55,AV$5:AV$41))</f>
        <v>#DIV/0!</v>
      </c>
      <c r="AW56" s="83" t="e">
        <f t="array" ref="AW56">_xlfn.STDEV.P(IF($E$5:$E$41=$E55,AW$5:AW$41))</f>
        <v>#DIV/0!</v>
      </c>
      <c r="AX56" s="83" t="e">
        <f t="array" ref="AX56">_xlfn.STDEV.P(IF($E$5:$E$41=$E55,AX$5:AX$41))</f>
        <v>#DIV/0!</v>
      </c>
      <c r="AY56" s="85"/>
    </row>
    <row r="57" spans="1:51" ht="14.25" customHeight="1">
      <c r="A57" s="129"/>
      <c r="E57" s="104"/>
      <c r="H57" s="104"/>
      <c r="I57" s="120"/>
      <c r="J57" s="120"/>
      <c r="K57" s="148" t="s">
        <v>43</v>
      </c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148" t="s">
        <v>43</v>
      </c>
      <c r="AF57" s="82" t="e">
        <f>AF55-AF$43</f>
        <v>#DIV/0!</v>
      </c>
      <c r="AG57" s="82" t="e">
        <f>AG55-AG$43</f>
        <v>#DIV/0!</v>
      </c>
      <c r="AH57" s="82" t="e">
        <f t="shared" ref="AH57:AX57" si="55">AH55-AH$43</f>
        <v>#DIV/0!</v>
      </c>
      <c r="AI57" s="82" t="e">
        <f t="shared" si="55"/>
        <v>#DIV/0!</v>
      </c>
      <c r="AJ57" s="82" t="e">
        <f t="shared" si="55"/>
        <v>#DIV/0!</v>
      </c>
      <c r="AK57" s="82" t="e">
        <f t="shared" si="55"/>
        <v>#DIV/0!</v>
      </c>
      <c r="AL57" s="82" t="e">
        <f t="shared" si="55"/>
        <v>#DIV/0!</v>
      </c>
      <c r="AM57" s="82" t="e">
        <f t="shared" si="55"/>
        <v>#DIV/0!</v>
      </c>
      <c r="AN57" s="82" t="e">
        <f t="shared" si="55"/>
        <v>#DIV/0!</v>
      </c>
      <c r="AO57" s="82" t="e">
        <f t="shared" si="55"/>
        <v>#DIV/0!</v>
      </c>
      <c r="AP57" s="82" t="e">
        <f t="shared" si="55"/>
        <v>#DIV/0!</v>
      </c>
      <c r="AQ57" s="82" t="e">
        <f t="shared" si="55"/>
        <v>#DIV/0!</v>
      </c>
      <c r="AR57" s="82" t="e">
        <f t="shared" si="55"/>
        <v>#DIV/0!</v>
      </c>
      <c r="AS57" s="82" t="e">
        <f t="shared" si="55"/>
        <v>#DIV/0!</v>
      </c>
      <c r="AT57" s="82" t="e">
        <f t="shared" si="55"/>
        <v>#DIV/0!</v>
      </c>
      <c r="AU57" s="82" t="e">
        <f t="shared" si="55"/>
        <v>#DIV/0!</v>
      </c>
      <c r="AV57" s="82" t="e">
        <f t="shared" si="55"/>
        <v>#DIV/0!</v>
      </c>
      <c r="AW57" s="82" t="e">
        <f t="shared" si="55"/>
        <v>#DIV/0!</v>
      </c>
      <c r="AX57" s="173" t="e">
        <f t="shared" si="55"/>
        <v>#DIV/0!</v>
      </c>
      <c r="AY57" s="147"/>
    </row>
    <row r="58" spans="1:51" ht="14.25" customHeight="1">
      <c r="A58" s="129"/>
      <c r="E58" s="104"/>
      <c r="H58" s="104"/>
      <c r="I58" s="120"/>
      <c r="J58" s="120"/>
      <c r="K58" s="116" t="s">
        <v>63</v>
      </c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116" t="s">
        <v>63</v>
      </c>
      <c r="AF58" s="82"/>
      <c r="AG58" s="82" t="e">
        <f>AF55*EXP((AG$4-AF$4)*-LN(2)/8.091)</f>
        <v>#DIV/0!</v>
      </c>
      <c r="AH58" s="82" t="e">
        <f>AG55*EXP((AH$4-AG$4)*-LN(2)/8.091)</f>
        <v>#DIV/0!</v>
      </c>
      <c r="AI58" s="82" t="e">
        <f t="shared" ref="AI58:AX58" si="56">AH55*EXP((AI$4-AH$4)*-LN(2)/8.091)</f>
        <v>#DIV/0!</v>
      </c>
      <c r="AJ58" s="82" t="e">
        <f t="shared" si="56"/>
        <v>#DIV/0!</v>
      </c>
      <c r="AK58" s="82" t="e">
        <f t="shared" si="56"/>
        <v>#DIV/0!</v>
      </c>
      <c r="AL58" s="82" t="e">
        <f t="shared" si="56"/>
        <v>#DIV/0!</v>
      </c>
      <c r="AM58" s="82" t="e">
        <f t="shared" si="56"/>
        <v>#DIV/0!</v>
      </c>
      <c r="AN58" s="82" t="e">
        <f t="shared" si="56"/>
        <v>#DIV/0!</v>
      </c>
      <c r="AO58" s="82" t="e">
        <f t="shared" si="56"/>
        <v>#DIV/0!</v>
      </c>
      <c r="AP58" s="82" t="e">
        <f t="shared" si="56"/>
        <v>#DIV/0!</v>
      </c>
      <c r="AQ58" s="82" t="e">
        <f t="shared" si="56"/>
        <v>#DIV/0!</v>
      </c>
      <c r="AR58" s="82" t="e">
        <f t="shared" si="56"/>
        <v>#DIV/0!</v>
      </c>
      <c r="AS58" s="82" t="e">
        <f t="shared" si="56"/>
        <v>#DIV/0!</v>
      </c>
      <c r="AT58" s="82" t="e">
        <f t="shared" si="56"/>
        <v>#DIV/0!</v>
      </c>
      <c r="AU58" s="82" t="e">
        <f t="shared" si="56"/>
        <v>#DIV/0!</v>
      </c>
      <c r="AV58" s="82" t="e">
        <f t="shared" si="56"/>
        <v>#DIV/0!</v>
      </c>
      <c r="AW58" s="82" t="e">
        <f t="shared" si="56"/>
        <v>#DIV/0!</v>
      </c>
      <c r="AX58" s="173" t="e">
        <f t="shared" si="56"/>
        <v>#DIV/0!</v>
      </c>
      <c r="AY58" s="147"/>
    </row>
    <row r="59" spans="1:51" ht="14.25" customHeight="1">
      <c r="A59" s="129"/>
      <c r="E59" s="104"/>
      <c r="H59" s="104"/>
      <c r="I59" s="120"/>
      <c r="J59" s="120"/>
      <c r="K59" s="116" t="s">
        <v>44</v>
      </c>
      <c r="L59" s="89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116" t="s">
        <v>44</v>
      </c>
      <c r="AF59" s="174"/>
      <c r="AG59" s="83" t="e">
        <f>AG55-AG58</f>
        <v>#DIV/0!</v>
      </c>
      <c r="AH59" s="83" t="e">
        <f>AH55-AH58</f>
        <v>#DIV/0!</v>
      </c>
      <c r="AI59" s="83" t="e">
        <f t="shared" ref="AI59" si="57">AI55-AI58</f>
        <v>#DIV/0!</v>
      </c>
      <c r="AJ59" s="83" t="e">
        <f t="shared" ref="AJ59" si="58">AJ55-AJ58</f>
        <v>#DIV/0!</v>
      </c>
      <c r="AK59" s="83" t="e">
        <f t="shared" ref="AK59" si="59">AK55-AK58</f>
        <v>#DIV/0!</v>
      </c>
      <c r="AL59" s="83" t="e">
        <f t="shared" ref="AL59" si="60">AL55-AL58</f>
        <v>#DIV/0!</v>
      </c>
      <c r="AM59" s="83" t="e">
        <f t="shared" ref="AM59" si="61">AM55-AM58</f>
        <v>#DIV/0!</v>
      </c>
      <c r="AN59" s="83" t="e">
        <f t="shared" ref="AN59" si="62">AN55-AN58</f>
        <v>#DIV/0!</v>
      </c>
      <c r="AO59" s="83" t="e">
        <f t="shared" ref="AO59" si="63">AO55-AO58</f>
        <v>#DIV/0!</v>
      </c>
      <c r="AP59" s="83" t="e">
        <f t="shared" ref="AP59" si="64">AP55-AP58</f>
        <v>#DIV/0!</v>
      </c>
      <c r="AQ59" s="83" t="e">
        <f t="shared" ref="AQ59" si="65">AQ55-AQ58</f>
        <v>#DIV/0!</v>
      </c>
      <c r="AR59" s="83" t="e">
        <f t="shared" ref="AR59" si="66">AR55-AR58</f>
        <v>#DIV/0!</v>
      </c>
      <c r="AS59" s="83" t="e">
        <f t="shared" ref="AS59" si="67">AS55-AS58</f>
        <v>#DIV/0!</v>
      </c>
      <c r="AT59" s="83" t="e">
        <f t="shared" ref="AT59" si="68">AT55-AT58</f>
        <v>#DIV/0!</v>
      </c>
      <c r="AU59" s="83" t="e">
        <f t="shared" ref="AU59" si="69">AU55-AU58</f>
        <v>#DIV/0!</v>
      </c>
      <c r="AV59" s="83" t="e">
        <f t="shared" ref="AV59" si="70">AV55-AV58</f>
        <v>#DIV/0!</v>
      </c>
      <c r="AW59" s="83" t="e">
        <f t="shared" ref="AW59" si="71">AW55-AW58</f>
        <v>#DIV/0!</v>
      </c>
      <c r="AX59" s="175" t="e">
        <f t="shared" ref="AX59" si="72">AX55-AX58</f>
        <v>#DIV/0!</v>
      </c>
      <c r="AY59" s="147"/>
    </row>
    <row r="60" spans="1:51" ht="14.25" customHeight="1">
      <c r="A60" s="129"/>
      <c r="E60" s="104"/>
      <c r="H60" s="104"/>
      <c r="I60" s="120"/>
      <c r="J60" s="120"/>
      <c r="K60" s="116" t="s">
        <v>64</v>
      </c>
      <c r="L60" s="89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116" t="s">
        <v>64</v>
      </c>
      <c r="AF60" s="174" t="e">
        <f>AF55/AF$43</f>
        <v>#DIV/0!</v>
      </c>
      <c r="AG60" s="83" t="e">
        <f>AG55/AG$43</f>
        <v>#DIV/0!</v>
      </c>
      <c r="AH60" s="83" t="e">
        <f>AH55/AH$43</f>
        <v>#DIV/0!</v>
      </c>
      <c r="AI60" s="83" t="e">
        <f t="shared" ref="AI60:AX60" si="73">AI55/AI$43</f>
        <v>#DIV/0!</v>
      </c>
      <c r="AJ60" s="83" t="e">
        <f t="shared" si="73"/>
        <v>#DIV/0!</v>
      </c>
      <c r="AK60" s="83" t="e">
        <f t="shared" si="73"/>
        <v>#DIV/0!</v>
      </c>
      <c r="AL60" s="83" t="e">
        <f t="shared" si="73"/>
        <v>#DIV/0!</v>
      </c>
      <c r="AM60" s="83" t="e">
        <f t="shared" si="73"/>
        <v>#DIV/0!</v>
      </c>
      <c r="AN60" s="83" t="e">
        <f t="shared" si="73"/>
        <v>#DIV/0!</v>
      </c>
      <c r="AO60" s="83" t="e">
        <f t="shared" si="73"/>
        <v>#DIV/0!</v>
      </c>
      <c r="AP60" s="83" t="e">
        <f t="shared" si="73"/>
        <v>#DIV/0!</v>
      </c>
      <c r="AQ60" s="83" t="e">
        <f t="shared" si="73"/>
        <v>#DIV/0!</v>
      </c>
      <c r="AR60" s="83" t="e">
        <f t="shared" si="73"/>
        <v>#DIV/0!</v>
      </c>
      <c r="AS60" s="83" t="e">
        <f t="shared" si="73"/>
        <v>#DIV/0!</v>
      </c>
      <c r="AT60" s="83" t="e">
        <f t="shared" si="73"/>
        <v>#DIV/0!</v>
      </c>
      <c r="AU60" s="83" t="e">
        <f t="shared" si="73"/>
        <v>#DIV/0!</v>
      </c>
      <c r="AV60" s="83" t="e">
        <f t="shared" si="73"/>
        <v>#DIV/0!</v>
      </c>
      <c r="AW60" s="83" t="e">
        <f t="shared" si="73"/>
        <v>#DIV/0!</v>
      </c>
      <c r="AX60" s="175" t="e">
        <f t="shared" si="73"/>
        <v>#DIV/0!</v>
      </c>
      <c r="AY60" s="147"/>
    </row>
    <row r="61" spans="1:51" ht="15">
      <c r="A61" s="129"/>
      <c r="E61" s="58"/>
      <c r="H61" s="58"/>
      <c r="K61" s="150"/>
      <c r="AE61" s="149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176"/>
    </row>
    <row r="62" spans="1:51" ht="14.25" customHeight="1">
      <c r="A62" s="129"/>
      <c r="E62" s="134" t="str">
        <f>'RAD_DOSE Groups'!C8</f>
        <v>3.3 uCi Control</v>
      </c>
      <c r="H62" s="134" t="str">
        <f>E62</f>
        <v>3.3 uCi Control</v>
      </c>
      <c r="I62" s="120">
        <f>AVERAGEIF($E$5:$E$41,$E62,I$5:I$41)</f>
        <v>281.60000000000002</v>
      </c>
      <c r="J62" s="120"/>
      <c r="K62" s="117" t="s">
        <v>10</v>
      </c>
      <c r="L62" s="87">
        <f t="shared" ref="L62:AD62" si="74">AVERAGEIF($E$5:$E$41,$E62,L$5:L$41)</f>
        <v>281.60000000000002</v>
      </c>
      <c r="M62" s="87">
        <f t="shared" si="74"/>
        <v>251.8</v>
      </c>
      <c r="N62" s="87">
        <f t="shared" si="74"/>
        <v>219.6</v>
      </c>
      <c r="O62" s="87">
        <f t="shared" si="74"/>
        <v>197.2</v>
      </c>
      <c r="P62" s="87">
        <f t="shared" si="74"/>
        <v>162</v>
      </c>
      <c r="Q62" s="87">
        <f t="shared" si="74"/>
        <v>117.8</v>
      </c>
      <c r="R62" s="87">
        <f t="shared" si="74"/>
        <v>92.2</v>
      </c>
      <c r="S62" s="87">
        <f t="shared" si="74"/>
        <v>64.3</v>
      </c>
      <c r="T62" s="87" t="e">
        <f t="shared" si="74"/>
        <v>#DIV/0!</v>
      </c>
      <c r="U62" s="87" t="e">
        <f t="shared" si="74"/>
        <v>#DIV/0!</v>
      </c>
      <c r="V62" s="87" t="e">
        <f t="shared" si="74"/>
        <v>#DIV/0!</v>
      </c>
      <c r="W62" s="87" t="e">
        <f t="shared" si="74"/>
        <v>#DIV/0!</v>
      </c>
      <c r="X62" s="87" t="e">
        <f t="shared" si="74"/>
        <v>#DIV/0!</v>
      </c>
      <c r="Y62" s="87" t="e">
        <f t="shared" si="74"/>
        <v>#DIV/0!</v>
      </c>
      <c r="Z62" s="87" t="e">
        <f t="shared" si="74"/>
        <v>#DIV/0!</v>
      </c>
      <c r="AA62" s="87" t="e">
        <f t="shared" si="74"/>
        <v>#DIV/0!</v>
      </c>
      <c r="AB62" s="87" t="e">
        <f t="shared" si="74"/>
        <v>#DIV/0!</v>
      </c>
      <c r="AC62" s="87" t="e">
        <f t="shared" si="74"/>
        <v>#DIV/0!</v>
      </c>
      <c r="AD62" s="87" t="e">
        <f t="shared" si="74"/>
        <v>#DIV/0!</v>
      </c>
      <c r="AE62" s="153" t="s">
        <v>10</v>
      </c>
      <c r="AF62" s="82">
        <f t="shared" ref="AF62:AX62" si="75">AVERAGEIF($E$5:$E$41,$E62,AF$5:AF$41)</f>
        <v>1</v>
      </c>
      <c r="AG62" s="82">
        <f t="shared" si="75"/>
        <v>0.88844143510244178</v>
      </c>
      <c r="AH62" s="82">
        <f t="shared" si="75"/>
        <v>0.78004428463998854</v>
      </c>
      <c r="AI62" s="82">
        <f t="shared" si="75"/>
        <v>0.70218837578668358</v>
      </c>
      <c r="AJ62" s="82">
        <f t="shared" si="75"/>
        <v>0.57316479197843628</v>
      </c>
      <c r="AK62" s="82">
        <f t="shared" si="75"/>
        <v>0.41560026097399894</v>
      </c>
      <c r="AL62" s="82">
        <f t="shared" si="75"/>
        <v>0.32093053405486338</v>
      </c>
      <c r="AM62" s="82">
        <f t="shared" si="75"/>
        <v>0.22665749838165716</v>
      </c>
      <c r="AN62" s="82" t="e">
        <f t="shared" si="75"/>
        <v>#DIV/0!</v>
      </c>
      <c r="AO62" s="82" t="e">
        <f t="shared" si="75"/>
        <v>#DIV/0!</v>
      </c>
      <c r="AP62" s="82" t="e">
        <f t="shared" si="75"/>
        <v>#DIV/0!</v>
      </c>
      <c r="AQ62" s="82" t="e">
        <f t="shared" si="75"/>
        <v>#DIV/0!</v>
      </c>
      <c r="AR62" s="82" t="e">
        <f t="shared" si="75"/>
        <v>#DIV/0!</v>
      </c>
      <c r="AS62" s="82" t="e">
        <f t="shared" si="75"/>
        <v>#DIV/0!</v>
      </c>
      <c r="AT62" s="82" t="e">
        <f t="shared" si="75"/>
        <v>#DIV/0!</v>
      </c>
      <c r="AU62" s="82" t="e">
        <f t="shared" si="75"/>
        <v>#DIV/0!</v>
      </c>
      <c r="AV62" s="82" t="e">
        <f t="shared" si="75"/>
        <v>#DIV/0!</v>
      </c>
      <c r="AW62" s="82" t="e">
        <f t="shared" si="75"/>
        <v>#DIV/0!</v>
      </c>
      <c r="AX62" s="82" t="e">
        <f t="shared" si="75"/>
        <v>#DIV/0!</v>
      </c>
      <c r="AY62" s="85"/>
    </row>
    <row r="63" spans="1:51" ht="14.25" customHeight="1">
      <c r="A63" s="129"/>
      <c r="E63" s="104"/>
      <c r="H63" s="104"/>
      <c r="I63" s="120">
        <f t="array" ref="I63">_xlfn.STDEV.P(IF($E$5:$E$41=$E62,I$5:I$41))</f>
        <v>102.20097846889726</v>
      </c>
      <c r="J63" s="120"/>
      <c r="K63" s="117" t="s">
        <v>12</v>
      </c>
      <c r="L63" s="90">
        <f t="array" ref="L63">_xlfn.STDEV.P(IF($E$5:$E$41=$E62,L$5:L$41))</f>
        <v>102.20097846889726</v>
      </c>
      <c r="M63" s="90">
        <f t="array" ref="M63">_xlfn.STDEV.P(IF($E$5:$E$41=$E62,M$5:M$41))</f>
        <v>96.576187541236067</v>
      </c>
      <c r="N63" s="90">
        <f t="array" ref="N63">_xlfn.STDEV.P(IF($E$5:$E$41=$E62,N$5:N$41))</f>
        <v>80.609180618587118</v>
      </c>
      <c r="O63" s="90">
        <f t="array" ref="O63">_xlfn.STDEV.P(IF($E$5:$E$41=$E62,O$5:O$41))</f>
        <v>73.240425995484216</v>
      </c>
      <c r="P63" s="90">
        <f t="array" ref="P63">_xlfn.STDEV.P(IF($E$5:$E$41=$E62,P$5:P$41))</f>
        <v>61.673332973011924</v>
      </c>
      <c r="Q63" s="90">
        <f t="array" ref="Q63">_xlfn.STDEV.P(IF($E$5:$E$41=$E62,Q$5:Q$41))</f>
        <v>45.796943129427319</v>
      </c>
      <c r="R63" s="90">
        <f t="array" ref="R63">_xlfn.STDEV.P(IF($E$5:$E$41=$E62,R$5:R$41))</f>
        <v>39.066097834311527</v>
      </c>
      <c r="S63" s="90">
        <f t="array" ref="S63">_xlfn.STDEV.P(IF($E$5:$E$41=$E62,S$5:S$41))</f>
        <v>25.624051201946983</v>
      </c>
      <c r="T63" s="90">
        <f t="array" ref="T63">_xlfn.STDEV.P(IF($E$5:$E$41=$E62,T$5:T$41))</f>
        <v>0</v>
      </c>
      <c r="U63" s="90">
        <f t="array" ref="U63">_xlfn.STDEV.P(IF($E$5:$E$41=$E62,U$5:U$41))</f>
        <v>0</v>
      </c>
      <c r="V63" s="90">
        <f t="array" ref="V63">_xlfn.STDEV.P(IF($E$5:$E$41=$E62,V$5:V$41))</f>
        <v>0</v>
      </c>
      <c r="W63" s="90">
        <f t="array" ref="W63">_xlfn.STDEV.P(IF($E$5:$E$41=$E62,W$5:W$41))</f>
        <v>0</v>
      </c>
      <c r="X63" s="90">
        <f t="array" ref="X63">_xlfn.STDEV.P(IF($E$5:$E$41=$E62,X$5:X$41))</f>
        <v>0</v>
      </c>
      <c r="Y63" s="90">
        <f t="array" ref="Y63">_xlfn.STDEV.P(IF($E$5:$E$41=$E62,Y$5:Y$41))</f>
        <v>0</v>
      </c>
      <c r="Z63" s="90">
        <f t="array" ref="Z63">_xlfn.STDEV.P(IF($E$5:$E$41=$E62,Z$5:Z$41))</f>
        <v>0</v>
      </c>
      <c r="AA63" s="90">
        <f t="array" ref="AA63">_xlfn.STDEV.P(IF($E$5:$E$41=$E62,AA$5:AA$41))</f>
        <v>0</v>
      </c>
      <c r="AB63" s="90">
        <f t="array" ref="AB63">_xlfn.STDEV.P(IF($E$5:$E$41=$E62,AB$5:AB$41))</f>
        <v>0</v>
      </c>
      <c r="AC63" s="90">
        <f t="array" ref="AC63">_xlfn.STDEV.P(IF($E$5:$E$41=$E62,AC$5:AC$41))</f>
        <v>0</v>
      </c>
      <c r="AD63" s="90">
        <f t="array" ref="AD63">_xlfn.STDEV.P(IF($E$5:$E$41=$E62,AD$5:AD$41))</f>
        <v>0</v>
      </c>
      <c r="AE63" s="154" t="s">
        <v>12</v>
      </c>
      <c r="AF63" s="83">
        <f t="array" ref="AF63">_xlfn.STDEV.P(IF($E$5:$E$41=$E62,AF$5:AF$41))</f>
        <v>0</v>
      </c>
      <c r="AG63" s="83">
        <f t="array" ref="AG63">_xlfn.STDEV.P(IF($E$5:$E$41=$E62,AG$5:AG$41))</f>
        <v>3.616639505102285E-2</v>
      </c>
      <c r="AH63" s="83">
        <f t="array" ref="AH63">_xlfn.STDEV.P(IF($E$5:$E$41=$E62,AH$5:AH$41))</f>
        <v>2.5159608198476638E-2</v>
      </c>
      <c r="AI63" s="83">
        <f t="array" ref="AI63">_xlfn.STDEV.P(IF($E$5:$E$41=$E62,AI$5:AI$41))</f>
        <v>4.7849227474455532E-2</v>
      </c>
      <c r="AJ63" s="83">
        <f t="array" ref="AJ63">_xlfn.STDEV.P(IF($E$5:$E$41=$E62,AJ$5:AJ$41))</f>
        <v>3.2798045892083058E-2</v>
      </c>
      <c r="AK63" s="83">
        <f t="array" ref="AK63">_xlfn.STDEV.P(IF($E$5:$E$41=$E62,AK$5:AK$41))</f>
        <v>2.5190606213577015E-2</v>
      </c>
      <c r="AL63" s="83">
        <f t="array" ref="AL63">_xlfn.STDEV.P(IF($E$5:$E$41=$E62,AL$5:AL$41))</f>
        <v>3.2454181256903511E-2</v>
      </c>
      <c r="AM63" s="83">
        <f t="array" ref="AM63">_xlfn.STDEV.P(IF($E$5:$E$41=$E62,AM$5:AM$41))</f>
        <v>2.0626834151645745E-2</v>
      </c>
      <c r="AN63" s="83" t="e">
        <f t="array" ref="AN63">_xlfn.STDEV.P(IF($E$5:$E$41=$E62,AN$5:AN$41))</f>
        <v>#DIV/0!</v>
      </c>
      <c r="AO63" s="83" t="e">
        <f t="array" ref="AO63">_xlfn.STDEV.P(IF($E$5:$E$41=$E62,AO$5:AO$41))</f>
        <v>#DIV/0!</v>
      </c>
      <c r="AP63" s="83" t="e">
        <f t="array" ref="AP63">_xlfn.STDEV.P(IF($E$5:$E$41=$E62,AP$5:AP$41))</f>
        <v>#DIV/0!</v>
      </c>
      <c r="AQ63" s="83" t="e">
        <f t="array" ref="AQ63">_xlfn.STDEV.P(IF($E$5:$E$41=$E62,AQ$5:AQ$41))</f>
        <v>#DIV/0!</v>
      </c>
      <c r="AR63" s="83" t="e">
        <f t="array" ref="AR63">_xlfn.STDEV.P(IF($E$5:$E$41=$E62,AR$5:AR$41))</f>
        <v>#DIV/0!</v>
      </c>
      <c r="AS63" s="83" t="e">
        <f t="array" ref="AS63">_xlfn.STDEV.P(IF($E$5:$E$41=$E62,AS$5:AS$41))</f>
        <v>#DIV/0!</v>
      </c>
      <c r="AT63" s="83" t="e">
        <f t="array" ref="AT63">_xlfn.STDEV.P(IF($E$5:$E$41=$E62,AT$5:AT$41))</f>
        <v>#DIV/0!</v>
      </c>
      <c r="AU63" s="83" t="e">
        <f t="array" ref="AU63">_xlfn.STDEV.P(IF($E$5:$E$41=$E62,AU$5:AU$41))</f>
        <v>#DIV/0!</v>
      </c>
      <c r="AV63" s="83" t="e">
        <f t="array" ref="AV63">_xlfn.STDEV.P(IF($E$5:$E$41=$E62,AV$5:AV$41))</f>
        <v>#DIV/0!</v>
      </c>
      <c r="AW63" s="83" t="e">
        <f t="array" ref="AW63">_xlfn.STDEV.P(IF($E$5:$E$41=$E62,AW$5:AW$41))</f>
        <v>#DIV/0!</v>
      </c>
      <c r="AX63" s="83" t="e">
        <f t="array" ref="AX63">_xlfn.STDEV.P(IF($E$5:$E$41=$E62,AX$5:AX$41))</f>
        <v>#DIV/0!</v>
      </c>
      <c r="AY63" s="85"/>
    </row>
    <row r="64" spans="1:51" ht="14.25" customHeight="1">
      <c r="A64" s="129"/>
      <c r="E64" s="104"/>
      <c r="H64" s="104"/>
      <c r="I64" s="120"/>
      <c r="J64" s="120"/>
      <c r="K64" s="148" t="s">
        <v>43</v>
      </c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148" t="s">
        <v>43</v>
      </c>
      <c r="AF64" s="82">
        <f>AF62-AF$43</f>
        <v>0</v>
      </c>
      <c r="AG64" s="82">
        <f>AG62-AG$43</f>
        <v>-2.8757799666987771E-2</v>
      </c>
      <c r="AH64" s="82">
        <f t="shared" ref="AH64:AX64" si="76">AH62-AH$43</f>
        <v>-6.1210151621638564E-2</v>
      </c>
      <c r="AI64" s="82">
        <f t="shared" si="76"/>
        <v>-6.9409549398868675E-2</v>
      </c>
      <c r="AJ64" s="82">
        <f t="shared" si="76"/>
        <v>-7.5945385594176629E-2</v>
      </c>
      <c r="AK64" s="82">
        <f t="shared" si="76"/>
        <v>-8.5251805257854585E-2</v>
      </c>
      <c r="AL64" s="82">
        <f t="shared" si="76"/>
        <v>-0.10041348857348564</v>
      </c>
      <c r="AM64" s="82">
        <f t="shared" si="76"/>
        <v>-4.6841194965789534E-2</v>
      </c>
      <c r="AN64" s="82" t="e">
        <f t="shared" si="76"/>
        <v>#DIV/0!</v>
      </c>
      <c r="AO64" s="82" t="e">
        <f t="shared" si="76"/>
        <v>#DIV/0!</v>
      </c>
      <c r="AP64" s="82" t="e">
        <f t="shared" si="76"/>
        <v>#DIV/0!</v>
      </c>
      <c r="AQ64" s="82" t="e">
        <f t="shared" si="76"/>
        <v>#DIV/0!</v>
      </c>
      <c r="AR64" s="82" t="e">
        <f t="shared" si="76"/>
        <v>#DIV/0!</v>
      </c>
      <c r="AS64" s="82" t="e">
        <f t="shared" si="76"/>
        <v>#DIV/0!</v>
      </c>
      <c r="AT64" s="82" t="e">
        <f t="shared" si="76"/>
        <v>#DIV/0!</v>
      </c>
      <c r="AU64" s="82" t="e">
        <f t="shared" si="76"/>
        <v>#DIV/0!</v>
      </c>
      <c r="AV64" s="82" t="e">
        <f t="shared" si="76"/>
        <v>#DIV/0!</v>
      </c>
      <c r="AW64" s="82" t="e">
        <f t="shared" si="76"/>
        <v>#DIV/0!</v>
      </c>
      <c r="AX64" s="173" t="e">
        <f t="shared" si="76"/>
        <v>#DIV/0!</v>
      </c>
      <c r="AY64" s="147"/>
    </row>
    <row r="65" spans="1:51" ht="14.25" customHeight="1">
      <c r="A65" s="129"/>
      <c r="E65" s="104"/>
      <c r="H65" s="104"/>
      <c r="I65" s="120"/>
      <c r="J65" s="120"/>
      <c r="K65" s="116" t="s">
        <v>63</v>
      </c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116" t="s">
        <v>63</v>
      </c>
      <c r="AF65" s="82"/>
      <c r="AG65" s="82">
        <f>AF62*EXP((AG$4-AF$4)*-LN(2)/8.091)</f>
        <v>0.91789808441829013</v>
      </c>
      <c r="AH65" s="82">
        <f>AG62*EXP((AH$4-AG$4)*-LN(2)/8.091)</f>
        <v>0.81549869139836795</v>
      </c>
      <c r="AI65" s="82">
        <f t="shared" ref="AI65:AX65" si="77">AH62*EXP((AI$4-AH$4)*-LN(2)/8.091)</f>
        <v>0.71600115463248093</v>
      </c>
      <c r="AJ65" s="82">
        <f t="shared" si="77"/>
        <v>0.59161961270199426</v>
      </c>
      <c r="AK65" s="82">
        <f t="shared" si="77"/>
        <v>0.44326444329629244</v>
      </c>
      <c r="AL65" s="82">
        <f t="shared" si="77"/>
        <v>0.35015855276843766</v>
      </c>
      <c r="AM65" s="82">
        <f t="shared" si="77"/>
        <v>0.20911411892504914</v>
      </c>
      <c r="AN65" s="82" t="e">
        <f t="shared" si="77"/>
        <v>#NUM!</v>
      </c>
      <c r="AO65" s="82" t="e">
        <f t="shared" si="77"/>
        <v>#DIV/0!</v>
      </c>
      <c r="AP65" s="82" t="e">
        <f t="shared" si="77"/>
        <v>#DIV/0!</v>
      </c>
      <c r="AQ65" s="82" t="e">
        <f t="shared" si="77"/>
        <v>#DIV/0!</v>
      </c>
      <c r="AR65" s="82" t="e">
        <f t="shared" si="77"/>
        <v>#DIV/0!</v>
      </c>
      <c r="AS65" s="82" t="e">
        <f t="shared" si="77"/>
        <v>#DIV/0!</v>
      </c>
      <c r="AT65" s="82" t="e">
        <f t="shared" si="77"/>
        <v>#DIV/0!</v>
      </c>
      <c r="AU65" s="82" t="e">
        <f t="shared" si="77"/>
        <v>#DIV/0!</v>
      </c>
      <c r="AV65" s="82" t="e">
        <f t="shared" si="77"/>
        <v>#DIV/0!</v>
      </c>
      <c r="AW65" s="82" t="e">
        <f t="shared" si="77"/>
        <v>#DIV/0!</v>
      </c>
      <c r="AX65" s="173" t="e">
        <f t="shared" si="77"/>
        <v>#DIV/0!</v>
      </c>
      <c r="AY65" s="147"/>
    </row>
    <row r="66" spans="1:51" ht="14.25" customHeight="1">
      <c r="A66" s="129"/>
      <c r="E66" s="104"/>
      <c r="H66" s="104"/>
      <c r="I66" s="120"/>
      <c r="J66" s="120"/>
      <c r="K66" s="116" t="s">
        <v>44</v>
      </c>
      <c r="L66" s="89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116" t="s">
        <v>44</v>
      </c>
      <c r="AF66" s="174"/>
      <c r="AG66" s="83">
        <f>AG62-AG65</f>
        <v>-2.9456649315848349E-2</v>
      </c>
      <c r="AH66" s="83">
        <f>AH62-AH65</f>
        <v>-3.5454406758379409E-2</v>
      </c>
      <c r="AI66" s="83">
        <f t="shared" ref="AI66" si="78">AI62-AI65</f>
        <v>-1.3812778845797347E-2</v>
      </c>
      <c r="AJ66" s="83">
        <f t="shared" ref="AJ66" si="79">AJ62-AJ65</f>
        <v>-1.8454820723557974E-2</v>
      </c>
      <c r="AK66" s="83">
        <f t="shared" ref="AK66" si="80">AK62-AK65</f>
        <v>-2.7664182322293507E-2</v>
      </c>
      <c r="AL66" s="83">
        <f t="shared" ref="AL66" si="81">AL62-AL65</f>
        <v>-2.9228018713574277E-2</v>
      </c>
      <c r="AM66" s="83">
        <f t="shared" ref="AM66" si="82">AM62-AM65</f>
        <v>1.7543379456608027E-2</v>
      </c>
      <c r="AN66" s="83" t="e">
        <f t="shared" ref="AN66" si="83">AN62-AN65</f>
        <v>#DIV/0!</v>
      </c>
      <c r="AO66" s="83" t="e">
        <f t="shared" ref="AO66" si="84">AO62-AO65</f>
        <v>#DIV/0!</v>
      </c>
      <c r="AP66" s="83" t="e">
        <f t="shared" ref="AP66" si="85">AP62-AP65</f>
        <v>#DIV/0!</v>
      </c>
      <c r="AQ66" s="83" t="e">
        <f t="shared" ref="AQ66" si="86">AQ62-AQ65</f>
        <v>#DIV/0!</v>
      </c>
      <c r="AR66" s="83" t="e">
        <f t="shared" ref="AR66" si="87">AR62-AR65</f>
        <v>#DIV/0!</v>
      </c>
      <c r="AS66" s="83" t="e">
        <f t="shared" ref="AS66" si="88">AS62-AS65</f>
        <v>#DIV/0!</v>
      </c>
      <c r="AT66" s="83" t="e">
        <f t="shared" ref="AT66" si="89">AT62-AT65</f>
        <v>#DIV/0!</v>
      </c>
      <c r="AU66" s="83" t="e">
        <f t="shared" ref="AU66" si="90">AU62-AU65</f>
        <v>#DIV/0!</v>
      </c>
      <c r="AV66" s="83" t="e">
        <f t="shared" ref="AV66" si="91">AV62-AV65</f>
        <v>#DIV/0!</v>
      </c>
      <c r="AW66" s="83" t="e">
        <f t="shared" ref="AW66" si="92">AW62-AW65</f>
        <v>#DIV/0!</v>
      </c>
      <c r="AX66" s="175" t="e">
        <f t="shared" ref="AX66" si="93">AX62-AX65</f>
        <v>#DIV/0!</v>
      </c>
      <c r="AY66" s="147"/>
    </row>
    <row r="67" spans="1:51" ht="14.25" customHeight="1">
      <c r="A67" s="129"/>
      <c r="E67" s="104"/>
      <c r="H67" s="104"/>
      <c r="I67" s="120"/>
      <c r="J67" s="120"/>
      <c r="K67" s="116" t="s">
        <v>64</v>
      </c>
      <c r="L67" s="89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116" t="s">
        <v>64</v>
      </c>
      <c r="AF67" s="174">
        <f>AF62/AF$43</f>
        <v>1</v>
      </c>
      <c r="AG67" s="83">
        <f>AG62/AG$43</f>
        <v>0.96864607102052691</v>
      </c>
      <c r="AH67" s="83">
        <f>AH62/AH$43</f>
        <v>0.92723943080330762</v>
      </c>
      <c r="AI67" s="83">
        <f t="shared" ref="AI67:AX67" si="94">AI62/AI$43</f>
        <v>0.91004440637631678</v>
      </c>
      <c r="AJ67" s="83">
        <f t="shared" si="94"/>
        <v>0.88300077826821477</v>
      </c>
      <c r="AK67" s="83">
        <f t="shared" si="94"/>
        <v>0.82978645591053635</v>
      </c>
      <c r="AL67" s="83">
        <f t="shared" si="94"/>
        <v>0.76168289288381241</v>
      </c>
      <c r="AM67" s="83">
        <f t="shared" si="94"/>
        <v>0.82873338664809082</v>
      </c>
      <c r="AN67" s="83" t="e">
        <f t="shared" si="94"/>
        <v>#DIV/0!</v>
      </c>
      <c r="AO67" s="83" t="e">
        <f t="shared" si="94"/>
        <v>#DIV/0!</v>
      </c>
      <c r="AP67" s="83" t="e">
        <f t="shared" si="94"/>
        <v>#DIV/0!</v>
      </c>
      <c r="AQ67" s="83" t="e">
        <f t="shared" si="94"/>
        <v>#DIV/0!</v>
      </c>
      <c r="AR67" s="83" t="e">
        <f t="shared" si="94"/>
        <v>#DIV/0!</v>
      </c>
      <c r="AS67" s="83" t="e">
        <f t="shared" si="94"/>
        <v>#DIV/0!</v>
      </c>
      <c r="AT67" s="83" t="e">
        <f t="shared" si="94"/>
        <v>#DIV/0!</v>
      </c>
      <c r="AU67" s="83" t="e">
        <f t="shared" si="94"/>
        <v>#DIV/0!</v>
      </c>
      <c r="AV67" s="83" t="e">
        <f t="shared" si="94"/>
        <v>#DIV/0!</v>
      </c>
      <c r="AW67" s="83" t="e">
        <f t="shared" si="94"/>
        <v>#DIV/0!</v>
      </c>
      <c r="AX67" s="175" t="e">
        <f t="shared" si="94"/>
        <v>#DIV/0!</v>
      </c>
      <c r="AY67" s="147"/>
    </row>
    <row r="68" spans="1:51" ht="15">
      <c r="A68" s="129"/>
      <c r="E68" s="58"/>
      <c r="H68" s="58"/>
      <c r="K68" s="150"/>
      <c r="AE68" s="149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176"/>
    </row>
    <row r="69" spans="1:51" ht="14.25" customHeight="1">
      <c r="A69" s="129"/>
      <c r="E69" s="134" t="str">
        <f>'RAD_DOSE Groups'!C9</f>
        <v>3.3 uCi + CP-PTX</v>
      </c>
      <c r="H69" s="134" t="str">
        <f>E69</f>
        <v>3.3 uCi + CP-PTX</v>
      </c>
      <c r="I69" s="120">
        <f>AVERAGEIF($E$5:$E$41,$E69,I$5:I$41)</f>
        <v>315</v>
      </c>
      <c r="J69" s="120"/>
      <c r="K69" s="117" t="s">
        <v>10</v>
      </c>
      <c r="L69" s="87">
        <f t="shared" ref="L69:AD69" si="95">AVERAGEIF($E$5:$E$41,$E69,L$5:L$41)</f>
        <v>315</v>
      </c>
      <c r="M69" s="87">
        <f t="shared" si="95"/>
        <v>279.60000000000002</v>
      </c>
      <c r="N69" s="87">
        <f t="shared" si="95"/>
        <v>246.4</v>
      </c>
      <c r="O69" s="87">
        <f t="shared" si="95"/>
        <v>218.4</v>
      </c>
      <c r="P69" s="87">
        <f t="shared" si="95"/>
        <v>177</v>
      </c>
      <c r="Q69" s="87">
        <f t="shared" si="95"/>
        <v>129.6</v>
      </c>
      <c r="R69" s="87">
        <f t="shared" si="95"/>
        <v>101.8</v>
      </c>
      <c r="S69" s="87">
        <f t="shared" si="95"/>
        <v>70.78</v>
      </c>
      <c r="T69" s="87" t="e">
        <f t="shared" si="95"/>
        <v>#DIV/0!</v>
      </c>
      <c r="U69" s="87" t="e">
        <f t="shared" si="95"/>
        <v>#DIV/0!</v>
      </c>
      <c r="V69" s="87" t="e">
        <f t="shared" si="95"/>
        <v>#DIV/0!</v>
      </c>
      <c r="W69" s="87" t="e">
        <f t="shared" si="95"/>
        <v>#DIV/0!</v>
      </c>
      <c r="X69" s="87" t="e">
        <f t="shared" si="95"/>
        <v>#DIV/0!</v>
      </c>
      <c r="Y69" s="87" t="e">
        <f t="shared" si="95"/>
        <v>#DIV/0!</v>
      </c>
      <c r="Z69" s="87" t="e">
        <f t="shared" si="95"/>
        <v>#DIV/0!</v>
      </c>
      <c r="AA69" s="87" t="e">
        <f t="shared" si="95"/>
        <v>#DIV/0!</v>
      </c>
      <c r="AB69" s="87" t="e">
        <f t="shared" si="95"/>
        <v>#DIV/0!</v>
      </c>
      <c r="AC69" s="87" t="e">
        <f t="shared" si="95"/>
        <v>#DIV/0!</v>
      </c>
      <c r="AD69" s="87" t="e">
        <f t="shared" si="95"/>
        <v>#DIV/0!</v>
      </c>
      <c r="AE69" s="153" t="s">
        <v>10</v>
      </c>
      <c r="AF69" s="82">
        <f t="shared" ref="AF69:AX69" si="96">AVERAGEIF($E$5:$E$41,$E69,AF$5:AF$41)</f>
        <v>1</v>
      </c>
      <c r="AG69" s="82">
        <f t="shared" si="96"/>
        <v>0.88902557709270913</v>
      </c>
      <c r="AH69" s="82">
        <f t="shared" si="96"/>
        <v>0.78080218751021557</v>
      </c>
      <c r="AI69" s="82">
        <f t="shared" si="96"/>
        <v>0.69357460381728231</v>
      </c>
      <c r="AJ69" s="82">
        <f t="shared" si="96"/>
        <v>0.56154566710048592</v>
      </c>
      <c r="AK69" s="82">
        <f t="shared" si="96"/>
        <v>0.41203763678750749</v>
      </c>
      <c r="AL69" s="82">
        <f t="shared" si="96"/>
        <v>0.32240593581220167</v>
      </c>
      <c r="AM69" s="82">
        <f t="shared" si="96"/>
        <v>0.22452209978023641</v>
      </c>
      <c r="AN69" s="82" t="e">
        <f t="shared" si="96"/>
        <v>#DIV/0!</v>
      </c>
      <c r="AO69" s="82" t="e">
        <f t="shared" si="96"/>
        <v>#DIV/0!</v>
      </c>
      <c r="AP69" s="82" t="e">
        <f t="shared" si="96"/>
        <v>#DIV/0!</v>
      </c>
      <c r="AQ69" s="82" t="e">
        <f t="shared" si="96"/>
        <v>#DIV/0!</v>
      </c>
      <c r="AR69" s="82" t="e">
        <f t="shared" si="96"/>
        <v>#DIV/0!</v>
      </c>
      <c r="AS69" s="82" t="e">
        <f t="shared" si="96"/>
        <v>#DIV/0!</v>
      </c>
      <c r="AT69" s="82" t="e">
        <f t="shared" si="96"/>
        <v>#DIV/0!</v>
      </c>
      <c r="AU69" s="82" t="e">
        <f t="shared" si="96"/>
        <v>#DIV/0!</v>
      </c>
      <c r="AV69" s="82" t="e">
        <f t="shared" si="96"/>
        <v>#DIV/0!</v>
      </c>
      <c r="AW69" s="82" t="e">
        <f t="shared" si="96"/>
        <v>#DIV/0!</v>
      </c>
      <c r="AX69" s="82" t="e">
        <f t="shared" si="96"/>
        <v>#DIV/0!</v>
      </c>
      <c r="AY69" s="85"/>
    </row>
    <row r="70" spans="1:51" ht="14.25" customHeight="1">
      <c r="A70" s="129"/>
      <c r="E70" s="104"/>
      <c r="H70" s="104"/>
      <c r="I70" s="120">
        <f t="array" ref="I70">_xlfn.STDEV.P(IF($E$5:$E$41=$E69,I$5:I$41))</f>
        <v>39.869788060635585</v>
      </c>
      <c r="J70" s="120"/>
      <c r="K70" s="117" t="s">
        <v>12</v>
      </c>
      <c r="L70" s="90">
        <f t="array" ref="L70">_xlfn.STDEV.P(IF($E$5:$E$41=$E69,L$5:L$41))</f>
        <v>39.869788060635585</v>
      </c>
      <c r="M70" s="90">
        <f t="array" ref="M70">_xlfn.STDEV.P(IF($E$5:$E$41=$E69,M$5:M$41))</f>
        <v>32.413577402070267</v>
      </c>
      <c r="N70" s="90">
        <f t="array" ref="N70">_xlfn.STDEV.P(IF($E$5:$E$41=$E69,N$5:N$41))</f>
        <v>37.216125537191537</v>
      </c>
      <c r="O70" s="90">
        <f t="array" ref="O70">_xlfn.STDEV.P(IF($E$5:$E$41=$E69,O$5:O$41))</f>
        <v>29.241067011995305</v>
      </c>
      <c r="P70" s="90">
        <f t="array" ref="P70">_xlfn.STDEV.P(IF($E$5:$E$41=$E69,P$5:P$41))</f>
        <v>24.273442277518036</v>
      </c>
      <c r="Q70" s="90">
        <f t="array" ref="Q70">_xlfn.STDEV.P(IF($E$5:$E$41=$E69,Q$5:Q$41))</f>
        <v>16.85941873256608</v>
      </c>
      <c r="R70" s="90">
        <f t="array" ref="R70">_xlfn.STDEV.P(IF($E$5:$E$41=$E69,R$5:R$41))</f>
        <v>16.678129391511508</v>
      </c>
      <c r="S70" s="90">
        <f t="array" ref="S70">_xlfn.STDEV.P(IF($E$5:$E$41=$E69,S$5:S$41))</f>
        <v>11.064610250704746</v>
      </c>
      <c r="T70" s="90">
        <f t="array" ref="T70">_xlfn.STDEV.P(IF($E$5:$E$41=$E69,T$5:T$41))</f>
        <v>0</v>
      </c>
      <c r="U70" s="90">
        <f t="array" ref="U70">_xlfn.STDEV.P(IF($E$5:$E$41=$E69,U$5:U$41))</f>
        <v>0</v>
      </c>
      <c r="V70" s="90">
        <f t="array" ref="V70">_xlfn.STDEV.P(IF($E$5:$E$41=$E69,V$5:V$41))</f>
        <v>0</v>
      </c>
      <c r="W70" s="90">
        <f t="array" ref="W70">_xlfn.STDEV.P(IF($E$5:$E$41=$E69,W$5:W$41))</f>
        <v>0</v>
      </c>
      <c r="X70" s="90">
        <f t="array" ref="X70">_xlfn.STDEV.P(IF($E$5:$E$41=$E69,X$5:X$41))</f>
        <v>0</v>
      </c>
      <c r="Y70" s="90">
        <f t="array" ref="Y70">_xlfn.STDEV.P(IF($E$5:$E$41=$E69,Y$5:Y$41))</f>
        <v>0</v>
      </c>
      <c r="Z70" s="90">
        <f t="array" ref="Z70">_xlfn.STDEV.P(IF($E$5:$E$41=$E69,Z$5:Z$41))</f>
        <v>0</v>
      </c>
      <c r="AA70" s="90">
        <f t="array" ref="AA70">_xlfn.STDEV.P(IF($E$5:$E$41=$E69,AA$5:AA$41))</f>
        <v>0</v>
      </c>
      <c r="AB70" s="90">
        <f t="array" ref="AB70">_xlfn.STDEV.P(IF($E$5:$E$41=$E69,AB$5:AB$41))</f>
        <v>0</v>
      </c>
      <c r="AC70" s="90">
        <f t="array" ref="AC70">_xlfn.STDEV.P(IF($E$5:$E$41=$E69,AC$5:AC$41))</f>
        <v>0</v>
      </c>
      <c r="AD70" s="90">
        <f t="array" ref="AD70">_xlfn.STDEV.P(IF($E$5:$E$41=$E69,AD$5:AD$41))</f>
        <v>0</v>
      </c>
      <c r="AE70" s="154" t="s">
        <v>12</v>
      </c>
      <c r="AF70" s="83">
        <f t="array" ref="AF70">_xlfn.STDEV.P(IF($E$5:$E$41=$E69,AF$5:AF$41))</f>
        <v>0</v>
      </c>
      <c r="AG70" s="83">
        <f t="array" ref="AG70">_xlfn.STDEV.P(IF($E$5:$E$41=$E69,AG$5:AG$41))</f>
        <v>1.4775490493120854E-2</v>
      </c>
      <c r="AH70" s="83">
        <f t="array" ref="AH70">_xlfn.STDEV.P(IF($E$5:$E$41=$E69,AH$5:AH$41))</f>
        <v>4.2161855466528647E-2</v>
      </c>
      <c r="AI70" s="83">
        <f t="array" ref="AI70">_xlfn.STDEV.P(IF($E$5:$E$41=$E69,AI$5:AI$41))</f>
        <v>3.332520383288512E-2</v>
      </c>
      <c r="AJ70" s="83">
        <f t="array" ref="AJ70">_xlfn.STDEV.P(IF($E$5:$E$41=$E69,AJ$5:AJ$41))</f>
        <v>2.0303002724763278E-2</v>
      </c>
      <c r="AK70" s="83">
        <f t="array" ref="AK70">_xlfn.STDEV.P(IF($E$5:$E$41=$E69,AK$5:AK$41))</f>
        <v>2.4519996786527193E-2</v>
      </c>
      <c r="AL70" s="83">
        <f t="array" ref="AL70">_xlfn.STDEV.P(IF($E$5:$E$41=$E69,AL$5:AL$41))</f>
        <v>2.4558872386058625E-2</v>
      </c>
      <c r="AM70" s="83">
        <f t="array" ref="AM70">_xlfn.STDEV.P(IF($E$5:$E$41=$E69,AM$5:AM$41))</f>
        <v>1.805096653167226E-2</v>
      </c>
      <c r="AN70" s="83" t="e">
        <f t="array" ref="AN70">_xlfn.STDEV.P(IF($E$5:$E$41=$E69,AN$5:AN$41))</f>
        <v>#DIV/0!</v>
      </c>
      <c r="AO70" s="83" t="e">
        <f t="array" ref="AO70">_xlfn.STDEV.P(IF($E$5:$E$41=$E69,AO$5:AO$41))</f>
        <v>#DIV/0!</v>
      </c>
      <c r="AP70" s="83" t="e">
        <f t="array" ref="AP70">_xlfn.STDEV.P(IF($E$5:$E$41=$E69,AP$5:AP$41))</f>
        <v>#DIV/0!</v>
      </c>
      <c r="AQ70" s="83" t="e">
        <f t="array" ref="AQ70">_xlfn.STDEV.P(IF($E$5:$E$41=$E69,AQ$5:AQ$41))</f>
        <v>#DIV/0!</v>
      </c>
      <c r="AR70" s="83" t="e">
        <f t="array" ref="AR70">_xlfn.STDEV.P(IF($E$5:$E$41=$E69,AR$5:AR$41))</f>
        <v>#DIV/0!</v>
      </c>
      <c r="AS70" s="83" t="e">
        <f t="array" ref="AS70">_xlfn.STDEV.P(IF($E$5:$E$41=$E69,AS$5:AS$41))</f>
        <v>#DIV/0!</v>
      </c>
      <c r="AT70" s="83" t="e">
        <f t="array" ref="AT70">_xlfn.STDEV.P(IF($E$5:$E$41=$E69,AT$5:AT$41))</f>
        <v>#DIV/0!</v>
      </c>
      <c r="AU70" s="83" t="e">
        <f t="array" ref="AU70">_xlfn.STDEV.P(IF($E$5:$E$41=$E69,AU$5:AU$41))</f>
        <v>#DIV/0!</v>
      </c>
      <c r="AV70" s="83" t="e">
        <f t="array" ref="AV70">_xlfn.STDEV.P(IF($E$5:$E$41=$E69,AV$5:AV$41))</f>
        <v>#DIV/0!</v>
      </c>
      <c r="AW70" s="83" t="e">
        <f t="array" ref="AW70">_xlfn.STDEV.P(IF($E$5:$E$41=$E69,AW$5:AW$41))</f>
        <v>#DIV/0!</v>
      </c>
      <c r="AX70" s="83" t="e">
        <f t="array" ref="AX70">_xlfn.STDEV.P(IF($E$5:$E$41=$E69,AX$5:AX$41))</f>
        <v>#DIV/0!</v>
      </c>
      <c r="AY70" s="85"/>
    </row>
    <row r="71" spans="1:51" ht="14.25" customHeight="1">
      <c r="A71" s="129"/>
      <c r="E71" s="104"/>
      <c r="H71" s="104"/>
      <c r="I71" s="120"/>
      <c r="J71" s="120"/>
      <c r="K71" s="148" t="s">
        <v>43</v>
      </c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148" t="s">
        <v>43</v>
      </c>
      <c r="AF71" s="82">
        <f>AF69-AF$43</f>
        <v>0</v>
      </c>
      <c r="AG71" s="82">
        <f>AG69-AG$43</f>
        <v>-2.8173657676720421E-2</v>
      </c>
      <c r="AH71" s="82">
        <f t="shared" ref="AH71:AX71" si="97">AH69-AH$43</f>
        <v>-6.045224875141153E-2</v>
      </c>
      <c r="AI71" s="82">
        <f t="shared" si="97"/>
        <v>-7.8023321368269949E-2</v>
      </c>
      <c r="AJ71" s="82">
        <f t="shared" si="97"/>
        <v>-8.7564510472126988E-2</v>
      </c>
      <c r="AK71" s="82">
        <f t="shared" si="97"/>
        <v>-8.8814429444346032E-2</v>
      </c>
      <c r="AL71" s="82">
        <f t="shared" si="97"/>
        <v>-9.8938086816147353E-2</v>
      </c>
      <c r="AM71" s="82">
        <f t="shared" si="97"/>
        <v>-4.8976593567210291E-2</v>
      </c>
      <c r="AN71" s="82" t="e">
        <f t="shared" si="97"/>
        <v>#DIV/0!</v>
      </c>
      <c r="AO71" s="82" t="e">
        <f t="shared" si="97"/>
        <v>#DIV/0!</v>
      </c>
      <c r="AP71" s="82" t="e">
        <f t="shared" si="97"/>
        <v>#DIV/0!</v>
      </c>
      <c r="AQ71" s="82" t="e">
        <f t="shared" si="97"/>
        <v>#DIV/0!</v>
      </c>
      <c r="AR71" s="82" t="e">
        <f t="shared" si="97"/>
        <v>#DIV/0!</v>
      </c>
      <c r="AS71" s="82" t="e">
        <f t="shared" si="97"/>
        <v>#DIV/0!</v>
      </c>
      <c r="AT71" s="82" t="e">
        <f t="shared" si="97"/>
        <v>#DIV/0!</v>
      </c>
      <c r="AU71" s="82" t="e">
        <f t="shared" si="97"/>
        <v>#DIV/0!</v>
      </c>
      <c r="AV71" s="82" t="e">
        <f t="shared" si="97"/>
        <v>#DIV/0!</v>
      </c>
      <c r="AW71" s="82" t="e">
        <f t="shared" si="97"/>
        <v>#DIV/0!</v>
      </c>
      <c r="AX71" s="173" t="e">
        <f t="shared" si="97"/>
        <v>#DIV/0!</v>
      </c>
      <c r="AY71" s="147"/>
    </row>
    <row r="72" spans="1:51" ht="14.25" customHeight="1">
      <c r="A72" s="129"/>
      <c r="E72" s="104"/>
      <c r="H72" s="104"/>
      <c r="I72" s="120"/>
      <c r="J72" s="120"/>
      <c r="K72" s="116" t="s">
        <v>63</v>
      </c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116" t="s">
        <v>63</v>
      </c>
      <c r="AF72" s="82"/>
      <c r="AG72" s="82">
        <f>AF69*EXP((AG$4-AF$4)*-LN(2)/8.091)</f>
        <v>0.91789808441829013</v>
      </c>
      <c r="AH72" s="82">
        <f>AG69*EXP((AH$4-AG$4)*-LN(2)/8.091)</f>
        <v>0.81603487421226262</v>
      </c>
      <c r="AI72" s="82">
        <f t="shared" ref="AI72:AX72" si="98">AH69*EXP((AI$4-AH$4)*-LN(2)/8.091)</f>
        <v>0.7166968322252375</v>
      </c>
      <c r="AJ72" s="82">
        <f t="shared" si="98"/>
        <v>0.58436219202662176</v>
      </c>
      <c r="AK72" s="82">
        <f t="shared" si="98"/>
        <v>0.43427864201768124</v>
      </c>
      <c r="AL72" s="82">
        <f t="shared" si="98"/>
        <v>0.3471569104540751</v>
      </c>
      <c r="AM72" s="82">
        <f t="shared" si="98"/>
        <v>0.21007547132317753</v>
      </c>
      <c r="AN72" s="82" t="e">
        <f t="shared" si="98"/>
        <v>#NUM!</v>
      </c>
      <c r="AO72" s="82" t="e">
        <f t="shared" si="98"/>
        <v>#DIV/0!</v>
      </c>
      <c r="AP72" s="82" t="e">
        <f t="shared" si="98"/>
        <v>#DIV/0!</v>
      </c>
      <c r="AQ72" s="82" t="e">
        <f t="shared" si="98"/>
        <v>#DIV/0!</v>
      </c>
      <c r="AR72" s="82" t="e">
        <f t="shared" si="98"/>
        <v>#DIV/0!</v>
      </c>
      <c r="AS72" s="82" t="e">
        <f t="shared" si="98"/>
        <v>#DIV/0!</v>
      </c>
      <c r="AT72" s="82" t="e">
        <f t="shared" si="98"/>
        <v>#DIV/0!</v>
      </c>
      <c r="AU72" s="82" t="e">
        <f t="shared" si="98"/>
        <v>#DIV/0!</v>
      </c>
      <c r="AV72" s="82" t="e">
        <f t="shared" si="98"/>
        <v>#DIV/0!</v>
      </c>
      <c r="AW72" s="82" t="e">
        <f t="shared" si="98"/>
        <v>#DIV/0!</v>
      </c>
      <c r="AX72" s="173" t="e">
        <f t="shared" si="98"/>
        <v>#DIV/0!</v>
      </c>
      <c r="AY72" s="147"/>
    </row>
    <row r="73" spans="1:51" ht="14.25" customHeight="1">
      <c r="A73" s="129"/>
      <c r="E73" s="104"/>
      <c r="H73" s="104"/>
      <c r="I73" s="120"/>
      <c r="J73" s="120"/>
      <c r="K73" s="116" t="s">
        <v>44</v>
      </c>
      <c r="L73" s="89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116" t="s">
        <v>44</v>
      </c>
      <c r="AF73" s="174"/>
      <c r="AG73" s="83">
        <f>AG69-AG72</f>
        <v>-2.8872507325580998E-2</v>
      </c>
      <c r="AH73" s="83">
        <f>AH69-AH72</f>
        <v>-3.5232686702047045E-2</v>
      </c>
      <c r="AI73" s="83">
        <f t="shared" ref="AI73" si="99">AI69-AI72</f>
        <v>-2.3122228407955192E-2</v>
      </c>
      <c r="AJ73" s="83">
        <f t="shared" ref="AJ73" si="100">AJ69-AJ72</f>
        <v>-2.2816524926135839E-2</v>
      </c>
      <c r="AK73" s="83">
        <f t="shared" ref="AK73" si="101">AK69-AK72</f>
        <v>-2.2241005230173749E-2</v>
      </c>
      <c r="AL73" s="83">
        <f t="shared" ref="AL73" si="102">AL69-AL72</f>
        <v>-2.4750974641873424E-2</v>
      </c>
      <c r="AM73" s="83">
        <f t="shared" ref="AM73" si="103">AM69-AM72</f>
        <v>1.444662845705888E-2</v>
      </c>
      <c r="AN73" s="83" t="e">
        <f t="shared" ref="AN73" si="104">AN69-AN72</f>
        <v>#DIV/0!</v>
      </c>
      <c r="AO73" s="83" t="e">
        <f t="shared" ref="AO73" si="105">AO69-AO72</f>
        <v>#DIV/0!</v>
      </c>
      <c r="AP73" s="83" t="e">
        <f t="shared" ref="AP73" si="106">AP69-AP72</f>
        <v>#DIV/0!</v>
      </c>
      <c r="AQ73" s="83" t="e">
        <f t="shared" ref="AQ73" si="107">AQ69-AQ72</f>
        <v>#DIV/0!</v>
      </c>
      <c r="AR73" s="83" t="e">
        <f t="shared" ref="AR73" si="108">AR69-AR72</f>
        <v>#DIV/0!</v>
      </c>
      <c r="AS73" s="83" t="e">
        <f t="shared" ref="AS73" si="109">AS69-AS72</f>
        <v>#DIV/0!</v>
      </c>
      <c r="AT73" s="83" t="e">
        <f t="shared" ref="AT73" si="110">AT69-AT72</f>
        <v>#DIV/0!</v>
      </c>
      <c r="AU73" s="83" t="e">
        <f t="shared" ref="AU73" si="111">AU69-AU72</f>
        <v>#DIV/0!</v>
      </c>
      <c r="AV73" s="83" t="e">
        <f t="shared" ref="AV73" si="112">AV69-AV72</f>
        <v>#DIV/0!</v>
      </c>
      <c r="AW73" s="83" t="e">
        <f t="shared" ref="AW73" si="113">AW69-AW72</f>
        <v>#DIV/0!</v>
      </c>
      <c r="AX73" s="175" t="e">
        <f t="shared" ref="AX73" si="114">AX69-AX72</f>
        <v>#DIV/0!</v>
      </c>
      <c r="AY73" s="147"/>
    </row>
    <row r="74" spans="1:51" ht="14.25" customHeight="1">
      <c r="A74" s="129"/>
      <c r="E74" s="104"/>
      <c r="H74" s="104"/>
      <c r="I74" s="120"/>
      <c r="J74" s="120"/>
      <c r="K74" s="116" t="s">
        <v>64</v>
      </c>
      <c r="L74" s="89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116" t="s">
        <v>64</v>
      </c>
      <c r="AF74" s="174">
        <f>AF69/AF$43</f>
        <v>1</v>
      </c>
      <c r="AG74" s="83">
        <f>AG69/AG$43</f>
        <v>0.9692829468138372</v>
      </c>
      <c r="AH74" s="83">
        <f>AH69/AH$43</f>
        <v>0.9281403507123841</v>
      </c>
      <c r="AI74" s="83">
        <f t="shared" ref="AI74:AX74" si="115">AI69/AI$43</f>
        <v>0.89888085643891924</v>
      </c>
      <c r="AJ74" s="83">
        <f t="shared" si="115"/>
        <v>0.86510069708107207</v>
      </c>
      <c r="AK74" s="83">
        <f t="shared" si="115"/>
        <v>0.82267332924761816</v>
      </c>
      <c r="AL74" s="83">
        <f t="shared" si="115"/>
        <v>0.76518454872346264</v>
      </c>
      <c r="AM74" s="83">
        <f t="shared" si="115"/>
        <v>0.82092567621523693</v>
      </c>
      <c r="AN74" s="83" t="e">
        <f t="shared" si="115"/>
        <v>#DIV/0!</v>
      </c>
      <c r="AO74" s="83" t="e">
        <f t="shared" si="115"/>
        <v>#DIV/0!</v>
      </c>
      <c r="AP74" s="83" t="e">
        <f t="shared" si="115"/>
        <v>#DIV/0!</v>
      </c>
      <c r="AQ74" s="83" t="e">
        <f t="shared" si="115"/>
        <v>#DIV/0!</v>
      </c>
      <c r="AR74" s="83" t="e">
        <f t="shared" si="115"/>
        <v>#DIV/0!</v>
      </c>
      <c r="AS74" s="83" t="e">
        <f t="shared" si="115"/>
        <v>#DIV/0!</v>
      </c>
      <c r="AT74" s="83" t="e">
        <f t="shared" si="115"/>
        <v>#DIV/0!</v>
      </c>
      <c r="AU74" s="83" t="e">
        <f t="shared" si="115"/>
        <v>#DIV/0!</v>
      </c>
      <c r="AV74" s="83" t="e">
        <f t="shared" si="115"/>
        <v>#DIV/0!</v>
      </c>
      <c r="AW74" s="83" t="e">
        <f t="shared" si="115"/>
        <v>#DIV/0!</v>
      </c>
      <c r="AX74" s="175" t="e">
        <f t="shared" si="115"/>
        <v>#DIV/0!</v>
      </c>
      <c r="AY74" s="147"/>
    </row>
    <row r="75" spans="1:51" ht="15">
      <c r="A75" s="129"/>
      <c r="E75" s="58"/>
      <c r="H75" s="58"/>
      <c r="K75" s="150"/>
      <c r="AE75" s="149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176"/>
    </row>
    <row r="76" spans="1:51" ht="14.25" customHeight="1">
      <c r="A76" s="129"/>
      <c r="E76" s="134" t="str">
        <f>'RAD_DOSE Groups'!C10</f>
        <v>6.6 uCi Control</v>
      </c>
      <c r="H76" s="134" t="str">
        <f>E76</f>
        <v>6.6 uCi Control</v>
      </c>
      <c r="I76" s="120">
        <f>AVERAGEIF($E$5:$E$41,$E76,I$5:I$41)</f>
        <v>741.8</v>
      </c>
      <c r="J76" s="120"/>
      <c r="K76" s="117" t="s">
        <v>10</v>
      </c>
      <c r="L76" s="87">
        <f t="shared" ref="L76:AD76" si="116">AVERAGEIF($E$5:$E$41,$E76,L$5:L$41)</f>
        <v>741.8</v>
      </c>
      <c r="M76" s="87">
        <f t="shared" si="116"/>
        <v>624.79999999999995</v>
      </c>
      <c r="N76" s="87">
        <f t="shared" si="116"/>
        <v>552.4</v>
      </c>
      <c r="O76" s="87">
        <f t="shared" si="116"/>
        <v>490</v>
      </c>
      <c r="P76" s="87">
        <f t="shared" si="116"/>
        <v>398.6</v>
      </c>
      <c r="Q76" s="87">
        <f t="shared" si="116"/>
        <v>291.8</v>
      </c>
      <c r="R76" s="87">
        <f t="shared" si="116"/>
        <v>230.6</v>
      </c>
      <c r="S76" s="87">
        <f t="shared" si="116"/>
        <v>152.96</v>
      </c>
      <c r="T76" s="87" t="e">
        <f t="shared" si="116"/>
        <v>#DIV/0!</v>
      </c>
      <c r="U76" s="87" t="e">
        <f t="shared" si="116"/>
        <v>#DIV/0!</v>
      </c>
      <c r="V76" s="87" t="e">
        <f t="shared" si="116"/>
        <v>#DIV/0!</v>
      </c>
      <c r="W76" s="87" t="e">
        <f t="shared" si="116"/>
        <v>#DIV/0!</v>
      </c>
      <c r="X76" s="87" t="e">
        <f t="shared" si="116"/>
        <v>#DIV/0!</v>
      </c>
      <c r="Y76" s="87" t="e">
        <f t="shared" si="116"/>
        <v>#DIV/0!</v>
      </c>
      <c r="Z76" s="87" t="e">
        <f t="shared" si="116"/>
        <v>#DIV/0!</v>
      </c>
      <c r="AA76" s="87" t="e">
        <f t="shared" si="116"/>
        <v>#DIV/0!</v>
      </c>
      <c r="AB76" s="87" t="e">
        <f t="shared" si="116"/>
        <v>#DIV/0!</v>
      </c>
      <c r="AC76" s="87" t="e">
        <f t="shared" si="116"/>
        <v>#DIV/0!</v>
      </c>
      <c r="AD76" s="87" t="e">
        <f t="shared" si="116"/>
        <v>#DIV/0!</v>
      </c>
      <c r="AE76" s="153" t="s">
        <v>10</v>
      </c>
      <c r="AF76" s="82">
        <f t="shared" ref="AF76:AX76" si="117">AVERAGEIF($E$5:$E$41,$E76,AF$5:AF$41)</f>
        <v>1</v>
      </c>
      <c r="AG76" s="82">
        <f t="shared" si="117"/>
        <v>0.84411757087103678</v>
      </c>
      <c r="AH76" s="82">
        <f t="shared" si="117"/>
        <v>0.74604798823515828</v>
      </c>
      <c r="AI76" s="82">
        <f t="shared" si="117"/>
        <v>0.66112450686896018</v>
      </c>
      <c r="AJ76" s="82">
        <f t="shared" si="117"/>
        <v>0.53973289375271372</v>
      </c>
      <c r="AK76" s="82">
        <f t="shared" si="117"/>
        <v>0.394053473355641</v>
      </c>
      <c r="AL76" s="82">
        <f t="shared" si="117"/>
        <v>0.3109744201322181</v>
      </c>
      <c r="AM76" s="82">
        <f t="shared" si="117"/>
        <v>0.2064106237794458</v>
      </c>
      <c r="AN76" s="82" t="e">
        <f t="shared" si="117"/>
        <v>#DIV/0!</v>
      </c>
      <c r="AO76" s="82" t="e">
        <f t="shared" si="117"/>
        <v>#DIV/0!</v>
      </c>
      <c r="AP76" s="82" t="e">
        <f t="shared" si="117"/>
        <v>#DIV/0!</v>
      </c>
      <c r="AQ76" s="82" t="e">
        <f t="shared" si="117"/>
        <v>#DIV/0!</v>
      </c>
      <c r="AR76" s="82" t="e">
        <f t="shared" si="117"/>
        <v>#DIV/0!</v>
      </c>
      <c r="AS76" s="82" t="e">
        <f t="shared" si="117"/>
        <v>#DIV/0!</v>
      </c>
      <c r="AT76" s="82" t="e">
        <f t="shared" si="117"/>
        <v>#DIV/0!</v>
      </c>
      <c r="AU76" s="82" t="e">
        <f t="shared" si="117"/>
        <v>#DIV/0!</v>
      </c>
      <c r="AV76" s="82" t="e">
        <f t="shared" si="117"/>
        <v>#DIV/0!</v>
      </c>
      <c r="AW76" s="82" t="e">
        <f t="shared" si="117"/>
        <v>#DIV/0!</v>
      </c>
      <c r="AX76" s="82" t="e">
        <f t="shared" si="117"/>
        <v>#DIV/0!</v>
      </c>
      <c r="AY76" s="85"/>
    </row>
    <row r="77" spans="1:51" ht="14.25" customHeight="1">
      <c r="A77" s="129"/>
      <c r="E77" s="104"/>
      <c r="H77" s="104"/>
      <c r="I77" s="120">
        <f t="array" ref="I77">_xlfn.STDEV.P(IF($E$5:$E$41=$E76,I$5:I$41))</f>
        <v>138.65554442574592</v>
      </c>
      <c r="J77" s="120"/>
      <c r="K77" s="117" t="s">
        <v>12</v>
      </c>
      <c r="L77" s="90">
        <f t="array" ref="L77">_xlfn.STDEV.P(IF($E$5:$E$41=$E76,L$5:L$41))</f>
        <v>138.65554442574592</v>
      </c>
      <c r="M77" s="90">
        <f t="array" ref="M77">_xlfn.STDEV.P(IF($E$5:$E$41=$E76,M$5:M$41))</f>
        <v>110.07524699041106</v>
      </c>
      <c r="N77" s="90">
        <f t="array" ref="N77">_xlfn.STDEV.P(IF($E$5:$E$41=$E76,N$5:N$41))</f>
        <v>97.94406567015686</v>
      </c>
      <c r="O77" s="90">
        <f t="array" ref="O77">_xlfn.STDEV.P(IF($E$5:$E$41=$E76,O$5:O$41))</f>
        <v>89.263654417685586</v>
      </c>
      <c r="P77" s="90">
        <f t="array" ref="P77">_xlfn.STDEV.P(IF($E$5:$E$41=$E76,P$5:P$41))</f>
        <v>66.21057317377641</v>
      </c>
      <c r="Q77" s="90">
        <f t="array" ref="Q77">_xlfn.STDEV.P(IF($E$5:$E$41=$E76,Q$5:Q$41))</f>
        <v>51.889883407076567</v>
      </c>
      <c r="R77" s="90">
        <f t="array" ref="R77">_xlfn.STDEV.P(IF($E$5:$E$41=$E76,R$5:R$41))</f>
        <v>42.504587987651405</v>
      </c>
      <c r="S77" s="90">
        <f t="array" ref="S77">_xlfn.STDEV.P(IF($E$5:$E$41=$E76,S$5:S$41))</f>
        <v>27.821761267036919</v>
      </c>
      <c r="T77" s="90">
        <f t="array" ref="T77">_xlfn.STDEV.P(IF($E$5:$E$41=$E76,T$5:T$41))</f>
        <v>0</v>
      </c>
      <c r="U77" s="90">
        <f t="array" ref="U77">_xlfn.STDEV.P(IF($E$5:$E$41=$E76,U$5:U$41))</f>
        <v>0</v>
      </c>
      <c r="V77" s="90">
        <f t="array" ref="V77">_xlfn.STDEV.P(IF($E$5:$E$41=$E76,V$5:V$41))</f>
        <v>0</v>
      </c>
      <c r="W77" s="90">
        <f t="array" ref="W77">_xlfn.STDEV.P(IF($E$5:$E$41=$E76,W$5:W$41))</f>
        <v>0</v>
      </c>
      <c r="X77" s="90">
        <f t="array" ref="X77">_xlfn.STDEV.P(IF($E$5:$E$41=$E76,X$5:X$41))</f>
        <v>0</v>
      </c>
      <c r="Y77" s="90">
        <f t="array" ref="Y77">_xlfn.STDEV.P(IF($E$5:$E$41=$E76,Y$5:Y$41))</f>
        <v>0</v>
      </c>
      <c r="Z77" s="90">
        <f t="array" ref="Z77">_xlfn.STDEV.P(IF($E$5:$E$41=$E76,Z$5:Z$41))</f>
        <v>0</v>
      </c>
      <c r="AA77" s="90">
        <f t="array" ref="AA77">_xlfn.STDEV.P(IF($E$5:$E$41=$E76,AA$5:AA$41))</f>
        <v>0</v>
      </c>
      <c r="AB77" s="90">
        <f t="array" ref="AB77">_xlfn.STDEV.P(IF($E$5:$E$41=$E76,AB$5:AB$41))</f>
        <v>0</v>
      </c>
      <c r="AC77" s="90">
        <f t="array" ref="AC77">_xlfn.STDEV.P(IF($E$5:$E$41=$E76,AC$5:AC$41))</f>
        <v>0</v>
      </c>
      <c r="AD77" s="90">
        <f t="array" ref="AD77">_xlfn.STDEV.P(IF($E$5:$E$41=$E76,AD$5:AD$41))</f>
        <v>0</v>
      </c>
      <c r="AE77" s="154" t="s">
        <v>12</v>
      </c>
      <c r="AF77" s="83">
        <f t="array" ref="AF77">_xlfn.STDEV.P(IF($E$5:$E$41=$E76,AF$5:AF$41))</f>
        <v>0</v>
      </c>
      <c r="AG77" s="83">
        <f t="array" ref="AG77">_xlfn.STDEV.P(IF($E$5:$E$41=$E76,AG$5:AG$41))</f>
        <v>2.2950631734715937E-2</v>
      </c>
      <c r="AH77" s="83">
        <f t="array" ref="AH77">_xlfn.STDEV.P(IF($E$5:$E$41=$E76,AH$5:AH$41))</f>
        <v>1.0497013567744037E-2</v>
      </c>
      <c r="AI77" s="83">
        <f t="array" ref="AI77">_xlfn.STDEV.P(IF($E$5:$E$41=$E76,AI$5:AI$41))</f>
        <v>1.4194228730681997E-2</v>
      </c>
      <c r="AJ77" s="83">
        <f t="array" ref="AJ77">_xlfn.STDEV.P(IF($E$5:$E$41=$E76,AJ$5:AJ$41))</f>
        <v>1.6078488026315198E-2</v>
      </c>
      <c r="AK77" s="83">
        <f t="array" ref="AK77">_xlfn.STDEV.P(IF($E$5:$E$41=$E76,AK$5:AK$41))</f>
        <v>1.0841829794986145E-2</v>
      </c>
      <c r="AL77" s="83">
        <f t="array" ref="AL77">_xlfn.STDEV.P(IF($E$5:$E$41=$E76,AL$5:AL$41))</f>
        <v>6.3097617734530539E-3</v>
      </c>
      <c r="AM77" s="83">
        <f t="array" ref="AM77">_xlfn.STDEV.P(IF($E$5:$E$41=$E76,AM$5:AM$41))</f>
        <v>2.6410989163376379E-3</v>
      </c>
      <c r="AN77" s="83" t="e">
        <f t="array" ref="AN77">_xlfn.STDEV.P(IF($E$5:$E$41=$E76,AN$5:AN$41))</f>
        <v>#DIV/0!</v>
      </c>
      <c r="AO77" s="83" t="e">
        <f t="array" ref="AO77">_xlfn.STDEV.P(IF($E$5:$E$41=$E76,AO$5:AO$41))</f>
        <v>#DIV/0!</v>
      </c>
      <c r="AP77" s="83" t="e">
        <f t="array" ref="AP77">_xlfn.STDEV.P(IF($E$5:$E$41=$E76,AP$5:AP$41))</f>
        <v>#DIV/0!</v>
      </c>
      <c r="AQ77" s="83" t="e">
        <f t="array" ref="AQ77">_xlfn.STDEV.P(IF($E$5:$E$41=$E76,AQ$5:AQ$41))</f>
        <v>#DIV/0!</v>
      </c>
      <c r="AR77" s="83" t="e">
        <f t="array" ref="AR77">_xlfn.STDEV.P(IF($E$5:$E$41=$E76,AR$5:AR$41))</f>
        <v>#DIV/0!</v>
      </c>
      <c r="AS77" s="83" t="e">
        <f t="array" ref="AS77">_xlfn.STDEV.P(IF($E$5:$E$41=$E76,AS$5:AS$41))</f>
        <v>#DIV/0!</v>
      </c>
      <c r="AT77" s="83" t="e">
        <f t="array" ref="AT77">_xlfn.STDEV.P(IF($E$5:$E$41=$E76,AT$5:AT$41))</f>
        <v>#DIV/0!</v>
      </c>
      <c r="AU77" s="83" t="e">
        <f t="array" ref="AU77">_xlfn.STDEV.P(IF($E$5:$E$41=$E76,AU$5:AU$41))</f>
        <v>#DIV/0!</v>
      </c>
      <c r="AV77" s="83" t="e">
        <f t="array" ref="AV77">_xlfn.STDEV.P(IF($E$5:$E$41=$E76,AV$5:AV$41))</f>
        <v>#DIV/0!</v>
      </c>
      <c r="AW77" s="83" t="e">
        <f t="array" ref="AW77">_xlfn.STDEV.P(IF($E$5:$E$41=$E76,AW$5:AW$41))</f>
        <v>#DIV/0!</v>
      </c>
      <c r="AX77" s="83" t="e">
        <f t="array" ref="AX77">_xlfn.STDEV.P(IF($E$5:$E$41=$E76,AX$5:AX$41))</f>
        <v>#DIV/0!</v>
      </c>
      <c r="AY77" s="85"/>
    </row>
    <row r="78" spans="1:51" ht="14.25" customHeight="1">
      <c r="A78" s="129"/>
      <c r="E78" s="104"/>
      <c r="H78" s="104"/>
      <c r="I78" s="120"/>
      <c r="J78" s="120"/>
      <c r="K78" s="148" t="s">
        <v>43</v>
      </c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148" t="s">
        <v>43</v>
      </c>
      <c r="AF78" s="82">
        <f>AF76-AF$43</f>
        <v>0</v>
      </c>
      <c r="AG78" s="82">
        <f>AG76-AG$43</f>
        <v>-7.3081663898392768E-2</v>
      </c>
      <c r="AH78" s="82">
        <f t="shared" ref="AH78:AX78" si="118">AH76-AH$43</f>
        <v>-9.5206448026468826E-2</v>
      </c>
      <c r="AI78" s="82">
        <f t="shared" si="118"/>
        <v>-0.11047341831659208</v>
      </c>
      <c r="AJ78" s="82">
        <f t="shared" si="118"/>
        <v>-0.1093772838198992</v>
      </c>
      <c r="AK78" s="82">
        <f t="shared" si="118"/>
        <v>-0.10679859287621252</v>
      </c>
      <c r="AL78" s="82">
        <f t="shared" si="118"/>
        <v>-0.11036960249613093</v>
      </c>
      <c r="AM78" s="82">
        <f t="shared" si="118"/>
        <v>-6.7088069568000896E-2</v>
      </c>
      <c r="AN78" s="82" t="e">
        <f t="shared" si="118"/>
        <v>#DIV/0!</v>
      </c>
      <c r="AO78" s="82" t="e">
        <f t="shared" si="118"/>
        <v>#DIV/0!</v>
      </c>
      <c r="AP78" s="82" t="e">
        <f t="shared" si="118"/>
        <v>#DIV/0!</v>
      </c>
      <c r="AQ78" s="82" t="e">
        <f t="shared" si="118"/>
        <v>#DIV/0!</v>
      </c>
      <c r="AR78" s="82" t="e">
        <f t="shared" si="118"/>
        <v>#DIV/0!</v>
      </c>
      <c r="AS78" s="82" t="e">
        <f t="shared" si="118"/>
        <v>#DIV/0!</v>
      </c>
      <c r="AT78" s="82" t="e">
        <f t="shared" si="118"/>
        <v>#DIV/0!</v>
      </c>
      <c r="AU78" s="82" t="e">
        <f t="shared" si="118"/>
        <v>#DIV/0!</v>
      </c>
      <c r="AV78" s="82" t="e">
        <f t="shared" si="118"/>
        <v>#DIV/0!</v>
      </c>
      <c r="AW78" s="82" t="e">
        <f t="shared" si="118"/>
        <v>#DIV/0!</v>
      </c>
      <c r="AX78" s="173" t="e">
        <f t="shared" si="118"/>
        <v>#DIV/0!</v>
      </c>
      <c r="AY78" s="147"/>
    </row>
    <row r="79" spans="1:51" ht="14.25" customHeight="1">
      <c r="A79" s="129"/>
      <c r="E79" s="104"/>
      <c r="H79" s="104"/>
      <c r="I79" s="120"/>
      <c r="J79" s="120"/>
      <c r="K79" s="116" t="s">
        <v>63</v>
      </c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116" t="s">
        <v>63</v>
      </c>
      <c r="AF79" s="82"/>
      <c r="AG79" s="82">
        <f>AF76*EXP((AG$4-AF$4)*-LN(2)/8.091)</f>
        <v>0.91789808441829013</v>
      </c>
      <c r="AH79" s="82">
        <f>AG76*EXP((AH$4-AG$4)*-LN(2)/8.091)</f>
        <v>0.77481390132634487</v>
      </c>
      <c r="AI79" s="82">
        <f t="shared" ref="AI79:AX79" si="119">AH76*EXP((AI$4-AH$4)*-LN(2)/8.091)</f>
        <v>0.68479601928517086</v>
      </c>
      <c r="AJ79" s="82">
        <f t="shared" si="119"/>
        <v>0.55702178815394265</v>
      </c>
      <c r="AK79" s="82">
        <f t="shared" si="119"/>
        <v>0.41740945017256836</v>
      </c>
      <c r="AL79" s="82">
        <f t="shared" si="119"/>
        <v>0.33200458926617432</v>
      </c>
      <c r="AM79" s="82">
        <f t="shared" si="119"/>
        <v>0.20262684591756563</v>
      </c>
      <c r="AN79" s="82" t="e">
        <f t="shared" si="119"/>
        <v>#NUM!</v>
      </c>
      <c r="AO79" s="82" t="e">
        <f t="shared" si="119"/>
        <v>#DIV/0!</v>
      </c>
      <c r="AP79" s="82" t="e">
        <f t="shared" si="119"/>
        <v>#DIV/0!</v>
      </c>
      <c r="AQ79" s="82" t="e">
        <f t="shared" si="119"/>
        <v>#DIV/0!</v>
      </c>
      <c r="AR79" s="82" t="e">
        <f t="shared" si="119"/>
        <v>#DIV/0!</v>
      </c>
      <c r="AS79" s="82" t="e">
        <f t="shared" si="119"/>
        <v>#DIV/0!</v>
      </c>
      <c r="AT79" s="82" t="e">
        <f t="shared" si="119"/>
        <v>#DIV/0!</v>
      </c>
      <c r="AU79" s="82" t="e">
        <f t="shared" si="119"/>
        <v>#DIV/0!</v>
      </c>
      <c r="AV79" s="82" t="e">
        <f t="shared" si="119"/>
        <v>#DIV/0!</v>
      </c>
      <c r="AW79" s="82" t="e">
        <f t="shared" si="119"/>
        <v>#DIV/0!</v>
      </c>
      <c r="AX79" s="173" t="e">
        <f t="shared" si="119"/>
        <v>#DIV/0!</v>
      </c>
      <c r="AY79" s="147"/>
    </row>
    <row r="80" spans="1:51" ht="14.25" customHeight="1">
      <c r="A80" s="129"/>
      <c r="E80" s="104"/>
      <c r="H80" s="104"/>
      <c r="I80" s="120"/>
      <c r="J80" s="120"/>
      <c r="K80" s="116" t="s">
        <v>44</v>
      </c>
      <c r="L80" s="89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116" t="s">
        <v>44</v>
      </c>
      <c r="AF80" s="174"/>
      <c r="AG80" s="83">
        <f>AG76-AG79</f>
        <v>-7.3780513547253346E-2</v>
      </c>
      <c r="AH80" s="83">
        <f>AH76-AH79</f>
        <v>-2.876591309118659E-2</v>
      </c>
      <c r="AI80" s="83">
        <f t="shared" ref="AI80" si="120">AI76-AI79</f>
        <v>-2.3671512416210683E-2</v>
      </c>
      <c r="AJ80" s="83">
        <f t="shared" ref="AJ80" si="121">AJ76-AJ79</f>
        <v>-1.7288894401228938E-2</v>
      </c>
      <c r="AK80" s="83">
        <f t="shared" ref="AK80" si="122">AK76-AK79</f>
        <v>-2.335597681692736E-2</v>
      </c>
      <c r="AL80" s="83">
        <f t="shared" ref="AL80" si="123">AL76-AL79</f>
        <v>-2.1030169133956222E-2</v>
      </c>
      <c r="AM80" s="83">
        <f t="shared" ref="AM80" si="124">AM76-AM79</f>
        <v>3.7837778618801665E-3</v>
      </c>
      <c r="AN80" s="83" t="e">
        <f t="shared" ref="AN80" si="125">AN76-AN79</f>
        <v>#DIV/0!</v>
      </c>
      <c r="AO80" s="83" t="e">
        <f t="shared" ref="AO80" si="126">AO76-AO79</f>
        <v>#DIV/0!</v>
      </c>
      <c r="AP80" s="83" t="e">
        <f t="shared" ref="AP80" si="127">AP76-AP79</f>
        <v>#DIV/0!</v>
      </c>
      <c r="AQ80" s="83" t="e">
        <f t="shared" ref="AQ80" si="128">AQ76-AQ79</f>
        <v>#DIV/0!</v>
      </c>
      <c r="AR80" s="83" t="e">
        <f t="shared" ref="AR80" si="129">AR76-AR79</f>
        <v>#DIV/0!</v>
      </c>
      <c r="AS80" s="83" t="e">
        <f t="shared" ref="AS80" si="130">AS76-AS79</f>
        <v>#DIV/0!</v>
      </c>
      <c r="AT80" s="83" t="e">
        <f t="shared" ref="AT80" si="131">AT76-AT79</f>
        <v>#DIV/0!</v>
      </c>
      <c r="AU80" s="83" t="e">
        <f t="shared" ref="AU80" si="132">AU76-AU79</f>
        <v>#DIV/0!</v>
      </c>
      <c r="AV80" s="83" t="e">
        <f t="shared" ref="AV80" si="133">AV76-AV79</f>
        <v>#DIV/0!</v>
      </c>
      <c r="AW80" s="83" t="e">
        <f t="shared" ref="AW80" si="134">AW76-AW79</f>
        <v>#DIV/0!</v>
      </c>
      <c r="AX80" s="175" t="e">
        <f t="shared" ref="AX80" si="135">AX76-AX79</f>
        <v>#DIV/0!</v>
      </c>
      <c r="AY80" s="147"/>
    </row>
    <row r="81" spans="1:51" ht="14.25" customHeight="1">
      <c r="A81" s="129"/>
      <c r="E81" s="104"/>
      <c r="H81" s="104"/>
      <c r="I81" s="120"/>
      <c r="J81" s="120"/>
      <c r="K81" s="116" t="s">
        <v>64</v>
      </c>
      <c r="L81" s="89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116" t="s">
        <v>64</v>
      </c>
      <c r="AF81" s="174">
        <f>AF76/AF$43</f>
        <v>1</v>
      </c>
      <c r="AG81" s="83">
        <f>AG76/AG$43</f>
        <v>0.92032084074212683</v>
      </c>
      <c r="AH81" s="83">
        <f>AH76/AH$43</f>
        <v>0.8868279988518718</v>
      </c>
      <c r="AI81" s="83">
        <f t="shared" ref="AI81:AX81" si="136">AI76/AI$43</f>
        <v>0.85682514855126701</v>
      </c>
      <c r="AJ81" s="83">
        <f t="shared" si="136"/>
        <v>0.83149658162975937</v>
      </c>
      <c r="AK81" s="83">
        <f t="shared" si="136"/>
        <v>0.78676619290061289</v>
      </c>
      <c r="AL81" s="83">
        <f t="shared" si="136"/>
        <v>0.73805347514450537</v>
      </c>
      <c r="AM81" s="83">
        <f t="shared" si="136"/>
        <v>0.75470424100793165</v>
      </c>
      <c r="AN81" s="83" t="e">
        <f t="shared" si="136"/>
        <v>#DIV/0!</v>
      </c>
      <c r="AO81" s="83" t="e">
        <f t="shared" si="136"/>
        <v>#DIV/0!</v>
      </c>
      <c r="AP81" s="83" t="e">
        <f t="shared" si="136"/>
        <v>#DIV/0!</v>
      </c>
      <c r="AQ81" s="83" t="e">
        <f t="shared" si="136"/>
        <v>#DIV/0!</v>
      </c>
      <c r="AR81" s="83" t="e">
        <f t="shared" si="136"/>
        <v>#DIV/0!</v>
      </c>
      <c r="AS81" s="83" t="e">
        <f t="shared" si="136"/>
        <v>#DIV/0!</v>
      </c>
      <c r="AT81" s="83" t="e">
        <f t="shared" si="136"/>
        <v>#DIV/0!</v>
      </c>
      <c r="AU81" s="83" t="e">
        <f t="shared" si="136"/>
        <v>#DIV/0!</v>
      </c>
      <c r="AV81" s="83" t="e">
        <f t="shared" si="136"/>
        <v>#DIV/0!</v>
      </c>
      <c r="AW81" s="83" t="e">
        <f t="shared" si="136"/>
        <v>#DIV/0!</v>
      </c>
      <c r="AX81" s="175" t="e">
        <f t="shared" si="136"/>
        <v>#DIV/0!</v>
      </c>
      <c r="AY81" s="147"/>
    </row>
    <row r="82" spans="1:51" ht="15">
      <c r="A82" s="129"/>
      <c r="E82" s="58"/>
      <c r="H82" s="58"/>
      <c r="K82" s="150"/>
      <c r="AE82" s="149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176"/>
    </row>
    <row r="83" spans="1:51" ht="14.25" customHeight="1">
      <c r="A83" s="129"/>
      <c r="E83" s="134" t="str">
        <f>'RAD_DOSE Groups'!C11</f>
        <v>6.6 uCi + CP-PTX</v>
      </c>
      <c r="H83" s="134" t="str">
        <f>E83</f>
        <v>6.6 uCi + CP-PTX</v>
      </c>
      <c r="I83" s="120">
        <f>AVERAGEIF($E$5:$E$41,$E83,I$5:I$41)</f>
        <v>885.4</v>
      </c>
      <c r="J83" s="120"/>
      <c r="K83" s="117" t="s">
        <v>10</v>
      </c>
      <c r="L83" s="87">
        <f t="shared" ref="L83:AD83" si="137">AVERAGEIF($E$5:$E$41,$E83,L$5:L$41)</f>
        <v>885.4</v>
      </c>
      <c r="M83" s="87">
        <f t="shared" si="137"/>
        <v>759.2</v>
      </c>
      <c r="N83" s="87">
        <f t="shared" si="137"/>
        <v>680.8</v>
      </c>
      <c r="O83" s="87">
        <f t="shared" si="137"/>
        <v>595</v>
      </c>
      <c r="P83" s="87">
        <f t="shared" si="137"/>
        <v>487</v>
      </c>
      <c r="Q83" s="87">
        <f t="shared" si="137"/>
        <v>348</v>
      </c>
      <c r="R83" s="87">
        <f t="shared" si="137"/>
        <v>276</v>
      </c>
      <c r="S83" s="87">
        <f t="shared" si="137"/>
        <v>185.14</v>
      </c>
      <c r="T83" s="87" t="e">
        <f t="shared" si="137"/>
        <v>#DIV/0!</v>
      </c>
      <c r="U83" s="87" t="e">
        <f t="shared" si="137"/>
        <v>#DIV/0!</v>
      </c>
      <c r="V83" s="87" t="e">
        <f t="shared" si="137"/>
        <v>#DIV/0!</v>
      </c>
      <c r="W83" s="87" t="e">
        <f t="shared" si="137"/>
        <v>#DIV/0!</v>
      </c>
      <c r="X83" s="87" t="e">
        <f t="shared" si="137"/>
        <v>#DIV/0!</v>
      </c>
      <c r="Y83" s="87" t="e">
        <f t="shared" si="137"/>
        <v>#DIV/0!</v>
      </c>
      <c r="Z83" s="87" t="e">
        <f t="shared" si="137"/>
        <v>#DIV/0!</v>
      </c>
      <c r="AA83" s="87" t="e">
        <f t="shared" si="137"/>
        <v>#DIV/0!</v>
      </c>
      <c r="AB83" s="87" t="e">
        <f t="shared" si="137"/>
        <v>#DIV/0!</v>
      </c>
      <c r="AC83" s="87" t="e">
        <f t="shared" si="137"/>
        <v>#DIV/0!</v>
      </c>
      <c r="AD83" s="87" t="e">
        <f t="shared" si="137"/>
        <v>#DIV/0!</v>
      </c>
      <c r="AE83" s="153" t="s">
        <v>10</v>
      </c>
      <c r="AF83" s="82">
        <f t="shared" ref="AF83:AX83" si="138">AVERAGEIF($E$5:$E$41,$E83,AF$5:AF$41)</f>
        <v>1</v>
      </c>
      <c r="AG83" s="82">
        <f t="shared" si="138"/>
        <v>0.85663196816752196</v>
      </c>
      <c r="AH83" s="82">
        <f t="shared" si="138"/>
        <v>0.7724286154863742</v>
      </c>
      <c r="AI83" s="82">
        <f t="shared" si="138"/>
        <v>0.67253712281967859</v>
      </c>
      <c r="AJ83" s="82">
        <f t="shared" si="138"/>
        <v>0.54779949339490974</v>
      </c>
      <c r="AK83" s="82">
        <f t="shared" si="138"/>
        <v>0.39387167181191696</v>
      </c>
      <c r="AL83" s="82">
        <f t="shared" si="138"/>
        <v>0.31104638288577074</v>
      </c>
      <c r="AM83" s="82">
        <f t="shared" si="138"/>
        <v>0.20814349796470205</v>
      </c>
      <c r="AN83" s="82" t="e">
        <f t="shared" si="138"/>
        <v>#DIV/0!</v>
      </c>
      <c r="AO83" s="82" t="e">
        <f t="shared" si="138"/>
        <v>#DIV/0!</v>
      </c>
      <c r="AP83" s="82" t="e">
        <f t="shared" si="138"/>
        <v>#DIV/0!</v>
      </c>
      <c r="AQ83" s="82" t="e">
        <f t="shared" si="138"/>
        <v>#DIV/0!</v>
      </c>
      <c r="AR83" s="82" t="e">
        <f t="shared" si="138"/>
        <v>#DIV/0!</v>
      </c>
      <c r="AS83" s="82" t="e">
        <f t="shared" si="138"/>
        <v>#DIV/0!</v>
      </c>
      <c r="AT83" s="82" t="e">
        <f t="shared" si="138"/>
        <v>#DIV/0!</v>
      </c>
      <c r="AU83" s="82" t="e">
        <f t="shared" si="138"/>
        <v>#DIV/0!</v>
      </c>
      <c r="AV83" s="82" t="e">
        <f t="shared" si="138"/>
        <v>#DIV/0!</v>
      </c>
      <c r="AW83" s="82" t="e">
        <f t="shared" si="138"/>
        <v>#DIV/0!</v>
      </c>
      <c r="AX83" s="82" t="e">
        <f t="shared" si="138"/>
        <v>#DIV/0!</v>
      </c>
      <c r="AY83" s="85"/>
    </row>
    <row r="84" spans="1:51" ht="14.25" customHeight="1">
      <c r="A84" s="129"/>
      <c r="E84" s="104"/>
      <c r="H84" s="104"/>
      <c r="I84" s="120">
        <f t="array" ref="I84">_xlfn.STDEV.P(IF($E$5:$E$41=$E83,I$5:I$41))</f>
        <v>252.87989243907867</v>
      </c>
      <c r="J84" s="120"/>
      <c r="K84" s="117" t="s">
        <v>12</v>
      </c>
      <c r="L84" s="90">
        <f t="array" ref="L84">_xlfn.STDEV.P(IF($E$5:$E$41=$E83,L$5:L$41))</f>
        <v>252.87989243907867</v>
      </c>
      <c r="M84" s="90">
        <f t="array" ref="M84">_xlfn.STDEV.P(IF($E$5:$E$41=$E83,M$5:M$41))</f>
        <v>219.34575446085114</v>
      </c>
      <c r="N84" s="90">
        <f t="array" ref="N84">_xlfn.STDEV.P(IF($E$5:$E$41=$E83,N$5:N$41))</f>
        <v>182.83260103165409</v>
      </c>
      <c r="O84" s="90">
        <f t="array" ref="O84">_xlfn.STDEV.P(IF($E$5:$E$41=$E83,O$5:O$41))</f>
        <v>166.67213324368294</v>
      </c>
      <c r="P84" s="90">
        <f t="array" ref="P84">_xlfn.STDEV.P(IF($E$5:$E$41=$E83,P$5:P$41))</f>
        <v>146.50460743608031</v>
      </c>
      <c r="Q84" s="90">
        <f t="array" ref="Q84">_xlfn.STDEV.P(IF($E$5:$E$41=$E83,Q$5:Q$41))</f>
        <v>97.042258836034932</v>
      </c>
      <c r="R84" s="90">
        <f t="array" ref="R84">_xlfn.STDEV.P(IF($E$5:$E$41=$E83,R$5:R$41))</f>
        <v>81.650474585271084</v>
      </c>
      <c r="S84" s="90">
        <f t="array" ref="S84">_xlfn.STDEV.P(IF($E$5:$E$41=$E83,S$5:S$41))</f>
        <v>56.437951770063442</v>
      </c>
      <c r="T84" s="90">
        <f t="array" ref="T84">_xlfn.STDEV.P(IF($E$5:$E$41=$E83,T$5:T$41))</f>
        <v>0</v>
      </c>
      <c r="U84" s="90">
        <f t="array" ref="U84">_xlfn.STDEV.P(IF($E$5:$E$41=$E83,U$5:U$41))</f>
        <v>0</v>
      </c>
      <c r="V84" s="90">
        <f t="array" ref="V84">_xlfn.STDEV.P(IF($E$5:$E$41=$E83,V$5:V$41))</f>
        <v>0</v>
      </c>
      <c r="W84" s="90">
        <f t="array" ref="W84">_xlfn.STDEV.P(IF($E$5:$E$41=$E83,W$5:W$41))</f>
        <v>0</v>
      </c>
      <c r="X84" s="90">
        <f t="array" ref="X84">_xlfn.STDEV.P(IF($E$5:$E$41=$E83,X$5:X$41))</f>
        <v>0</v>
      </c>
      <c r="Y84" s="90">
        <f t="array" ref="Y84">_xlfn.STDEV.P(IF($E$5:$E$41=$E83,Y$5:Y$41))</f>
        <v>0</v>
      </c>
      <c r="Z84" s="90">
        <f t="array" ref="Z84">_xlfn.STDEV.P(IF($E$5:$E$41=$E83,Z$5:Z$41))</f>
        <v>0</v>
      </c>
      <c r="AA84" s="90">
        <f t="array" ref="AA84">_xlfn.STDEV.P(IF($E$5:$E$41=$E83,AA$5:AA$41))</f>
        <v>0</v>
      </c>
      <c r="AB84" s="90">
        <f t="array" ref="AB84">_xlfn.STDEV.P(IF($E$5:$E$41=$E83,AB$5:AB$41))</f>
        <v>0</v>
      </c>
      <c r="AC84" s="90">
        <f t="array" ref="AC84">_xlfn.STDEV.P(IF($E$5:$E$41=$E83,AC$5:AC$41))</f>
        <v>0</v>
      </c>
      <c r="AD84" s="90">
        <f t="array" ref="AD84">_xlfn.STDEV.P(IF($E$5:$E$41=$E83,AD$5:AD$41))</f>
        <v>0</v>
      </c>
      <c r="AE84" s="154" t="s">
        <v>12</v>
      </c>
      <c r="AF84" s="83">
        <f t="array" ref="AF84">_xlfn.STDEV.P(IF($E$5:$E$41=$E83,AF$5:AF$41))</f>
        <v>0</v>
      </c>
      <c r="AG84" s="83">
        <f t="array" ref="AG84">_xlfn.STDEV.P(IF($E$5:$E$41=$E83,AG$5:AG$41))</f>
        <v>2.4429269749424689E-2</v>
      </c>
      <c r="AH84" s="83">
        <f t="array" ref="AH84">_xlfn.STDEV.P(IF($E$5:$E$41=$E83,AH$5:AH$41))</f>
        <v>2.8160178391809846E-2</v>
      </c>
      <c r="AI84" s="83">
        <f t="array" ref="AI84">_xlfn.STDEV.P(IF($E$5:$E$41=$E83,AI$5:AI$41))</f>
        <v>2.0160451740185551E-2</v>
      </c>
      <c r="AJ84" s="83">
        <f t="array" ref="AJ84">_xlfn.STDEV.P(IF($E$5:$E$41=$E83,AJ$5:AJ$41))</f>
        <v>2.606847805098755E-2</v>
      </c>
      <c r="AK84" s="83">
        <f t="array" ref="AK84">_xlfn.STDEV.P(IF($E$5:$E$41=$E83,AK$5:AK$41))</f>
        <v>1.1453738621646458E-2</v>
      </c>
      <c r="AL84" s="83">
        <f t="array" ref="AL84">_xlfn.STDEV.P(IF($E$5:$E$41=$E83,AL$5:AL$41))</f>
        <v>1.0561629031876355E-2</v>
      </c>
      <c r="AM84" s="83">
        <f t="array" ref="AM84">_xlfn.STDEV.P(IF($E$5:$E$41=$E83,AM$5:AM$41))</f>
        <v>9.255416298539848E-3</v>
      </c>
      <c r="AN84" s="83" t="e">
        <f t="array" ref="AN84">_xlfn.STDEV.P(IF($E$5:$E$41=$E83,AN$5:AN$41))</f>
        <v>#DIV/0!</v>
      </c>
      <c r="AO84" s="83" t="e">
        <f t="array" ref="AO84">_xlfn.STDEV.P(IF($E$5:$E$41=$E83,AO$5:AO$41))</f>
        <v>#DIV/0!</v>
      </c>
      <c r="AP84" s="83" t="e">
        <f t="array" ref="AP84">_xlfn.STDEV.P(IF($E$5:$E$41=$E83,AP$5:AP$41))</f>
        <v>#DIV/0!</v>
      </c>
      <c r="AQ84" s="83" t="e">
        <f t="array" ref="AQ84">_xlfn.STDEV.P(IF($E$5:$E$41=$E83,AQ$5:AQ$41))</f>
        <v>#DIV/0!</v>
      </c>
      <c r="AR84" s="83" t="e">
        <f t="array" ref="AR84">_xlfn.STDEV.P(IF($E$5:$E$41=$E83,AR$5:AR$41))</f>
        <v>#DIV/0!</v>
      </c>
      <c r="AS84" s="83" t="e">
        <f t="array" ref="AS84">_xlfn.STDEV.P(IF($E$5:$E$41=$E83,AS$5:AS$41))</f>
        <v>#DIV/0!</v>
      </c>
      <c r="AT84" s="83" t="e">
        <f t="array" ref="AT84">_xlfn.STDEV.P(IF($E$5:$E$41=$E83,AT$5:AT$41))</f>
        <v>#DIV/0!</v>
      </c>
      <c r="AU84" s="83" t="e">
        <f t="array" ref="AU84">_xlfn.STDEV.P(IF($E$5:$E$41=$E83,AU$5:AU$41))</f>
        <v>#DIV/0!</v>
      </c>
      <c r="AV84" s="83" t="e">
        <f t="array" ref="AV84">_xlfn.STDEV.P(IF($E$5:$E$41=$E83,AV$5:AV$41))</f>
        <v>#DIV/0!</v>
      </c>
      <c r="AW84" s="83" t="e">
        <f t="array" ref="AW84">_xlfn.STDEV.P(IF($E$5:$E$41=$E83,AW$5:AW$41))</f>
        <v>#DIV/0!</v>
      </c>
      <c r="AX84" s="83" t="e">
        <f t="array" ref="AX84">_xlfn.STDEV.P(IF($E$5:$E$41=$E83,AX$5:AX$41))</f>
        <v>#DIV/0!</v>
      </c>
      <c r="AY84" s="85"/>
    </row>
    <row r="85" spans="1:51" ht="14.25" customHeight="1">
      <c r="A85" s="129"/>
      <c r="E85" s="104"/>
      <c r="H85" s="104"/>
      <c r="I85" s="120"/>
      <c r="J85" s="120"/>
      <c r="K85" s="148" t="s">
        <v>43</v>
      </c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148" t="s">
        <v>43</v>
      </c>
      <c r="AF85" s="82">
        <f>AF83-AF$43</f>
        <v>0</v>
      </c>
      <c r="AG85" s="82">
        <f>AG83-AG$43</f>
        <v>-6.0567266601907588E-2</v>
      </c>
      <c r="AH85" s="82">
        <f t="shared" ref="AH85:AX85" si="139">AH83-AH$43</f>
        <v>-6.8825820775252899E-2</v>
      </c>
      <c r="AI85" s="82">
        <f t="shared" si="139"/>
        <v>-9.9060802365873668E-2</v>
      </c>
      <c r="AJ85" s="82">
        <f t="shared" si="139"/>
        <v>-0.10131068417770317</v>
      </c>
      <c r="AK85" s="82">
        <f t="shared" si="139"/>
        <v>-0.10698039441993656</v>
      </c>
      <c r="AL85" s="82">
        <f t="shared" si="139"/>
        <v>-0.11029763974257828</v>
      </c>
      <c r="AM85" s="82">
        <f t="shared" si="139"/>
        <v>-6.5355195382744646E-2</v>
      </c>
      <c r="AN85" s="82" t="e">
        <f t="shared" si="139"/>
        <v>#DIV/0!</v>
      </c>
      <c r="AO85" s="82" t="e">
        <f t="shared" si="139"/>
        <v>#DIV/0!</v>
      </c>
      <c r="AP85" s="82" t="e">
        <f t="shared" si="139"/>
        <v>#DIV/0!</v>
      </c>
      <c r="AQ85" s="82" t="e">
        <f t="shared" si="139"/>
        <v>#DIV/0!</v>
      </c>
      <c r="AR85" s="82" t="e">
        <f t="shared" si="139"/>
        <v>#DIV/0!</v>
      </c>
      <c r="AS85" s="82" t="e">
        <f t="shared" si="139"/>
        <v>#DIV/0!</v>
      </c>
      <c r="AT85" s="82" t="e">
        <f t="shared" si="139"/>
        <v>#DIV/0!</v>
      </c>
      <c r="AU85" s="82" t="e">
        <f t="shared" si="139"/>
        <v>#DIV/0!</v>
      </c>
      <c r="AV85" s="82" t="e">
        <f t="shared" si="139"/>
        <v>#DIV/0!</v>
      </c>
      <c r="AW85" s="82" t="e">
        <f t="shared" si="139"/>
        <v>#DIV/0!</v>
      </c>
      <c r="AX85" s="173" t="e">
        <f t="shared" si="139"/>
        <v>#DIV/0!</v>
      </c>
      <c r="AY85" s="147"/>
    </row>
    <row r="86" spans="1:51" ht="14.25" customHeight="1">
      <c r="A86" s="129"/>
      <c r="E86" s="104"/>
      <c r="H86" s="104"/>
      <c r="I86" s="120"/>
      <c r="J86" s="120"/>
      <c r="K86" s="116" t="s">
        <v>63</v>
      </c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116" t="s">
        <v>63</v>
      </c>
      <c r="AF86" s="82"/>
      <c r="AG86" s="82">
        <f>AF83*EXP((AG$4-AF$4)*-LN(2)/8.091)</f>
        <v>0.91789808441829013</v>
      </c>
      <c r="AH86" s="82">
        <f>AG83*EXP((AH$4-AG$4)*-LN(2)/8.091)</f>
        <v>0.78630084263243805</v>
      </c>
      <c r="AI86" s="82">
        <f t="shared" ref="AI86:AX86" si="140">AH83*EXP((AI$4-AH$4)*-LN(2)/8.091)</f>
        <v>0.70901074650481488</v>
      </c>
      <c r="AJ86" s="82">
        <f t="shared" si="140"/>
        <v>0.56663733814238593</v>
      </c>
      <c r="AK86" s="82">
        <f t="shared" si="140"/>
        <v>0.42364785987556108</v>
      </c>
      <c r="AL86" s="82">
        <f t="shared" si="140"/>
        <v>0.33185141475831359</v>
      </c>
      <c r="AM86" s="82">
        <f t="shared" si="140"/>
        <v>0.20267373590218146</v>
      </c>
      <c r="AN86" s="82" t="e">
        <f t="shared" si="140"/>
        <v>#NUM!</v>
      </c>
      <c r="AO86" s="82" t="e">
        <f t="shared" si="140"/>
        <v>#DIV/0!</v>
      </c>
      <c r="AP86" s="82" t="e">
        <f t="shared" si="140"/>
        <v>#DIV/0!</v>
      </c>
      <c r="AQ86" s="82" t="e">
        <f t="shared" si="140"/>
        <v>#DIV/0!</v>
      </c>
      <c r="AR86" s="82" t="e">
        <f t="shared" si="140"/>
        <v>#DIV/0!</v>
      </c>
      <c r="AS86" s="82" t="e">
        <f t="shared" si="140"/>
        <v>#DIV/0!</v>
      </c>
      <c r="AT86" s="82" t="e">
        <f t="shared" si="140"/>
        <v>#DIV/0!</v>
      </c>
      <c r="AU86" s="82" t="e">
        <f t="shared" si="140"/>
        <v>#DIV/0!</v>
      </c>
      <c r="AV86" s="82" t="e">
        <f t="shared" si="140"/>
        <v>#DIV/0!</v>
      </c>
      <c r="AW86" s="82" t="e">
        <f t="shared" si="140"/>
        <v>#DIV/0!</v>
      </c>
      <c r="AX86" s="173" t="e">
        <f t="shared" si="140"/>
        <v>#DIV/0!</v>
      </c>
      <c r="AY86" s="147"/>
    </row>
    <row r="87" spans="1:51" ht="14.25" customHeight="1">
      <c r="A87" s="129"/>
      <c r="E87" s="104"/>
      <c r="H87" s="104"/>
      <c r="I87" s="120"/>
      <c r="J87" s="120"/>
      <c r="K87" s="116" t="s">
        <v>44</v>
      </c>
      <c r="L87" s="89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116" t="s">
        <v>44</v>
      </c>
      <c r="AF87" s="174"/>
      <c r="AG87" s="83">
        <f>AG83-AG86</f>
        <v>-6.1266116250768166E-2</v>
      </c>
      <c r="AH87" s="83">
        <f>AH83-AH86</f>
        <v>-1.3872227146063842E-2</v>
      </c>
      <c r="AI87" s="83">
        <f t="shared" ref="AI87" si="141">AI83-AI86</f>
        <v>-3.6473623685136292E-2</v>
      </c>
      <c r="AJ87" s="83">
        <f t="shared" ref="AJ87" si="142">AJ83-AJ86</f>
        <v>-1.8837844747476185E-2</v>
      </c>
      <c r="AK87" s="83">
        <f t="shared" ref="AK87" si="143">AK83-AK86</f>
        <v>-2.9776188063644127E-2</v>
      </c>
      <c r="AL87" s="83">
        <f t="shared" ref="AL87" si="144">AL83-AL86</f>
        <v>-2.0805031872542845E-2</v>
      </c>
      <c r="AM87" s="83">
        <f t="shared" ref="AM87" si="145">AM83-AM86</f>
        <v>5.4697620625205889E-3</v>
      </c>
      <c r="AN87" s="83" t="e">
        <f t="shared" ref="AN87" si="146">AN83-AN86</f>
        <v>#DIV/0!</v>
      </c>
      <c r="AO87" s="83" t="e">
        <f t="shared" ref="AO87" si="147">AO83-AO86</f>
        <v>#DIV/0!</v>
      </c>
      <c r="AP87" s="83" t="e">
        <f t="shared" ref="AP87" si="148">AP83-AP86</f>
        <v>#DIV/0!</v>
      </c>
      <c r="AQ87" s="83" t="e">
        <f t="shared" ref="AQ87" si="149">AQ83-AQ86</f>
        <v>#DIV/0!</v>
      </c>
      <c r="AR87" s="83" t="e">
        <f t="shared" ref="AR87" si="150">AR83-AR86</f>
        <v>#DIV/0!</v>
      </c>
      <c r="AS87" s="83" t="e">
        <f t="shared" ref="AS87" si="151">AS83-AS86</f>
        <v>#DIV/0!</v>
      </c>
      <c r="AT87" s="83" t="e">
        <f t="shared" ref="AT87" si="152">AT83-AT86</f>
        <v>#DIV/0!</v>
      </c>
      <c r="AU87" s="83" t="e">
        <f t="shared" ref="AU87" si="153">AU83-AU86</f>
        <v>#DIV/0!</v>
      </c>
      <c r="AV87" s="83" t="e">
        <f t="shared" ref="AV87" si="154">AV83-AV86</f>
        <v>#DIV/0!</v>
      </c>
      <c r="AW87" s="83" t="e">
        <f t="shared" ref="AW87" si="155">AW83-AW86</f>
        <v>#DIV/0!</v>
      </c>
      <c r="AX87" s="175" t="e">
        <f t="shared" ref="AX87" si="156">AX83-AX86</f>
        <v>#DIV/0!</v>
      </c>
      <c r="AY87" s="147"/>
    </row>
    <row r="88" spans="1:51" ht="14.25" customHeight="1">
      <c r="A88" s="129"/>
      <c r="E88" s="104"/>
      <c r="H88" s="104"/>
      <c r="I88" s="120"/>
      <c r="J88" s="120"/>
      <c r="K88" s="116" t="s">
        <v>64</v>
      </c>
      <c r="L88" s="89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116" t="s">
        <v>64</v>
      </c>
      <c r="AF88" s="174">
        <f>AF83/AF$43</f>
        <v>1</v>
      </c>
      <c r="AG88" s="83">
        <f>AG83/AG$43</f>
        <v>0.93396498349986812</v>
      </c>
      <c r="AH88" s="83">
        <f>AH83/AH$43</f>
        <v>0.91818667717093816</v>
      </c>
      <c r="AI88" s="83">
        <f t="shared" ref="AI88:AX88" si="157">AI83/AI$43</f>
        <v>0.87161603325715042</v>
      </c>
      <c r="AJ88" s="83">
        <f t="shared" si="157"/>
        <v>0.84392374718794172</v>
      </c>
      <c r="AK88" s="83">
        <f t="shared" si="157"/>
        <v>0.78640320838685851</v>
      </c>
      <c r="AL88" s="83">
        <f t="shared" si="157"/>
        <v>0.73822426848602174</v>
      </c>
      <c r="AM88" s="83">
        <f t="shared" si="157"/>
        <v>0.76104019151667812</v>
      </c>
      <c r="AN88" s="83" t="e">
        <f t="shared" si="157"/>
        <v>#DIV/0!</v>
      </c>
      <c r="AO88" s="83" t="e">
        <f t="shared" si="157"/>
        <v>#DIV/0!</v>
      </c>
      <c r="AP88" s="83" t="e">
        <f t="shared" si="157"/>
        <v>#DIV/0!</v>
      </c>
      <c r="AQ88" s="83" t="e">
        <f t="shared" si="157"/>
        <v>#DIV/0!</v>
      </c>
      <c r="AR88" s="83" t="e">
        <f t="shared" si="157"/>
        <v>#DIV/0!</v>
      </c>
      <c r="AS88" s="83" t="e">
        <f t="shared" si="157"/>
        <v>#DIV/0!</v>
      </c>
      <c r="AT88" s="83" t="e">
        <f t="shared" si="157"/>
        <v>#DIV/0!</v>
      </c>
      <c r="AU88" s="83" t="e">
        <f t="shared" si="157"/>
        <v>#DIV/0!</v>
      </c>
      <c r="AV88" s="83" t="e">
        <f t="shared" si="157"/>
        <v>#DIV/0!</v>
      </c>
      <c r="AW88" s="83" t="e">
        <f t="shared" si="157"/>
        <v>#DIV/0!</v>
      </c>
      <c r="AX88" s="175" t="e">
        <f t="shared" si="157"/>
        <v>#DIV/0!</v>
      </c>
      <c r="AY88" s="147"/>
    </row>
    <row r="89" spans="1:51" ht="15">
      <c r="A89" s="129"/>
      <c r="E89" s="58"/>
      <c r="H89" s="58"/>
      <c r="K89" s="150"/>
      <c r="AE89" s="149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176"/>
    </row>
    <row r="90" spans="1:51" ht="14.25" customHeight="1">
      <c r="A90" s="129"/>
      <c r="E90" s="134" t="str">
        <f>'RAD_DOSE Groups'!C12</f>
        <v>10.0 uCi Control</v>
      </c>
      <c r="H90" s="134" t="str">
        <f>E90</f>
        <v>10.0 uCi Control</v>
      </c>
      <c r="I90" s="120">
        <f>AVERAGEIF($E$5:$E$41,$E90,I$5:I$41)</f>
        <v>1302.2</v>
      </c>
      <c r="J90" s="120"/>
      <c r="K90" s="117" t="s">
        <v>10</v>
      </c>
      <c r="L90" s="87">
        <f t="shared" ref="L90:AD90" si="158">AVERAGEIF($E$5:$E$41,$E90,L$5:L$41)</f>
        <v>1302.2</v>
      </c>
      <c r="M90" s="87">
        <f t="shared" si="158"/>
        <v>1130.8</v>
      </c>
      <c r="N90" s="87">
        <f t="shared" si="158"/>
        <v>1005.6</v>
      </c>
      <c r="O90" s="87">
        <f t="shared" si="158"/>
        <v>856.6</v>
      </c>
      <c r="P90" s="87">
        <f t="shared" si="158"/>
        <v>711.8</v>
      </c>
      <c r="Q90" s="87">
        <f t="shared" si="158"/>
        <v>494.2</v>
      </c>
      <c r="R90" s="87">
        <f t="shared" si="158"/>
        <v>400.2</v>
      </c>
      <c r="S90" s="87">
        <f t="shared" si="158"/>
        <v>257.60000000000002</v>
      </c>
      <c r="T90" s="87" t="e">
        <f t="shared" si="158"/>
        <v>#DIV/0!</v>
      </c>
      <c r="U90" s="87" t="e">
        <f t="shared" si="158"/>
        <v>#DIV/0!</v>
      </c>
      <c r="V90" s="87" t="e">
        <f t="shared" si="158"/>
        <v>#DIV/0!</v>
      </c>
      <c r="W90" s="87" t="e">
        <f t="shared" si="158"/>
        <v>#DIV/0!</v>
      </c>
      <c r="X90" s="87" t="e">
        <f t="shared" si="158"/>
        <v>#DIV/0!</v>
      </c>
      <c r="Y90" s="87" t="e">
        <f t="shared" si="158"/>
        <v>#DIV/0!</v>
      </c>
      <c r="Z90" s="87" t="e">
        <f t="shared" si="158"/>
        <v>#DIV/0!</v>
      </c>
      <c r="AA90" s="87" t="e">
        <f t="shared" si="158"/>
        <v>#DIV/0!</v>
      </c>
      <c r="AB90" s="87" t="e">
        <f t="shared" si="158"/>
        <v>#DIV/0!</v>
      </c>
      <c r="AC90" s="87" t="e">
        <f t="shared" si="158"/>
        <v>#DIV/0!</v>
      </c>
      <c r="AD90" s="87" t="e">
        <f t="shared" si="158"/>
        <v>#DIV/0!</v>
      </c>
      <c r="AE90" s="153" t="s">
        <v>10</v>
      </c>
      <c r="AF90" s="82">
        <f t="shared" ref="AF90:AX90" si="159">AVERAGEIF($E$5:$E$41,$E90,AF$5:AF$41)</f>
        <v>1</v>
      </c>
      <c r="AG90" s="82">
        <f t="shared" si="159"/>
        <v>0.8670034445010717</v>
      </c>
      <c r="AH90" s="82">
        <f t="shared" si="159"/>
        <v>0.77036341266159392</v>
      </c>
      <c r="AI90" s="82">
        <f t="shared" si="159"/>
        <v>0.65805709601599205</v>
      </c>
      <c r="AJ90" s="82">
        <f t="shared" si="159"/>
        <v>0.54558597519452845</v>
      </c>
      <c r="AK90" s="82">
        <f t="shared" si="159"/>
        <v>0.37944069041941814</v>
      </c>
      <c r="AL90" s="82">
        <f t="shared" si="159"/>
        <v>0.30745410858868327</v>
      </c>
      <c r="AM90" s="82">
        <f t="shared" si="159"/>
        <v>0.19792775431093437</v>
      </c>
      <c r="AN90" s="82" t="e">
        <f t="shared" si="159"/>
        <v>#DIV/0!</v>
      </c>
      <c r="AO90" s="82" t="e">
        <f t="shared" si="159"/>
        <v>#DIV/0!</v>
      </c>
      <c r="AP90" s="82" t="e">
        <f t="shared" si="159"/>
        <v>#DIV/0!</v>
      </c>
      <c r="AQ90" s="82" t="e">
        <f t="shared" si="159"/>
        <v>#DIV/0!</v>
      </c>
      <c r="AR90" s="82" t="e">
        <f t="shared" si="159"/>
        <v>#DIV/0!</v>
      </c>
      <c r="AS90" s="82" t="e">
        <f t="shared" si="159"/>
        <v>#DIV/0!</v>
      </c>
      <c r="AT90" s="82" t="e">
        <f t="shared" si="159"/>
        <v>#DIV/0!</v>
      </c>
      <c r="AU90" s="82" t="e">
        <f t="shared" si="159"/>
        <v>#DIV/0!</v>
      </c>
      <c r="AV90" s="82" t="e">
        <f t="shared" si="159"/>
        <v>#DIV/0!</v>
      </c>
      <c r="AW90" s="82" t="e">
        <f t="shared" si="159"/>
        <v>#DIV/0!</v>
      </c>
      <c r="AX90" s="82" t="e">
        <f t="shared" si="159"/>
        <v>#DIV/0!</v>
      </c>
      <c r="AY90" s="85"/>
    </row>
    <row r="91" spans="1:51" ht="14.25" customHeight="1">
      <c r="A91" s="129"/>
      <c r="E91" s="104"/>
      <c r="H91" s="104"/>
      <c r="I91" s="120">
        <f t="array" ref="I91">_xlfn.STDEV.P(IF($E$5:$E$41=$E90,I$5:I$41))</f>
        <v>256.37971838661497</v>
      </c>
      <c r="J91" s="120"/>
      <c r="K91" s="117" t="s">
        <v>12</v>
      </c>
      <c r="L91" s="90">
        <f t="array" ref="L91">_xlfn.STDEV.P(IF($E$5:$E$41=$E90,L$5:L$41))</f>
        <v>256.37971838661497</v>
      </c>
      <c r="M91" s="90">
        <f t="array" ref="M91">_xlfn.STDEV.P(IF($E$5:$E$41=$E90,M$5:M$41))</f>
        <v>234.22672776606859</v>
      </c>
      <c r="N91" s="90">
        <f t="array" ref="N91">_xlfn.STDEV.P(IF($E$5:$E$41=$E90,N$5:N$41))</f>
        <v>212.74078123387628</v>
      </c>
      <c r="O91" s="90">
        <f t="array" ref="O91">_xlfn.STDEV.P(IF($E$5:$E$41=$E90,O$5:O$41))</f>
        <v>166.70764829485179</v>
      </c>
      <c r="P91" s="90">
        <f t="array" ref="P91">_xlfn.STDEV.P(IF($E$5:$E$41=$E90,P$5:P$41))</f>
        <v>145.16804055989735</v>
      </c>
      <c r="Q91" s="90">
        <f t="array" ref="Q91">_xlfn.STDEV.P(IF($E$5:$E$41=$E90,Q$5:Q$41))</f>
        <v>97.704452303874049</v>
      </c>
      <c r="R91" s="90">
        <f t="array" ref="R91">_xlfn.STDEV.P(IF($E$5:$E$41=$E90,R$5:R$41))</f>
        <v>77.89069264039189</v>
      </c>
      <c r="S91" s="90">
        <f t="array" ref="S91">_xlfn.STDEV.P(IF($E$5:$E$41=$E90,S$5:S$41))</f>
        <v>49.483734701414768</v>
      </c>
      <c r="T91" s="90">
        <f t="array" ref="T91">_xlfn.STDEV.P(IF($E$5:$E$41=$E90,T$5:T$41))</f>
        <v>0</v>
      </c>
      <c r="U91" s="90">
        <f t="array" ref="U91">_xlfn.STDEV.P(IF($E$5:$E$41=$E90,U$5:U$41))</f>
        <v>0</v>
      </c>
      <c r="V91" s="90">
        <f t="array" ref="V91">_xlfn.STDEV.P(IF($E$5:$E$41=$E90,V$5:V$41))</f>
        <v>0</v>
      </c>
      <c r="W91" s="90">
        <f t="array" ref="W91">_xlfn.STDEV.P(IF($E$5:$E$41=$E90,W$5:W$41))</f>
        <v>0</v>
      </c>
      <c r="X91" s="90">
        <f t="array" ref="X91">_xlfn.STDEV.P(IF($E$5:$E$41=$E90,X$5:X$41))</f>
        <v>0</v>
      </c>
      <c r="Y91" s="90">
        <f t="array" ref="Y91">_xlfn.STDEV.P(IF($E$5:$E$41=$E90,Y$5:Y$41))</f>
        <v>0</v>
      </c>
      <c r="Z91" s="90">
        <f t="array" ref="Z91">_xlfn.STDEV.P(IF($E$5:$E$41=$E90,Z$5:Z$41))</f>
        <v>0</v>
      </c>
      <c r="AA91" s="90">
        <f t="array" ref="AA91">_xlfn.STDEV.P(IF($E$5:$E$41=$E90,AA$5:AA$41))</f>
        <v>0</v>
      </c>
      <c r="AB91" s="90">
        <f t="array" ref="AB91">_xlfn.STDEV.P(IF($E$5:$E$41=$E90,AB$5:AB$41))</f>
        <v>0</v>
      </c>
      <c r="AC91" s="90">
        <f t="array" ref="AC91">_xlfn.STDEV.P(IF($E$5:$E$41=$E90,AC$5:AC$41))</f>
        <v>0</v>
      </c>
      <c r="AD91" s="90">
        <f t="array" ref="AD91">_xlfn.STDEV.P(IF($E$5:$E$41=$E90,AD$5:AD$41))</f>
        <v>0</v>
      </c>
      <c r="AE91" s="154" t="s">
        <v>12</v>
      </c>
      <c r="AF91" s="83">
        <f t="array" ref="AF91">_xlfn.STDEV.P(IF($E$5:$E$41=$E90,AF$5:AF$41))</f>
        <v>0</v>
      </c>
      <c r="AG91" s="83">
        <f t="array" ref="AG91">_xlfn.STDEV.P(IF($E$5:$E$41=$E90,AG$5:AG$41))</f>
        <v>1.6365902383599824E-2</v>
      </c>
      <c r="AH91" s="83">
        <f t="array" ref="AH91">_xlfn.STDEV.P(IF($E$5:$E$41=$E90,AH$5:AH$41))</f>
        <v>1.8023205136987588E-2</v>
      </c>
      <c r="AI91" s="83">
        <f t="array" ref="AI91">_xlfn.STDEV.P(IF($E$5:$E$41=$E90,AI$5:AI$41))</f>
        <v>1.065496866954139E-2</v>
      </c>
      <c r="AJ91" s="83">
        <f t="array" ref="AJ91">_xlfn.STDEV.P(IF($E$5:$E$41=$E90,AJ$5:AJ$41))</f>
        <v>8.4768990034650802E-3</v>
      </c>
      <c r="AK91" s="83">
        <f t="array" ref="AK91">_xlfn.STDEV.P(IF($E$5:$E$41=$E90,AK$5:AK$41))</f>
        <v>7.1055094103261614E-3</v>
      </c>
      <c r="AL91" s="83">
        <f t="array" ref="AL91">_xlfn.STDEV.P(IF($E$5:$E$41=$E90,AL$5:AL$41))</f>
        <v>8.6217358156759211E-3</v>
      </c>
      <c r="AM91" s="83">
        <f t="array" ref="AM91">_xlfn.STDEV.P(IF($E$5:$E$41=$E90,AM$5:AM$41))</f>
        <v>5.0728742519041666E-3</v>
      </c>
      <c r="AN91" s="83" t="e">
        <f t="array" ref="AN91">_xlfn.STDEV.P(IF($E$5:$E$41=$E90,AN$5:AN$41))</f>
        <v>#DIV/0!</v>
      </c>
      <c r="AO91" s="83" t="e">
        <f t="array" ref="AO91">_xlfn.STDEV.P(IF($E$5:$E$41=$E90,AO$5:AO$41))</f>
        <v>#DIV/0!</v>
      </c>
      <c r="AP91" s="83" t="e">
        <f t="array" ref="AP91">_xlfn.STDEV.P(IF($E$5:$E$41=$E90,AP$5:AP$41))</f>
        <v>#DIV/0!</v>
      </c>
      <c r="AQ91" s="83" t="e">
        <f t="array" ref="AQ91">_xlfn.STDEV.P(IF($E$5:$E$41=$E90,AQ$5:AQ$41))</f>
        <v>#DIV/0!</v>
      </c>
      <c r="AR91" s="83" t="e">
        <f t="array" ref="AR91">_xlfn.STDEV.P(IF($E$5:$E$41=$E90,AR$5:AR$41))</f>
        <v>#DIV/0!</v>
      </c>
      <c r="AS91" s="83" t="e">
        <f t="array" ref="AS91">_xlfn.STDEV.P(IF($E$5:$E$41=$E90,AS$5:AS$41))</f>
        <v>#DIV/0!</v>
      </c>
      <c r="AT91" s="83" t="e">
        <f t="array" ref="AT91">_xlfn.STDEV.P(IF($E$5:$E$41=$E90,AT$5:AT$41))</f>
        <v>#DIV/0!</v>
      </c>
      <c r="AU91" s="83" t="e">
        <f t="array" ref="AU91">_xlfn.STDEV.P(IF($E$5:$E$41=$E90,AU$5:AU$41))</f>
        <v>#DIV/0!</v>
      </c>
      <c r="AV91" s="83" t="e">
        <f t="array" ref="AV91">_xlfn.STDEV.P(IF($E$5:$E$41=$E90,AV$5:AV$41))</f>
        <v>#DIV/0!</v>
      </c>
      <c r="AW91" s="83" t="e">
        <f t="array" ref="AW91">_xlfn.STDEV.P(IF($E$5:$E$41=$E90,AW$5:AW$41))</f>
        <v>#DIV/0!</v>
      </c>
      <c r="AX91" s="83" t="e">
        <f t="array" ref="AX91">_xlfn.STDEV.P(IF($E$5:$E$41=$E90,AX$5:AX$41))</f>
        <v>#DIV/0!</v>
      </c>
      <c r="AY91" s="85"/>
    </row>
    <row r="92" spans="1:51" ht="14.25" customHeight="1">
      <c r="A92" s="129"/>
      <c r="E92" s="104"/>
      <c r="H92" s="104"/>
      <c r="I92" s="120"/>
      <c r="J92" s="120"/>
      <c r="K92" s="148" t="s">
        <v>43</v>
      </c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148" t="s">
        <v>43</v>
      </c>
      <c r="AF92" s="82">
        <f>AF90-AF$43</f>
        <v>0</v>
      </c>
      <c r="AG92" s="82">
        <f>AG90-AG$43</f>
        <v>-5.0195790268357854E-2</v>
      </c>
      <c r="AH92" s="82">
        <f t="shared" ref="AH92:AX92" si="160">AH90-AH$43</f>
        <v>-7.0891023600033187E-2</v>
      </c>
      <c r="AI92" s="82">
        <f t="shared" si="160"/>
        <v>-0.11354082916956021</v>
      </c>
      <c r="AJ92" s="82">
        <f t="shared" si="160"/>
        <v>-0.10352420237808446</v>
      </c>
      <c r="AK92" s="82">
        <f t="shared" si="160"/>
        <v>-0.12141137581243538</v>
      </c>
      <c r="AL92" s="82">
        <f t="shared" si="160"/>
        <v>-0.11388991403966575</v>
      </c>
      <c r="AM92" s="82">
        <f t="shared" si="160"/>
        <v>-7.5570939036512325E-2</v>
      </c>
      <c r="AN92" s="82" t="e">
        <f t="shared" si="160"/>
        <v>#DIV/0!</v>
      </c>
      <c r="AO92" s="82" t="e">
        <f t="shared" si="160"/>
        <v>#DIV/0!</v>
      </c>
      <c r="AP92" s="82" t="e">
        <f t="shared" si="160"/>
        <v>#DIV/0!</v>
      </c>
      <c r="AQ92" s="82" t="e">
        <f t="shared" si="160"/>
        <v>#DIV/0!</v>
      </c>
      <c r="AR92" s="82" t="e">
        <f t="shared" si="160"/>
        <v>#DIV/0!</v>
      </c>
      <c r="AS92" s="82" t="e">
        <f t="shared" si="160"/>
        <v>#DIV/0!</v>
      </c>
      <c r="AT92" s="82" t="e">
        <f t="shared" si="160"/>
        <v>#DIV/0!</v>
      </c>
      <c r="AU92" s="82" t="e">
        <f t="shared" si="160"/>
        <v>#DIV/0!</v>
      </c>
      <c r="AV92" s="82" t="e">
        <f t="shared" si="160"/>
        <v>#DIV/0!</v>
      </c>
      <c r="AW92" s="82" t="e">
        <f t="shared" si="160"/>
        <v>#DIV/0!</v>
      </c>
      <c r="AX92" s="173" t="e">
        <f t="shared" si="160"/>
        <v>#DIV/0!</v>
      </c>
      <c r="AY92" s="147"/>
    </row>
    <row r="93" spans="1:51" ht="14.25" customHeight="1">
      <c r="A93" s="129"/>
      <c r="E93" s="104"/>
      <c r="H93" s="104"/>
      <c r="I93" s="120"/>
      <c r="J93" s="120"/>
      <c r="K93" s="116" t="s">
        <v>63</v>
      </c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116" t="s">
        <v>63</v>
      </c>
      <c r="AF93" s="82"/>
      <c r="AG93" s="82">
        <f>AF90*EXP((AG$4-AF$4)*-LN(2)/8.091)</f>
        <v>0.91789808441829013</v>
      </c>
      <c r="AH93" s="82">
        <f>AG90*EXP((AH$4-AG$4)*-LN(2)/8.091)</f>
        <v>0.79582080089159302</v>
      </c>
      <c r="AI93" s="82">
        <f t="shared" ref="AI93:AX93" si="161">AH90*EXP((AI$4-AH$4)*-LN(2)/8.091)</f>
        <v>0.70711510078801376</v>
      </c>
      <c r="AJ93" s="82">
        <f t="shared" si="161"/>
        <v>0.55443738134316656</v>
      </c>
      <c r="AK93" s="82">
        <f t="shared" si="161"/>
        <v>0.42193600679848803</v>
      </c>
      <c r="AL93" s="82">
        <f t="shared" si="161"/>
        <v>0.31969278052747085</v>
      </c>
      <c r="AM93" s="82">
        <f t="shared" si="161"/>
        <v>0.20033305717310754</v>
      </c>
      <c r="AN93" s="82" t="e">
        <f t="shared" si="161"/>
        <v>#NUM!</v>
      </c>
      <c r="AO93" s="82" t="e">
        <f t="shared" si="161"/>
        <v>#DIV/0!</v>
      </c>
      <c r="AP93" s="82" t="e">
        <f t="shared" si="161"/>
        <v>#DIV/0!</v>
      </c>
      <c r="AQ93" s="82" t="e">
        <f t="shared" si="161"/>
        <v>#DIV/0!</v>
      </c>
      <c r="AR93" s="82" t="e">
        <f t="shared" si="161"/>
        <v>#DIV/0!</v>
      </c>
      <c r="AS93" s="82" t="e">
        <f t="shared" si="161"/>
        <v>#DIV/0!</v>
      </c>
      <c r="AT93" s="82" t="e">
        <f t="shared" si="161"/>
        <v>#DIV/0!</v>
      </c>
      <c r="AU93" s="82" t="e">
        <f t="shared" si="161"/>
        <v>#DIV/0!</v>
      </c>
      <c r="AV93" s="82" t="e">
        <f t="shared" si="161"/>
        <v>#DIV/0!</v>
      </c>
      <c r="AW93" s="82" t="e">
        <f t="shared" si="161"/>
        <v>#DIV/0!</v>
      </c>
      <c r="AX93" s="173" t="e">
        <f t="shared" si="161"/>
        <v>#DIV/0!</v>
      </c>
      <c r="AY93" s="147"/>
    </row>
    <row r="94" spans="1:51" ht="14.25" customHeight="1">
      <c r="A94" s="129"/>
      <c r="E94" s="104"/>
      <c r="H94" s="104"/>
      <c r="I94" s="120"/>
      <c r="J94" s="120"/>
      <c r="K94" s="116" t="s">
        <v>44</v>
      </c>
      <c r="L94" s="89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116" t="s">
        <v>44</v>
      </c>
      <c r="AF94" s="174"/>
      <c r="AG94" s="83">
        <f>AG90-AG93</f>
        <v>-5.0894639917218432E-2</v>
      </c>
      <c r="AH94" s="83">
        <f>AH90-AH93</f>
        <v>-2.5457388229999101E-2</v>
      </c>
      <c r="AI94" s="83">
        <f t="shared" ref="AI94" si="162">AI90-AI93</f>
        <v>-4.9058004772021713E-2</v>
      </c>
      <c r="AJ94" s="83">
        <f t="shared" ref="AJ94" si="163">AJ90-AJ93</f>
        <v>-8.8514061486381079E-3</v>
      </c>
      <c r="AK94" s="83">
        <f t="shared" ref="AK94" si="164">AK90-AK93</f>
        <v>-4.2495316379069892E-2</v>
      </c>
      <c r="AL94" s="83">
        <f t="shared" ref="AL94" si="165">AL90-AL93</f>
        <v>-1.2238671938787582E-2</v>
      </c>
      <c r="AM94" s="83">
        <f t="shared" ref="AM94" si="166">AM90-AM93</f>
        <v>-2.4053028621731642E-3</v>
      </c>
      <c r="AN94" s="83" t="e">
        <f t="shared" ref="AN94" si="167">AN90-AN93</f>
        <v>#DIV/0!</v>
      </c>
      <c r="AO94" s="83" t="e">
        <f t="shared" ref="AO94" si="168">AO90-AO93</f>
        <v>#DIV/0!</v>
      </c>
      <c r="AP94" s="83" t="e">
        <f t="shared" ref="AP94" si="169">AP90-AP93</f>
        <v>#DIV/0!</v>
      </c>
      <c r="AQ94" s="83" t="e">
        <f t="shared" ref="AQ94" si="170">AQ90-AQ93</f>
        <v>#DIV/0!</v>
      </c>
      <c r="AR94" s="83" t="e">
        <f t="shared" ref="AR94" si="171">AR90-AR93</f>
        <v>#DIV/0!</v>
      </c>
      <c r="AS94" s="83" t="e">
        <f t="shared" ref="AS94" si="172">AS90-AS93</f>
        <v>#DIV/0!</v>
      </c>
      <c r="AT94" s="83" t="e">
        <f t="shared" ref="AT94" si="173">AT90-AT93</f>
        <v>#DIV/0!</v>
      </c>
      <c r="AU94" s="83" t="e">
        <f t="shared" ref="AU94" si="174">AU90-AU93</f>
        <v>#DIV/0!</v>
      </c>
      <c r="AV94" s="83" t="e">
        <f t="shared" ref="AV94" si="175">AV90-AV93</f>
        <v>#DIV/0!</v>
      </c>
      <c r="AW94" s="83" t="e">
        <f t="shared" ref="AW94" si="176">AW90-AW93</f>
        <v>#DIV/0!</v>
      </c>
      <c r="AX94" s="175" t="e">
        <f t="shared" ref="AX94" si="177">AX90-AX93</f>
        <v>#DIV/0!</v>
      </c>
      <c r="AY94" s="147"/>
    </row>
    <row r="95" spans="1:51" ht="14.25" customHeight="1">
      <c r="A95" s="129"/>
      <c r="E95" s="104"/>
      <c r="H95" s="104"/>
      <c r="I95" s="120"/>
      <c r="J95" s="120"/>
      <c r="K95" s="116" t="s">
        <v>64</v>
      </c>
      <c r="L95" s="89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116" t="s">
        <v>64</v>
      </c>
      <c r="AF95" s="174">
        <f>AF90/AF$43</f>
        <v>1</v>
      </c>
      <c r="AG95" s="83">
        <f>AG90/AG$43</f>
        <v>0.94527275169284641</v>
      </c>
      <c r="AH95" s="83">
        <f>AH90/AH$43</f>
        <v>0.91573176848248283</v>
      </c>
      <c r="AI95" s="83">
        <f t="shared" ref="AI95:AX95" si="178">AI90/AI$43</f>
        <v>0.85284974795356516</v>
      </c>
      <c r="AJ95" s="83">
        <f t="shared" si="178"/>
        <v>0.84051366631591029</v>
      </c>
      <c r="AK95" s="83">
        <f t="shared" si="178"/>
        <v>0.7575903465351147</v>
      </c>
      <c r="AL95" s="83">
        <f t="shared" si="178"/>
        <v>0.72969851730844759</v>
      </c>
      <c r="AM95" s="83">
        <f t="shared" si="178"/>
        <v>0.72368811670881117</v>
      </c>
      <c r="AN95" s="83" t="e">
        <f t="shared" si="178"/>
        <v>#DIV/0!</v>
      </c>
      <c r="AO95" s="83" t="e">
        <f t="shared" si="178"/>
        <v>#DIV/0!</v>
      </c>
      <c r="AP95" s="83" t="e">
        <f t="shared" si="178"/>
        <v>#DIV/0!</v>
      </c>
      <c r="AQ95" s="83" t="e">
        <f t="shared" si="178"/>
        <v>#DIV/0!</v>
      </c>
      <c r="AR95" s="83" t="e">
        <f t="shared" si="178"/>
        <v>#DIV/0!</v>
      </c>
      <c r="AS95" s="83" t="e">
        <f t="shared" si="178"/>
        <v>#DIV/0!</v>
      </c>
      <c r="AT95" s="83" t="e">
        <f t="shared" si="178"/>
        <v>#DIV/0!</v>
      </c>
      <c r="AU95" s="83" t="e">
        <f t="shared" si="178"/>
        <v>#DIV/0!</v>
      </c>
      <c r="AV95" s="83" t="e">
        <f t="shared" si="178"/>
        <v>#DIV/0!</v>
      </c>
      <c r="AW95" s="83" t="e">
        <f t="shared" si="178"/>
        <v>#DIV/0!</v>
      </c>
      <c r="AX95" s="175" t="e">
        <f t="shared" si="178"/>
        <v>#DIV/0!</v>
      </c>
      <c r="AY95" s="147"/>
    </row>
    <row r="96" spans="1:51" ht="15">
      <c r="A96" s="129"/>
      <c r="E96" s="58"/>
      <c r="H96" s="58"/>
      <c r="K96" s="150"/>
      <c r="AE96" s="149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176"/>
    </row>
    <row r="97" spans="1:51" ht="14.25" customHeight="1">
      <c r="A97" s="129"/>
      <c r="E97" s="134" t="str">
        <f>'RAD_DOSE Groups'!C13</f>
        <v>10.0 uCi + CP-PTX</v>
      </c>
      <c r="H97" s="134" t="str">
        <f>E97</f>
        <v>10.0 uCi + CP-PTX</v>
      </c>
      <c r="I97" s="120">
        <f>AVERAGEIF($E$5:$E$41,$E97,I$5:I$41)</f>
        <v>1246.5</v>
      </c>
      <c r="J97" s="120"/>
      <c r="K97" s="117" t="s">
        <v>10</v>
      </c>
      <c r="L97" s="87">
        <f t="shared" ref="L97:AD97" si="179">AVERAGEIF($E$5:$E$41,$E97,L$5:L$41)</f>
        <v>1246.5</v>
      </c>
      <c r="M97" s="87">
        <f t="shared" si="179"/>
        <v>1072.5</v>
      </c>
      <c r="N97" s="87">
        <f t="shared" si="179"/>
        <v>895</v>
      </c>
      <c r="O97" s="87">
        <f t="shared" si="179"/>
        <v>781.75</v>
      </c>
      <c r="P97" s="87">
        <f t="shared" si="179"/>
        <v>641.75</v>
      </c>
      <c r="Q97" s="87">
        <f t="shared" si="179"/>
        <v>448</v>
      </c>
      <c r="R97" s="87">
        <f t="shared" si="179"/>
        <v>353.75</v>
      </c>
      <c r="S97" s="87">
        <f t="shared" si="179"/>
        <v>227.5</v>
      </c>
      <c r="T97" s="87" t="e">
        <f t="shared" si="179"/>
        <v>#DIV/0!</v>
      </c>
      <c r="U97" s="87" t="e">
        <f t="shared" si="179"/>
        <v>#DIV/0!</v>
      </c>
      <c r="V97" s="87" t="e">
        <f t="shared" si="179"/>
        <v>#DIV/0!</v>
      </c>
      <c r="W97" s="87" t="e">
        <f t="shared" si="179"/>
        <v>#DIV/0!</v>
      </c>
      <c r="X97" s="87" t="e">
        <f t="shared" si="179"/>
        <v>#DIV/0!</v>
      </c>
      <c r="Y97" s="87" t="e">
        <f t="shared" si="179"/>
        <v>#DIV/0!</v>
      </c>
      <c r="Z97" s="87" t="e">
        <f t="shared" si="179"/>
        <v>#DIV/0!</v>
      </c>
      <c r="AA97" s="87" t="e">
        <f t="shared" si="179"/>
        <v>#DIV/0!</v>
      </c>
      <c r="AB97" s="87" t="e">
        <f t="shared" si="179"/>
        <v>#DIV/0!</v>
      </c>
      <c r="AC97" s="87" t="e">
        <f t="shared" si="179"/>
        <v>#DIV/0!</v>
      </c>
      <c r="AD97" s="87" t="e">
        <f t="shared" si="179"/>
        <v>#DIV/0!</v>
      </c>
      <c r="AE97" s="153" t="s">
        <v>10</v>
      </c>
      <c r="AF97" s="82">
        <f t="shared" ref="AF97:AX97" si="180">AVERAGEIF($E$5:$E$41,$E97,AF$5:AF$41)</f>
        <v>1</v>
      </c>
      <c r="AG97" s="82">
        <f t="shared" si="180"/>
        <v>0.86608749901512216</v>
      </c>
      <c r="AH97" s="82">
        <f t="shared" si="180"/>
        <v>0.72077461181874569</v>
      </c>
      <c r="AI97" s="82">
        <f t="shared" si="180"/>
        <v>0.6303108991466182</v>
      </c>
      <c r="AJ97" s="82">
        <f t="shared" si="180"/>
        <v>0.51730098405191183</v>
      </c>
      <c r="AK97" s="82">
        <f t="shared" si="180"/>
        <v>0.3617062694954094</v>
      </c>
      <c r="AL97" s="82">
        <f t="shared" si="180"/>
        <v>0.28532999986599034</v>
      </c>
      <c r="AM97" s="82">
        <f t="shared" si="180"/>
        <v>0.18387053796348374</v>
      </c>
      <c r="AN97" s="82" t="e">
        <f t="shared" si="180"/>
        <v>#DIV/0!</v>
      </c>
      <c r="AO97" s="82" t="e">
        <f t="shared" si="180"/>
        <v>#DIV/0!</v>
      </c>
      <c r="AP97" s="82" t="e">
        <f t="shared" si="180"/>
        <v>#DIV/0!</v>
      </c>
      <c r="AQ97" s="82" t="e">
        <f t="shared" si="180"/>
        <v>#DIV/0!</v>
      </c>
      <c r="AR97" s="82" t="e">
        <f t="shared" si="180"/>
        <v>#DIV/0!</v>
      </c>
      <c r="AS97" s="82" t="e">
        <f t="shared" si="180"/>
        <v>#DIV/0!</v>
      </c>
      <c r="AT97" s="82" t="e">
        <f t="shared" si="180"/>
        <v>#DIV/0!</v>
      </c>
      <c r="AU97" s="82" t="e">
        <f t="shared" si="180"/>
        <v>#DIV/0!</v>
      </c>
      <c r="AV97" s="82" t="e">
        <f t="shared" si="180"/>
        <v>#DIV/0!</v>
      </c>
      <c r="AW97" s="82" t="e">
        <f t="shared" si="180"/>
        <v>#DIV/0!</v>
      </c>
      <c r="AX97" s="82" t="e">
        <f t="shared" si="180"/>
        <v>#DIV/0!</v>
      </c>
      <c r="AY97" s="85"/>
    </row>
    <row r="98" spans="1:51" ht="14.25" customHeight="1">
      <c r="A98" s="129"/>
      <c r="E98" s="104"/>
      <c r="H98" s="104"/>
      <c r="I98" s="120">
        <f t="array" ref="I98">_xlfn.STDEV.P(IF($E$5:$E$41=$E97,I$5:I$41))</f>
        <v>219.28349231075285</v>
      </c>
      <c r="J98" s="120"/>
      <c r="K98" s="117" t="s">
        <v>12</v>
      </c>
      <c r="L98" s="90">
        <f t="array" ref="L98">_xlfn.STDEV.P(IF($E$5:$E$41=$E97,L$5:L$41))</f>
        <v>219.28349231075285</v>
      </c>
      <c r="M98" s="90">
        <f t="array" ref="M98">_xlfn.STDEV.P(IF($E$5:$E$41=$E97,M$5:M$41))</f>
        <v>152.79806935953084</v>
      </c>
      <c r="N98" s="90">
        <f t="array" ref="N98">_xlfn.STDEV.P(IF($E$5:$E$41=$E97,N$5:N$41))</f>
        <v>144.14229081015745</v>
      </c>
      <c r="O98" s="90">
        <f t="array" ref="O98">_xlfn.STDEV.P(IF($E$5:$E$41=$E97,O$5:O$41))</f>
        <v>119.3636774735095</v>
      </c>
      <c r="P98" s="90">
        <f t="array" ref="P98">_xlfn.STDEV.P(IF($E$5:$E$41=$E97,P$5:P$41))</f>
        <v>102.75060827070563</v>
      </c>
      <c r="Q98" s="90">
        <f t="array" ref="Q98">_xlfn.STDEV.P(IF($E$5:$E$41=$E97,Q$5:Q$41))</f>
        <v>65.863495200300449</v>
      </c>
      <c r="R98" s="90">
        <f t="array" ref="R98">_xlfn.STDEV.P(IF($E$5:$E$41=$E97,R$5:R$41))</f>
        <v>55.449864742846756</v>
      </c>
      <c r="S98" s="90">
        <f t="array" ref="S98">_xlfn.STDEV.P(IF($E$5:$E$41=$E97,S$5:S$41))</f>
        <v>34.157722406507141</v>
      </c>
      <c r="T98" s="90">
        <f t="array" ref="T98">_xlfn.STDEV.P(IF($E$5:$E$41=$E97,T$5:T$41))</f>
        <v>0</v>
      </c>
      <c r="U98" s="90">
        <f t="array" ref="U98">_xlfn.STDEV.P(IF($E$5:$E$41=$E97,U$5:U$41))</f>
        <v>0</v>
      </c>
      <c r="V98" s="90">
        <f t="array" ref="V98">_xlfn.STDEV.P(IF($E$5:$E$41=$E97,V$5:V$41))</f>
        <v>0</v>
      </c>
      <c r="W98" s="90">
        <f t="array" ref="W98">_xlfn.STDEV.P(IF($E$5:$E$41=$E97,W$5:W$41))</f>
        <v>0</v>
      </c>
      <c r="X98" s="90">
        <f t="array" ref="X98">_xlfn.STDEV.P(IF($E$5:$E$41=$E97,X$5:X$41))</f>
        <v>0</v>
      </c>
      <c r="Y98" s="90">
        <f t="array" ref="Y98">_xlfn.STDEV.P(IF($E$5:$E$41=$E97,Y$5:Y$41))</f>
        <v>0</v>
      </c>
      <c r="Z98" s="90">
        <f t="array" ref="Z98">_xlfn.STDEV.P(IF($E$5:$E$41=$E97,Z$5:Z$41))</f>
        <v>0</v>
      </c>
      <c r="AA98" s="90">
        <f t="array" ref="AA98">_xlfn.STDEV.P(IF($E$5:$E$41=$E97,AA$5:AA$41))</f>
        <v>0</v>
      </c>
      <c r="AB98" s="90">
        <f t="array" ref="AB98">_xlfn.STDEV.P(IF($E$5:$E$41=$E97,AB$5:AB$41))</f>
        <v>0</v>
      </c>
      <c r="AC98" s="90">
        <f t="array" ref="AC98">_xlfn.STDEV.P(IF($E$5:$E$41=$E97,AC$5:AC$41))</f>
        <v>0</v>
      </c>
      <c r="AD98" s="90">
        <f t="array" ref="AD98">_xlfn.STDEV.P(IF($E$5:$E$41=$E97,AD$5:AD$41))</f>
        <v>0</v>
      </c>
      <c r="AE98" s="154" t="s">
        <v>12</v>
      </c>
      <c r="AF98" s="83">
        <f t="array" ref="AF98">_xlfn.STDEV.P(IF($E$5:$E$41=$E97,AF$5:AF$41))</f>
        <v>0</v>
      </c>
      <c r="AG98" s="83">
        <f t="array" ref="AG98">_xlfn.STDEV.P(IF($E$5:$E$41=$E97,AG$5:AG$41))</f>
        <v>4.0208544040593062E-2</v>
      </c>
      <c r="AH98" s="83">
        <f t="array" ref="AH98">_xlfn.STDEV.P(IF($E$5:$E$41=$E97,AH$5:AH$41))</f>
        <v>2.9762340990638528E-2</v>
      </c>
      <c r="AI98" s="83">
        <f t="array" ref="AI98">_xlfn.STDEV.P(IF($E$5:$E$41=$E97,AI$5:AI$41))</f>
        <v>2.6366873562716886E-2</v>
      </c>
      <c r="AJ98" s="83">
        <f t="array" ref="AJ98">_xlfn.STDEV.P(IF($E$5:$E$41=$E97,AJ$5:AJ$41))</f>
        <v>2.9075001604702555E-2</v>
      </c>
      <c r="AK98" s="83">
        <f t="array" ref="AK98">_xlfn.STDEV.P(IF($E$5:$E$41=$E97,AK$5:AK$41))</f>
        <v>1.8801522072668997E-2</v>
      </c>
      <c r="AL98" s="83">
        <f t="array" ref="AL98">_xlfn.STDEV.P(IF($E$5:$E$41=$E97,AL$5:AL$41))</f>
        <v>1.6375043927730759E-2</v>
      </c>
      <c r="AM98" s="83">
        <f t="array" ref="AM98">_xlfn.STDEV.P(IF($E$5:$E$41=$E97,AM$5:AM$41))</f>
        <v>1.3509900220824034E-2</v>
      </c>
      <c r="AN98" s="83" t="e">
        <f t="array" ref="AN98">_xlfn.STDEV.P(IF($E$5:$E$41=$E97,AN$5:AN$41))</f>
        <v>#DIV/0!</v>
      </c>
      <c r="AO98" s="83" t="e">
        <f t="array" ref="AO98">_xlfn.STDEV.P(IF($E$5:$E$41=$E97,AO$5:AO$41))</f>
        <v>#DIV/0!</v>
      </c>
      <c r="AP98" s="83" t="e">
        <f t="array" ref="AP98">_xlfn.STDEV.P(IF($E$5:$E$41=$E97,AP$5:AP$41))</f>
        <v>#DIV/0!</v>
      </c>
      <c r="AQ98" s="83" t="e">
        <f t="array" ref="AQ98">_xlfn.STDEV.P(IF($E$5:$E$41=$E97,AQ$5:AQ$41))</f>
        <v>#DIV/0!</v>
      </c>
      <c r="AR98" s="83" t="e">
        <f t="array" ref="AR98">_xlfn.STDEV.P(IF($E$5:$E$41=$E97,AR$5:AR$41))</f>
        <v>#DIV/0!</v>
      </c>
      <c r="AS98" s="83" t="e">
        <f t="array" ref="AS98">_xlfn.STDEV.P(IF($E$5:$E$41=$E97,AS$5:AS$41))</f>
        <v>#DIV/0!</v>
      </c>
      <c r="AT98" s="83" t="e">
        <f t="array" ref="AT98">_xlfn.STDEV.P(IF($E$5:$E$41=$E97,AT$5:AT$41))</f>
        <v>#DIV/0!</v>
      </c>
      <c r="AU98" s="83" t="e">
        <f t="array" ref="AU98">_xlfn.STDEV.P(IF($E$5:$E$41=$E97,AU$5:AU$41))</f>
        <v>#DIV/0!</v>
      </c>
      <c r="AV98" s="83" t="e">
        <f t="array" ref="AV98">_xlfn.STDEV.P(IF($E$5:$E$41=$E97,AV$5:AV$41))</f>
        <v>#DIV/0!</v>
      </c>
      <c r="AW98" s="83" t="e">
        <f t="array" ref="AW98">_xlfn.STDEV.P(IF($E$5:$E$41=$E97,AW$5:AW$41))</f>
        <v>#DIV/0!</v>
      </c>
      <c r="AX98" s="83" t="e">
        <f t="array" ref="AX98">_xlfn.STDEV.P(IF($E$5:$E$41=$E97,AX$5:AX$41))</f>
        <v>#DIV/0!</v>
      </c>
      <c r="AY98" s="85"/>
    </row>
    <row r="99" spans="1:51" ht="14.25" customHeight="1">
      <c r="A99" s="129"/>
      <c r="E99" s="104"/>
      <c r="H99" s="104"/>
      <c r="I99" s="120"/>
      <c r="J99" s="120"/>
      <c r="K99" s="148" t="s">
        <v>43</v>
      </c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148" t="s">
        <v>43</v>
      </c>
      <c r="AF99" s="82">
        <f>AF97-AF$43</f>
        <v>0</v>
      </c>
      <c r="AG99" s="82">
        <f>AG97-AG$43</f>
        <v>-5.1111735754307386E-2</v>
      </c>
      <c r="AH99" s="82">
        <f t="shared" ref="AH99:AX99" si="181">AH97-AH$43</f>
        <v>-0.12047982444288141</v>
      </c>
      <c r="AI99" s="82">
        <f t="shared" si="181"/>
        <v>-0.14128702603893406</v>
      </c>
      <c r="AJ99" s="82">
        <f t="shared" si="181"/>
        <v>-0.13180919352070108</v>
      </c>
      <c r="AK99" s="82">
        <f t="shared" si="181"/>
        <v>-0.13914579673644412</v>
      </c>
      <c r="AL99" s="82">
        <f t="shared" si="181"/>
        <v>-0.13601402276235869</v>
      </c>
      <c r="AM99" s="82">
        <f t="shared" si="181"/>
        <v>-8.962815538396296E-2</v>
      </c>
      <c r="AN99" s="82" t="e">
        <f t="shared" si="181"/>
        <v>#DIV/0!</v>
      </c>
      <c r="AO99" s="82" t="e">
        <f t="shared" si="181"/>
        <v>#DIV/0!</v>
      </c>
      <c r="AP99" s="82" t="e">
        <f t="shared" si="181"/>
        <v>#DIV/0!</v>
      </c>
      <c r="AQ99" s="82" t="e">
        <f t="shared" si="181"/>
        <v>#DIV/0!</v>
      </c>
      <c r="AR99" s="82" t="e">
        <f t="shared" si="181"/>
        <v>#DIV/0!</v>
      </c>
      <c r="AS99" s="82" t="e">
        <f t="shared" si="181"/>
        <v>#DIV/0!</v>
      </c>
      <c r="AT99" s="82" t="e">
        <f t="shared" si="181"/>
        <v>#DIV/0!</v>
      </c>
      <c r="AU99" s="82" t="e">
        <f t="shared" si="181"/>
        <v>#DIV/0!</v>
      </c>
      <c r="AV99" s="82" t="e">
        <f t="shared" si="181"/>
        <v>#DIV/0!</v>
      </c>
      <c r="AW99" s="82" t="e">
        <f t="shared" si="181"/>
        <v>#DIV/0!</v>
      </c>
      <c r="AX99" s="173" t="e">
        <f t="shared" si="181"/>
        <v>#DIV/0!</v>
      </c>
      <c r="AY99" s="147"/>
    </row>
    <row r="100" spans="1:51" ht="14.25" customHeight="1">
      <c r="A100" s="129"/>
      <c r="E100" s="104"/>
      <c r="H100" s="104"/>
      <c r="I100" s="120"/>
      <c r="J100" s="120"/>
      <c r="K100" s="116" t="s">
        <v>63</v>
      </c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116" t="s">
        <v>63</v>
      </c>
      <c r="AF100" s="82"/>
      <c r="AG100" s="82">
        <f>AF97*EXP((AG$4-AF$4)*-LN(2)/8.091)</f>
        <v>0.91789808441829013</v>
      </c>
      <c r="AH100" s="82">
        <f>AG97*EXP((AH$4-AG$4)*-LN(2)/8.091)</f>
        <v>0.79498005628460833</v>
      </c>
      <c r="AI100" s="82">
        <f t="shared" ref="AI100:AX100" si="182">AH97*EXP((AI$4-AH$4)*-LN(2)/8.091)</f>
        <v>0.66159763548576334</v>
      </c>
      <c r="AJ100" s="82">
        <f t="shared" si="182"/>
        <v>0.53106018682976863</v>
      </c>
      <c r="AK100" s="82">
        <f t="shared" si="182"/>
        <v>0.40006144117976766</v>
      </c>
      <c r="AL100" s="82">
        <f t="shared" si="182"/>
        <v>0.30475087661628514</v>
      </c>
      <c r="AM100" s="82">
        <f t="shared" si="182"/>
        <v>0.18591727864280094</v>
      </c>
      <c r="AN100" s="82" t="e">
        <f t="shared" si="182"/>
        <v>#NUM!</v>
      </c>
      <c r="AO100" s="82" t="e">
        <f t="shared" si="182"/>
        <v>#DIV/0!</v>
      </c>
      <c r="AP100" s="82" t="e">
        <f t="shared" si="182"/>
        <v>#DIV/0!</v>
      </c>
      <c r="AQ100" s="82" t="e">
        <f t="shared" si="182"/>
        <v>#DIV/0!</v>
      </c>
      <c r="AR100" s="82" t="e">
        <f t="shared" si="182"/>
        <v>#DIV/0!</v>
      </c>
      <c r="AS100" s="82" t="e">
        <f t="shared" si="182"/>
        <v>#DIV/0!</v>
      </c>
      <c r="AT100" s="82" t="e">
        <f t="shared" si="182"/>
        <v>#DIV/0!</v>
      </c>
      <c r="AU100" s="82" t="e">
        <f t="shared" si="182"/>
        <v>#DIV/0!</v>
      </c>
      <c r="AV100" s="82" t="e">
        <f t="shared" si="182"/>
        <v>#DIV/0!</v>
      </c>
      <c r="AW100" s="82" t="e">
        <f t="shared" si="182"/>
        <v>#DIV/0!</v>
      </c>
      <c r="AX100" s="173" t="e">
        <f t="shared" si="182"/>
        <v>#DIV/0!</v>
      </c>
      <c r="AY100" s="147"/>
    </row>
    <row r="101" spans="1:51" ht="14.25" customHeight="1">
      <c r="A101" s="129"/>
      <c r="E101" s="104"/>
      <c r="H101" s="104"/>
      <c r="I101" s="120"/>
      <c r="J101" s="120"/>
      <c r="K101" s="116" t="s">
        <v>44</v>
      </c>
      <c r="L101" s="89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116" t="s">
        <v>44</v>
      </c>
      <c r="AF101" s="174"/>
      <c r="AG101" s="83">
        <f>AG97-AG100</f>
        <v>-5.1810585403167964E-2</v>
      </c>
      <c r="AH101" s="83">
        <f>AH97-AH100</f>
        <v>-7.4205444465862636E-2</v>
      </c>
      <c r="AI101" s="83">
        <f t="shared" ref="AI101" si="183">AI97-AI100</f>
        <v>-3.1286736339145138E-2</v>
      </c>
      <c r="AJ101" s="83">
        <f t="shared" ref="AJ101" si="184">AJ97-AJ100</f>
        <v>-1.3759202777856805E-2</v>
      </c>
      <c r="AK101" s="83">
        <f t="shared" ref="AK101" si="185">AK97-AK100</f>
        <v>-3.8355171684358258E-2</v>
      </c>
      <c r="AL101" s="83">
        <f t="shared" ref="AL101" si="186">AL97-AL100</f>
        <v>-1.9420876750294802E-2</v>
      </c>
      <c r="AM101" s="83">
        <f t="shared" ref="AM101" si="187">AM97-AM100</f>
        <v>-2.0467406793172049E-3</v>
      </c>
      <c r="AN101" s="83" t="e">
        <f t="shared" ref="AN101" si="188">AN97-AN100</f>
        <v>#DIV/0!</v>
      </c>
      <c r="AO101" s="83" t="e">
        <f t="shared" ref="AO101" si="189">AO97-AO100</f>
        <v>#DIV/0!</v>
      </c>
      <c r="AP101" s="83" t="e">
        <f t="shared" ref="AP101" si="190">AP97-AP100</f>
        <v>#DIV/0!</v>
      </c>
      <c r="AQ101" s="83" t="e">
        <f t="shared" ref="AQ101" si="191">AQ97-AQ100</f>
        <v>#DIV/0!</v>
      </c>
      <c r="AR101" s="83" t="e">
        <f t="shared" ref="AR101" si="192">AR97-AR100</f>
        <v>#DIV/0!</v>
      </c>
      <c r="AS101" s="83" t="e">
        <f t="shared" ref="AS101" si="193">AS97-AS100</f>
        <v>#DIV/0!</v>
      </c>
      <c r="AT101" s="83" t="e">
        <f t="shared" ref="AT101" si="194">AT97-AT100</f>
        <v>#DIV/0!</v>
      </c>
      <c r="AU101" s="83" t="e">
        <f t="shared" ref="AU101" si="195">AU97-AU100</f>
        <v>#DIV/0!</v>
      </c>
      <c r="AV101" s="83" t="e">
        <f t="shared" ref="AV101" si="196">AV97-AV100</f>
        <v>#DIV/0!</v>
      </c>
      <c r="AW101" s="83" t="e">
        <f t="shared" ref="AW101" si="197">AW97-AW100</f>
        <v>#DIV/0!</v>
      </c>
      <c r="AX101" s="175" t="e">
        <f t="shared" ref="AX101" si="198">AX97-AX100</f>
        <v>#DIV/0!</v>
      </c>
      <c r="AY101" s="147"/>
    </row>
    <row r="102" spans="1:51" ht="14.25" customHeight="1">
      <c r="A102" s="129"/>
      <c r="E102" s="104"/>
      <c r="H102" s="104"/>
      <c r="I102" s="120"/>
      <c r="J102" s="120"/>
      <c r="K102" s="116" t="s">
        <v>64</v>
      </c>
      <c r="L102" s="89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116" t="s">
        <v>64</v>
      </c>
      <c r="AF102" s="174">
        <f>AF97/AF$43</f>
        <v>1</v>
      </c>
      <c r="AG102" s="83">
        <f>AG97/AG$43</f>
        <v>0.94427411862466704</v>
      </c>
      <c r="AH102" s="83">
        <f>AH97/AH$43</f>
        <v>0.85678551072102449</v>
      </c>
      <c r="AI102" s="83">
        <f t="shared" ref="AI102:AX102" si="199">AI97/AI$43</f>
        <v>0.81689034997734389</v>
      </c>
      <c r="AJ102" s="83">
        <f t="shared" si="199"/>
        <v>0.79693864296873362</v>
      </c>
      <c r="AK102" s="83">
        <f t="shared" si="199"/>
        <v>0.72218184546326503</v>
      </c>
      <c r="AL102" s="83">
        <f t="shared" si="199"/>
        <v>0.6771900977403178</v>
      </c>
      <c r="AM102" s="83">
        <f t="shared" si="199"/>
        <v>0.67229037079858611</v>
      </c>
      <c r="AN102" s="83" t="e">
        <f t="shared" si="199"/>
        <v>#DIV/0!</v>
      </c>
      <c r="AO102" s="83" t="e">
        <f t="shared" si="199"/>
        <v>#DIV/0!</v>
      </c>
      <c r="AP102" s="83" t="e">
        <f t="shared" si="199"/>
        <v>#DIV/0!</v>
      </c>
      <c r="AQ102" s="83" t="e">
        <f t="shared" si="199"/>
        <v>#DIV/0!</v>
      </c>
      <c r="AR102" s="83" t="e">
        <f t="shared" si="199"/>
        <v>#DIV/0!</v>
      </c>
      <c r="AS102" s="83" t="e">
        <f t="shared" si="199"/>
        <v>#DIV/0!</v>
      </c>
      <c r="AT102" s="83" t="e">
        <f t="shared" si="199"/>
        <v>#DIV/0!</v>
      </c>
      <c r="AU102" s="83" t="e">
        <f t="shared" si="199"/>
        <v>#DIV/0!</v>
      </c>
      <c r="AV102" s="83" t="e">
        <f t="shared" si="199"/>
        <v>#DIV/0!</v>
      </c>
      <c r="AW102" s="83" t="e">
        <f t="shared" si="199"/>
        <v>#DIV/0!</v>
      </c>
      <c r="AX102" s="175" t="e">
        <f t="shared" si="199"/>
        <v>#DIV/0!</v>
      </c>
      <c r="AY102" s="147"/>
    </row>
    <row r="103" spans="1:51" ht="15">
      <c r="A103" s="129"/>
      <c r="E103" s="58"/>
      <c r="H103" s="58"/>
      <c r="K103" s="150"/>
      <c r="AE103" s="149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176"/>
    </row>
    <row r="104" spans="1:51" ht="14.25" customHeight="1">
      <c r="A104" s="129"/>
      <c r="E104" s="134" t="str">
        <f>'RAD_DOSE Groups'!C14</f>
        <v>Group 9</v>
      </c>
      <c r="H104" s="134" t="str">
        <f>E104</f>
        <v>Group 9</v>
      </c>
      <c r="I104" s="120" t="e">
        <f>AVERAGEIF($E$5:$E$41,$E104,I$5:I$41)</f>
        <v>#DIV/0!</v>
      </c>
      <c r="J104" s="120"/>
      <c r="K104" s="117" t="s">
        <v>10</v>
      </c>
      <c r="L104" s="87" t="e">
        <f t="shared" ref="L104:AD104" si="200">AVERAGEIF($E$5:$E$41,$E104,L$5:L$41)</f>
        <v>#DIV/0!</v>
      </c>
      <c r="M104" s="87" t="e">
        <f t="shared" si="200"/>
        <v>#DIV/0!</v>
      </c>
      <c r="N104" s="87" t="e">
        <f t="shared" si="200"/>
        <v>#DIV/0!</v>
      </c>
      <c r="O104" s="87" t="e">
        <f t="shared" si="200"/>
        <v>#DIV/0!</v>
      </c>
      <c r="P104" s="87" t="e">
        <f t="shared" si="200"/>
        <v>#DIV/0!</v>
      </c>
      <c r="Q104" s="87" t="e">
        <f t="shared" si="200"/>
        <v>#DIV/0!</v>
      </c>
      <c r="R104" s="87" t="e">
        <f t="shared" si="200"/>
        <v>#DIV/0!</v>
      </c>
      <c r="S104" s="87" t="e">
        <f t="shared" si="200"/>
        <v>#DIV/0!</v>
      </c>
      <c r="T104" s="87" t="e">
        <f t="shared" si="200"/>
        <v>#DIV/0!</v>
      </c>
      <c r="U104" s="87" t="e">
        <f t="shared" si="200"/>
        <v>#DIV/0!</v>
      </c>
      <c r="V104" s="87" t="e">
        <f t="shared" si="200"/>
        <v>#DIV/0!</v>
      </c>
      <c r="W104" s="87" t="e">
        <f t="shared" si="200"/>
        <v>#DIV/0!</v>
      </c>
      <c r="X104" s="87" t="e">
        <f t="shared" si="200"/>
        <v>#DIV/0!</v>
      </c>
      <c r="Y104" s="87" t="e">
        <f t="shared" si="200"/>
        <v>#DIV/0!</v>
      </c>
      <c r="Z104" s="87" t="e">
        <f t="shared" si="200"/>
        <v>#DIV/0!</v>
      </c>
      <c r="AA104" s="87" t="e">
        <f t="shared" si="200"/>
        <v>#DIV/0!</v>
      </c>
      <c r="AB104" s="87" t="e">
        <f t="shared" si="200"/>
        <v>#DIV/0!</v>
      </c>
      <c r="AC104" s="87" t="e">
        <f t="shared" si="200"/>
        <v>#DIV/0!</v>
      </c>
      <c r="AD104" s="87" t="e">
        <f t="shared" si="200"/>
        <v>#DIV/0!</v>
      </c>
      <c r="AE104" s="153" t="s">
        <v>10</v>
      </c>
      <c r="AF104" s="82" t="e">
        <f t="shared" ref="AF104:AX104" si="201">AVERAGEIF($E$5:$E$41,$E104,AF$5:AF$41)</f>
        <v>#DIV/0!</v>
      </c>
      <c r="AG104" s="82" t="e">
        <f t="shared" si="201"/>
        <v>#DIV/0!</v>
      </c>
      <c r="AH104" s="82" t="e">
        <f t="shared" si="201"/>
        <v>#DIV/0!</v>
      </c>
      <c r="AI104" s="82" t="e">
        <f t="shared" si="201"/>
        <v>#DIV/0!</v>
      </c>
      <c r="AJ104" s="82" t="e">
        <f t="shared" si="201"/>
        <v>#DIV/0!</v>
      </c>
      <c r="AK104" s="82" t="e">
        <f t="shared" si="201"/>
        <v>#DIV/0!</v>
      </c>
      <c r="AL104" s="82" t="e">
        <f t="shared" si="201"/>
        <v>#DIV/0!</v>
      </c>
      <c r="AM104" s="82" t="e">
        <f t="shared" si="201"/>
        <v>#DIV/0!</v>
      </c>
      <c r="AN104" s="82" t="e">
        <f t="shared" si="201"/>
        <v>#DIV/0!</v>
      </c>
      <c r="AO104" s="82" t="e">
        <f t="shared" si="201"/>
        <v>#DIV/0!</v>
      </c>
      <c r="AP104" s="82" t="e">
        <f t="shared" si="201"/>
        <v>#DIV/0!</v>
      </c>
      <c r="AQ104" s="82" t="e">
        <f t="shared" si="201"/>
        <v>#DIV/0!</v>
      </c>
      <c r="AR104" s="82" t="e">
        <f t="shared" si="201"/>
        <v>#DIV/0!</v>
      </c>
      <c r="AS104" s="82" t="e">
        <f t="shared" si="201"/>
        <v>#DIV/0!</v>
      </c>
      <c r="AT104" s="82" t="e">
        <f t="shared" si="201"/>
        <v>#DIV/0!</v>
      </c>
      <c r="AU104" s="82" t="e">
        <f t="shared" si="201"/>
        <v>#DIV/0!</v>
      </c>
      <c r="AV104" s="82" t="e">
        <f t="shared" si="201"/>
        <v>#DIV/0!</v>
      </c>
      <c r="AW104" s="82" t="e">
        <f t="shared" si="201"/>
        <v>#DIV/0!</v>
      </c>
      <c r="AX104" s="82" t="e">
        <f t="shared" si="201"/>
        <v>#DIV/0!</v>
      </c>
      <c r="AY104" s="85"/>
    </row>
    <row r="105" spans="1:51" ht="14.25" customHeight="1">
      <c r="A105" s="129"/>
      <c r="E105" s="104"/>
      <c r="H105" s="104"/>
      <c r="I105" s="120" t="e">
        <f t="array" ref="I105">_xlfn.STDEV.P(IF($E$5:$E$41=$E104,I$5:I$41))</f>
        <v>#DIV/0!</v>
      </c>
      <c r="J105" s="120"/>
      <c r="K105" s="117" t="s">
        <v>12</v>
      </c>
      <c r="L105" s="90" t="e">
        <f t="array" ref="L105">_xlfn.STDEV.P(IF($E$5:$E$41=$E104,L$5:L$41))</f>
        <v>#DIV/0!</v>
      </c>
      <c r="M105" s="90" t="e">
        <f t="array" ref="M105">_xlfn.STDEV.P(IF($E$5:$E$41=$E104,M$5:M$41))</f>
        <v>#DIV/0!</v>
      </c>
      <c r="N105" s="90" t="e">
        <f t="array" ref="N105">_xlfn.STDEV.P(IF($E$5:$E$41=$E104,N$5:N$41))</f>
        <v>#DIV/0!</v>
      </c>
      <c r="O105" s="90" t="e">
        <f t="array" ref="O105">_xlfn.STDEV.P(IF($E$5:$E$41=$E104,O$5:O$41))</f>
        <v>#DIV/0!</v>
      </c>
      <c r="P105" s="90" t="e">
        <f t="array" ref="P105">_xlfn.STDEV.P(IF($E$5:$E$41=$E104,P$5:P$41))</f>
        <v>#DIV/0!</v>
      </c>
      <c r="Q105" s="90" t="e">
        <f t="array" ref="Q105">_xlfn.STDEV.P(IF($E$5:$E$41=$E104,Q$5:Q$41))</f>
        <v>#DIV/0!</v>
      </c>
      <c r="R105" s="90" t="e">
        <f t="array" ref="R105">_xlfn.STDEV.P(IF($E$5:$E$41=$E104,R$5:R$41))</f>
        <v>#DIV/0!</v>
      </c>
      <c r="S105" s="90" t="e">
        <f t="array" ref="S105">_xlfn.STDEV.P(IF($E$5:$E$41=$E104,S$5:S$41))</f>
        <v>#DIV/0!</v>
      </c>
      <c r="T105" s="90" t="e">
        <f t="array" ref="T105">_xlfn.STDEV.P(IF($E$5:$E$41=$E104,T$5:T$41))</f>
        <v>#DIV/0!</v>
      </c>
      <c r="U105" s="90" t="e">
        <f t="array" ref="U105">_xlfn.STDEV.P(IF($E$5:$E$41=$E104,U$5:U$41))</f>
        <v>#DIV/0!</v>
      </c>
      <c r="V105" s="90" t="e">
        <f t="array" ref="V105">_xlfn.STDEV.P(IF($E$5:$E$41=$E104,V$5:V$41))</f>
        <v>#DIV/0!</v>
      </c>
      <c r="W105" s="90" t="e">
        <f t="array" ref="W105">_xlfn.STDEV.P(IF($E$5:$E$41=$E104,W$5:W$41))</f>
        <v>#DIV/0!</v>
      </c>
      <c r="X105" s="90" t="e">
        <f t="array" ref="X105">_xlfn.STDEV.P(IF($E$5:$E$41=$E104,X$5:X$41))</f>
        <v>#DIV/0!</v>
      </c>
      <c r="Y105" s="90" t="e">
        <f t="array" ref="Y105">_xlfn.STDEV.P(IF($E$5:$E$41=$E104,Y$5:Y$41))</f>
        <v>#DIV/0!</v>
      </c>
      <c r="Z105" s="90" t="e">
        <f t="array" ref="Z105">_xlfn.STDEV.P(IF($E$5:$E$41=$E104,Z$5:Z$41))</f>
        <v>#DIV/0!</v>
      </c>
      <c r="AA105" s="90" t="e">
        <f t="array" ref="AA105">_xlfn.STDEV.P(IF($E$5:$E$41=$E104,AA$5:AA$41))</f>
        <v>#DIV/0!</v>
      </c>
      <c r="AB105" s="90" t="e">
        <f t="array" ref="AB105">_xlfn.STDEV.P(IF($E$5:$E$41=$E104,AB$5:AB$41))</f>
        <v>#DIV/0!</v>
      </c>
      <c r="AC105" s="90" t="e">
        <f t="array" ref="AC105">_xlfn.STDEV.P(IF($E$5:$E$41=$E104,AC$5:AC$41))</f>
        <v>#DIV/0!</v>
      </c>
      <c r="AD105" s="90" t="e">
        <f t="array" ref="AD105">_xlfn.STDEV.P(IF($E$5:$E$41=$E104,AD$5:AD$41))</f>
        <v>#DIV/0!</v>
      </c>
      <c r="AE105" s="154" t="s">
        <v>12</v>
      </c>
      <c r="AF105" s="83" t="e">
        <f t="array" ref="AF105">_xlfn.STDEV.P(IF($E$5:$E$41=$E104,AF$5:AF$41))</f>
        <v>#DIV/0!</v>
      </c>
      <c r="AG105" s="83" t="e">
        <f t="array" ref="AG105">_xlfn.STDEV.P(IF($E$5:$E$41=$E104,AG$5:AG$41))</f>
        <v>#DIV/0!</v>
      </c>
      <c r="AH105" s="83" t="e">
        <f t="array" ref="AH105">_xlfn.STDEV.P(IF($E$5:$E$41=$E104,AH$5:AH$41))</f>
        <v>#DIV/0!</v>
      </c>
      <c r="AI105" s="83" t="e">
        <f t="array" ref="AI105">_xlfn.STDEV.P(IF($E$5:$E$41=$E104,AI$5:AI$41))</f>
        <v>#DIV/0!</v>
      </c>
      <c r="AJ105" s="83" t="e">
        <f t="array" ref="AJ105">_xlfn.STDEV.P(IF($E$5:$E$41=$E104,AJ$5:AJ$41))</f>
        <v>#DIV/0!</v>
      </c>
      <c r="AK105" s="83" t="e">
        <f t="array" ref="AK105">_xlfn.STDEV.P(IF($E$5:$E$41=$E104,AK$5:AK$41))</f>
        <v>#DIV/0!</v>
      </c>
      <c r="AL105" s="83" t="e">
        <f t="array" ref="AL105">_xlfn.STDEV.P(IF($E$5:$E$41=$E104,AL$5:AL$41))</f>
        <v>#DIV/0!</v>
      </c>
      <c r="AM105" s="83" t="e">
        <f t="array" ref="AM105">_xlfn.STDEV.P(IF($E$5:$E$41=$E104,AM$5:AM$41))</f>
        <v>#DIV/0!</v>
      </c>
      <c r="AN105" s="83" t="e">
        <f t="array" ref="AN105">_xlfn.STDEV.P(IF($E$5:$E$41=$E104,AN$5:AN$41))</f>
        <v>#DIV/0!</v>
      </c>
      <c r="AO105" s="83" t="e">
        <f t="array" ref="AO105">_xlfn.STDEV.P(IF($E$5:$E$41=$E104,AO$5:AO$41))</f>
        <v>#DIV/0!</v>
      </c>
      <c r="AP105" s="83" t="e">
        <f t="array" ref="AP105">_xlfn.STDEV.P(IF($E$5:$E$41=$E104,AP$5:AP$41))</f>
        <v>#DIV/0!</v>
      </c>
      <c r="AQ105" s="83" t="e">
        <f t="array" ref="AQ105">_xlfn.STDEV.P(IF($E$5:$E$41=$E104,AQ$5:AQ$41))</f>
        <v>#DIV/0!</v>
      </c>
      <c r="AR105" s="83" t="e">
        <f t="array" ref="AR105">_xlfn.STDEV.P(IF($E$5:$E$41=$E104,AR$5:AR$41))</f>
        <v>#DIV/0!</v>
      </c>
      <c r="AS105" s="83" t="e">
        <f t="array" ref="AS105">_xlfn.STDEV.P(IF($E$5:$E$41=$E104,AS$5:AS$41))</f>
        <v>#DIV/0!</v>
      </c>
      <c r="AT105" s="83" t="e">
        <f t="array" ref="AT105">_xlfn.STDEV.P(IF($E$5:$E$41=$E104,AT$5:AT$41))</f>
        <v>#DIV/0!</v>
      </c>
      <c r="AU105" s="83" t="e">
        <f t="array" ref="AU105">_xlfn.STDEV.P(IF($E$5:$E$41=$E104,AU$5:AU$41))</f>
        <v>#DIV/0!</v>
      </c>
      <c r="AV105" s="83" t="e">
        <f t="array" ref="AV105">_xlfn.STDEV.P(IF($E$5:$E$41=$E104,AV$5:AV$41))</f>
        <v>#DIV/0!</v>
      </c>
      <c r="AW105" s="83" t="e">
        <f t="array" ref="AW105">_xlfn.STDEV.P(IF($E$5:$E$41=$E104,AW$5:AW$41))</f>
        <v>#DIV/0!</v>
      </c>
      <c r="AX105" s="83" t="e">
        <f t="array" ref="AX105">_xlfn.STDEV.P(IF($E$5:$E$41=$E104,AX$5:AX$41))</f>
        <v>#DIV/0!</v>
      </c>
      <c r="AY105" s="85"/>
    </row>
    <row r="106" spans="1:51" ht="14.25" customHeight="1">
      <c r="A106" s="129"/>
      <c r="E106" s="104"/>
      <c r="H106" s="104"/>
      <c r="I106" s="120"/>
      <c r="J106" s="120"/>
      <c r="K106" s="148" t="s">
        <v>43</v>
      </c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148" t="s">
        <v>43</v>
      </c>
      <c r="AF106" s="82" t="e">
        <f>AF104-AF$43</f>
        <v>#DIV/0!</v>
      </c>
      <c r="AG106" s="82" t="e">
        <f>AG104-AG$43</f>
        <v>#DIV/0!</v>
      </c>
      <c r="AH106" s="82" t="e">
        <f t="shared" ref="AH106:AX106" si="202">AH104-AH$43</f>
        <v>#DIV/0!</v>
      </c>
      <c r="AI106" s="82" t="e">
        <f t="shared" si="202"/>
        <v>#DIV/0!</v>
      </c>
      <c r="AJ106" s="82" t="e">
        <f t="shared" si="202"/>
        <v>#DIV/0!</v>
      </c>
      <c r="AK106" s="82" t="e">
        <f t="shared" si="202"/>
        <v>#DIV/0!</v>
      </c>
      <c r="AL106" s="82" t="e">
        <f t="shared" si="202"/>
        <v>#DIV/0!</v>
      </c>
      <c r="AM106" s="82" t="e">
        <f t="shared" si="202"/>
        <v>#DIV/0!</v>
      </c>
      <c r="AN106" s="82" t="e">
        <f t="shared" si="202"/>
        <v>#DIV/0!</v>
      </c>
      <c r="AO106" s="82" t="e">
        <f t="shared" si="202"/>
        <v>#DIV/0!</v>
      </c>
      <c r="AP106" s="82" t="e">
        <f t="shared" si="202"/>
        <v>#DIV/0!</v>
      </c>
      <c r="AQ106" s="82" t="e">
        <f t="shared" si="202"/>
        <v>#DIV/0!</v>
      </c>
      <c r="AR106" s="82" t="e">
        <f t="shared" si="202"/>
        <v>#DIV/0!</v>
      </c>
      <c r="AS106" s="82" t="e">
        <f t="shared" si="202"/>
        <v>#DIV/0!</v>
      </c>
      <c r="AT106" s="82" t="e">
        <f t="shared" si="202"/>
        <v>#DIV/0!</v>
      </c>
      <c r="AU106" s="82" t="e">
        <f t="shared" si="202"/>
        <v>#DIV/0!</v>
      </c>
      <c r="AV106" s="82" t="e">
        <f t="shared" si="202"/>
        <v>#DIV/0!</v>
      </c>
      <c r="AW106" s="82" t="e">
        <f t="shared" si="202"/>
        <v>#DIV/0!</v>
      </c>
      <c r="AX106" s="173" t="e">
        <f t="shared" si="202"/>
        <v>#DIV/0!</v>
      </c>
      <c r="AY106" s="147"/>
    </row>
    <row r="107" spans="1:51" ht="14.25" customHeight="1">
      <c r="A107" s="129"/>
      <c r="E107" s="104"/>
      <c r="H107" s="104"/>
      <c r="I107" s="120"/>
      <c r="J107" s="120"/>
      <c r="K107" s="116" t="s">
        <v>63</v>
      </c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116" t="s">
        <v>63</v>
      </c>
      <c r="AF107" s="82"/>
      <c r="AG107" s="82" t="e">
        <f>AF104*EXP((AG$4-AF$4)*-LN(2)/8.091)</f>
        <v>#DIV/0!</v>
      </c>
      <c r="AH107" s="82" t="e">
        <f>AG104*EXP((AH$4-AG$4)*-LN(2)/8.091)</f>
        <v>#DIV/0!</v>
      </c>
      <c r="AI107" s="82" t="e">
        <f t="shared" ref="AI107:AX107" si="203">AH104*EXP((AI$4-AH$4)*-LN(2)/8.091)</f>
        <v>#DIV/0!</v>
      </c>
      <c r="AJ107" s="82" t="e">
        <f t="shared" si="203"/>
        <v>#DIV/0!</v>
      </c>
      <c r="AK107" s="82" t="e">
        <f t="shared" si="203"/>
        <v>#DIV/0!</v>
      </c>
      <c r="AL107" s="82" t="e">
        <f t="shared" si="203"/>
        <v>#DIV/0!</v>
      </c>
      <c r="AM107" s="82" t="e">
        <f t="shared" si="203"/>
        <v>#DIV/0!</v>
      </c>
      <c r="AN107" s="82" t="e">
        <f t="shared" si="203"/>
        <v>#DIV/0!</v>
      </c>
      <c r="AO107" s="82" t="e">
        <f t="shared" si="203"/>
        <v>#DIV/0!</v>
      </c>
      <c r="AP107" s="82" t="e">
        <f t="shared" si="203"/>
        <v>#DIV/0!</v>
      </c>
      <c r="AQ107" s="82" t="e">
        <f t="shared" si="203"/>
        <v>#DIV/0!</v>
      </c>
      <c r="AR107" s="82" t="e">
        <f t="shared" si="203"/>
        <v>#DIV/0!</v>
      </c>
      <c r="AS107" s="82" t="e">
        <f t="shared" si="203"/>
        <v>#DIV/0!</v>
      </c>
      <c r="AT107" s="82" t="e">
        <f t="shared" si="203"/>
        <v>#DIV/0!</v>
      </c>
      <c r="AU107" s="82" t="e">
        <f t="shared" si="203"/>
        <v>#DIV/0!</v>
      </c>
      <c r="AV107" s="82" t="e">
        <f t="shared" si="203"/>
        <v>#DIV/0!</v>
      </c>
      <c r="AW107" s="82" t="e">
        <f t="shared" si="203"/>
        <v>#DIV/0!</v>
      </c>
      <c r="AX107" s="173" t="e">
        <f t="shared" si="203"/>
        <v>#DIV/0!</v>
      </c>
      <c r="AY107" s="147"/>
    </row>
    <row r="108" spans="1:51" ht="14.25" customHeight="1">
      <c r="A108" s="129"/>
      <c r="E108" s="104"/>
      <c r="H108" s="104"/>
      <c r="I108" s="120"/>
      <c r="J108" s="120"/>
      <c r="K108" s="116" t="s">
        <v>44</v>
      </c>
      <c r="L108" s="89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116" t="s">
        <v>44</v>
      </c>
      <c r="AF108" s="174"/>
      <c r="AG108" s="83" t="e">
        <f>AG104-AG107</f>
        <v>#DIV/0!</v>
      </c>
      <c r="AH108" s="83" t="e">
        <f>AH104-AH107</f>
        <v>#DIV/0!</v>
      </c>
      <c r="AI108" s="83" t="e">
        <f t="shared" ref="AI108" si="204">AI104-AI107</f>
        <v>#DIV/0!</v>
      </c>
      <c r="AJ108" s="83" t="e">
        <f t="shared" ref="AJ108" si="205">AJ104-AJ107</f>
        <v>#DIV/0!</v>
      </c>
      <c r="AK108" s="83" t="e">
        <f t="shared" ref="AK108" si="206">AK104-AK107</f>
        <v>#DIV/0!</v>
      </c>
      <c r="AL108" s="83" t="e">
        <f t="shared" ref="AL108" si="207">AL104-AL107</f>
        <v>#DIV/0!</v>
      </c>
      <c r="AM108" s="83" t="e">
        <f t="shared" ref="AM108" si="208">AM104-AM107</f>
        <v>#DIV/0!</v>
      </c>
      <c r="AN108" s="83" t="e">
        <f t="shared" ref="AN108" si="209">AN104-AN107</f>
        <v>#DIV/0!</v>
      </c>
      <c r="AO108" s="83" t="e">
        <f t="shared" ref="AO108" si="210">AO104-AO107</f>
        <v>#DIV/0!</v>
      </c>
      <c r="AP108" s="83" t="e">
        <f t="shared" ref="AP108" si="211">AP104-AP107</f>
        <v>#DIV/0!</v>
      </c>
      <c r="AQ108" s="83" t="e">
        <f t="shared" ref="AQ108" si="212">AQ104-AQ107</f>
        <v>#DIV/0!</v>
      </c>
      <c r="AR108" s="83" t="e">
        <f t="shared" ref="AR108" si="213">AR104-AR107</f>
        <v>#DIV/0!</v>
      </c>
      <c r="AS108" s="83" t="e">
        <f t="shared" ref="AS108" si="214">AS104-AS107</f>
        <v>#DIV/0!</v>
      </c>
      <c r="AT108" s="83" t="e">
        <f t="shared" ref="AT108" si="215">AT104-AT107</f>
        <v>#DIV/0!</v>
      </c>
      <c r="AU108" s="83" t="e">
        <f t="shared" ref="AU108" si="216">AU104-AU107</f>
        <v>#DIV/0!</v>
      </c>
      <c r="AV108" s="83" t="e">
        <f t="shared" ref="AV108" si="217">AV104-AV107</f>
        <v>#DIV/0!</v>
      </c>
      <c r="AW108" s="83" t="e">
        <f t="shared" ref="AW108" si="218">AW104-AW107</f>
        <v>#DIV/0!</v>
      </c>
      <c r="AX108" s="175" t="e">
        <f t="shared" ref="AX108" si="219">AX104-AX107</f>
        <v>#DIV/0!</v>
      </c>
      <c r="AY108" s="147"/>
    </row>
    <row r="109" spans="1:51" ht="14.25" customHeight="1">
      <c r="A109" s="129"/>
      <c r="E109" s="104"/>
      <c r="H109" s="104"/>
      <c r="I109" s="120"/>
      <c r="J109" s="120"/>
      <c r="K109" s="116" t="s">
        <v>64</v>
      </c>
      <c r="L109" s="89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116" t="s">
        <v>64</v>
      </c>
      <c r="AF109" s="174" t="e">
        <f>AF104/AF$43</f>
        <v>#DIV/0!</v>
      </c>
      <c r="AG109" s="83" t="e">
        <f>AG104/AG$43</f>
        <v>#DIV/0!</v>
      </c>
      <c r="AH109" s="83" t="e">
        <f>AH104/AH$43</f>
        <v>#DIV/0!</v>
      </c>
      <c r="AI109" s="83" t="e">
        <f t="shared" ref="AI109:AX109" si="220">AI104/AI$43</f>
        <v>#DIV/0!</v>
      </c>
      <c r="AJ109" s="83" t="e">
        <f t="shared" si="220"/>
        <v>#DIV/0!</v>
      </c>
      <c r="AK109" s="83" t="e">
        <f t="shared" si="220"/>
        <v>#DIV/0!</v>
      </c>
      <c r="AL109" s="83" t="e">
        <f t="shared" si="220"/>
        <v>#DIV/0!</v>
      </c>
      <c r="AM109" s="83" t="e">
        <f t="shared" si="220"/>
        <v>#DIV/0!</v>
      </c>
      <c r="AN109" s="83" t="e">
        <f t="shared" si="220"/>
        <v>#DIV/0!</v>
      </c>
      <c r="AO109" s="83" t="e">
        <f t="shared" si="220"/>
        <v>#DIV/0!</v>
      </c>
      <c r="AP109" s="83" t="e">
        <f t="shared" si="220"/>
        <v>#DIV/0!</v>
      </c>
      <c r="AQ109" s="83" t="e">
        <f t="shared" si="220"/>
        <v>#DIV/0!</v>
      </c>
      <c r="AR109" s="83" t="e">
        <f t="shared" si="220"/>
        <v>#DIV/0!</v>
      </c>
      <c r="AS109" s="83" t="e">
        <f t="shared" si="220"/>
        <v>#DIV/0!</v>
      </c>
      <c r="AT109" s="83" t="e">
        <f t="shared" si="220"/>
        <v>#DIV/0!</v>
      </c>
      <c r="AU109" s="83" t="e">
        <f t="shared" si="220"/>
        <v>#DIV/0!</v>
      </c>
      <c r="AV109" s="83" t="e">
        <f t="shared" si="220"/>
        <v>#DIV/0!</v>
      </c>
      <c r="AW109" s="83" t="e">
        <f t="shared" si="220"/>
        <v>#DIV/0!</v>
      </c>
      <c r="AX109" s="175" t="e">
        <f t="shared" si="220"/>
        <v>#DIV/0!</v>
      </c>
      <c r="AY109" s="147"/>
    </row>
    <row r="110" spans="1:51" ht="15">
      <c r="A110" s="129"/>
      <c r="E110" s="58"/>
      <c r="H110" s="58"/>
      <c r="K110" s="150"/>
      <c r="AE110" s="149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176"/>
    </row>
    <row r="111" spans="1:51" ht="14.25" customHeight="1">
      <c r="A111" s="129"/>
      <c r="E111" s="134" t="str">
        <f>'RAD_DOSE Groups'!C15</f>
        <v>Group 10</v>
      </c>
      <c r="H111" s="134" t="str">
        <f>E111</f>
        <v>Group 10</v>
      </c>
      <c r="I111" s="120" t="e">
        <f>AVERAGEIF($E$5:$E$41,$E111,I$5:I$41)</f>
        <v>#DIV/0!</v>
      </c>
      <c r="J111" s="120"/>
      <c r="K111" s="117" t="s">
        <v>10</v>
      </c>
      <c r="L111" s="87" t="e">
        <f t="shared" ref="L111:AD111" si="221">AVERAGEIF($E$5:$E$41,$E111,L$5:L$41)</f>
        <v>#DIV/0!</v>
      </c>
      <c r="M111" s="87" t="e">
        <f t="shared" si="221"/>
        <v>#DIV/0!</v>
      </c>
      <c r="N111" s="87" t="e">
        <f t="shared" si="221"/>
        <v>#DIV/0!</v>
      </c>
      <c r="O111" s="87" t="e">
        <f t="shared" si="221"/>
        <v>#DIV/0!</v>
      </c>
      <c r="P111" s="87" t="e">
        <f t="shared" si="221"/>
        <v>#DIV/0!</v>
      </c>
      <c r="Q111" s="87" t="e">
        <f t="shared" si="221"/>
        <v>#DIV/0!</v>
      </c>
      <c r="R111" s="87" t="e">
        <f t="shared" si="221"/>
        <v>#DIV/0!</v>
      </c>
      <c r="S111" s="87" t="e">
        <f t="shared" si="221"/>
        <v>#DIV/0!</v>
      </c>
      <c r="T111" s="87" t="e">
        <f t="shared" si="221"/>
        <v>#DIV/0!</v>
      </c>
      <c r="U111" s="87" t="e">
        <f t="shared" si="221"/>
        <v>#DIV/0!</v>
      </c>
      <c r="V111" s="87" t="e">
        <f t="shared" si="221"/>
        <v>#DIV/0!</v>
      </c>
      <c r="W111" s="87" t="e">
        <f t="shared" si="221"/>
        <v>#DIV/0!</v>
      </c>
      <c r="X111" s="87" t="e">
        <f t="shared" si="221"/>
        <v>#DIV/0!</v>
      </c>
      <c r="Y111" s="87" t="e">
        <f t="shared" si="221"/>
        <v>#DIV/0!</v>
      </c>
      <c r="Z111" s="87" t="e">
        <f t="shared" si="221"/>
        <v>#DIV/0!</v>
      </c>
      <c r="AA111" s="87" t="e">
        <f t="shared" si="221"/>
        <v>#DIV/0!</v>
      </c>
      <c r="AB111" s="87" t="e">
        <f t="shared" si="221"/>
        <v>#DIV/0!</v>
      </c>
      <c r="AC111" s="87" t="e">
        <f t="shared" si="221"/>
        <v>#DIV/0!</v>
      </c>
      <c r="AD111" s="87" t="e">
        <f t="shared" si="221"/>
        <v>#DIV/0!</v>
      </c>
      <c r="AE111" s="153" t="s">
        <v>10</v>
      </c>
      <c r="AF111" s="82" t="e">
        <f t="shared" ref="AF111:AX111" si="222">AVERAGEIF($E$5:$E$41,$E111,AF$5:AF$41)</f>
        <v>#DIV/0!</v>
      </c>
      <c r="AG111" s="82" t="e">
        <f t="shared" si="222"/>
        <v>#DIV/0!</v>
      </c>
      <c r="AH111" s="82" t="e">
        <f t="shared" si="222"/>
        <v>#DIV/0!</v>
      </c>
      <c r="AI111" s="82" t="e">
        <f t="shared" si="222"/>
        <v>#DIV/0!</v>
      </c>
      <c r="AJ111" s="82" t="e">
        <f t="shared" si="222"/>
        <v>#DIV/0!</v>
      </c>
      <c r="AK111" s="82" t="e">
        <f t="shared" si="222"/>
        <v>#DIV/0!</v>
      </c>
      <c r="AL111" s="82" t="e">
        <f t="shared" si="222"/>
        <v>#DIV/0!</v>
      </c>
      <c r="AM111" s="82" t="e">
        <f t="shared" si="222"/>
        <v>#DIV/0!</v>
      </c>
      <c r="AN111" s="82" t="e">
        <f t="shared" si="222"/>
        <v>#DIV/0!</v>
      </c>
      <c r="AO111" s="82" t="e">
        <f t="shared" si="222"/>
        <v>#DIV/0!</v>
      </c>
      <c r="AP111" s="82" t="e">
        <f t="shared" si="222"/>
        <v>#DIV/0!</v>
      </c>
      <c r="AQ111" s="82" t="e">
        <f t="shared" si="222"/>
        <v>#DIV/0!</v>
      </c>
      <c r="AR111" s="82" t="e">
        <f t="shared" si="222"/>
        <v>#DIV/0!</v>
      </c>
      <c r="AS111" s="82" t="e">
        <f t="shared" si="222"/>
        <v>#DIV/0!</v>
      </c>
      <c r="AT111" s="82" t="e">
        <f t="shared" si="222"/>
        <v>#DIV/0!</v>
      </c>
      <c r="AU111" s="82" t="e">
        <f t="shared" si="222"/>
        <v>#DIV/0!</v>
      </c>
      <c r="AV111" s="82" t="e">
        <f t="shared" si="222"/>
        <v>#DIV/0!</v>
      </c>
      <c r="AW111" s="82" t="e">
        <f t="shared" si="222"/>
        <v>#DIV/0!</v>
      </c>
      <c r="AX111" s="82" t="e">
        <f t="shared" si="222"/>
        <v>#DIV/0!</v>
      </c>
      <c r="AY111" s="85"/>
    </row>
    <row r="112" spans="1:51" ht="14.25" customHeight="1">
      <c r="A112" s="129"/>
      <c r="E112" s="104"/>
      <c r="H112" s="104"/>
      <c r="I112" s="120" t="e">
        <f t="array" ref="I112">_xlfn.STDEV.P(IF($E$5:$E$41=$E111,I$5:I$41))</f>
        <v>#DIV/0!</v>
      </c>
      <c r="J112" s="120"/>
      <c r="K112" s="117" t="s">
        <v>12</v>
      </c>
      <c r="L112" s="90" t="e">
        <f t="array" ref="L112">_xlfn.STDEV.P(IF($E$5:$E$41=$E111,L$5:L$41))</f>
        <v>#DIV/0!</v>
      </c>
      <c r="M112" s="90" t="e">
        <f t="array" ref="M112">_xlfn.STDEV.P(IF($E$5:$E$41=$E111,M$5:M$41))</f>
        <v>#DIV/0!</v>
      </c>
      <c r="N112" s="90" t="e">
        <f t="array" ref="N112">_xlfn.STDEV.P(IF($E$5:$E$41=$E111,N$5:N$41))</f>
        <v>#DIV/0!</v>
      </c>
      <c r="O112" s="90" t="e">
        <f t="array" ref="O112">_xlfn.STDEV.P(IF($E$5:$E$41=$E111,O$5:O$41))</f>
        <v>#DIV/0!</v>
      </c>
      <c r="P112" s="90" t="e">
        <f t="array" ref="P112">_xlfn.STDEV.P(IF($E$5:$E$41=$E111,P$5:P$41))</f>
        <v>#DIV/0!</v>
      </c>
      <c r="Q112" s="90" t="e">
        <f t="array" ref="Q112">_xlfn.STDEV.P(IF($E$5:$E$41=$E111,Q$5:Q$41))</f>
        <v>#DIV/0!</v>
      </c>
      <c r="R112" s="90" t="e">
        <f t="array" ref="R112">_xlfn.STDEV.P(IF($E$5:$E$41=$E111,R$5:R$41))</f>
        <v>#DIV/0!</v>
      </c>
      <c r="S112" s="90" t="e">
        <f t="array" ref="S112">_xlfn.STDEV.P(IF($E$5:$E$41=$E111,S$5:S$41))</f>
        <v>#DIV/0!</v>
      </c>
      <c r="T112" s="90" t="e">
        <f t="array" ref="T112">_xlfn.STDEV.P(IF($E$5:$E$41=$E111,T$5:T$41))</f>
        <v>#DIV/0!</v>
      </c>
      <c r="U112" s="90" t="e">
        <f t="array" ref="U112">_xlfn.STDEV.P(IF($E$5:$E$41=$E111,U$5:U$41))</f>
        <v>#DIV/0!</v>
      </c>
      <c r="V112" s="90" t="e">
        <f t="array" ref="V112">_xlfn.STDEV.P(IF($E$5:$E$41=$E111,V$5:V$41))</f>
        <v>#DIV/0!</v>
      </c>
      <c r="W112" s="90" t="e">
        <f t="array" ref="W112">_xlfn.STDEV.P(IF($E$5:$E$41=$E111,W$5:W$41))</f>
        <v>#DIV/0!</v>
      </c>
      <c r="X112" s="90" t="e">
        <f t="array" ref="X112">_xlfn.STDEV.P(IF($E$5:$E$41=$E111,X$5:X$41))</f>
        <v>#DIV/0!</v>
      </c>
      <c r="Y112" s="90" t="e">
        <f t="array" ref="Y112">_xlfn.STDEV.P(IF($E$5:$E$41=$E111,Y$5:Y$41))</f>
        <v>#DIV/0!</v>
      </c>
      <c r="Z112" s="90" t="e">
        <f t="array" ref="Z112">_xlfn.STDEV.P(IF($E$5:$E$41=$E111,Z$5:Z$41))</f>
        <v>#DIV/0!</v>
      </c>
      <c r="AA112" s="90" t="e">
        <f t="array" ref="AA112">_xlfn.STDEV.P(IF($E$5:$E$41=$E111,AA$5:AA$41))</f>
        <v>#DIV/0!</v>
      </c>
      <c r="AB112" s="90" t="e">
        <f t="array" ref="AB112">_xlfn.STDEV.P(IF($E$5:$E$41=$E111,AB$5:AB$41))</f>
        <v>#DIV/0!</v>
      </c>
      <c r="AC112" s="90" t="e">
        <f t="array" ref="AC112">_xlfn.STDEV.P(IF($E$5:$E$41=$E111,AC$5:AC$41))</f>
        <v>#DIV/0!</v>
      </c>
      <c r="AD112" s="90" t="e">
        <f t="array" ref="AD112">_xlfn.STDEV.P(IF($E$5:$E$41=$E111,AD$5:AD$41))</f>
        <v>#DIV/0!</v>
      </c>
      <c r="AE112" s="154" t="s">
        <v>12</v>
      </c>
      <c r="AF112" s="83" t="e">
        <f t="array" ref="AF112">_xlfn.STDEV.P(IF($E$5:$E$41=$E111,AF$5:AF$41))</f>
        <v>#DIV/0!</v>
      </c>
      <c r="AG112" s="83" t="e">
        <f t="array" ref="AG112">_xlfn.STDEV.P(IF($E$5:$E$41=$E111,AG$5:AG$41))</f>
        <v>#DIV/0!</v>
      </c>
      <c r="AH112" s="83" t="e">
        <f t="array" ref="AH112">_xlfn.STDEV.P(IF($E$5:$E$41=$E111,AH$5:AH$41))</f>
        <v>#DIV/0!</v>
      </c>
      <c r="AI112" s="83" t="e">
        <f t="array" ref="AI112">_xlfn.STDEV.P(IF($E$5:$E$41=$E111,AI$5:AI$41))</f>
        <v>#DIV/0!</v>
      </c>
      <c r="AJ112" s="83" t="e">
        <f t="array" ref="AJ112">_xlfn.STDEV.P(IF($E$5:$E$41=$E111,AJ$5:AJ$41))</f>
        <v>#DIV/0!</v>
      </c>
      <c r="AK112" s="83" t="e">
        <f t="array" ref="AK112">_xlfn.STDEV.P(IF($E$5:$E$41=$E111,AK$5:AK$41))</f>
        <v>#DIV/0!</v>
      </c>
      <c r="AL112" s="83" t="e">
        <f t="array" ref="AL112">_xlfn.STDEV.P(IF($E$5:$E$41=$E111,AL$5:AL$41))</f>
        <v>#DIV/0!</v>
      </c>
      <c r="AM112" s="83" t="e">
        <f t="array" ref="AM112">_xlfn.STDEV.P(IF($E$5:$E$41=$E111,AM$5:AM$41))</f>
        <v>#DIV/0!</v>
      </c>
      <c r="AN112" s="83" t="e">
        <f t="array" ref="AN112">_xlfn.STDEV.P(IF($E$5:$E$41=$E111,AN$5:AN$41))</f>
        <v>#DIV/0!</v>
      </c>
      <c r="AO112" s="83" t="e">
        <f t="array" ref="AO112">_xlfn.STDEV.P(IF($E$5:$E$41=$E111,AO$5:AO$41))</f>
        <v>#DIV/0!</v>
      </c>
      <c r="AP112" s="83" t="e">
        <f t="array" ref="AP112">_xlfn.STDEV.P(IF($E$5:$E$41=$E111,AP$5:AP$41))</f>
        <v>#DIV/0!</v>
      </c>
      <c r="AQ112" s="83" t="e">
        <f t="array" ref="AQ112">_xlfn.STDEV.P(IF($E$5:$E$41=$E111,AQ$5:AQ$41))</f>
        <v>#DIV/0!</v>
      </c>
      <c r="AR112" s="83" t="e">
        <f t="array" ref="AR112">_xlfn.STDEV.P(IF($E$5:$E$41=$E111,AR$5:AR$41))</f>
        <v>#DIV/0!</v>
      </c>
      <c r="AS112" s="83" t="e">
        <f t="array" ref="AS112">_xlfn.STDEV.P(IF($E$5:$E$41=$E111,AS$5:AS$41))</f>
        <v>#DIV/0!</v>
      </c>
      <c r="AT112" s="83" t="e">
        <f t="array" ref="AT112">_xlfn.STDEV.P(IF($E$5:$E$41=$E111,AT$5:AT$41))</f>
        <v>#DIV/0!</v>
      </c>
      <c r="AU112" s="83" t="e">
        <f t="array" ref="AU112">_xlfn.STDEV.P(IF($E$5:$E$41=$E111,AU$5:AU$41))</f>
        <v>#DIV/0!</v>
      </c>
      <c r="AV112" s="83" t="e">
        <f t="array" ref="AV112">_xlfn.STDEV.P(IF($E$5:$E$41=$E111,AV$5:AV$41))</f>
        <v>#DIV/0!</v>
      </c>
      <c r="AW112" s="83" t="e">
        <f t="array" ref="AW112">_xlfn.STDEV.P(IF($E$5:$E$41=$E111,AW$5:AW$41))</f>
        <v>#DIV/0!</v>
      </c>
      <c r="AX112" s="83" t="e">
        <f t="array" ref="AX112">_xlfn.STDEV.P(IF($E$5:$E$41=$E111,AX$5:AX$41))</f>
        <v>#DIV/0!</v>
      </c>
      <c r="AY112" s="85"/>
    </row>
    <row r="113" spans="1:51" ht="14.25" customHeight="1">
      <c r="A113" s="129"/>
      <c r="E113" s="104"/>
      <c r="H113" s="104"/>
      <c r="I113" s="120"/>
      <c r="J113" s="120"/>
      <c r="K113" s="148" t="s">
        <v>43</v>
      </c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148" t="s">
        <v>43</v>
      </c>
      <c r="AF113" s="82" t="e">
        <f>AF111-AF$43</f>
        <v>#DIV/0!</v>
      </c>
      <c r="AG113" s="82" t="e">
        <f>AG111-AG$43</f>
        <v>#DIV/0!</v>
      </c>
      <c r="AH113" s="82" t="e">
        <f t="shared" ref="AH113:AX113" si="223">AH111-AH$43</f>
        <v>#DIV/0!</v>
      </c>
      <c r="AI113" s="82" t="e">
        <f t="shared" si="223"/>
        <v>#DIV/0!</v>
      </c>
      <c r="AJ113" s="82" t="e">
        <f t="shared" si="223"/>
        <v>#DIV/0!</v>
      </c>
      <c r="AK113" s="82" t="e">
        <f t="shared" si="223"/>
        <v>#DIV/0!</v>
      </c>
      <c r="AL113" s="82" t="e">
        <f t="shared" si="223"/>
        <v>#DIV/0!</v>
      </c>
      <c r="AM113" s="82" t="e">
        <f t="shared" si="223"/>
        <v>#DIV/0!</v>
      </c>
      <c r="AN113" s="82" t="e">
        <f t="shared" si="223"/>
        <v>#DIV/0!</v>
      </c>
      <c r="AO113" s="82" t="e">
        <f t="shared" si="223"/>
        <v>#DIV/0!</v>
      </c>
      <c r="AP113" s="82" t="e">
        <f t="shared" si="223"/>
        <v>#DIV/0!</v>
      </c>
      <c r="AQ113" s="82" t="e">
        <f t="shared" si="223"/>
        <v>#DIV/0!</v>
      </c>
      <c r="AR113" s="82" t="e">
        <f t="shared" si="223"/>
        <v>#DIV/0!</v>
      </c>
      <c r="AS113" s="82" t="e">
        <f t="shared" si="223"/>
        <v>#DIV/0!</v>
      </c>
      <c r="AT113" s="82" t="e">
        <f t="shared" si="223"/>
        <v>#DIV/0!</v>
      </c>
      <c r="AU113" s="82" t="e">
        <f t="shared" si="223"/>
        <v>#DIV/0!</v>
      </c>
      <c r="AV113" s="82" t="e">
        <f t="shared" si="223"/>
        <v>#DIV/0!</v>
      </c>
      <c r="AW113" s="82" t="e">
        <f t="shared" si="223"/>
        <v>#DIV/0!</v>
      </c>
      <c r="AX113" s="173" t="e">
        <f t="shared" si="223"/>
        <v>#DIV/0!</v>
      </c>
      <c r="AY113" s="147"/>
    </row>
    <row r="114" spans="1:51" ht="14.25" customHeight="1">
      <c r="A114" s="129"/>
      <c r="E114" s="104"/>
      <c r="H114" s="104"/>
      <c r="I114" s="120"/>
      <c r="J114" s="120"/>
      <c r="K114" s="116" t="s">
        <v>63</v>
      </c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116" t="s">
        <v>63</v>
      </c>
      <c r="AF114" s="82"/>
      <c r="AG114" s="82" t="e">
        <f>AF111*EXP((AG$4-AF$4)*-LN(2)/8.091)</f>
        <v>#DIV/0!</v>
      </c>
      <c r="AH114" s="82" t="e">
        <f>AG111*EXP((AH$4-AG$4)*-LN(2)/8.091)</f>
        <v>#DIV/0!</v>
      </c>
      <c r="AI114" s="82" t="e">
        <f t="shared" ref="AI114:AX114" si="224">AH111*EXP((AI$4-AH$4)*-LN(2)/8.091)</f>
        <v>#DIV/0!</v>
      </c>
      <c r="AJ114" s="82" t="e">
        <f t="shared" si="224"/>
        <v>#DIV/0!</v>
      </c>
      <c r="AK114" s="82" t="e">
        <f t="shared" si="224"/>
        <v>#DIV/0!</v>
      </c>
      <c r="AL114" s="82" t="e">
        <f t="shared" si="224"/>
        <v>#DIV/0!</v>
      </c>
      <c r="AM114" s="82" t="e">
        <f t="shared" si="224"/>
        <v>#DIV/0!</v>
      </c>
      <c r="AN114" s="82" t="e">
        <f t="shared" si="224"/>
        <v>#DIV/0!</v>
      </c>
      <c r="AO114" s="82" t="e">
        <f t="shared" si="224"/>
        <v>#DIV/0!</v>
      </c>
      <c r="AP114" s="82" t="e">
        <f t="shared" si="224"/>
        <v>#DIV/0!</v>
      </c>
      <c r="AQ114" s="82" t="e">
        <f t="shared" si="224"/>
        <v>#DIV/0!</v>
      </c>
      <c r="AR114" s="82" t="e">
        <f t="shared" si="224"/>
        <v>#DIV/0!</v>
      </c>
      <c r="AS114" s="82" t="e">
        <f t="shared" si="224"/>
        <v>#DIV/0!</v>
      </c>
      <c r="AT114" s="82" t="e">
        <f t="shared" si="224"/>
        <v>#DIV/0!</v>
      </c>
      <c r="AU114" s="82" t="e">
        <f t="shared" si="224"/>
        <v>#DIV/0!</v>
      </c>
      <c r="AV114" s="82" t="e">
        <f t="shared" si="224"/>
        <v>#DIV/0!</v>
      </c>
      <c r="AW114" s="82" t="e">
        <f t="shared" si="224"/>
        <v>#DIV/0!</v>
      </c>
      <c r="AX114" s="173" t="e">
        <f t="shared" si="224"/>
        <v>#DIV/0!</v>
      </c>
      <c r="AY114" s="147"/>
    </row>
    <row r="115" spans="1:51" ht="14.25" customHeight="1">
      <c r="A115" s="129"/>
      <c r="E115" s="104"/>
      <c r="H115" s="104"/>
      <c r="I115" s="120"/>
      <c r="J115" s="120"/>
      <c r="K115" s="116" t="s">
        <v>44</v>
      </c>
      <c r="L115" s="89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116" t="s">
        <v>44</v>
      </c>
      <c r="AF115" s="174"/>
      <c r="AG115" s="83" t="e">
        <f>AG111-AG114</f>
        <v>#DIV/0!</v>
      </c>
      <c r="AH115" s="83" t="e">
        <f>AH111-AH114</f>
        <v>#DIV/0!</v>
      </c>
      <c r="AI115" s="83" t="e">
        <f t="shared" ref="AI115" si="225">AI111-AI114</f>
        <v>#DIV/0!</v>
      </c>
      <c r="AJ115" s="83" t="e">
        <f t="shared" ref="AJ115" si="226">AJ111-AJ114</f>
        <v>#DIV/0!</v>
      </c>
      <c r="AK115" s="83" t="e">
        <f t="shared" ref="AK115" si="227">AK111-AK114</f>
        <v>#DIV/0!</v>
      </c>
      <c r="AL115" s="83" t="e">
        <f t="shared" ref="AL115" si="228">AL111-AL114</f>
        <v>#DIV/0!</v>
      </c>
      <c r="AM115" s="83" t="e">
        <f t="shared" ref="AM115" si="229">AM111-AM114</f>
        <v>#DIV/0!</v>
      </c>
      <c r="AN115" s="83" t="e">
        <f t="shared" ref="AN115" si="230">AN111-AN114</f>
        <v>#DIV/0!</v>
      </c>
      <c r="AO115" s="83" t="e">
        <f t="shared" ref="AO115" si="231">AO111-AO114</f>
        <v>#DIV/0!</v>
      </c>
      <c r="AP115" s="83" t="e">
        <f t="shared" ref="AP115" si="232">AP111-AP114</f>
        <v>#DIV/0!</v>
      </c>
      <c r="AQ115" s="83" t="e">
        <f t="shared" ref="AQ115" si="233">AQ111-AQ114</f>
        <v>#DIV/0!</v>
      </c>
      <c r="AR115" s="83" t="e">
        <f t="shared" ref="AR115" si="234">AR111-AR114</f>
        <v>#DIV/0!</v>
      </c>
      <c r="AS115" s="83" t="e">
        <f t="shared" ref="AS115" si="235">AS111-AS114</f>
        <v>#DIV/0!</v>
      </c>
      <c r="AT115" s="83" t="e">
        <f t="shared" ref="AT115" si="236">AT111-AT114</f>
        <v>#DIV/0!</v>
      </c>
      <c r="AU115" s="83" t="e">
        <f t="shared" ref="AU115" si="237">AU111-AU114</f>
        <v>#DIV/0!</v>
      </c>
      <c r="AV115" s="83" t="e">
        <f t="shared" ref="AV115" si="238">AV111-AV114</f>
        <v>#DIV/0!</v>
      </c>
      <c r="AW115" s="83" t="e">
        <f t="shared" ref="AW115" si="239">AW111-AW114</f>
        <v>#DIV/0!</v>
      </c>
      <c r="AX115" s="175" t="e">
        <f t="shared" ref="AX115" si="240">AX111-AX114</f>
        <v>#DIV/0!</v>
      </c>
      <c r="AY115" s="147"/>
    </row>
    <row r="116" spans="1:51" ht="14.25" customHeight="1">
      <c r="A116" s="129"/>
      <c r="E116" s="104"/>
      <c r="H116" s="104"/>
      <c r="I116" s="120"/>
      <c r="J116" s="120"/>
      <c r="K116" s="116" t="s">
        <v>64</v>
      </c>
      <c r="L116" s="89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116" t="s">
        <v>64</v>
      </c>
      <c r="AF116" s="174" t="e">
        <f>AF111/AF$43</f>
        <v>#DIV/0!</v>
      </c>
      <c r="AG116" s="83" t="e">
        <f>AG111/AG$43</f>
        <v>#DIV/0!</v>
      </c>
      <c r="AH116" s="83" t="e">
        <f>AH111/AH$43</f>
        <v>#DIV/0!</v>
      </c>
      <c r="AI116" s="83" t="e">
        <f t="shared" ref="AI116:AX116" si="241">AI111/AI$43</f>
        <v>#DIV/0!</v>
      </c>
      <c r="AJ116" s="83" t="e">
        <f t="shared" si="241"/>
        <v>#DIV/0!</v>
      </c>
      <c r="AK116" s="83" t="e">
        <f t="shared" si="241"/>
        <v>#DIV/0!</v>
      </c>
      <c r="AL116" s="83" t="e">
        <f t="shared" si="241"/>
        <v>#DIV/0!</v>
      </c>
      <c r="AM116" s="83" t="e">
        <f t="shared" si="241"/>
        <v>#DIV/0!</v>
      </c>
      <c r="AN116" s="83" t="e">
        <f t="shared" si="241"/>
        <v>#DIV/0!</v>
      </c>
      <c r="AO116" s="83" t="e">
        <f t="shared" si="241"/>
        <v>#DIV/0!</v>
      </c>
      <c r="AP116" s="83" t="e">
        <f t="shared" si="241"/>
        <v>#DIV/0!</v>
      </c>
      <c r="AQ116" s="83" t="e">
        <f t="shared" si="241"/>
        <v>#DIV/0!</v>
      </c>
      <c r="AR116" s="83" t="e">
        <f t="shared" si="241"/>
        <v>#DIV/0!</v>
      </c>
      <c r="AS116" s="83" t="e">
        <f t="shared" si="241"/>
        <v>#DIV/0!</v>
      </c>
      <c r="AT116" s="83" t="e">
        <f t="shared" si="241"/>
        <v>#DIV/0!</v>
      </c>
      <c r="AU116" s="83" t="e">
        <f t="shared" si="241"/>
        <v>#DIV/0!</v>
      </c>
      <c r="AV116" s="83" t="e">
        <f t="shared" si="241"/>
        <v>#DIV/0!</v>
      </c>
      <c r="AW116" s="83" t="e">
        <f t="shared" si="241"/>
        <v>#DIV/0!</v>
      </c>
      <c r="AX116" s="175" t="e">
        <f t="shared" si="241"/>
        <v>#DIV/0!</v>
      </c>
      <c r="AY116" s="147"/>
    </row>
    <row r="117" spans="1:51" ht="15">
      <c r="A117" s="129"/>
      <c r="E117" s="58"/>
      <c r="H117" s="58"/>
      <c r="K117" s="150"/>
      <c r="AE117" s="149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176"/>
    </row>
  </sheetData>
  <autoFilter ref="A4:AX41" xr:uid="{00000000-0009-0000-0000-000002000000}">
    <sortState xmlns:xlrd2="http://schemas.microsoft.com/office/spreadsheetml/2017/richdata2" ref="A5:AX41">
      <sortCondition ref="B4:B41"/>
    </sortState>
  </autoFilter>
  <mergeCells count="4">
    <mergeCell ref="F2:G3"/>
    <mergeCell ref="H2:I3"/>
    <mergeCell ref="H45:H46"/>
    <mergeCell ref="H43:K43"/>
  </mergeCells>
  <dataValidations count="1">
    <dataValidation type="list" allowBlank="1" showInputMessage="1" showErrorMessage="1" sqref="E5:E41" xr:uid="{00000000-0002-0000-0200-000000000000}">
      <formula1>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'RAD_DOSE Groups'!$C$6:$C$21</xm:f>
          </x14:formula1>
          <xm:sqref>E48:E117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110"/>
  <sheetViews>
    <sheetView showGridLines="0" workbookViewId="0">
      <pane xSplit="8" ySplit="4" topLeftCell="I5" activePane="bottomRight" state="frozen"/>
      <selection pane="topRight" activeCell="I1" sqref="I1"/>
      <selection pane="bottomLeft" activeCell="A5" sqref="A5"/>
      <selection pane="bottomRight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19" style="50" hidden="1" customWidth="1" outlineLevel="1"/>
    <col min="5" max="5" width="17.5703125" style="59" customWidth="1" collapsed="1"/>
    <col min="6" max="6" width="12.7109375" style="62" customWidth="1"/>
    <col min="7" max="7" width="12.7109375" style="63" hidden="1" customWidth="1" outlineLevel="1"/>
    <col min="8" max="8" width="12.85546875" style="62" customWidth="1" collapsed="1"/>
    <col min="9" max="9" width="11.85546875" style="50" customWidth="1"/>
    <col min="10" max="11" width="8.5703125" style="50" customWidth="1"/>
    <col min="12" max="47" width="8.5703125" style="50" customWidth="1" outlineLevel="1"/>
    <col min="48" max="16384" width="9.140625" style="59"/>
  </cols>
  <sheetData>
    <row r="1" spans="1:48" s="7" customFormat="1" ht="28.5">
      <c r="A1" s="6" t="s">
        <v>98</v>
      </c>
      <c r="C1" s="8"/>
      <c r="D1" s="9"/>
      <c r="F1" s="10"/>
      <c r="G1" s="11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8" s="56" customFormat="1" ht="15.75" customHeight="1">
      <c r="A2" s="155" t="s">
        <v>45</v>
      </c>
      <c r="B2" s="14"/>
      <c r="C2" s="15"/>
      <c r="D2" s="14"/>
      <c r="E2" s="16"/>
      <c r="F2" s="275" t="s">
        <v>14</v>
      </c>
      <c r="G2" s="276"/>
      <c r="H2" s="275" t="s">
        <v>0</v>
      </c>
      <c r="I2" s="17"/>
      <c r="J2" s="155" t="s">
        <v>46</v>
      </c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7"/>
      <c r="AV2" s="55"/>
    </row>
    <row r="3" spans="1:48" s="72" customFormat="1" ht="15.75">
      <c r="A3" s="65"/>
      <c r="B3" s="66"/>
      <c r="C3" s="67"/>
      <c r="D3" s="66"/>
      <c r="E3" s="68"/>
      <c r="F3" s="275"/>
      <c r="G3" s="276"/>
      <c r="H3" s="275"/>
      <c r="I3" s="69" t="s">
        <v>15</v>
      </c>
      <c r="J3" s="108">
        <v>42350</v>
      </c>
      <c r="K3" s="108">
        <v>42351</v>
      </c>
      <c r="L3" s="108">
        <v>42352</v>
      </c>
      <c r="M3" s="108">
        <v>42353</v>
      </c>
      <c r="N3" s="108">
        <v>42355</v>
      </c>
      <c r="O3" s="108">
        <v>42356</v>
      </c>
      <c r="P3" s="108">
        <v>42358</v>
      </c>
      <c r="Q3" s="108">
        <v>42360</v>
      </c>
      <c r="R3" s="108">
        <v>42365</v>
      </c>
      <c r="S3" s="108">
        <v>42369</v>
      </c>
      <c r="T3" s="108">
        <v>42371</v>
      </c>
      <c r="U3" s="108">
        <v>42373</v>
      </c>
      <c r="V3" s="108">
        <v>42374</v>
      </c>
      <c r="W3" s="108">
        <v>42376</v>
      </c>
      <c r="X3" s="108">
        <v>42379</v>
      </c>
      <c r="Y3" s="108">
        <v>42381</v>
      </c>
      <c r="Z3" s="108">
        <v>42383</v>
      </c>
      <c r="AA3" s="108">
        <v>42386</v>
      </c>
      <c r="AB3" s="108">
        <v>42389</v>
      </c>
      <c r="AC3" s="108">
        <v>42393</v>
      </c>
      <c r="AD3" s="108">
        <v>42395</v>
      </c>
      <c r="AE3" s="108">
        <v>42396</v>
      </c>
      <c r="AF3" s="108">
        <v>42398</v>
      </c>
      <c r="AG3" s="108">
        <v>42401</v>
      </c>
      <c r="AH3" s="108">
        <v>42403</v>
      </c>
      <c r="AI3" s="108">
        <v>42406</v>
      </c>
      <c r="AJ3" s="108">
        <v>42409</v>
      </c>
      <c r="AK3" s="108">
        <v>42412</v>
      </c>
      <c r="AL3" s="108">
        <v>42415</v>
      </c>
      <c r="AM3" s="108">
        <v>42420</v>
      </c>
      <c r="AN3" s="108">
        <v>42423</v>
      </c>
      <c r="AO3" s="108">
        <v>42425</v>
      </c>
      <c r="AP3" s="108">
        <v>42431</v>
      </c>
      <c r="AQ3" s="108">
        <v>42433</v>
      </c>
      <c r="AR3" s="108">
        <v>42437</v>
      </c>
      <c r="AS3" s="108">
        <v>42441</v>
      </c>
      <c r="AT3" s="108">
        <v>42444</v>
      </c>
      <c r="AU3" s="108"/>
      <c r="AV3" s="71"/>
    </row>
    <row r="4" spans="1:48" s="58" customFormat="1" ht="15.75" customHeight="1">
      <c r="A4" s="18" t="s">
        <v>6</v>
      </c>
      <c r="B4" s="19" t="s">
        <v>7</v>
      </c>
      <c r="C4" s="20" t="s">
        <v>8</v>
      </c>
      <c r="D4" s="18" t="s">
        <v>17</v>
      </c>
      <c r="E4" s="21" t="s">
        <v>11</v>
      </c>
      <c r="F4" s="22" t="s">
        <v>1</v>
      </c>
      <c r="G4" s="23" t="s">
        <v>2</v>
      </c>
      <c r="H4" s="22" t="s">
        <v>1</v>
      </c>
      <c r="I4" s="25" t="s">
        <v>9</v>
      </c>
      <c r="J4" s="19">
        <f>J3-$H5</f>
        <v>0</v>
      </c>
      <c r="K4" s="19">
        <f>K3-$H5</f>
        <v>1</v>
      </c>
      <c r="L4" s="19">
        <f>L3-$H5</f>
        <v>2</v>
      </c>
      <c r="M4" s="19">
        <f t="shared" ref="M4:AU4" si="0">M3-$H5</f>
        <v>3</v>
      </c>
      <c r="N4" s="19">
        <f t="shared" si="0"/>
        <v>5</v>
      </c>
      <c r="O4" s="19">
        <f t="shared" ref="O4:S4" si="1">O3-$H5</f>
        <v>6</v>
      </c>
      <c r="P4" s="19">
        <f t="shared" si="1"/>
        <v>8</v>
      </c>
      <c r="Q4" s="19">
        <f t="shared" si="1"/>
        <v>10</v>
      </c>
      <c r="R4" s="19">
        <f t="shared" si="1"/>
        <v>15</v>
      </c>
      <c r="S4" s="19">
        <f t="shared" si="1"/>
        <v>19</v>
      </c>
      <c r="T4" s="19">
        <f t="shared" si="0"/>
        <v>21</v>
      </c>
      <c r="U4" s="19">
        <f t="shared" si="0"/>
        <v>23</v>
      </c>
      <c r="V4" s="19">
        <f t="shared" si="0"/>
        <v>24</v>
      </c>
      <c r="W4" s="19">
        <f t="shared" si="0"/>
        <v>26</v>
      </c>
      <c r="X4" s="19">
        <f t="shared" si="0"/>
        <v>29</v>
      </c>
      <c r="Y4" s="19">
        <f t="shared" si="0"/>
        <v>31</v>
      </c>
      <c r="Z4" s="19">
        <f t="shared" si="0"/>
        <v>33</v>
      </c>
      <c r="AA4" s="19">
        <f t="shared" si="0"/>
        <v>36</v>
      </c>
      <c r="AB4" s="19">
        <f t="shared" ref="AB4:AF4" si="2">AB3-$H5</f>
        <v>39</v>
      </c>
      <c r="AC4" s="19">
        <f t="shared" si="2"/>
        <v>43</v>
      </c>
      <c r="AD4" s="19">
        <f t="shared" si="2"/>
        <v>45</v>
      </c>
      <c r="AE4" s="19">
        <f t="shared" si="2"/>
        <v>46</v>
      </c>
      <c r="AF4" s="19">
        <f t="shared" si="2"/>
        <v>48</v>
      </c>
      <c r="AG4" s="19">
        <f t="shared" si="0"/>
        <v>51</v>
      </c>
      <c r="AH4" s="19">
        <f t="shared" si="0"/>
        <v>53</v>
      </c>
      <c r="AI4" s="19">
        <f t="shared" si="0"/>
        <v>56</v>
      </c>
      <c r="AJ4" s="19">
        <f t="shared" si="0"/>
        <v>59</v>
      </c>
      <c r="AK4" s="19">
        <f t="shared" si="0"/>
        <v>62</v>
      </c>
      <c r="AL4" s="19">
        <f t="shared" si="0"/>
        <v>65</v>
      </c>
      <c r="AM4" s="19">
        <f t="shared" si="0"/>
        <v>70</v>
      </c>
      <c r="AN4" s="19">
        <f t="shared" si="0"/>
        <v>73</v>
      </c>
      <c r="AO4" s="19">
        <f t="shared" si="0"/>
        <v>75</v>
      </c>
      <c r="AP4" s="19">
        <f t="shared" si="0"/>
        <v>81</v>
      </c>
      <c r="AQ4" s="19">
        <f t="shared" si="0"/>
        <v>83</v>
      </c>
      <c r="AR4" s="19">
        <f t="shared" si="0"/>
        <v>87</v>
      </c>
      <c r="AS4" s="19">
        <f t="shared" si="0"/>
        <v>91</v>
      </c>
      <c r="AT4" s="19">
        <f t="shared" si="0"/>
        <v>94</v>
      </c>
      <c r="AU4" s="19">
        <f t="shared" si="0"/>
        <v>-42350</v>
      </c>
      <c r="AV4" s="57"/>
    </row>
    <row r="5" spans="1:48">
      <c r="A5" s="27">
        <v>961157</v>
      </c>
      <c r="B5" s="28">
        <v>11</v>
      </c>
      <c r="C5" s="29" t="str">
        <f t="shared" ref="C5:C25" si="3">CONCATENATE(A5,"-",B5)</f>
        <v>961157-11</v>
      </c>
      <c r="D5" s="28" t="s">
        <v>26</v>
      </c>
      <c r="E5" s="30" t="s">
        <v>50</v>
      </c>
      <c r="F5" s="31">
        <v>42340</v>
      </c>
      <c r="G5" s="32">
        <v>24.9</v>
      </c>
      <c r="H5" s="31">
        <v>42350</v>
      </c>
      <c r="I5" s="138"/>
      <c r="J5" s="87" t="s">
        <v>24</v>
      </c>
      <c r="K5" s="87" t="s">
        <v>24</v>
      </c>
      <c r="L5" s="87" t="s">
        <v>24</v>
      </c>
      <c r="M5" s="87" t="s">
        <v>24</v>
      </c>
      <c r="N5" s="87" t="s">
        <v>24</v>
      </c>
      <c r="O5" s="87" t="s">
        <v>24</v>
      </c>
      <c r="P5" s="87" t="s">
        <v>24</v>
      </c>
      <c r="Q5" s="87" t="s">
        <v>24</v>
      </c>
      <c r="R5" s="87" t="s">
        <v>24</v>
      </c>
      <c r="S5" s="87" t="s">
        <v>24</v>
      </c>
      <c r="T5" s="87" t="s">
        <v>24</v>
      </c>
      <c r="U5" s="87" t="s">
        <v>24</v>
      </c>
      <c r="V5" s="87" t="s">
        <v>24</v>
      </c>
      <c r="W5" s="87" t="s">
        <v>24</v>
      </c>
      <c r="X5" s="87" t="s">
        <v>24</v>
      </c>
      <c r="Y5" s="87" t="s">
        <v>24</v>
      </c>
      <c r="Z5" s="87" t="s">
        <v>24</v>
      </c>
      <c r="AA5" s="87" t="s">
        <v>24</v>
      </c>
      <c r="AB5" s="87" t="s">
        <v>24</v>
      </c>
      <c r="AC5" s="87" t="s">
        <v>24</v>
      </c>
      <c r="AD5" s="87" t="s">
        <v>24</v>
      </c>
      <c r="AE5" s="87" t="s">
        <v>24</v>
      </c>
      <c r="AF5" s="87" t="s">
        <v>24</v>
      </c>
      <c r="AG5" s="87" t="s">
        <v>24</v>
      </c>
      <c r="AH5" s="87" t="s">
        <v>70</v>
      </c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3"/>
    </row>
    <row r="6" spans="1:48">
      <c r="A6" s="27">
        <v>961157</v>
      </c>
      <c r="B6" s="1">
        <v>12</v>
      </c>
      <c r="C6" s="29" t="str">
        <f t="shared" si="3"/>
        <v>961157-12</v>
      </c>
      <c r="D6" s="28" t="s">
        <v>26</v>
      </c>
      <c r="E6" s="37" t="s">
        <v>48</v>
      </c>
      <c r="F6" s="31">
        <v>42340</v>
      </c>
      <c r="G6" s="38">
        <v>28.2</v>
      </c>
      <c r="H6" s="31">
        <v>42350</v>
      </c>
      <c r="I6" s="138"/>
      <c r="J6" s="87" t="s">
        <v>24</v>
      </c>
      <c r="K6" s="87" t="s">
        <v>24</v>
      </c>
      <c r="L6" s="87" t="s">
        <v>24</v>
      </c>
      <c r="M6" s="87" t="s">
        <v>24</v>
      </c>
      <c r="N6" s="87" t="s">
        <v>24</v>
      </c>
      <c r="O6" s="87" t="s">
        <v>24</v>
      </c>
      <c r="P6" s="87" t="s">
        <v>24</v>
      </c>
      <c r="Q6" s="87" t="s">
        <v>24</v>
      </c>
      <c r="R6" s="87" t="s">
        <v>24</v>
      </c>
      <c r="S6" s="87" t="s">
        <v>24</v>
      </c>
      <c r="T6" s="87" t="s">
        <v>24</v>
      </c>
      <c r="U6" s="87" t="s">
        <v>24</v>
      </c>
      <c r="V6" s="87" t="s">
        <v>24</v>
      </c>
      <c r="W6" s="87" t="s">
        <v>24</v>
      </c>
      <c r="X6" s="93" t="s">
        <v>24</v>
      </c>
      <c r="Y6" s="93" t="s">
        <v>24</v>
      </c>
      <c r="Z6" s="93" t="s">
        <v>24</v>
      </c>
      <c r="AA6" s="93" t="s">
        <v>24</v>
      </c>
      <c r="AB6" s="93" t="s">
        <v>70</v>
      </c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3"/>
    </row>
    <row r="7" spans="1:48">
      <c r="A7" s="27">
        <v>961157</v>
      </c>
      <c r="B7" s="1">
        <v>14</v>
      </c>
      <c r="C7" s="29" t="str">
        <f t="shared" si="3"/>
        <v>961157-14</v>
      </c>
      <c r="D7" s="28" t="s">
        <v>26</v>
      </c>
      <c r="E7" s="37" t="s">
        <v>48</v>
      </c>
      <c r="F7" s="31">
        <v>42340</v>
      </c>
      <c r="G7" s="38">
        <v>24.5</v>
      </c>
      <c r="H7" s="31">
        <v>42350</v>
      </c>
      <c r="I7" s="138"/>
      <c r="J7" s="87" t="s">
        <v>24</v>
      </c>
      <c r="K7" s="87" t="s">
        <v>24</v>
      </c>
      <c r="L7" s="87" t="s">
        <v>24</v>
      </c>
      <c r="M7" s="87" t="s">
        <v>24</v>
      </c>
      <c r="N7" s="87" t="s">
        <v>24</v>
      </c>
      <c r="O7" s="87" t="s">
        <v>24</v>
      </c>
      <c r="P7" s="87" t="s">
        <v>24</v>
      </c>
      <c r="Q7" s="87" t="s">
        <v>24</v>
      </c>
      <c r="R7" s="87" t="s">
        <v>24</v>
      </c>
      <c r="S7" s="87" t="s">
        <v>24</v>
      </c>
      <c r="T7" s="87" t="s">
        <v>24</v>
      </c>
      <c r="U7" s="87" t="s">
        <v>24</v>
      </c>
      <c r="V7" s="87" t="s">
        <v>24</v>
      </c>
      <c r="W7" s="87" t="s">
        <v>24</v>
      </c>
      <c r="X7" s="93" t="s">
        <v>24</v>
      </c>
      <c r="Y7" s="93" t="s">
        <v>70</v>
      </c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3"/>
    </row>
    <row r="8" spans="1:48">
      <c r="A8" s="27">
        <v>961157</v>
      </c>
      <c r="B8" s="1">
        <v>15</v>
      </c>
      <c r="C8" s="29" t="str">
        <f t="shared" si="3"/>
        <v>961157-15</v>
      </c>
      <c r="D8" s="28" t="s">
        <v>26</v>
      </c>
      <c r="E8" s="37" t="s">
        <v>49</v>
      </c>
      <c r="F8" s="31">
        <v>42340</v>
      </c>
      <c r="G8" s="38">
        <v>28.4</v>
      </c>
      <c r="H8" s="31">
        <v>42350</v>
      </c>
      <c r="I8" s="138"/>
      <c r="J8" s="87" t="s">
        <v>24</v>
      </c>
      <c r="K8" s="87" t="s">
        <v>24</v>
      </c>
      <c r="L8" s="87" t="s">
        <v>24</v>
      </c>
      <c r="M8" s="87" t="s">
        <v>24</v>
      </c>
      <c r="N8" s="87" t="s">
        <v>24</v>
      </c>
      <c r="O8" s="87" t="s">
        <v>24</v>
      </c>
      <c r="P8" s="87" t="s">
        <v>24</v>
      </c>
      <c r="Q8" s="87" t="s">
        <v>24</v>
      </c>
      <c r="R8" s="87" t="s">
        <v>24</v>
      </c>
      <c r="S8" s="87" t="s">
        <v>24</v>
      </c>
      <c r="T8" s="87" t="s">
        <v>24</v>
      </c>
      <c r="U8" s="87" t="s">
        <v>24</v>
      </c>
      <c r="V8" s="87" t="s">
        <v>24</v>
      </c>
      <c r="W8" s="93" t="s">
        <v>70</v>
      </c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3"/>
    </row>
    <row r="9" spans="1:48">
      <c r="A9" s="41">
        <v>961158</v>
      </c>
      <c r="B9" s="1">
        <v>23</v>
      </c>
      <c r="C9" s="29" t="str">
        <f t="shared" si="3"/>
        <v>961158-23</v>
      </c>
      <c r="D9" s="28" t="s">
        <v>26</v>
      </c>
      <c r="E9" s="37" t="s">
        <v>34</v>
      </c>
      <c r="F9" s="31">
        <v>42340</v>
      </c>
      <c r="G9" s="38">
        <v>23.8</v>
      </c>
      <c r="H9" s="31">
        <v>42350</v>
      </c>
      <c r="I9" s="138"/>
      <c r="J9" s="87" t="s">
        <v>24</v>
      </c>
      <c r="K9" s="87" t="s">
        <v>24</v>
      </c>
      <c r="L9" s="87" t="s">
        <v>24</v>
      </c>
      <c r="M9" s="87" t="s">
        <v>24</v>
      </c>
      <c r="N9" s="87" t="s">
        <v>24</v>
      </c>
      <c r="O9" s="87" t="s">
        <v>24</v>
      </c>
      <c r="P9" s="87" t="s">
        <v>24</v>
      </c>
      <c r="Q9" s="87" t="s">
        <v>24</v>
      </c>
      <c r="R9" s="87" t="s">
        <v>24</v>
      </c>
      <c r="S9" s="93" t="s">
        <v>70</v>
      </c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3"/>
    </row>
    <row r="10" spans="1:48">
      <c r="A10" s="41">
        <v>961158</v>
      </c>
      <c r="B10" s="1">
        <v>24</v>
      </c>
      <c r="C10" s="29" t="str">
        <f t="shared" si="3"/>
        <v>961158-24</v>
      </c>
      <c r="D10" s="28" t="s">
        <v>26</v>
      </c>
      <c r="E10" s="37" t="s">
        <v>47</v>
      </c>
      <c r="F10" s="31">
        <v>42340</v>
      </c>
      <c r="G10" s="38">
        <v>22.3</v>
      </c>
      <c r="H10" s="31">
        <v>42350</v>
      </c>
      <c r="I10" s="138"/>
      <c r="J10" s="87" t="s">
        <v>24</v>
      </c>
      <c r="K10" s="87" t="s">
        <v>24</v>
      </c>
      <c r="L10" s="87" t="s">
        <v>24</v>
      </c>
      <c r="M10" s="87" t="s">
        <v>24</v>
      </c>
      <c r="N10" s="87" t="s">
        <v>24</v>
      </c>
      <c r="O10" s="87" t="s">
        <v>24</v>
      </c>
      <c r="P10" s="87" t="s">
        <v>24</v>
      </c>
      <c r="Q10" s="87" t="s">
        <v>24</v>
      </c>
      <c r="R10" s="87" t="s">
        <v>24</v>
      </c>
      <c r="S10" s="87" t="s">
        <v>24</v>
      </c>
      <c r="T10" s="87" t="s">
        <v>24</v>
      </c>
      <c r="U10" s="93" t="s">
        <v>70</v>
      </c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3"/>
    </row>
    <row r="11" spans="1:48">
      <c r="A11" s="41">
        <v>961156</v>
      </c>
      <c r="B11" s="1">
        <v>31</v>
      </c>
      <c r="C11" s="29" t="str">
        <f t="shared" si="3"/>
        <v>961156-31</v>
      </c>
      <c r="D11" s="28" t="s">
        <v>26</v>
      </c>
      <c r="E11" s="37" t="s">
        <v>49</v>
      </c>
      <c r="F11" s="31">
        <v>42340</v>
      </c>
      <c r="G11" s="38">
        <v>22</v>
      </c>
      <c r="H11" s="31">
        <v>42350</v>
      </c>
      <c r="I11" s="138"/>
      <c r="J11" s="87" t="s">
        <v>24</v>
      </c>
      <c r="K11" s="87" t="s">
        <v>24</v>
      </c>
      <c r="L11" s="87" t="s">
        <v>24</v>
      </c>
      <c r="M11" s="87" t="s">
        <v>24</v>
      </c>
      <c r="N11" s="87" t="s">
        <v>24</v>
      </c>
      <c r="O11" s="87" t="s">
        <v>24</v>
      </c>
      <c r="P11" s="87" t="s">
        <v>24</v>
      </c>
      <c r="Q11" s="87" t="s">
        <v>24</v>
      </c>
      <c r="R11" s="87" t="s">
        <v>24</v>
      </c>
      <c r="S11" s="87" t="s">
        <v>24</v>
      </c>
      <c r="T11" s="87" t="s">
        <v>24</v>
      </c>
      <c r="U11" s="87" t="s">
        <v>24</v>
      </c>
      <c r="V11" s="87" t="s">
        <v>24</v>
      </c>
      <c r="W11" s="87" t="s">
        <v>24</v>
      </c>
      <c r="X11" s="93" t="s">
        <v>24</v>
      </c>
      <c r="Y11" s="93" t="s">
        <v>24</v>
      </c>
      <c r="Z11" s="93" t="s">
        <v>24</v>
      </c>
      <c r="AA11" s="93" t="s">
        <v>24</v>
      </c>
      <c r="AB11" s="93" t="s">
        <v>24</v>
      </c>
      <c r="AC11" s="93" t="s">
        <v>24</v>
      </c>
      <c r="AD11" s="93" t="s">
        <v>70</v>
      </c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3"/>
    </row>
    <row r="12" spans="1:48">
      <c r="A12" s="41">
        <v>961156</v>
      </c>
      <c r="B12" s="1">
        <v>34</v>
      </c>
      <c r="C12" s="29" t="str">
        <f t="shared" si="3"/>
        <v>961156-34</v>
      </c>
      <c r="D12" s="28" t="s">
        <v>26</v>
      </c>
      <c r="E12" s="37" t="s">
        <v>35</v>
      </c>
      <c r="F12" s="31">
        <v>42340</v>
      </c>
      <c r="G12" s="38">
        <v>23.2</v>
      </c>
      <c r="H12" s="31">
        <v>42350</v>
      </c>
      <c r="I12" s="138"/>
      <c r="J12" s="87" t="s">
        <v>24</v>
      </c>
      <c r="K12" s="87" t="s">
        <v>24</v>
      </c>
      <c r="L12" s="87" t="s">
        <v>24</v>
      </c>
      <c r="M12" s="87" t="s">
        <v>24</v>
      </c>
      <c r="N12" s="87" t="s">
        <v>24</v>
      </c>
      <c r="O12" s="87" t="s">
        <v>24</v>
      </c>
      <c r="P12" s="87" t="s">
        <v>24</v>
      </c>
      <c r="Q12" s="87" t="s">
        <v>24</v>
      </c>
      <c r="R12" s="87" t="s">
        <v>24</v>
      </c>
      <c r="S12" s="93" t="s">
        <v>70</v>
      </c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3"/>
    </row>
    <row r="13" spans="1:48">
      <c r="A13" s="41">
        <v>961160</v>
      </c>
      <c r="B13" s="1">
        <v>42</v>
      </c>
      <c r="C13" s="29" t="str">
        <f t="shared" si="3"/>
        <v>961160-42</v>
      </c>
      <c r="D13" s="28" t="s">
        <v>26</v>
      </c>
      <c r="E13" s="37" t="s">
        <v>47</v>
      </c>
      <c r="F13" s="31">
        <v>42340</v>
      </c>
      <c r="G13" s="38">
        <v>22.7</v>
      </c>
      <c r="H13" s="31">
        <v>42350</v>
      </c>
      <c r="I13" s="138"/>
      <c r="J13" s="87" t="s">
        <v>24</v>
      </c>
      <c r="K13" s="87" t="s">
        <v>24</v>
      </c>
      <c r="L13" s="87" t="s">
        <v>24</v>
      </c>
      <c r="M13" s="87" t="s">
        <v>24</v>
      </c>
      <c r="N13" s="87" t="s">
        <v>24</v>
      </c>
      <c r="O13" s="87" t="s">
        <v>24</v>
      </c>
      <c r="P13" s="87" t="s">
        <v>24</v>
      </c>
      <c r="Q13" s="87" t="s">
        <v>24</v>
      </c>
      <c r="R13" s="87" t="s">
        <v>24</v>
      </c>
      <c r="S13" s="87" t="s">
        <v>24</v>
      </c>
      <c r="T13" s="87" t="s">
        <v>24</v>
      </c>
      <c r="U13" s="87" t="s">
        <v>24</v>
      </c>
      <c r="V13" s="93" t="s">
        <v>70</v>
      </c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3"/>
    </row>
    <row r="14" spans="1:48">
      <c r="A14" s="41">
        <v>961160</v>
      </c>
      <c r="B14" s="1">
        <v>43</v>
      </c>
      <c r="C14" s="29" t="str">
        <f t="shared" si="3"/>
        <v>961160-43</v>
      </c>
      <c r="D14" s="28" t="s">
        <v>26</v>
      </c>
      <c r="E14" s="37" t="s">
        <v>47</v>
      </c>
      <c r="F14" s="31">
        <v>42340</v>
      </c>
      <c r="G14" s="38">
        <v>24.8</v>
      </c>
      <c r="H14" s="31">
        <v>42350</v>
      </c>
      <c r="I14" s="138"/>
      <c r="J14" s="87" t="s">
        <v>24</v>
      </c>
      <c r="K14" s="87" t="s">
        <v>24</v>
      </c>
      <c r="L14" s="87" t="s">
        <v>24</v>
      </c>
      <c r="M14" s="87" t="s">
        <v>24</v>
      </c>
      <c r="N14" s="87" t="s">
        <v>24</v>
      </c>
      <c r="O14" s="87" t="s">
        <v>24</v>
      </c>
      <c r="P14" s="87" t="s">
        <v>24</v>
      </c>
      <c r="Q14" s="87" t="s">
        <v>24</v>
      </c>
      <c r="R14" s="87" t="s">
        <v>24</v>
      </c>
      <c r="S14" s="87" t="s">
        <v>24</v>
      </c>
      <c r="T14" s="93" t="s">
        <v>70</v>
      </c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3"/>
    </row>
    <row r="15" spans="1:48">
      <c r="A15" s="41">
        <v>961160</v>
      </c>
      <c r="B15" s="1">
        <v>44</v>
      </c>
      <c r="C15" s="29" t="str">
        <f t="shared" si="3"/>
        <v>961160-44</v>
      </c>
      <c r="D15" s="28" t="s">
        <v>26</v>
      </c>
      <c r="E15" s="37" t="s">
        <v>52</v>
      </c>
      <c r="F15" s="31">
        <v>42340</v>
      </c>
      <c r="G15" s="38">
        <v>25.4</v>
      </c>
      <c r="H15" s="31">
        <v>42350</v>
      </c>
      <c r="I15" s="138"/>
      <c r="J15" s="87" t="s">
        <v>24</v>
      </c>
      <c r="K15" s="87" t="s">
        <v>24</v>
      </c>
      <c r="L15" s="87" t="s">
        <v>24</v>
      </c>
      <c r="M15" s="87" t="s">
        <v>24</v>
      </c>
      <c r="N15" s="87" t="s">
        <v>24</v>
      </c>
      <c r="O15" s="87" t="s">
        <v>24</v>
      </c>
      <c r="P15" s="87" t="s">
        <v>24</v>
      </c>
      <c r="Q15" s="87" t="s">
        <v>24</v>
      </c>
      <c r="R15" s="87" t="s">
        <v>24</v>
      </c>
      <c r="S15" s="87" t="s">
        <v>24</v>
      </c>
      <c r="T15" s="87" t="s">
        <v>24</v>
      </c>
      <c r="U15" s="87" t="s">
        <v>24</v>
      </c>
      <c r="V15" s="87" t="s">
        <v>24</v>
      </c>
      <c r="W15" s="87" t="s">
        <v>24</v>
      </c>
      <c r="X15" s="93" t="s">
        <v>24</v>
      </c>
      <c r="Y15" s="93" t="s">
        <v>24</v>
      </c>
      <c r="Z15" s="93" t="s">
        <v>24</v>
      </c>
      <c r="AA15" s="93" t="s">
        <v>24</v>
      </c>
      <c r="AB15" s="93" t="s">
        <v>24</v>
      </c>
      <c r="AC15" s="93" t="s">
        <v>24</v>
      </c>
      <c r="AD15" s="93" t="s">
        <v>24</v>
      </c>
      <c r="AE15" s="93" t="s">
        <v>70</v>
      </c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3"/>
    </row>
    <row r="16" spans="1:48">
      <c r="A16" s="41">
        <v>961160</v>
      </c>
      <c r="B16" s="1">
        <v>45</v>
      </c>
      <c r="C16" s="29" t="str">
        <f t="shared" si="3"/>
        <v>961160-45</v>
      </c>
      <c r="D16" s="28" t="s">
        <v>26</v>
      </c>
      <c r="E16" s="30" t="s">
        <v>34</v>
      </c>
      <c r="F16" s="31">
        <v>42340</v>
      </c>
      <c r="G16" s="38">
        <v>24</v>
      </c>
      <c r="H16" s="31">
        <v>42350</v>
      </c>
      <c r="I16" s="138"/>
      <c r="J16" s="87" t="s">
        <v>24</v>
      </c>
      <c r="K16" s="87" t="s">
        <v>24</v>
      </c>
      <c r="L16" s="87" t="s">
        <v>24</v>
      </c>
      <c r="M16" s="87" t="s">
        <v>24</v>
      </c>
      <c r="N16" s="87" t="s">
        <v>24</v>
      </c>
      <c r="O16" s="87" t="s">
        <v>24</v>
      </c>
      <c r="P16" s="87" t="s">
        <v>24</v>
      </c>
      <c r="Q16" s="87" t="s">
        <v>24</v>
      </c>
      <c r="R16" s="87" t="s">
        <v>24</v>
      </c>
      <c r="S16" s="93" t="s">
        <v>70</v>
      </c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3"/>
    </row>
    <row r="17" spans="1:48">
      <c r="A17" s="41">
        <v>961147</v>
      </c>
      <c r="B17" s="1">
        <v>51</v>
      </c>
      <c r="C17" s="29" t="str">
        <f t="shared" si="3"/>
        <v>961147-51</v>
      </c>
      <c r="D17" s="28" t="s">
        <v>26</v>
      </c>
      <c r="E17" s="30" t="s">
        <v>51</v>
      </c>
      <c r="F17" s="31">
        <v>42340</v>
      </c>
      <c r="G17" s="38">
        <v>25.2</v>
      </c>
      <c r="H17" s="31">
        <v>42350</v>
      </c>
      <c r="I17" s="138"/>
      <c r="J17" s="87" t="s">
        <v>24</v>
      </c>
      <c r="K17" s="87" t="s">
        <v>24</v>
      </c>
      <c r="L17" s="87" t="s">
        <v>24</v>
      </c>
      <c r="M17" s="87" t="s">
        <v>24</v>
      </c>
      <c r="N17" s="87" t="s">
        <v>24</v>
      </c>
      <c r="O17" s="87" t="s">
        <v>24</v>
      </c>
      <c r="P17" s="87" t="s">
        <v>24</v>
      </c>
      <c r="Q17" s="87" t="s">
        <v>24</v>
      </c>
      <c r="R17" s="87" t="s">
        <v>24</v>
      </c>
      <c r="S17" s="87" t="s">
        <v>24</v>
      </c>
      <c r="T17" s="87" t="s">
        <v>24</v>
      </c>
      <c r="U17" s="87" t="s">
        <v>24</v>
      </c>
      <c r="V17" s="87" t="s">
        <v>24</v>
      </c>
      <c r="W17" s="87" t="s">
        <v>24</v>
      </c>
      <c r="X17" s="93" t="s">
        <v>70</v>
      </c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3"/>
    </row>
    <row r="18" spans="1:48">
      <c r="A18" s="41">
        <v>961147</v>
      </c>
      <c r="B18" s="1">
        <v>52</v>
      </c>
      <c r="C18" s="29" t="str">
        <f t="shared" si="3"/>
        <v>961147-52</v>
      </c>
      <c r="D18" s="28" t="s">
        <v>26</v>
      </c>
      <c r="E18" s="37" t="s">
        <v>47</v>
      </c>
      <c r="F18" s="31">
        <v>42340</v>
      </c>
      <c r="G18" s="38">
        <v>24.5</v>
      </c>
      <c r="H18" s="31">
        <v>42350</v>
      </c>
      <c r="I18" s="138"/>
      <c r="J18" s="87" t="s">
        <v>24</v>
      </c>
      <c r="K18" s="87" t="s">
        <v>24</v>
      </c>
      <c r="L18" s="87" t="s">
        <v>24</v>
      </c>
      <c r="M18" s="87" t="s">
        <v>24</v>
      </c>
      <c r="N18" s="87" t="s">
        <v>24</v>
      </c>
      <c r="O18" s="87" t="s">
        <v>24</v>
      </c>
      <c r="P18" s="87" t="s">
        <v>24</v>
      </c>
      <c r="Q18" s="87" t="s">
        <v>24</v>
      </c>
      <c r="R18" s="87" t="s">
        <v>24</v>
      </c>
      <c r="S18" s="87" t="s">
        <v>24</v>
      </c>
      <c r="T18" s="87" t="s">
        <v>24</v>
      </c>
      <c r="U18" s="87" t="s">
        <v>24</v>
      </c>
      <c r="V18" s="93" t="s">
        <v>70</v>
      </c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3"/>
    </row>
    <row r="19" spans="1:48">
      <c r="A19" s="41">
        <v>961147</v>
      </c>
      <c r="B19" s="1">
        <v>53</v>
      </c>
      <c r="C19" s="29" t="str">
        <f t="shared" si="3"/>
        <v>961147-53</v>
      </c>
      <c r="D19" s="28" t="s">
        <v>26</v>
      </c>
      <c r="E19" s="37" t="s">
        <v>51</v>
      </c>
      <c r="F19" s="31">
        <v>42340</v>
      </c>
      <c r="G19" s="38">
        <v>25.7</v>
      </c>
      <c r="H19" s="31">
        <v>42350</v>
      </c>
      <c r="I19" s="138"/>
      <c r="J19" s="87" t="s">
        <v>24</v>
      </c>
      <c r="K19" s="87" t="s">
        <v>24</v>
      </c>
      <c r="L19" s="87" t="s">
        <v>24</v>
      </c>
      <c r="M19" s="87" t="s">
        <v>24</v>
      </c>
      <c r="N19" s="87" t="s">
        <v>24</v>
      </c>
      <c r="O19" s="87" t="s">
        <v>24</v>
      </c>
      <c r="P19" s="87" t="s">
        <v>24</v>
      </c>
      <c r="Q19" s="87" t="s">
        <v>24</v>
      </c>
      <c r="R19" s="87" t="s">
        <v>24</v>
      </c>
      <c r="S19" s="87" t="s">
        <v>24</v>
      </c>
      <c r="T19" s="87" t="s">
        <v>24</v>
      </c>
      <c r="U19" s="87" t="s">
        <v>24</v>
      </c>
      <c r="V19" s="87" t="s">
        <v>24</v>
      </c>
      <c r="W19" s="87" t="s">
        <v>24</v>
      </c>
      <c r="X19" s="93" t="s">
        <v>24</v>
      </c>
      <c r="Y19" s="93" t="s">
        <v>24</v>
      </c>
      <c r="Z19" s="93" t="s">
        <v>24</v>
      </c>
      <c r="AA19" s="93" t="s">
        <v>24</v>
      </c>
      <c r="AB19" s="93" t="s">
        <v>24</v>
      </c>
      <c r="AC19" s="93" t="s">
        <v>24</v>
      </c>
      <c r="AD19" s="93" t="s">
        <v>70</v>
      </c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3"/>
    </row>
    <row r="20" spans="1:48">
      <c r="A20" s="41">
        <v>961147</v>
      </c>
      <c r="B20" s="1">
        <v>54</v>
      </c>
      <c r="C20" s="29" t="str">
        <f t="shared" si="3"/>
        <v>961147-54</v>
      </c>
      <c r="D20" s="28" t="s">
        <v>26</v>
      </c>
      <c r="E20" s="37" t="s">
        <v>48</v>
      </c>
      <c r="F20" s="31">
        <v>42340</v>
      </c>
      <c r="G20" s="38">
        <v>23.6</v>
      </c>
      <c r="H20" s="31">
        <v>42350</v>
      </c>
      <c r="I20" s="138"/>
      <c r="J20" s="87" t="s">
        <v>24</v>
      </c>
      <c r="K20" s="87" t="s">
        <v>24</v>
      </c>
      <c r="L20" s="87" t="s">
        <v>24</v>
      </c>
      <c r="M20" s="87" t="s">
        <v>24</v>
      </c>
      <c r="N20" s="87" t="s">
        <v>24</v>
      </c>
      <c r="O20" s="87" t="s">
        <v>24</v>
      </c>
      <c r="P20" s="87" t="s">
        <v>24</v>
      </c>
      <c r="Q20" s="87" t="s">
        <v>24</v>
      </c>
      <c r="R20" s="87" t="s">
        <v>24</v>
      </c>
      <c r="S20" s="87" t="s">
        <v>24</v>
      </c>
      <c r="T20" s="87" t="s">
        <v>24</v>
      </c>
      <c r="U20" s="87" t="s">
        <v>24</v>
      </c>
      <c r="V20" s="87" t="s">
        <v>24</v>
      </c>
      <c r="W20" s="87" t="s">
        <v>24</v>
      </c>
      <c r="X20" s="93" t="s">
        <v>24</v>
      </c>
      <c r="Y20" s="93" t="s">
        <v>24</v>
      </c>
      <c r="Z20" s="93" t="s">
        <v>24</v>
      </c>
      <c r="AA20" s="93" t="s">
        <v>24</v>
      </c>
      <c r="AB20" s="93" t="s">
        <v>24</v>
      </c>
      <c r="AC20" s="93" t="s">
        <v>24</v>
      </c>
      <c r="AD20" s="93" t="s">
        <v>24</v>
      </c>
      <c r="AE20" s="93" t="s">
        <v>24</v>
      </c>
      <c r="AF20" s="93" t="s">
        <v>24</v>
      </c>
      <c r="AG20" s="93" t="s">
        <v>24</v>
      </c>
      <c r="AH20" s="93" t="s">
        <v>70</v>
      </c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3"/>
    </row>
    <row r="21" spans="1:48">
      <c r="A21" s="41">
        <v>961147</v>
      </c>
      <c r="B21" s="1">
        <v>55</v>
      </c>
      <c r="C21" s="29" t="str">
        <f t="shared" si="3"/>
        <v>961147-55</v>
      </c>
      <c r="D21" s="28" t="s">
        <v>26</v>
      </c>
      <c r="E21" s="37" t="s">
        <v>52</v>
      </c>
      <c r="F21" s="31">
        <v>42340</v>
      </c>
      <c r="G21" s="38">
        <v>27.8</v>
      </c>
      <c r="H21" s="31">
        <v>42350</v>
      </c>
      <c r="I21" s="138"/>
      <c r="J21" s="87" t="s">
        <v>24</v>
      </c>
      <c r="K21" s="87" t="s">
        <v>24</v>
      </c>
      <c r="L21" s="87" t="s">
        <v>24</v>
      </c>
      <c r="M21" s="87" t="s">
        <v>24</v>
      </c>
      <c r="N21" s="87" t="s">
        <v>24</v>
      </c>
      <c r="O21" s="87" t="s">
        <v>24</v>
      </c>
      <c r="P21" s="87" t="s">
        <v>24</v>
      </c>
      <c r="Q21" s="87" t="s">
        <v>24</v>
      </c>
      <c r="R21" s="87" t="s">
        <v>24</v>
      </c>
      <c r="S21" s="87" t="s">
        <v>24</v>
      </c>
      <c r="T21" s="87" t="s">
        <v>24</v>
      </c>
      <c r="U21" s="87" t="s">
        <v>24</v>
      </c>
      <c r="V21" s="87" t="s">
        <v>24</v>
      </c>
      <c r="W21" s="87" t="s">
        <v>24</v>
      </c>
      <c r="X21" s="93" t="s">
        <v>24</v>
      </c>
      <c r="Y21" s="93" t="s">
        <v>24</v>
      </c>
      <c r="Z21" s="93" t="s">
        <v>24</v>
      </c>
      <c r="AA21" s="93" t="s">
        <v>24</v>
      </c>
      <c r="AB21" s="93" t="s">
        <v>24</v>
      </c>
      <c r="AC21" s="93" t="s">
        <v>24</v>
      </c>
      <c r="AD21" s="93" t="s">
        <v>24</v>
      </c>
      <c r="AE21" s="93" t="s">
        <v>24</v>
      </c>
      <c r="AF21" s="93" t="s">
        <v>24</v>
      </c>
      <c r="AG21" s="93" t="s">
        <v>24</v>
      </c>
      <c r="AH21" s="93" t="s">
        <v>24</v>
      </c>
      <c r="AI21" s="93" t="s">
        <v>24</v>
      </c>
      <c r="AJ21" s="93" t="s">
        <v>24</v>
      </c>
      <c r="AK21" s="93" t="s">
        <v>24</v>
      </c>
      <c r="AL21" s="93" t="s">
        <v>24</v>
      </c>
      <c r="AM21" s="93" t="s">
        <v>24</v>
      </c>
      <c r="AN21" s="93" t="s">
        <v>24</v>
      </c>
      <c r="AO21" s="93" t="s">
        <v>70</v>
      </c>
      <c r="AP21" s="93"/>
      <c r="AQ21" s="93"/>
      <c r="AR21" s="93"/>
      <c r="AS21" s="93"/>
      <c r="AT21" s="93"/>
      <c r="AU21" s="93"/>
      <c r="AV21" s="3"/>
    </row>
    <row r="22" spans="1:48">
      <c r="A22" s="41">
        <v>961146</v>
      </c>
      <c r="B22" s="1">
        <v>63</v>
      </c>
      <c r="C22" s="29" t="str">
        <f t="shared" si="3"/>
        <v>961146-63</v>
      </c>
      <c r="D22" s="28" t="s">
        <v>26</v>
      </c>
      <c r="E22" s="37" t="s">
        <v>47</v>
      </c>
      <c r="F22" s="31">
        <v>42340</v>
      </c>
      <c r="G22" s="38">
        <v>24.3</v>
      </c>
      <c r="H22" s="31">
        <v>42350</v>
      </c>
      <c r="I22" s="138"/>
      <c r="J22" s="87" t="s">
        <v>24</v>
      </c>
      <c r="K22" s="87" t="s">
        <v>24</v>
      </c>
      <c r="L22" s="87" t="s">
        <v>24</v>
      </c>
      <c r="M22" s="87" t="s">
        <v>24</v>
      </c>
      <c r="N22" s="87" t="s">
        <v>24</v>
      </c>
      <c r="O22" s="87" t="s">
        <v>24</v>
      </c>
      <c r="P22" s="87" t="s">
        <v>24</v>
      </c>
      <c r="Q22" s="87" t="s">
        <v>24</v>
      </c>
      <c r="R22" s="87" t="s">
        <v>24</v>
      </c>
      <c r="S22" s="93" t="s">
        <v>24</v>
      </c>
      <c r="T22" s="87" t="s">
        <v>24</v>
      </c>
      <c r="U22" s="87" t="s">
        <v>24</v>
      </c>
      <c r="V22" s="87" t="s">
        <v>24</v>
      </c>
      <c r="W22" s="87" t="s">
        <v>24</v>
      </c>
      <c r="X22" s="93" t="s">
        <v>70</v>
      </c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3"/>
    </row>
    <row r="23" spans="1:48">
      <c r="A23" s="41">
        <v>961146</v>
      </c>
      <c r="B23" s="1">
        <v>65</v>
      </c>
      <c r="C23" s="29" t="str">
        <f t="shared" si="3"/>
        <v>961146-65</v>
      </c>
      <c r="D23" s="28" t="s">
        <v>26</v>
      </c>
      <c r="E23" s="37" t="s">
        <v>51</v>
      </c>
      <c r="F23" s="31">
        <v>42340</v>
      </c>
      <c r="G23" s="38">
        <v>24.8</v>
      </c>
      <c r="H23" s="31">
        <v>42350</v>
      </c>
      <c r="I23" s="138"/>
      <c r="J23" s="87" t="s">
        <v>24</v>
      </c>
      <c r="K23" s="87" t="s">
        <v>24</v>
      </c>
      <c r="L23" s="87" t="s">
        <v>24</v>
      </c>
      <c r="M23" s="87" t="s">
        <v>24</v>
      </c>
      <c r="N23" s="87" t="s">
        <v>24</v>
      </c>
      <c r="O23" s="87" t="s">
        <v>24</v>
      </c>
      <c r="P23" s="87" t="s">
        <v>24</v>
      </c>
      <c r="Q23" s="87" t="s">
        <v>24</v>
      </c>
      <c r="R23" s="87" t="s">
        <v>24</v>
      </c>
      <c r="S23" s="93" t="s">
        <v>24</v>
      </c>
      <c r="T23" s="87" t="s">
        <v>24</v>
      </c>
      <c r="U23" s="87" t="s">
        <v>24</v>
      </c>
      <c r="V23" s="93" t="s">
        <v>70</v>
      </c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3"/>
    </row>
    <row r="24" spans="1:48">
      <c r="A24" s="41">
        <v>961159</v>
      </c>
      <c r="B24" s="1">
        <v>71</v>
      </c>
      <c r="C24" s="29" t="str">
        <f t="shared" si="3"/>
        <v>961159-71</v>
      </c>
      <c r="D24" s="28" t="s">
        <v>26</v>
      </c>
      <c r="E24" s="37" t="s">
        <v>50</v>
      </c>
      <c r="F24" s="31">
        <v>42340</v>
      </c>
      <c r="G24" s="38">
        <v>26.4</v>
      </c>
      <c r="H24" s="31">
        <v>42350</v>
      </c>
      <c r="I24" s="138"/>
      <c r="J24" s="87" t="s">
        <v>24</v>
      </c>
      <c r="K24" s="87" t="s">
        <v>24</v>
      </c>
      <c r="L24" s="87" t="s">
        <v>24</v>
      </c>
      <c r="M24" s="87" t="s">
        <v>24</v>
      </c>
      <c r="N24" s="87" t="s">
        <v>24</v>
      </c>
      <c r="O24" s="87" t="s">
        <v>24</v>
      </c>
      <c r="P24" s="87" t="s">
        <v>24</v>
      </c>
      <c r="Q24" s="87" t="s">
        <v>24</v>
      </c>
      <c r="R24" s="87" t="s">
        <v>24</v>
      </c>
      <c r="S24" s="93" t="s">
        <v>24</v>
      </c>
      <c r="T24" s="87" t="s">
        <v>24</v>
      </c>
      <c r="U24" s="87" t="s">
        <v>24</v>
      </c>
      <c r="V24" s="87" t="s">
        <v>24</v>
      </c>
      <c r="W24" s="87" t="s">
        <v>24</v>
      </c>
      <c r="X24" s="93" t="s">
        <v>24</v>
      </c>
      <c r="Y24" s="93" t="s">
        <v>24</v>
      </c>
      <c r="Z24" s="93" t="s">
        <v>24</v>
      </c>
      <c r="AA24" s="93" t="s">
        <v>70</v>
      </c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3"/>
    </row>
    <row r="25" spans="1:48">
      <c r="A25" s="41">
        <v>961159</v>
      </c>
      <c r="B25" s="1">
        <v>72</v>
      </c>
      <c r="C25" s="29" t="str">
        <f t="shared" si="3"/>
        <v>961159-72</v>
      </c>
      <c r="D25" s="28" t="s">
        <v>26</v>
      </c>
      <c r="E25" s="37" t="s">
        <v>35</v>
      </c>
      <c r="F25" s="31">
        <v>42340</v>
      </c>
      <c r="G25" s="38">
        <v>22.5</v>
      </c>
      <c r="H25" s="31">
        <v>42350</v>
      </c>
      <c r="I25" s="138"/>
      <c r="J25" s="87" t="s">
        <v>24</v>
      </c>
      <c r="K25" s="87" t="s">
        <v>24</v>
      </c>
      <c r="L25" s="87" t="s">
        <v>24</v>
      </c>
      <c r="M25" s="87" t="s">
        <v>24</v>
      </c>
      <c r="N25" s="87" t="s">
        <v>24</v>
      </c>
      <c r="O25" s="87" t="s">
        <v>24</v>
      </c>
      <c r="P25" s="87" t="s">
        <v>24</v>
      </c>
      <c r="Q25" s="87" t="s">
        <v>24</v>
      </c>
      <c r="R25" s="87" t="s">
        <v>24</v>
      </c>
      <c r="S25" s="93" t="s">
        <v>70</v>
      </c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3"/>
    </row>
    <row r="26" spans="1:48">
      <c r="A26" s="41">
        <v>961159</v>
      </c>
      <c r="B26" s="1">
        <v>73</v>
      </c>
      <c r="C26" s="29" t="str">
        <f t="shared" ref="C26:C41" si="4">CONCATENATE(A26,"-",B26)</f>
        <v>961159-73</v>
      </c>
      <c r="D26" s="28" t="s">
        <v>26</v>
      </c>
      <c r="E26" s="37" t="s">
        <v>51</v>
      </c>
      <c r="F26" s="31">
        <v>42340</v>
      </c>
      <c r="G26" s="38">
        <v>21.7</v>
      </c>
      <c r="H26" s="31">
        <v>42350</v>
      </c>
      <c r="I26" s="138"/>
      <c r="J26" s="87" t="s">
        <v>24</v>
      </c>
      <c r="K26" s="87" t="s">
        <v>24</v>
      </c>
      <c r="L26" s="87" t="s">
        <v>24</v>
      </c>
      <c r="M26" s="87" t="s">
        <v>24</v>
      </c>
      <c r="N26" s="87" t="s">
        <v>24</v>
      </c>
      <c r="O26" s="87" t="s">
        <v>24</v>
      </c>
      <c r="P26" s="87" t="s">
        <v>24</v>
      </c>
      <c r="Q26" s="87" t="s">
        <v>24</v>
      </c>
      <c r="R26" s="87" t="s">
        <v>24</v>
      </c>
      <c r="S26" s="93" t="s">
        <v>24</v>
      </c>
      <c r="T26" s="87" t="s">
        <v>24</v>
      </c>
      <c r="U26" s="87" t="s">
        <v>24</v>
      </c>
      <c r="V26" s="87" t="s">
        <v>24</v>
      </c>
      <c r="W26" s="87" t="s">
        <v>24</v>
      </c>
      <c r="X26" s="93" t="s">
        <v>24</v>
      </c>
      <c r="Y26" s="93" t="s">
        <v>24</v>
      </c>
      <c r="Z26" s="93" t="s">
        <v>24</v>
      </c>
      <c r="AA26" s="93" t="s">
        <v>24</v>
      </c>
      <c r="AB26" s="93" t="s">
        <v>70</v>
      </c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3"/>
    </row>
    <row r="27" spans="1:48">
      <c r="A27" s="41">
        <v>961159</v>
      </c>
      <c r="B27" s="1">
        <v>74</v>
      </c>
      <c r="C27" s="29" t="str">
        <f t="shared" si="4"/>
        <v>961159-74</v>
      </c>
      <c r="D27" s="28" t="s">
        <v>26</v>
      </c>
      <c r="E27" s="37" t="s">
        <v>50</v>
      </c>
      <c r="F27" s="31">
        <v>42340</v>
      </c>
      <c r="G27" s="38">
        <v>19.5</v>
      </c>
      <c r="H27" s="31">
        <v>42350</v>
      </c>
      <c r="I27" s="138"/>
      <c r="J27" s="87" t="s">
        <v>24</v>
      </c>
      <c r="K27" s="87" t="s">
        <v>24</v>
      </c>
      <c r="L27" s="87" t="s">
        <v>24</v>
      </c>
      <c r="M27" s="87" t="s">
        <v>24</v>
      </c>
      <c r="N27" s="87" t="s">
        <v>24</v>
      </c>
      <c r="O27" s="87" t="s">
        <v>24</v>
      </c>
      <c r="P27" s="87" t="s">
        <v>24</v>
      </c>
      <c r="Q27" s="87" t="s">
        <v>24</v>
      </c>
      <c r="R27" s="87" t="s">
        <v>24</v>
      </c>
      <c r="S27" s="93" t="s">
        <v>24</v>
      </c>
      <c r="T27" s="87" t="s">
        <v>24</v>
      </c>
      <c r="U27" s="87" t="s">
        <v>24</v>
      </c>
      <c r="V27" s="87" t="s">
        <v>24</v>
      </c>
      <c r="W27" s="87" t="s">
        <v>24</v>
      </c>
      <c r="X27" s="93" t="s">
        <v>24</v>
      </c>
      <c r="Y27" s="93" t="s">
        <v>24</v>
      </c>
      <c r="Z27" s="93" t="s">
        <v>24</v>
      </c>
      <c r="AA27" s="93" t="s">
        <v>24</v>
      </c>
      <c r="AB27" s="93" t="s">
        <v>24</v>
      </c>
      <c r="AC27" s="93" t="s">
        <v>24</v>
      </c>
      <c r="AD27" s="93" t="s">
        <v>24</v>
      </c>
      <c r="AE27" s="93" t="s">
        <v>24</v>
      </c>
      <c r="AF27" s="93" t="s">
        <v>24</v>
      </c>
      <c r="AG27" s="93" t="s">
        <v>24</v>
      </c>
      <c r="AH27" s="93" t="s">
        <v>70</v>
      </c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3"/>
    </row>
    <row r="28" spans="1:48">
      <c r="A28" s="41">
        <v>961161</v>
      </c>
      <c r="B28" s="1">
        <v>81</v>
      </c>
      <c r="C28" s="29" t="str">
        <f t="shared" si="4"/>
        <v>961161-81</v>
      </c>
      <c r="D28" s="28" t="s">
        <v>26</v>
      </c>
      <c r="E28" s="37" t="s">
        <v>52</v>
      </c>
      <c r="F28" s="31">
        <v>42340</v>
      </c>
      <c r="G28" s="38">
        <v>21.1</v>
      </c>
      <c r="H28" s="31">
        <v>42350</v>
      </c>
      <c r="I28" s="138"/>
      <c r="J28" s="87" t="s">
        <v>24</v>
      </c>
      <c r="K28" s="87" t="s">
        <v>24</v>
      </c>
      <c r="L28" s="87" t="s">
        <v>24</v>
      </c>
      <c r="M28" s="87" t="s">
        <v>24</v>
      </c>
      <c r="N28" s="87" t="s">
        <v>24</v>
      </c>
      <c r="O28" s="87" t="s">
        <v>24</v>
      </c>
      <c r="P28" s="87" t="s">
        <v>24</v>
      </c>
      <c r="Q28" s="87" t="s">
        <v>24</v>
      </c>
      <c r="R28" s="87" t="s">
        <v>24</v>
      </c>
      <c r="S28" s="93" t="s">
        <v>24</v>
      </c>
      <c r="T28" s="87" t="s">
        <v>24</v>
      </c>
      <c r="U28" s="87" t="s">
        <v>24</v>
      </c>
      <c r="V28" s="87" t="s">
        <v>24</v>
      </c>
      <c r="W28" s="87" t="s">
        <v>24</v>
      </c>
      <c r="X28" s="93" t="s">
        <v>24</v>
      </c>
      <c r="Y28" s="93" t="s">
        <v>24</v>
      </c>
      <c r="Z28" s="93" t="s">
        <v>24</v>
      </c>
      <c r="AA28" s="93" t="s">
        <v>24</v>
      </c>
      <c r="AB28" s="93" t="s">
        <v>24</v>
      </c>
      <c r="AC28" s="93" t="s">
        <v>24</v>
      </c>
      <c r="AD28" s="93" t="s">
        <v>24</v>
      </c>
      <c r="AE28" s="93" t="s">
        <v>24</v>
      </c>
      <c r="AF28" s="93" t="s">
        <v>24</v>
      </c>
      <c r="AG28" s="93" t="s">
        <v>24</v>
      </c>
      <c r="AH28" s="93" t="s">
        <v>24</v>
      </c>
      <c r="AI28" s="93" t="s">
        <v>24</v>
      </c>
      <c r="AJ28" s="93" t="s">
        <v>24</v>
      </c>
      <c r="AK28" s="93" t="s">
        <v>24</v>
      </c>
      <c r="AL28" s="93" t="s">
        <v>24</v>
      </c>
      <c r="AM28" s="93" t="s">
        <v>24</v>
      </c>
      <c r="AN28" s="93" t="s">
        <v>24</v>
      </c>
      <c r="AO28" s="93" t="s">
        <v>24</v>
      </c>
      <c r="AP28" s="93" t="s">
        <v>24</v>
      </c>
      <c r="AQ28" s="93" t="s">
        <v>24</v>
      </c>
      <c r="AR28" s="93" t="s">
        <v>24</v>
      </c>
      <c r="AS28" s="93" t="s">
        <v>24</v>
      </c>
      <c r="AT28" s="93" t="s">
        <v>70</v>
      </c>
      <c r="AU28" s="93"/>
      <c r="AV28" s="3"/>
    </row>
    <row r="29" spans="1:48">
      <c r="A29" s="41">
        <v>961161</v>
      </c>
      <c r="B29" s="1">
        <v>82</v>
      </c>
      <c r="C29" s="29" t="str">
        <f t="shared" si="4"/>
        <v>961161-82</v>
      </c>
      <c r="D29" s="28" t="s">
        <v>26</v>
      </c>
      <c r="E29" s="37" t="s">
        <v>34</v>
      </c>
      <c r="F29" s="31">
        <v>42340</v>
      </c>
      <c r="G29" s="38">
        <v>18.7</v>
      </c>
      <c r="H29" s="31">
        <v>42350</v>
      </c>
      <c r="I29" s="138"/>
      <c r="J29" s="87" t="s">
        <v>24</v>
      </c>
      <c r="K29" s="87" t="s">
        <v>24</v>
      </c>
      <c r="L29" s="87" t="s">
        <v>24</v>
      </c>
      <c r="M29" s="87" t="s">
        <v>24</v>
      </c>
      <c r="N29" s="87" t="s">
        <v>24</v>
      </c>
      <c r="O29" s="87" t="s">
        <v>24</v>
      </c>
      <c r="P29" s="87" t="s">
        <v>24</v>
      </c>
      <c r="Q29" s="87" t="s">
        <v>24</v>
      </c>
      <c r="R29" s="87" t="s">
        <v>24</v>
      </c>
      <c r="S29" s="93" t="s">
        <v>70</v>
      </c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3"/>
    </row>
    <row r="30" spans="1:48">
      <c r="A30" s="41">
        <v>961161</v>
      </c>
      <c r="B30" s="1">
        <v>83</v>
      </c>
      <c r="C30" s="29" t="str">
        <f t="shared" si="4"/>
        <v>961161-83</v>
      </c>
      <c r="D30" s="28" t="s">
        <v>26</v>
      </c>
      <c r="E30" s="37" t="s">
        <v>49</v>
      </c>
      <c r="F30" s="31">
        <v>42340</v>
      </c>
      <c r="G30" s="38">
        <v>22.2</v>
      </c>
      <c r="H30" s="31">
        <v>42350</v>
      </c>
      <c r="I30" s="138"/>
      <c r="J30" s="87" t="s">
        <v>24</v>
      </c>
      <c r="K30" s="87" t="s">
        <v>24</v>
      </c>
      <c r="L30" s="87" t="s">
        <v>24</v>
      </c>
      <c r="M30" s="87" t="s">
        <v>24</v>
      </c>
      <c r="N30" s="87" t="s">
        <v>24</v>
      </c>
      <c r="O30" s="87" t="s">
        <v>24</v>
      </c>
      <c r="P30" s="87" t="s">
        <v>24</v>
      </c>
      <c r="Q30" s="87" t="s">
        <v>24</v>
      </c>
      <c r="R30" s="87" t="s">
        <v>24</v>
      </c>
      <c r="S30" s="93" t="s">
        <v>24</v>
      </c>
      <c r="T30" s="87" t="s">
        <v>24</v>
      </c>
      <c r="U30" s="87" t="s">
        <v>24</v>
      </c>
      <c r="V30" s="87" t="s">
        <v>24</v>
      </c>
      <c r="W30" s="87" t="s">
        <v>24</v>
      </c>
      <c r="X30" s="93" t="s">
        <v>24</v>
      </c>
      <c r="Y30" s="93" t="s">
        <v>24</v>
      </c>
      <c r="Z30" s="93" t="s">
        <v>24</v>
      </c>
      <c r="AA30" s="93" t="s">
        <v>24</v>
      </c>
      <c r="AB30" s="93" t="s">
        <v>24</v>
      </c>
      <c r="AC30" s="93" t="s">
        <v>70</v>
      </c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3"/>
    </row>
    <row r="31" spans="1:48">
      <c r="A31" s="41">
        <v>961161</v>
      </c>
      <c r="B31" s="1">
        <v>84</v>
      </c>
      <c r="C31" s="29" t="str">
        <f t="shared" si="4"/>
        <v>961161-84</v>
      </c>
      <c r="D31" s="28" t="s">
        <v>26</v>
      </c>
      <c r="E31" s="37" t="s">
        <v>34</v>
      </c>
      <c r="F31" s="31">
        <v>42340</v>
      </c>
      <c r="G31" s="38">
        <v>25.3</v>
      </c>
      <c r="H31" s="31">
        <v>42350</v>
      </c>
      <c r="I31" s="138"/>
      <c r="J31" s="87" t="s">
        <v>24</v>
      </c>
      <c r="K31" s="87" t="s">
        <v>24</v>
      </c>
      <c r="L31" s="87" t="s">
        <v>24</v>
      </c>
      <c r="M31" s="87" t="s">
        <v>24</v>
      </c>
      <c r="N31" s="87" t="s">
        <v>24</v>
      </c>
      <c r="O31" s="87" t="s">
        <v>24</v>
      </c>
      <c r="P31" s="87" t="s">
        <v>24</v>
      </c>
      <c r="Q31" s="87" t="s">
        <v>24</v>
      </c>
      <c r="R31" s="87" t="s">
        <v>24</v>
      </c>
      <c r="S31" s="93" t="s">
        <v>70</v>
      </c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3"/>
    </row>
    <row r="32" spans="1:48">
      <c r="A32" s="41">
        <v>961161</v>
      </c>
      <c r="B32" s="1">
        <v>85</v>
      </c>
      <c r="C32" s="29" t="str">
        <f t="shared" si="4"/>
        <v>961161-85</v>
      </c>
      <c r="D32" s="28" t="s">
        <v>26</v>
      </c>
      <c r="E32" s="30" t="s">
        <v>52</v>
      </c>
      <c r="F32" s="31">
        <v>42340</v>
      </c>
      <c r="G32" s="38">
        <v>22.3</v>
      </c>
      <c r="H32" s="31">
        <v>42350</v>
      </c>
      <c r="I32" s="138"/>
      <c r="J32" s="87" t="s">
        <v>24</v>
      </c>
      <c r="K32" s="87" t="s">
        <v>24</v>
      </c>
      <c r="L32" s="87" t="s">
        <v>24</v>
      </c>
      <c r="M32" s="87" t="s">
        <v>24</v>
      </c>
      <c r="N32" s="87" t="s">
        <v>24</v>
      </c>
      <c r="O32" s="87" t="s">
        <v>24</v>
      </c>
      <c r="P32" s="87" t="s">
        <v>24</v>
      </c>
      <c r="Q32" s="87" t="s">
        <v>24</v>
      </c>
      <c r="R32" s="87" t="s">
        <v>24</v>
      </c>
      <c r="S32" s="93" t="s">
        <v>24</v>
      </c>
      <c r="T32" s="93" t="s">
        <v>24</v>
      </c>
      <c r="U32" s="93" t="s">
        <v>24</v>
      </c>
      <c r="V32" s="93" t="s">
        <v>24</v>
      </c>
      <c r="W32" s="93" t="s">
        <v>24</v>
      </c>
      <c r="X32" s="93" t="s">
        <v>24</v>
      </c>
      <c r="Y32" s="93" t="s">
        <v>24</v>
      </c>
      <c r="Z32" s="93" t="s">
        <v>24</v>
      </c>
      <c r="AA32" s="93" t="s">
        <v>24</v>
      </c>
      <c r="AB32" s="93" t="s">
        <v>24</v>
      </c>
      <c r="AC32" s="93" t="s">
        <v>24</v>
      </c>
      <c r="AD32" s="93" t="s">
        <v>24</v>
      </c>
      <c r="AE32" s="93" t="s">
        <v>24</v>
      </c>
      <c r="AF32" s="93" t="s">
        <v>24</v>
      </c>
      <c r="AG32" s="93" t="s">
        <v>24</v>
      </c>
      <c r="AH32" s="93" t="s">
        <v>24</v>
      </c>
      <c r="AI32" s="93" t="s">
        <v>24</v>
      </c>
      <c r="AJ32" s="93" t="s">
        <v>24</v>
      </c>
      <c r="AK32" s="93" t="s">
        <v>70</v>
      </c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3"/>
    </row>
    <row r="33" spans="1:48">
      <c r="A33" s="41">
        <v>961162</v>
      </c>
      <c r="B33" s="1">
        <v>91</v>
      </c>
      <c r="C33" s="29" t="str">
        <f t="shared" si="4"/>
        <v>961162-91</v>
      </c>
      <c r="D33" s="28" t="s">
        <v>26</v>
      </c>
      <c r="E33" s="37" t="s">
        <v>49</v>
      </c>
      <c r="F33" s="31">
        <v>42340</v>
      </c>
      <c r="G33" s="38">
        <v>23</v>
      </c>
      <c r="H33" s="31">
        <v>42350</v>
      </c>
      <c r="I33" s="138"/>
      <c r="J33" s="87" t="s">
        <v>24</v>
      </c>
      <c r="K33" s="87" t="s">
        <v>24</v>
      </c>
      <c r="L33" s="87" t="s">
        <v>24</v>
      </c>
      <c r="M33" s="87" t="s">
        <v>24</v>
      </c>
      <c r="N33" s="87" t="s">
        <v>24</v>
      </c>
      <c r="O33" s="87" t="s">
        <v>24</v>
      </c>
      <c r="P33" s="87" t="s">
        <v>24</v>
      </c>
      <c r="Q33" s="87" t="s">
        <v>24</v>
      </c>
      <c r="R33" s="87" t="s">
        <v>24</v>
      </c>
      <c r="S33" s="87" t="s">
        <v>24</v>
      </c>
      <c r="T33" s="93" t="s">
        <v>24</v>
      </c>
      <c r="U33" s="93" t="s">
        <v>24</v>
      </c>
      <c r="V33" s="93" t="s">
        <v>24</v>
      </c>
      <c r="W33" s="93" t="s">
        <v>24</v>
      </c>
      <c r="X33" s="93" t="s">
        <v>24</v>
      </c>
      <c r="Y33" s="93" t="s">
        <v>24</v>
      </c>
      <c r="Z33" s="93" t="s">
        <v>70</v>
      </c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3"/>
    </row>
    <row r="34" spans="1:48">
      <c r="A34" s="41">
        <v>961162</v>
      </c>
      <c r="B34" s="1">
        <v>92</v>
      </c>
      <c r="C34" s="29" t="str">
        <f t="shared" si="4"/>
        <v>961162-92</v>
      </c>
      <c r="D34" s="28" t="s">
        <v>26</v>
      </c>
      <c r="E34" s="37" t="s">
        <v>35</v>
      </c>
      <c r="F34" s="31">
        <v>42340</v>
      </c>
      <c r="G34" s="38">
        <v>24.3</v>
      </c>
      <c r="H34" s="31">
        <v>42350</v>
      </c>
      <c r="I34" s="138"/>
      <c r="J34" s="87" t="s">
        <v>24</v>
      </c>
      <c r="K34" s="87" t="s">
        <v>24</v>
      </c>
      <c r="L34" s="87" t="s">
        <v>24</v>
      </c>
      <c r="M34" s="87" t="s">
        <v>24</v>
      </c>
      <c r="N34" s="87" t="s">
        <v>24</v>
      </c>
      <c r="O34" s="87" t="s">
        <v>24</v>
      </c>
      <c r="P34" s="87" t="s">
        <v>24</v>
      </c>
      <c r="Q34" s="87" t="s">
        <v>24</v>
      </c>
      <c r="R34" s="87" t="s">
        <v>24</v>
      </c>
      <c r="S34" s="87" t="s">
        <v>24</v>
      </c>
      <c r="T34" s="93" t="s">
        <v>24</v>
      </c>
      <c r="U34" s="93" t="s">
        <v>24</v>
      </c>
      <c r="V34" s="93" t="s">
        <v>24</v>
      </c>
      <c r="W34" s="93" t="s">
        <v>70</v>
      </c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3"/>
    </row>
    <row r="35" spans="1:48">
      <c r="A35" s="41">
        <v>961162</v>
      </c>
      <c r="B35" s="1">
        <v>93</v>
      </c>
      <c r="C35" s="29" t="str">
        <f t="shared" si="4"/>
        <v>961162-93</v>
      </c>
      <c r="D35" s="28" t="s">
        <v>26</v>
      </c>
      <c r="E35" s="37" t="s">
        <v>50</v>
      </c>
      <c r="F35" s="31">
        <v>42340</v>
      </c>
      <c r="G35" s="38">
        <v>22</v>
      </c>
      <c r="H35" s="31">
        <v>42350</v>
      </c>
      <c r="I35" s="138"/>
      <c r="J35" s="87" t="s">
        <v>24</v>
      </c>
      <c r="K35" s="87" t="s">
        <v>24</v>
      </c>
      <c r="L35" s="87" t="s">
        <v>24</v>
      </c>
      <c r="M35" s="87" t="s">
        <v>24</v>
      </c>
      <c r="N35" s="87" t="s">
        <v>24</v>
      </c>
      <c r="O35" s="87" t="s">
        <v>24</v>
      </c>
      <c r="P35" s="87" t="s">
        <v>24</v>
      </c>
      <c r="Q35" s="87" t="s">
        <v>24</v>
      </c>
      <c r="R35" s="87" t="s">
        <v>24</v>
      </c>
      <c r="S35" s="87" t="s">
        <v>24</v>
      </c>
      <c r="T35" s="93" t="s">
        <v>24</v>
      </c>
      <c r="U35" s="93" t="s">
        <v>24</v>
      </c>
      <c r="V35" s="93" t="s">
        <v>24</v>
      </c>
      <c r="W35" s="93" t="s">
        <v>24</v>
      </c>
      <c r="X35" s="93" t="s">
        <v>24</v>
      </c>
      <c r="Y35" s="93" t="s">
        <v>24</v>
      </c>
      <c r="Z35" s="93" t="s">
        <v>24</v>
      </c>
      <c r="AA35" s="93" t="s">
        <v>24</v>
      </c>
      <c r="AB35" s="93" t="s">
        <v>24</v>
      </c>
      <c r="AC35" s="93" t="s">
        <v>24</v>
      </c>
      <c r="AD35" s="93" t="s">
        <v>24</v>
      </c>
      <c r="AE35" s="93" t="s">
        <v>24</v>
      </c>
      <c r="AF35" s="93" t="s">
        <v>24</v>
      </c>
      <c r="AG35" s="93" t="s">
        <v>24</v>
      </c>
      <c r="AH35" s="93" t="s">
        <v>24</v>
      </c>
      <c r="AI35" s="93" t="s">
        <v>70</v>
      </c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3"/>
    </row>
    <row r="36" spans="1:48">
      <c r="A36" s="41">
        <v>961162</v>
      </c>
      <c r="B36" s="1">
        <v>94</v>
      </c>
      <c r="C36" s="29" t="str">
        <f t="shared" si="4"/>
        <v>961162-94</v>
      </c>
      <c r="D36" s="28" t="s">
        <v>26</v>
      </c>
      <c r="E36" s="37" t="s">
        <v>50</v>
      </c>
      <c r="F36" s="31">
        <v>42340</v>
      </c>
      <c r="G36" s="38">
        <v>25.4</v>
      </c>
      <c r="H36" s="31">
        <v>42350</v>
      </c>
      <c r="I36" s="138"/>
      <c r="J36" s="87" t="s">
        <v>24</v>
      </c>
      <c r="K36" s="87" t="s">
        <v>24</v>
      </c>
      <c r="L36" s="87" t="s">
        <v>24</v>
      </c>
      <c r="M36" s="87" t="s">
        <v>24</v>
      </c>
      <c r="N36" s="87" t="s">
        <v>24</v>
      </c>
      <c r="O36" s="87" t="s">
        <v>24</v>
      </c>
      <c r="P36" s="87" t="s">
        <v>24</v>
      </c>
      <c r="Q36" s="87" t="s">
        <v>24</v>
      </c>
      <c r="R36" s="87" t="s">
        <v>24</v>
      </c>
      <c r="S36" s="87" t="s">
        <v>24</v>
      </c>
      <c r="T36" s="93" t="s">
        <v>24</v>
      </c>
      <c r="U36" s="93" t="s">
        <v>24</v>
      </c>
      <c r="V36" s="93" t="s">
        <v>24</v>
      </c>
      <c r="W36" s="93" t="s">
        <v>24</v>
      </c>
      <c r="X36" s="93" t="s">
        <v>70</v>
      </c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3"/>
    </row>
    <row r="37" spans="1:48">
      <c r="A37" s="41">
        <v>961162</v>
      </c>
      <c r="B37" s="1">
        <v>95</v>
      </c>
      <c r="C37" s="29" t="str">
        <f t="shared" si="4"/>
        <v>961162-95</v>
      </c>
      <c r="D37" s="28" t="s">
        <v>26</v>
      </c>
      <c r="E37" s="37" t="s">
        <v>48</v>
      </c>
      <c r="F37" s="31">
        <v>42340</v>
      </c>
      <c r="G37" s="38">
        <v>23.2</v>
      </c>
      <c r="H37" s="31">
        <v>42350</v>
      </c>
      <c r="I37" s="138"/>
      <c r="J37" s="87" t="s">
        <v>24</v>
      </c>
      <c r="K37" s="87" t="s">
        <v>24</v>
      </c>
      <c r="L37" s="87" t="s">
        <v>24</v>
      </c>
      <c r="M37" s="87" t="s">
        <v>24</v>
      </c>
      <c r="N37" s="87" t="s">
        <v>24</v>
      </c>
      <c r="O37" s="87" t="s">
        <v>24</v>
      </c>
      <c r="P37" s="87" t="s">
        <v>24</v>
      </c>
      <c r="Q37" s="87" t="s">
        <v>24</v>
      </c>
      <c r="R37" s="87" t="s">
        <v>24</v>
      </c>
      <c r="S37" s="87" t="s">
        <v>24</v>
      </c>
      <c r="T37" s="93" t="s">
        <v>24</v>
      </c>
      <c r="U37" s="93" t="s">
        <v>24</v>
      </c>
      <c r="V37" s="93" t="s">
        <v>24</v>
      </c>
      <c r="W37" s="93" t="s">
        <v>24</v>
      </c>
      <c r="X37" s="93" t="s">
        <v>24</v>
      </c>
      <c r="Y37" s="93" t="s">
        <v>24</v>
      </c>
      <c r="Z37" s="93" t="s">
        <v>24</v>
      </c>
      <c r="AA37" s="93" t="s">
        <v>24</v>
      </c>
      <c r="AB37" s="93" t="s">
        <v>70</v>
      </c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3"/>
    </row>
    <row r="38" spans="1:48">
      <c r="A38" s="41">
        <v>961145</v>
      </c>
      <c r="B38" s="1">
        <v>101</v>
      </c>
      <c r="C38" s="29" t="str">
        <f t="shared" si="4"/>
        <v>961145-101</v>
      </c>
      <c r="D38" s="28" t="s">
        <v>26</v>
      </c>
      <c r="E38" s="37" t="s">
        <v>48</v>
      </c>
      <c r="F38" s="31">
        <v>42340</v>
      </c>
      <c r="G38" s="38">
        <v>24.7</v>
      </c>
      <c r="H38" s="31">
        <v>42350</v>
      </c>
      <c r="I38" s="138"/>
      <c r="J38" s="87" t="s">
        <v>24</v>
      </c>
      <c r="K38" s="87" t="s">
        <v>24</v>
      </c>
      <c r="L38" s="87" t="s">
        <v>24</v>
      </c>
      <c r="M38" s="87" t="s">
        <v>24</v>
      </c>
      <c r="N38" s="87" t="s">
        <v>24</v>
      </c>
      <c r="O38" s="87" t="s">
        <v>24</v>
      </c>
      <c r="P38" s="87" t="s">
        <v>24</v>
      </c>
      <c r="Q38" s="87" t="s">
        <v>24</v>
      </c>
      <c r="R38" s="87" t="s">
        <v>24</v>
      </c>
      <c r="S38" s="87" t="s">
        <v>24</v>
      </c>
      <c r="T38" s="93" t="s">
        <v>24</v>
      </c>
      <c r="U38" s="93" t="s">
        <v>24</v>
      </c>
      <c r="V38" s="93" t="s">
        <v>24</v>
      </c>
      <c r="W38" s="93" t="s">
        <v>24</v>
      </c>
      <c r="X38" s="93" t="s">
        <v>24</v>
      </c>
      <c r="Y38" s="93" t="s">
        <v>24</v>
      </c>
      <c r="Z38" s="93" t="s">
        <v>24</v>
      </c>
      <c r="AA38" s="93" t="s">
        <v>24</v>
      </c>
      <c r="AB38" s="93" t="s">
        <v>70</v>
      </c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3"/>
    </row>
    <row r="39" spans="1:48">
      <c r="A39" s="41">
        <v>961145</v>
      </c>
      <c r="B39" s="1">
        <v>102</v>
      </c>
      <c r="C39" s="29" t="str">
        <f t="shared" si="4"/>
        <v>961145-102</v>
      </c>
      <c r="D39" s="28" t="s">
        <v>26</v>
      </c>
      <c r="E39" s="37" t="s">
        <v>35</v>
      </c>
      <c r="F39" s="31">
        <v>42340</v>
      </c>
      <c r="G39" s="38">
        <v>25</v>
      </c>
      <c r="H39" s="31">
        <v>42350</v>
      </c>
      <c r="I39" s="138"/>
      <c r="J39" s="87" t="s">
        <v>24</v>
      </c>
      <c r="K39" s="87" t="s">
        <v>24</v>
      </c>
      <c r="L39" s="87" t="s">
        <v>24</v>
      </c>
      <c r="M39" s="87" t="s">
        <v>24</v>
      </c>
      <c r="N39" s="87" t="s">
        <v>24</v>
      </c>
      <c r="O39" s="87" t="s">
        <v>24</v>
      </c>
      <c r="P39" s="87" t="s">
        <v>24</v>
      </c>
      <c r="Q39" s="87" t="s">
        <v>24</v>
      </c>
      <c r="R39" s="87" t="s">
        <v>24</v>
      </c>
      <c r="S39" s="93" t="s">
        <v>70</v>
      </c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3"/>
    </row>
    <row r="40" spans="1:48">
      <c r="A40" s="41">
        <v>961145</v>
      </c>
      <c r="B40" s="1">
        <v>103</v>
      </c>
      <c r="C40" s="29" t="str">
        <f t="shared" si="4"/>
        <v>961145-103</v>
      </c>
      <c r="D40" s="28" t="s">
        <v>26</v>
      </c>
      <c r="E40" s="37" t="s">
        <v>51</v>
      </c>
      <c r="F40" s="31">
        <v>42340</v>
      </c>
      <c r="G40" s="38">
        <v>24.6</v>
      </c>
      <c r="H40" s="31">
        <v>42350</v>
      </c>
      <c r="I40" s="138"/>
      <c r="J40" s="87" t="s">
        <v>24</v>
      </c>
      <c r="K40" s="87" t="s">
        <v>24</v>
      </c>
      <c r="L40" s="87" t="s">
        <v>24</v>
      </c>
      <c r="M40" s="87" t="s">
        <v>24</v>
      </c>
      <c r="N40" s="87" t="s">
        <v>24</v>
      </c>
      <c r="O40" s="87" t="s">
        <v>24</v>
      </c>
      <c r="P40" s="87" t="s">
        <v>24</v>
      </c>
      <c r="Q40" s="87" t="s">
        <v>24</v>
      </c>
      <c r="R40" s="87" t="s">
        <v>24</v>
      </c>
      <c r="S40" s="93" t="s">
        <v>24</v>
      </c>
      <c r="T40" s="93" t="s">
        <v>24</v>
      </c>
      <c r="U40" s="93" t="s">
        <v>24</v>
      </c>
      <c r="V40" s="93" t="s">
        <v>24</v>
      </c>
      <c r="W40" s="93" t="s">
        <v>24</v>
      </c>
      <c r="X40" s="93" t="s">
        <v>24</v>
      </c>
      <c r="Y40" s="93" t="s">
        <v>70</v>
      </c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3"/>
    </row>
    <row r="41" spans="1:48">
      <c r="A41" s="42">
        <v>961145</v>
      </c>
      <c r="B41" s="4">
        <v>105</v>
      </c>
      <c r="C41" s="100" t="str">
        <f t="shared" si="4"/>
        <v>961145-105</v>
      </c>
      <c r="D41" s="4" t="s">
        <v>26</v>
      </c>
      <c r="E41" s="43" t="s">
        <v>49</v>
      </c>
      <c r="F41" s="44">
        <v>42340</v>
      </c>
      <c r="G41" s="45">
        <v>20.6</v>
      </c>
      <c r="H41" s="31">
        <v>42350</v>
      </c>
      <c r="I41" s="138"/>
      <c r="J41" s="87" t="s">
        <v>24</v>
      </c>
      <c r="K41" s="87" t="s">
        <v>24</v>
      </c>
      <c r="L41" s="87" t="s">
        <v>24</v>
      </c>
      <c r="M41" s="87" t="s">
        <v>24</v>
      </c>
      <c r="N41" s="87" t="s">
        <v>24</v>
      </c>
      <c r="O41" s="87" t="s">
        <v>24</v>
      </c>
      <c r="P41" s="87" t="s">
        <v>24</v>
      </c>
      <c r="Q41" s="87" t="s">
        <v>24</v>
      </c>
      <c r="R41" s="87" t="s">
        <v>24</v>
      </c>
      <c r="S41" s="94" t="s">
        <v>24</v>
      </c>
      <c r="T41" s="93" t="s">
        <v>24</v>
      </c>
      <c r="U41" s="93" t="s">
        <v>24</v>
      </c>
      <c r="V41" s="93" t="s">
        <v>24</v>
      </c>
      <c r="W41" s="93" t="s">
        <v>24</v>
      </c>
      <c r="X41" s="94" t="s">
        <v>24</v>
      </c>
      <c r="Y41" s="94" t="s">
        <v>70</v>
      </c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3"/>
    </row>
    <row r="42" spans="1:48" s="99" customFormat="1">
      <c r="A42" s="121"/>
      <c r="B42" s="101"/>
      <c r="C42" s="122"/>
      <c r="D42" s="101"/>
      <c r="E42" s="111"/>
      <c r="F42" s="123"/>
      <c r="G42" s="124"/>
      <c r="H42" s="123"/>
      <c r="I42" s="101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</row>
    <row r="43" spans="1:48" s="99" customFormat="1">
      <c r="A43" s="140"/>
      <c r="B43" s="98"/>
      <c r="C43" s="141"/>
      <c r="D43" s="98"/>
      <c r="F43" s="142"/>
      <c r="G43" s="143"/>
      <c r="H43" s="142"/>
      <c r="I43" s="98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</row>
    <row r="44" spans="1:48" ht="14.25" customHeight="1">
      <c r="A44" s="95"/>
      <c r="B44" s="95"/>
      <c r="C44" s="95"/>
      <c r="D44" s="51"/>
      <c r="E44" s="105" t="s">
        <v>20</v>
      </c>
      <c r="F44" s="96"/>
      <c r="G44" s="97"/>
      <c r="H44" s="277" t="s">
        <v>20</v>
      </c>
      <c r="I44" s="117" t="s">
        <v>65</v>
      </c>
      <c r="J44" s="87">
        <f t="shared" ref="J44:AU44" si="5">COUNTIF(J5:J41,"Alive")</f>
        <v>37</v>
      </c>
      <c r="K44" s="87">
        <f t="shared" si="5"/>
        <v>37</v>
      </c>
      <c r="L44" s="87">
        <f t="shared" si="5"/>
        <v>37</v>
      </c>
      <c r="M44" s="87">
        <f t="shared" si="5"/>
        <v>37</v>
      </c>
      <c r="N44" s="87">
        <f t="shared" si="5"/>
        <v>37</v>
      </c>
      <c r="O44" s="87">
        <f t="shared" si="5"/>
        <v>37</v>
      </c>
      <c r="P44" s="87">
        <f t="shared" si="5"/>
        <v>37</v>
      </c>
      <c r="Q44" s="87">
        <f t="shared" si="5"/>
        <v>37</v>
      </c>
      <c r="R44" s="87">
        <f t="shared" si="5"/>
        <v>37</v>
      </c>
      <c r="S44" s="87">
        <f t="shared" si="5"/>
        <v>30</v>
      </c>
      <c r="T44" s="87">
        <f t="shared" si="5"/>
        <v>29</v>
      </c>
      <c r="U44" s="87">
        <f t="shared" si="5"/>
        <v>28</v>
      </c>
      <c r="V44" s="87">
        <f t="shared" si="5"/>
        <v>25</v>
      </c>
      <c r="W44" s="87">
        <f t="shared" si="5"/>
        <v>23</v>
      </c>
      <c r="X44" s="87">
        <f t="shared" si="5"/>
        <v>20</v>
      </c>
      <c r="Y44" s="87">
        <f t="shared" si="5"/>
        <v>17</v>
      </c>
      <c r="Z44" s="87">
        <f t="shared" si="5"/>
        <v>16</v>
      </c>
      <c r="AA44" s="87">
        <f t="shared" si="5"/>
        <v>15</v>
      </c>
      <c r="AB44" s="87">
        <f t="shared" si="5"/>
        <v>11</v>
      </c>
      <c r="AC44" s="87">
        <f t="shared" si="5"/>
        <v>10</v>
      </c>
      <c r="AD44" s="87">
        <f t="shared" si="5"/>
        <v>8</v>
      </c>
      <c r="AE44" s="87">
        <f t="shared" si="5"/>
        <v>7</v>
      </c>
      <c r="AF44" s="87">
        <f t="shared" si="5"/>
        <v>7</v>
      </c>
      <c r="AG44" s="87">
        <f t="shared" si="5"/>
        <v>7</v>
      </c>
      <c r="AH44" s="87">
        <f t="shared" si="5"/>
        <v>4</v>
      </c>
      <c r="AI44" s="87">
        <f t="shared" si="5"/>
        <v>3</v>
      </c>
      <c r="AJ44" s="87">
        <f t="shared" si="5"/>
        <v>3</v>
      </c>
      <c r="AK44" s="87">
        <f t="shared" si="5"/>
        <v>2</v>
      </c>
      <c r="AL44" s="87">
        <f t="shared" si="5"/>
        <v>2</v>
      </c>
      <c r="AM44" s="87">
        <f t="shared" si="5"/>
        <v>2</v>
      </c>
      <c r="AN44" s="87">
        <f t="shared" si="5"/>
        <v>2</v>
      </c>
      <c r="AO44" s="87">
        <f t="shared" si="5"/>
        <v>1</v>
      </c>
      <c r="AP44" s="87">
        <f t="shared" si="5"/>
        <v>1</v>
      </c>
      <c r="AQ44" s="87">
        <f t="shared" si="5"/>
        <v>1</v>
      </c>
      <c r="AR44" s="87">
        <f t="shared" si="5"/>
        <v>1</v>
      </c>
      <c r="AS44" s="87">
        <f t="shared" si="5"/>
        <v>1</v>
      </c>
      <c r="AT44" s="87">
        <f t="shared" si="5"/>
        <v>0</v>
      </c>
      <c r="AU44" s="87">
        <f t="shared" si="5"/>
        <v>0</v>
      </c>
      <c r="AV44" s="3"/>
    </row>
    <row r="45" spans="1:48" ht="14.25" customHeight="1">
      <c r="A45" s="95"/>
      <c r="B45" s="95"/>
      <c r="C45" s="95"/>
      <c r="D45" s="51"/>
      <c r="E45" s="105"/>
      <c r="F45" s="96"/>
      <c r="G45" s="97"/>
      <c r="H45" s="277"/>
      <c r="I45" s="170" t="s">
        <v>66</v>
      </c>
      <c r="J45" s="91">
        <f t="shared" ref="J45:AU45" si="6">COUNTIF(J5:J41,"Censored")</f>
        <v>0</v>
      </c>
      <c r="K45" s="91">
        <f t="shared" si="6"/>
        <v>0</v>
      </c>
      <c r="L45" s="91">
        <f t="shared" si="6"/>
        <v>0</v>
      </c>
      <c r="M45" s="91">
        <f t="shared" si="6"/>
        <v>0</v>
      </c>
      <c r="N45" s="91">
        <f t="shared" si="6"/>
        <v>0</v>
      </c>
      <c r="O45" s="91">
        <f t="shared" si="6"/>
        <v>0</v>
      </c>
      <c r="P45" s="91">
        <f t="shared" si="6"/>
        <v>0</v>
      </c>
      <c r="Q45" s="91">
        <f t="shared" si="6"/>
        <v>0</v>
      </c>
      <c r="R45" s="91">
        <f t="shared" si="6"/>
        <v>0</v>
      </c>
      <c r="S45" s="91">
        <f t="shared" si="6"/>
        <v>0</v>
      </c>
      <c r="T45" s="91">
        <f t="shared" si="6"/>
        <v>0</v>
      </c>
      <c r="U45" s="91">
        <f t="shared" si="6"/>
        <v>0</v>
      </c>
      <c r="V45" s="91">
        <f t="shared" si="6"/>
        <v>0</v>
      </c>
      <c r="W45" s="91">
        <f t="shared" si="6"/>
        <v>0</v>
      </c>
      <c r="X45" s="91">
        <f t="shared" si="6"/>
        <v>0</v>
      </c>
      <c r="Y45" s="91">
        <f t="shared" si="6"/>
        <v>0</v>
      </c>
      <c r="Z45" s="91">
        <f t="shared" si="6"/>
        <v>0</v>
      </c>
      <c r="AA45" s="91">
        <f t="shared" si="6"/>
        <v>0</v>
      </c>
      <c r="AB45" s="91">
        <f t="shared" si="6"/>
        <v>0</v>
      </c>
      <c r="AC45" s="91">
        <f t="shared" si="6"/>
        <v>0</v>
      </c>
      <c r="AD45" s="91">
        <f t="shared" si="6"/>
        <v>0</v>
      </c>
      <c r="AE45" s="91">
        <f t="shared" si="6"/>
        <v>0</v>
      </c>
      <c r="AF45" s="91">
        <f t="shared" si="6"/>
        <v>0</v>
      </c>
      <c r="AG45" s="91">
        <f t="shared" si="6"/>
        <v>0</v>
      </c>
      <c r="AH45" s="91">
        <f t="shared" si="6"/>
        <v>0</v>
      </c>
      <c r="AI45" s="91">
        <f t="shared" si="6"/>
        <v>0</v>
      </c>
      <c r="AJ45" s="91">
        <f t="shared" si="6"/>
        <v>0</v>
      </c>
      <c r="AK45" s="91">
        <f t="shared" si="6"/>
        <v>0</v>
      </c>
      <c r="AL45" s="91">
        <f t="shared" si="6"/>
        <v>0</v>
      </c>
      <c r="AM45" s="91">
        <f t="shared" si="6"/>
        <v>0</v>
      </c>
      <c r="AN45" s="91">
        <f t="shared" si="6"/>
        <v>0</v>
      </c>
      <c r="AO45" s="91">
        <f t="shared" si="6"/>
        <v>0</v>
      </c>
      <c r="AP45" s="91">
        <f t="shared" si="6"/>
        <v>0</v>
      </c>
      <c r="AQ45" s="91">
        <f t="shared" si="6"/>
        <v>0</v>
      </c>
      <c r="AR45" s="91">
        <f t="shared" si="6"/>
        <v>0</v>
      </c>
      <c r="AS45" s="91">
        <f t="shared" si="6"/>
        <v>0</v>
      </c>
      <c r="AT45" s="91">
        <f t="shared" si="6"/>
        <v>0</v>
      </c>
      <c r="AU45" s="91">
        <f t="shared" si="6"/>
        <v>0</v>
      </c>
      <c r="AV45" s="3"/>
    </row>
    <row r="46" spans="1:48" ht="14.25" customHeight="1">
      <c r="A46" s="52"/>
      <c r="B46" s="51"/>
      <c r="C46" s="53"/>
      <c r="D46" s="51"/>
      <c r="E46" s="103"/>
      <c r="F46" s="80"/>
      <c r="G46" s="49"/>
      <c r="H46" s="277"/>
      <c r="I46" s="117" t="s">
        <v>68</v>
      </c>
      <c r="J46" s="83">
        <f>J44/(COUNTIF(J5:J41,"Alive")+COUNTIF(J5:J41,"Sacrificed")+COUNTIF(J5:J41,"Died"))</f>
        <v>1</v>
      </c>
      <c r="K46" s="83">
        <f t="shared" ref="K46:AU46" si="7">K44/(COUNTIF(K5:K41,"Alive")+COUNTIF(K5:K41,"Sacrificed")+COUNTIF(K5:K41,"Died")) *J46</f>
        <v>1</v>
      </c>
      <c r="L46" s="83">
        <f t="shared" si="7"/>
        <v>1</v>
      </c>
      <c r="M46" s="83">
        <f t="shared" si="7"/>
        <v>1</v>
      </c>
      <c r="N46" s="83">
        <f t="shared" si="7"/>
        <v>1</v>
      </c>
      <c r="O46" s="83">
        <f t="shared" si="7"/>
        <v>1</v>
      </c>
      <c r="P46" s="83">
        <f t="shared" si="7"/>
        <v>1</v>
      </c>
      <c r="Q46" s="83">
        <f t="shared" si="7"/>
        <v>1</v>
      </c>
      <c r="R46" s="83">
        <f t="shared" si="7"/>
        <v>1</v>
      </c>
      <c r="S46" s="83">
        <f t="shared" si="7"/>
        <v>0.81081081081081086</v>
      </c>
      <c r="T46" s="83">
        <f t="shared" si="7"/>
        <v>0.78378378378378388</v>
      </c>
      <c r="U46" s="83">
        <f t="shared" si="7"/>
        <v>0.75675675675675691</v>
      </c>
      <c r="V46" s="83">
        <f t="shared" si="7"/>
        <v>0.67567567567567588</v>
      </c>
      <c r="W46" s="83">
        <f t="shared" si="7"/>
        <v>0.62162162162162182</v>
      </c>
      <c r="X46" s="83">
        <f t="shared" si="7"/>
        <v>0.54054054054054068</v>
      </c>
      <c r="Y46" s="83">
        <f t="shared" si="7"/>
        <v>0.45945945945945954</v>
      </c>
      <c r="Z46" s="83">
        <f t="shared" si="7"/>
        <v>0.43243243243243251</v>
      </c>
      <c r="AA46" s="83">
        <f t="shared" si="7"/>
        <v>0.40540540540540548</v>
      </c>
      <c r="AB46" s="83">
        <f t="shared" si="7"/>
        <v>0.29729729729729731</v>
      </c>
      <c r="AC46" s="83">
        <f t="shared" si="7"/>
        <v>0.27027027027027029</v>
      </c>
      <c r="AD46" s="83">
        <f t="shared" si="7"/>
        <v>0.21621621621621623</v>
      </c>
      <c r="AE46" s="83">
        <f t="shared" si="7"/>
        <v>0.1891891891891892</v>
      </c>
      <c r="AF46" s="83">
        <f t="shared" si="7"/>
        <v>0.1891891891891892</v>
      </c>
      <c r="AG46" s="83">
        <f t="shared" si="7"/>
        <v>0.1891891891891892</v>
      </c>
      <c r="AH46" s="83">
        <f t="shared" si="7"/>
        <v>0.10810810810810811</v>
      </c>
      <c r="AI46" s="83">
        <f t="shared" si="7"/>
        <v>8.1081081081081086E-2</v>
      </c>
      <c r="AJ46" s="83">
        <f t="shared" si="7"/>
        <v>8.1081081081081086E-2</v>
      </c>
      <c r="AK46" s="83">
        <f t="shared" si="7"/>
        <v>5.4054054054054057E-2</v>
      </c>
      <c r="AL46" s="83">
        <f t="shared" si="7"/>
        <v>5.4054054054054057E-2</v>
      </c>
      <c r="AM46" s="83">
        <f t="shared" si="7"/>
        <v>5.4054054054054057E-2</v>
      </c>
      <c r="AN46" s="83">
        <f t="shared" si="7"/>
        <v>5.4054054054054057E-2</v>
      </c>
      <c r="AO46" s="83">
        <f t="shared" si="7"/>
        <v>2.7027027027027029E-2</v>
      </c>
      <c r="AP46" s="83">
        <f t="shared" si="7"/>
        <v>2.7027027027027029E-2</v>
      </c>
      <c r="AQ46" s="83">
        <f t="shared" si="7"/>
        <v>2.7027027027027029E-2</v>
      </c>
      <c r="AR46" s="83">
        <f t="shared" si="7"/>
        <v>2.7027027027027029E-2</v>
      </c>
      <c r="AS46" s="83">
        <f t="shared" si="7"/>
        <v>2.7027027027027029E-2</v>
      </c>
      <c r="AT46" s="83">
        <f t="shared" si="7"/>
        <v>0</v>
      </c>
      <c r="AU46" s="83" t="e">
        <f t="shared" si="7"/>
        <v>#DIV/0!</v>
      </c>
      <c r="AV46" s="3"/>
    </row>
    <row r="47" spans="1:48" ht="12.75" customHeight="1">
      <c r="A47" s="129"/>
      <c r="E47" s="104"/>
      <c r="I47" s="51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79"/>
    </row>
    <row r="48" spans="1:48" ht="14.25" customHeight="1">
      <c r="A48" s="129"/>
      <c r="E48" s="134" t="str">
        <f>'RAD_DOSE Groups'!C6</f>
        <v>PBS Control</v>
      </c>
      <c r="H48" s="134" t="str">
        <f>E48</f>
        <v>PBS Control</v>
      </c>
      <c r="I48" s="117" t="s">
        <v>67</v>
      </c>
      <c r="J48" s="87">
        <f t="shared" ref="J48:AU48" si="8">COUNTIFS($E$5:$E$41,$E48,J$5:J$41,"Alive")</f>
        <v>4</v>
      </c>
      <c r="K48" s="87">
        <f t="shared" si="8"/>
        <v>4</v>
      </c>
      <c r="L48" s="87">
        <f t="shared" si="8"/>
        <v>4</v>
      </c>
      <c r="M48" s="87">
        <f t="shared" si="8"/>
        <v>4</v>
      </c>
      <c r="N48" s="87">
        <f t="shared" si="8"/>
        <v>4</v>
      </c>
      <c r="O48" s="87">
        <f t="shared" si="8"/>
        <v>4</v>
      </c>
      <c r="P48" s="87">
        <f t="shared" si="8"/>
        <v>4</v>
      </c>
      <c r="Q48" s="87">
        <f t="shared" si="8"/>
        <v>4</v>
      </c>
      <c r="R48" s="87">
        <f t="shared" si="8"/>
        <v>4</v>
      </c>
      <c r="S48" s="87">
        <f t="shared" si="8"/>
        <v>0</v>
      </c>
      <c r="T48" s="87">
        <f t="shared" si="8"/>
        <v>0</v>
      </c>
      <c r="U48" s="87">
        <f t="shared" si="8"/>
        <v>0</v>
      </c>
      <c r="V48" s="87">
        <f t="shared" si="8"/>
        <v>0</v>
      </c>
      <c r="W48" s="87">
        <f t="shared" si="8"/>
        <v>0</v>
      </c>
      <c r="X48" s="87">
        <f t="shared" si="8"/>
        <v>0</v>
      </c>
      <c r="Y48" s="87">
        <f t="shared" si="8"/>
        <v>0</v>
      </c>
      <c r="Z48" s="87">
        <f t="shared" si="8"/>
        <v>0</v>
      </c>
      <c r="AA48" s="87">
        <f t="shared" si="8"/>
        <v>0</v>
      </c>
      <c r="AB48" s="87">
        <f t="shared" si="8"/>
        <v>0</v>
      </c>
      <c r="AC48" s="87">
        <f t="shared" si="8"/>
        <v>0</v>
      </c>
      <c r="AD48" s="87">
        <f t="shared" si="8"/>
        <v>0</v>
      </c>
      <c r="AE48" s="87">
        <f t="shared" si="8"/>
        <v>0</v>
      </c>
      <c r="AF48" s="87">
        <f t="shared" si="8"/>
        <v>0</v>
      </c>
      <c r="AG48" s="87">
        <f t="shared" si="8"/>
        <v>0</v>
      </c>
      <c r="AH48" s="87">
        <f t="shared" si="8"/>
        <v>0</v>
      </c>
      <c r="AI48" s="87">
        <f t="shared" si="8"/>
        <v>0</v>
      </c>
      <c r="AJ48" s="87">
        <f t="shared" si="8"/>
        <v>0</v>
      </c>
      <c r="AK48" s="87">
        <f t="shared" si="8"/>
        <v>0</v>
      </c>
      <c r="AL48" s="87">
        <f t="shared" si="8"/>
        <v>0</v>
      </c>
      <c r="AM48" s="87">
        <f t="shared" si="8"/>
        <v>0</v>
      </c>
      <c r="AN48" s="87">
        <f t="shared" si="8"/>
        <v>0</v>
      </c>
      <c r="AO48" s="87">
        <f t="shared" si="8"/>
        <v>0</v>
      </c>
      <c r="AP48" s="87">
        <f t="shared" si="8"/>
        <v>0</v>
      </c>
      <c r="AQ48" s="87">
        <f t="shared" si="8"/>
        <v>0</v>
      </c>
      <c r="AR48" s="87">
        <f t="shared" si="8"/>
        <v>0</v>
      </c>
      <c r="AS48" s="87">
        <f t="shared" si="8"/>
        <v>0</v>
      </c>
      <c r="AT48" s="87">
        <f t="shared" si="8"/>
        <v>0</v>
      </c>
      <c r="AU48" s="87">
        <f t="shared" si="8"/>
        <v>0</v>
      </c>
      <c r="AV48" s="85"/>
    </row>
    <row r="49" spans="1:48" ht="14.25" customHeight="1">
      <c r="A49" s="129"/>
      <c r="E49" s="104"/>
      <c r="H49" s="104"/>
      <c r="I49" s="170" t="s">
        <v>66</v>
      </c>
      <c r="J49" s="90">
        <f t="shared" ref="J49:AU49" si="9">COUNTIFS($E$5:$E$41,$E48,J$5:J$41,"Censored")</f>
        <v>0</v>
      </c>
      <c r="K49" s="90">
        <f t="shared" si="9"/>
        <v>0</v>
      </c>
      <c r="L49" s="90">
        <f t="shared" si="9"/>
        <v>0</v>
      </c>
      <c r="M49" s="90">
        <f t="shared" si="9"/>
        <v>0</v>
      </c>
      <c r="N49" s="90">
        <f t="shared" si="9"/>
        <v>0</v>
      </c>
      <c r="O49" s="90">
        <f t="shared" si="9"/>
        <v>0</v>
      </c>
      <c r="P49" s="90">
        <f t="shared" si="9"/>
        <v>0</v>
      </c>
      <c r="Q49" s="90">
        <f t="shared" si="9"/>
        <v>0</v>
      </c>
      <c r="R49" s="90">
        <f t="shared" si="9"/>
        <v>0</v>
      </c>
      <c r="S49" s="90">
        <f t="shared" si="9"/>
        <v>0</v>
      </c>
      <c r="T49" s="90">
        <f t="shared" si="9"/>
        <v>0</v>
      </c>
      <c r="U49" s="90">
        <f t="shared" si="9"/>
        <v>0</v>
      </c>
      <c r="V49" s="90">
        <f t="shared" si="9"/>
        <v>0</v>
      </c>
      <c r="W49" s="90">
        <f t="shared" si="9"/>
        <v>0</v>
      </c>
      <c r="X49" s="90">
        <f t="shared" si="9"/>
        <v>0</v>
      </c>
      <c r="Y49" s="90">
        <f t="shared" si="9"/>
        <v>0</v>
      </c>
      <c r="Z49" s="90">
        <f t="shared" si="9"/>
        <v>0</v>
      </c>
      <c r="AA49" s="90">
        <f t="shared" si="9"/>
        <v>0</v>
      </c>
      <c r="AB49" s="90">
        <f t="shared" si="9"/>
        <v>0</v>
      </c>
      <c r="AC49" s="90">
        <f t="shared" si="9"/>
        <v>0</v>
      </c>
      <c r="AD49" s="90">
        <f t="shared" si="9"/>
        <v>0</v>
      </c>
      <c r="AE49" s="90">
        <f t="shared" si="9"/>
        <v>0</v>
      </c>
      <c r="AF49" s="90">
        <f t="shared" si="9"/>
        <v>0</v>
      </c>
      <c r="AG49" s="90">
        <f t="shared" si="9"/>
        <v>0</v>
      </c>
      <c r="AH49" s="90">
        <f t="shared" si="9"/>
        <v>0</v>
      </c>
      <c r="AI49" s="90">
        <f t="shared" si="9"/>
        <v>0</v>
      </c>
      <c r="AJ49" s="90">
        <f t="shared" si="9"/>
        <v>0</v>
      </c>
      <c r="AK49" s="90">
        <f t="shared" si="9"/>
        <v>0</v>
      </c>
      <c r="AL49" s="90">
        <f t="shared" si="9"/>
        <v>0</v>
      </c>
      <c r="AM49" s="90">
        <f t="shared" si="9"/>
        <v>0</v>
      </c>
      <c r="AN49" s="90">
        <f t="shared" si="9"/>
        <v>0</v>
      </c>
      <c r="AO49" s="90">
        <f t="shared" si="9"/>
        <v>0</v>
      </c>
      <c r="AP49" s="90">
        <f t="shared" si="9"/>
        <v>0</v>
      </c>
      <c r="AQ49" s="90">
        <f t="shared" si="9"/>
        <v>0</v>
      </c>
      <c r="AR49" s="90">
        <f t="shared" si="9"/>
        <v>0</v>
      </c>
      <c r="AS49" s="90">
        <f t="shared" si="9"/>
        <v>0</v>
      </c>
      <c r="AT49" s="90">
        <f t="shared" si="9"/>
        <v>0</v>
      </c>
      <c r="AU49" s="90">
        <f t="shared" si="9"/>
        <v>0</v>
      </c>
      <c r="AV49" s="85"/>
    </row>
    <row r="50" spans="1:48" ht="14.25" customHeight="1">
      <c r="A50" s="52"/>
      <c r="B50" s="51"/>
      <c r="C50" s="53"/>
      <c r="D50" s="51"/>
      <c r="E50" s="103"/>
      <c r="F50" s="80"/>
      <c r="G50" s="49"/>
      <c r="H50" s="104"/>
      <c r="I50" s="170" t="s">
        <v>68</v>
      </c>
      <c r="J50" s="83">
        <f>J48/(COUNTIFS($E$5:$E$41,$E48,J$5:J$41,"Alive")+COUNTIFS($E$5:$E$41,$E48,J$5:J$41,"Sacrificed")+COUNTIFS($E$5:$E$41,$E48,J$5:J$41,"Died"))</f>
        <v>1</v>
      </c>
      <c r="K50" s="83">
        <f t="shared" ref="K50:AU50" si="10">K48/(COUNTIFS($E$5:$E$41,$E48,K$5:K$41,"Alive")+COUNTIFS($E$5:$E$41,$E48,K$5:K$41,"Sacrificed")+COUNTIFS($E$5:$E$41,$E48,K$5:K$41,"Died"))*J50</f>
        <v>1</v>
      </c>
      <c r="L50" s="83">
        <f t="shared" si="10"/>
        <v>1</v>
      </c>
      <c r="M50" s="83">
        <f t="shared" si="10"/>
        <v>1</v>
      </c>
      <c r="N50" s="83">
        <f t="shared" si="10"/>
        <v>1</v>
      </c>
      <c r="O50" s="83">
        <f t="shared" si="10"/>
        <v>1</v>
      </c>
      <c r="P50" s="83">
        <f t="shared" si="10"/>
        <v>1</v>
      </c>
      <c r="Q50" s="83">
        <f t="shared" si="10"/>
        <v>1</v>
      </c>
      <c r="R50" s="83">
        <f t="shared" si="10"/>
        <v>1</v>
      </c>
      <c r="S50" s="83">
        <f t="shared" si="10"/>
        <v>0</v>
      </c>
      <c r="T50" s="83" t="e">
        <f t="shared" si="10"/>
        <v>#DIV/0!</v>
      </c>
      <c r="U50" s="83" t="e">
        <f t="shared" si="10"/>
        <v>#DIV/0!</v>
      </c>
      <c r="V50" s="83" t="e">
        <f t="shared" si="10"/>
        <v>#DIV/0!</v>
      </c>
      <c r="W50" s="83" t="e">
        <f t="shared" si="10"/>
        <v>#DIV/0!</v>
      </c>
      <c r="X50" s="83" t="e">
        <f t="shared" si="10"/>
        <v>#DIV/0!</v>
      </c>
      <c r="Y50" s="83" t="e">
        <f t="shared" si="10"/>
        <v>#DIV/0!</v>
      </c>
      <c r="Z50" s="83" t="e">
        <f t="shared" si="10"/>
        <v>#DIV/0!</v>
      </c>
      <c r="AA50" s="83" t="e">
        <f t="shared" si="10"/>
        <v>#DIV/0!</v>
      </c>
      <c r="AB50" s="83" t="e">
        <f t="shared" si="10"/>
        <v>#DIV/0!</v>
      </c>
      <c r="AC50" s="83" t="e">
        <f t="shared" si="10"/>
        <v>#DIV/0!</v>
      </c>
      <c r="AD50" s="83" t="e">
        <f t="shared" si="10"/>
        <v>#DIV/0!</v>
      </c>
      <c r="AE50" s="83" t="e">
        <f t="shared" si="10"/>
        <v>#DIV/0!</v>
      </c>
      <c r="AF50" s="83" t="e">
        <f t="shared" si="10"/>
        <v>#DIV/0!</v>
      </c>
      <c r="AG50" s="83" t="e">
        <f t="shared" si="10"/>
        <v>#DIV/0!</v>
      </c>
      <c r="AH50" s="83" t="e">
        <f t="shared" si="10"/>
        <v>#DIV/0!</v>
      </c>
      <c r="AI50" s="83" t="e">
        <f t="shared" si="10"/>
        <v>#DIV/0!</v>
      </c>
      <c r="AJ50" s="83" t="e">
        <f t="shared" si="10"/>
        <v>#DIV/0!</v>
      </c>
      <c r="AK50" s="83" t="e">
        <f t="shared" si="10"/>
        <v>#DIV/0!</v>
      </c>
      <c r="AL50" s="83" t="e">
        <f t="shared" si="10"/>
        <v>#DIV/0!</v>
      </c>
      <c r="AM50" s="83" t="e">
        <f t="shared" si="10"/>
        <v>#DIV/0!</v>
      </c>
      <c r="AN50" s="83" t="e">
        <f t="shared" si="10"/>
        <v>#DIV/0!</v>
      </c>
      <c r="AO50" s="83" t="e">
        <f t="shared" si="10"/>
        <v>#DIV/0!</v>
      </c>
      <c r="AP50" s="83" t="e">
        <f t="shared" si="10"/>
        <v>#DIV/0!</v>
      </c>
      <c r="AQ50" s="83" t="e">
        <f t="shared" si="10"/>
        <v>#DIV/0!</v>
      </c>
      <c r="AR50" s="83" t="e">
        <f t="shared" si="10"/>
        <v>#DIV/0!</v>
      </c>
      <c r="AS50" s="83" t="e">
        <f t="shared" si="10"/>
        <v>#DIV/0!</v>
      </c>
      <c r="AT50" s="83" t="e">
        <f t="shared" si="10"/>
        <v>#DIV/0!</v>
      </c>
      <c r="AU50" s="83" t="e">
        <f t="shared" si="10"/>
        <v>#DIV/0!</v>
      </c>
      <c r="AV50" s="3"/>
    </row>
    <row r="51" spans="1:48" ht="15">
      <c r="A51" s="129"/>
      <c r="E51" s="58"/>
      <c r="H51" s="58"/>
    </row>
    <row r="52" spans="1:48" ht="14.25" customHeight="1">
      <c r="A52" s="129"/>
      <c r="E52" s="134" t="str">
        <f>'RAD_DOSE Groups'!C7</f>
        <v>CP-PTX Control</v>
      </c>
      <c r="H52" s="134" t="str">
        <f>E52</f>
        <v>CP-PTX Control</v>
      </c>
      <c r="I52" s="170" t="s">
        <v>67</v>
      </c>
      <c r="J52" s="87">
        <f t="shared" ref="J52:AU52" si="11">COUNTIFS($E$5:$E$41,$E52,J$5:J$41,"Alive")</f>
        <v>4</v>
      </c>
      <c r="K52" s="87">
        <f t="shared" si="11"/>
        <v>4</v>
      </c>
      <c r="L52" s="87">
        <f t="shared" si="11"/>
        <v>4</v>
      </c>
      <c r="M52" s="87">
        <f t="shared" si="11"/>
        <v>4</v>
      </c>
      <c r="N52" s="87">
        <f t="shared" si="11"/>
        <v>4</v>
      </c>
      <c r="O52" s="87">
        <f t="shared" si="11"/>
        <v>4</v>
      </c>
      <c r="P52" s="87">
        <f t="shared" si="11"/>
        <v>4</v>
      </c>
      <c r="Q52" s="87">
        <f t="shared" si="11"/>
        <v>4</v>
      </c>
      <c r="R52" s="87">
        <f t="shared" si="11"/>
        <v>4</v>
      </c>
      <c r="S52" s="87">
        <f t="shared" si="11"/>
        <v>1</v>
      </c>
      <c r="T52" s="87">
        <f t="shared" si="11"/>
        <v>1</v>
      </c>
      <c r="U52" s="87">
        <f t="shared" si="11"/>
        <v>1</v>
      </c>
      <c r="V52" s="87">
        <f t="shared" si="11"/>
        <v>1</v>
      </c>
      <c r="W52" s="87">
        <f t="shared" si="11"/>
        <v>0</v>
      </c>
      <c r="X52" s="87">
        <f t="shared" si="11"/>
        <v>0</v>
      </c>
      <c r="Y52" s="87">
        <f t="shared" si="11"/>
        <v>0</v>
      </c>
      <c r="Z52" s="87">
        <f t="shared" si="11"/>
        <v>0</v>
      </c>
      <c r="AA52" s="87">
        <f t="shared" si="11"/>
        <v>0</v>
      </c>
      <c r="AB52" s="87">
        <f t="shared" si="11"/>
        <v>0</v>
      </c>
      <c r="AC52" s="87">
        <f t="shared" si="11"/>
        <v>0</v>
      </c>
      <c r="AD52" s="87">
        <f t="shared" si="11"/>
        <v>0</v>
      </c>
      <c r="AE52" s="87">
        <f t="shared" si="11"/>
        <v>0</v>
      </c>
      <c r="AF52" s="87">
        <f t="shared" si="11"/>
        <v>0</v>
      </c>
      <c r="AG52" s="87">
        <f t="shared" si="11"/>
        <v>0</v>
      </c>
      <c r="AH52" s="87">
        <f t="shared" si="11"/>
        <v>0</v>
      </c>
      <c r="AI52" s="87">
        <f t="shared" si="11"/>
        <v>0</v>
      </c>
      <c r="AJ52" s="87">
        <f t="shared" si="11"/>
        <v>0</v>
      </c>
      <c r="AK52" s="87">
        <f t="shared" si="11"/>
        <v>0</v>
      </c>
      <c r="AL52" s="87">
        <f t="shared" si="11"/>
        <v>0</v>
      </c>
      <c r="AM52" s="87">
        <f t="shared" si="11"/>
        <v>0</v>
      </c>
      <c r="AN52" s="87">
        <f t="shared" si="11"/>
        <v>0</v>
      </c>
      <c r="AO52" s="87">
        <f t="shared" si="11"/>
        <v>0</v>
      </c>
      <c r="AP52" s="87">
        <f t="shared" si="11"/>
        <v>0</v>
      </c>
      <c r="AQ52" s="87">
        <f t="shared" si="11"/>
        <v>0</v>
      </c>
      <c r="AR52" s="87">
        <f t="shared" si="11"/>
        <v>0</v>
      </c>
      <c r="AS52" s="87">
        <f t="shared" si="11"/>
        <v>0</v>
      </c>
      <c r="AT52" s="87">
        <f t="shared" si="11"/>
        <v>0</v>
      </c>
      <c r="AU52" s="87">
        <f t="shared" si="11"/>
        <v>0</v>
      </c>
      <c r="AV52" s="85"/>
    </row>
    <row r="53" spans="1:48" ht="14.25" customHeight="1">
      <c r="A53" s="129"/>
      <c r="E53" s="104"/>
      <c r="H53" s="104"/>
      <c r="I53" s="170" t="s">
        <v>66</v>
      </c>
      <c r="J53" s="90">
        <f t="shared" ref="J53:AU53" si="12">COUNTIFS($E$5:$E$41,$E52,J$5:J$41,"Censored")</f>
        <v>0</v>
      </c>
      <c r="K53" s="90">
        <f t="shared" si="12"/>
        <v>0</v>
      </c>
      <c r="L53" s="90">
        <f t="shared" si="12"/>
        <v>0</v>
      </c>
      <c r="M53" s="90">
        <f t="shared" si="12"/>
        <v>0</v>
      </c>
      <c r="N53" s="90">
        <f t="shared" si="12"/>
        <v>0</v>
      </c>
      <c r="O53" s="90">
        <f t="shared" si="12"/>
        <v>0</v>
      </c>
      <c r="P53" s="90">
        <f t="shared" si="12"/>
        <v>0</v>
      </c>
      <c r="Q53" s="90">
        <f t="shared" si="12"/>
        <v>0</v>
      </c>
      <c r="R53" s="90">
        <f t="shared" si="12"/>
        <v>0</v>
      </c>
      <c r="S53" s="90">
        <f t="shared" si="12"/>
        <v>0</v>
      </c>
      <c r="T53" s="90">
        <f t="shared" si="12"/>
        <v>0</v>
      </c>
      <c r="U53" s="90">
        <f t="shared" si="12"/>
        <v>0</v>
      </c>
      <c r="V53" s="90">
        <f t="shared" si="12"/>
        <v>0</v>
      </c>
      <c r="W53" s="90">
        <f t="shared" si="12"/>
        <v>0</v>
      </c>
      <c r="X53" s="90">
        <f t="shared" si="12"/>
        <v>0</v>
      </c>
      <c r="Y53" s="90">
        <f t="shared" si="12"/>
        <v>0</v>
      </c>
      <c r="Z53" s="90">
        <f t="shared" si="12"/>
        <v>0</v>
      </c>
      <c r="AA53" s="90">
        <f t="shared" si="12"/>
        <v>0</v>
      </c>
      <c r="AB53" s="90">
        <f t="shared" si="12"/>
        <v>0</v>
      </c>
      <c r="AC53" s="90">
        <f t="shared" si="12"/>
        <v>0</v>
      </c>
      <c r="AD53" s="90">
        <f t="shared" si="12"/>
        <v>0</v>
      </c>
      <c r="AE53" s="90">
        <f t="shared" si="12"/>
        <v>0</v>
      </c>
      <c r="AF53" s="90">
        <f t="shared" si="12"/>
        <v>0</v>
      </c>
      <c r="AG53" s="90">
        <f t="shared" si="12"/>
        <v>0</v>
      </c>
      <c r="AH53" s="90">
        <f t="shared" si="12"/>
        <v>0</v>
      </c>
      <c r="AI53" s="90">
        <f t="shared" si="12"/>
        <v>0</v>
      </c>
      <c r="AJ53" s="90">
        <f t="shared" si="12"/>
        <v>0</v>
      </c>
      <c r="AK53" s="90">
        <f t="shared" si="12"/>
        <v>0</v>
      </c>
      <c r="AL53" s="90">
        <f t="shared" si="12"/>
        <v>0</v>
      </c>
      <c r="AM53" s="90">
        <f t="shared" si="12"/>
        <v>0</v>
      </c>
      <c r="AN53" s="90">
        <f t="shared" si="12"/>
        <v>0</v>
      </c>
      <c r="AO53" s="90">
        <f t="shared" si="12"/>
        <v>0</v>
      </c>
      <c r="AP53" s="90">
        <f t="shared" si="12"/>
        <v>0</v>
      </c>
      <c r="AQ53" s="90">
        <f t="shared" si="12"/>
        <v>0</v>
      </c>
      <c r="AR53" s="90">
        <f t="shared" si="12"/>
        <v>0</v>
      </c>
      <c r="AS53" s="90">
        <f t="shared" si="12"/>
        <v>0</v>
      </c>
      <c r="AT53" s="90">
        <f t="shared" si="12"/>
        <v>0</v>
      </c>
      <c r="AU53" s="90">
        <f t="shared" si="12"/>
        <v>0</v>
      </c>
      <c r="AV53" s="85"/>
    </row>
    <row r="54" spans="1:48" ht="14.25" customHeight="1">
      <c r="A54" s="52"/>
      <c r="B54" s="51"/>
      <c r="C54" s="53"/>
      <c r="D54" s="51"/>
      <c r="E54" s="103"/>
      <c r="F54" s="80"/>
      <c r="G54" s="49"/>
      <c r="H54" s="104"/>
      <c r="I54" s="170" t="s">
        <v>68</v>
      </c>
      <c r="J54" s="83">
        <f>J52/(COUNTIFS($E$5:$E$41,$E52,J$5:J$41,"Alive")+COUNTIFS($E$5:$E$41,$E52,J$5:J$41,"Sacrificed")+COUNTIFS($E$5:$E$41,$E52,J$5:J$41,"Died"))</f>
        <v>1</v>
      </c>
      <c r="K54" s="83">
        <f t="shared" ref="K54:AU54" si="13">K52/(COUNTIFS($E$5:$E$41,$E52,K$5:K$41,"Alive")+COUNTIFS($E$5:$E$41,$E52,K$5:K$41,"Sacrificed")+COUNTIFS($E$5:$E$41,$E52,K$5:K$41,"Died"))*J54</f>
        <v>1</v>
      </c>
      <c r="L54" s="83">
        <f t="shared" si="13"/>
        <v>1</v>
      </c>
      <c r="M54" s="83">
        <f t="shared" si="13"/>
        <v>1</v>
      </c>
      <c r="N54" s="83">
        <f t="shared" si="13"/>
        <v>1</v>
      </c>
      <c r="O54" s="83">
        <f t="shared" si="13"/>
        <v>1</v>
      </c>
      <c r="P54" s="83">
        <f t="shared" si="13"/>
        <v>1</v>
      </c>
      <c r="Q54" s="83">
        <f t="shared" si="13"/>
        <v>1</v>
      </c>
      <c r="R54" s="83">
        <f t="shared" si="13"/>
        <v>1</v>
      </c>
      <c r="S54" s="83">
        <f t="shared" si="13"/>
        <v>0.25</v>
      </c>
      <c r="T54" s="83">
        <f t="shared" si="13"/>
        <v>0.25</v>
      </c>
      <c r="U54" s="83">
        <f t="shared" si="13"/>
        <v>0.25</v>
      </c>
      <c r="V54" s="83">
        <f t="shared" si="13"/>
        <v>0.25</v>
      </c>
      <c r="W54" s="83">
        <f t="shared" si="13"/>
        <v>0</v>
      </c>
      <c r="X54" s="83" t="e">
        <f t="shared" si="13"/>
        <v>#DIV/0!</v>
      </c>
      <c r="Y54" s="83" t="e">
        <f t="shared" si="13"/>
        <v>#DIV/0!</v>
      </c>
      <c r="Z54" s="83" t="e">
        <f t="shared" si="13"/>
        <v>#DIV/0!</v>
      </c>
      <c r="AA54" s="83" t="e">
        <f t="shared" si="13"/>
        <v>#DIV/0!</v>
      </c>
      <c r="AB54" s="83" t="e">
        <f t="shared" si="13"/>
        <v>#DIV/0!</v>
      </c>
      <c r="AC54" s="83" t="e">
        <f t="shared" si="13"/>
        <v>#DIV/0!</v>
      </c>
      <c r="AD54" s="83" t="e">
        <f t="shared" si="13"/>
        <v>#DIV/0!</v>
      </c>
      <c r="AE54" s="83" t="e">
        <f t="shared" si="13"/>
        <v>#DIV/0!</v>
      </c>
      <c r="AF54" s="83" t="e">
        <f t="shared" si="13"/>
        <v>#DIV/0!</v>
      </c>
      <c r="AG54" s="83" t="e">
        <f t="shared" si="13"/>
        <v>#DIV/0!</v>
      </c>
      <c r="AH54" s="83" t="e">
        <f t="shared" si="13"/>
        <v>#DIV/0!</v>
      </c>
      <c r="AI54" s="83" t="e">
        <f t="shared" si="13"/>
        <v>#DIV/0!</v>
      </c>
      <c r="AJ54" s="83" t="e">
        <f t="shared" si="13"/>
        <v>#DIV/0!</v>
      </c>
      <c r="AK54" s="83" t="e">
        <f t="shared" si="13"/>
        <v>#DIV/0!</v>
      </c>
      <c r="AL54" s="83" t="e">
        <f t="shared" si="13"/>
        <v>#DIV/0!</v>
      </c>
      <c r="AM54" s="83" t="e">
        <f t="shared" si="13"/>
        <v>#DIV/0!</v>
      </c>
      <c r="AN54" s="83" t="e">
        <f t="shared" si="13"/>
        <v>#DIV/0!</v>
      </c>
      <c r="AO54" s="83" t="e">
        <f t="shared" si="13"/>
        <v>#DIV/0!</v>
      </c>
      <c r="AP54" s="83" t="e">
        <f t="shared" si="13"/>
        <v>#DIV/0!</v>
      </c>
      <c r="AQ54" s="83" t="e">
        <f t="shared" si="13"/>
        <v>#DIV/0!</v>
      </c>
      <c r="AR54" s="83" t="e">
        <f t="shared" si="13"/>
        <v>#DIV/0!</v>
      </c>
      <c r="AS54" s="83" t="e">
        <f t="shared" si="13"/>
        <v>#DIV/0!</v>
      </c>
      <c r="AT54" s="83" t="e">
        <f t="shared" si="13"/>
        <v>#DIV/0!</v>
      </c>
      <c r="AU54" s="83" t="e">
        <f t="shared" si="13"/>
        <v>#DIV/0!</v>
      </c>
      <c r="AV54" s="3"/>
    </row>
    <row r="56" spans="1:48" ht="14.25" customHeight="1">
      <c r="A56" s="129"/>
      <c r="E56" s="134" t="str">
        <f>'RAD_DOSE Groups'!C8</f>
        <v>3.3 uCi Control</v>
      </c>
      <c r="H56" s="134" t="str">
        <f>E56</f>
        <v>3.3 uCi Control</v>
      </c>
      <c r="I56" s="170" t="s">
        <v>67</v>
      </c>
      <c r="J56" s="87">
        <f t="shared" ref="J56:AU56" si="14">COUNTIFS($E$5:$E$41,$E56,J$5:J$41,"Alive")</f>
        <v>5</v>
      </c>
      <c r="K56" s="87">
        <f t="shared" si="14"/>
        <v>5</v>
      </c>
      <c r="L56" s="87">
        <f t="shared" si="14"/>
        <v>5</v>
      </c>
      <c r="M56" s="87">
        <f t="shared" si="14"/>
        <v>5</v>
      </c>
      <c r="N56" s="87">
        <f t="shared" si="14"/>
        <v>5</v>
      </c>
      <c r="O56" s="87">
        <f t="shared" si="14"/>
        <v>5</v>
      </c>
      <c r="P56" s="87">
        <f t="shared" si="14"/>
        <v>5</v>
      </c>
      <c r="Q56" s="87">
        <f t="shared" si="14"/>
        <v>5</v>
      </c>
      <c r="R56" s="87">
        <f t="shared" si="14"/>
        <v>5</v>
      </c>
      <c r="S56" s="87">
        <f t="shared" si="14"/>
        <v>5</v>
      </c>
      <c r="T56" s="87">
        <f t="shared" si="14"/>
        <v>4</v>
      </c>
      <c r="U56" s="87">
        <f t="shared" si="14"/>
        <v>3</v>
      </c>
      <c r="V56" s="87">
        <f t="shared" si="14"/>
        <v>1</v>
      </c>
      <c r="W56" s="87">
        <f t="shared" si="14"/>
        <v>1</v>
      </c>
      <c r="X56" s="87">
        <f t="shared" si="14"/>
        <v>0</v>
      </c>
      <c r="Y56" s="87">
        <f t="shared" si="14"/>
        <v>0</v>
      </c>
      <c r="Z56" s="87">
        <f t="shared" si="14"/>
        <v>0</v>
      </c>
      <c r="AA56" s="87">
        <f t="shared" si="14"/>
        <v>0</v>
      </c>
      <c r="AB56" s="87">
        <f t="shared" si="14"/>
        <v>0</v>
      </c>
      <c r="AC56" s="87">
        <f t="shared" si="14"/>
        <v>0</v>
      </c>
      <c r="AD56" s="87">
        <f t="shared" si="14"/>
        <v>0</v>
      </c>
      <c r="AE56" s="87">
        <f t="shared" si="14"/>
        <v>0</v>
      </c>
      <c r="AF56" s="87">
        <f t="shared" si="14"/>
        <v>0</v>
      </c>
      <c r="AG56" s="87">
        <f t="shared" si="14"/>
        <v>0</v>
      </c>
      <c r="AH56" s="87">
        <f t="shared" si="14"/>
        <v>0</v>
      </c>
      <c r="AI56" s="87">
        <f t="shared" si="14"/>
        <v>0</v>
      </c>
      <c r="AJ56" s="87">
        <f t="shared" si="14"/>
        <v>0</v>
      </c>
      <c r="AK56" s="87">
        <f t="shared" si="14"/>
        <v>0</v>
      </c>
      <c r="AL56" s="87">
        <f t="shared" si="14"/>
        <v>0</v>
      </c>
      <c r="AM56" s="87">
        <f t="shared" si="14"/>
        <v>0</v>
      </c>
      <c r="AN56" s="87">
        <f t="shared" si="14"/>
        <v>0</v>
      </c>
      <c r="AO56" s="87">
        <f t="shared" si="14"/>
        <v>0</v>
      </c>
      <c r="AP56" s="87">
        <f t="shared" si="14"/>
        <v>0</v>
      </c>
      <c r="AQ56" s="87">
        <f t="shared" si="14"/>
        <v>0</v>
      </c>
      <c r="AR56" s="87">
        <f t="shared" si="14"/>
        <v>0</v>
      </c>
      <c r="AS56" s="87">
        <f t="shared" si="14"/>
        <v>0</v>
      </c>
      <c r="AT56" s="87">
        <f t="shared" si="14"/>
        <v>0</v>
      </c>
      <c r="AU56" s="87">
        <f t="shared" si="14"/>
        <v>0</v>
      </c>
      <c r="AV56" s="85"/>
    </row>
    <row r="57" spans="1:48" ht="14.25" customHeight="1">
      <c r="A57" s="129"/>
      <c r="E57" s="104"/>
      <c r="H57" s="104"/>
      <c r="I57" s="170" t="s">
        <v>66</v>
      </c>
      <c r="J57" s="90">
        <f t="shared" ref="J57:AU57" si="15">COUNTIFS($E$5:$E$41,$E56,J$5:J$41,"Censored")</f>
        <v>0</v>
      </c>
      <c r="K57" s="90">
        <f t="shared" si="15"/>
        <v>0</v>
      </c>
      <c r="L57" s="90">
        <f t="shared" si="15"/>
        <v>0</v>
      </c>
      <c r="M57" s="90">
        <f t="shared" si="15"/>
        <v>0</v>
      </c>
      <c r="N57" s="90">
        <f t="shared" si="15"/>
        <v>0</v>
      </c>
      <c r="O57" s="90">
        <f t="shared" si="15"/>
        <v>0</v>
      </c>
      <c r="P57" s="90">
        <f t="shared" si="15"/>
        <v>0</v>
      </c>
      <c r="Q57" s="90">
        <f t="shared" si="15"/>
        <v>0</v>
      </c>
      <c r="R57" s="90">
        <f t="shared" si="15"/>
        <v>0</v>
      </c>
      <c r="S57" s="90">
        <f t="shared" si="15"/>
        <v>0</v>
      </c>
      <c r="T57" s="90">
        <f t="shared" si="15"/>
        <v>0</v>
      </c>
      <c r="U57" s="90">
        <f t="shared" si="15"/>
        <v>0</v>
      </c>
      <c r="V57" s="90">
        <f t="shared" si="15"/>
        <v>0</v>
      </c>
      <c r="W57" s="90">
        <f t="shared" si="15"/>
        <v>0</v>
      </c>
      <c r="X57" s="90">
        <f t="shared" si="15"/>
        <v>0</v>
      </c>
      <c r="Y57" s="90">
        <f t="shared" si="15"/>
        <v>0</v>
      </c>
      <c r="Z57" s="90">
        <f t="shared" si="15"/>
        <v>0</v>
      </c>
      <c r="AA57" s="90">
        <f t="shared" si="15"/>
        <v>0</v>
      </c>
      <c r="AB57" s="90">
        <f t="shared" si="15"/>
        <v>0</v>
      </c>
      <c r="AC57" s="90">
        <f t="shared" si="15"/>
        <v>0</v>
      </c>
      <c r="AD57" s="90">
        <f t="shared" si="15"/>
        <v>0</v>
      </c>
      <c r="AE57" s="90">
        <f t="shared" si="15"/>
        <v>0</v>
      </c>
      <c r="AF57" s="90">
        <f t="shared" si="15"/>
        <v>0</v>
      </c>
      <c r="AG57" s="90">
        <f t="shared" si="15"/>
        <v>0</v>
      </c>
      <c r="AH57" s="90">
        <f t="shared" si="15"/>
        <v>0</v>
      </c>
      <c r="AI57" s="90">
        <f t="shared" si="15"/>
        <v>0</v>
      </c>
      <c r="AJ57" s="90">
        <f t="shared" si="15"/>
        <v>0</v>
      </c>
      <c r="AK57" s="90">
        <f t="shared" si="15"/>
        <v>0</v>
      </c>
      <c r="AL57" s="90">
        <f t="shared" si="15"/>
        <v>0</v>
      </c>
      <c r="AM57" s="90">
        <f t="shared" si="15"/>
        <v>0</v>
      </c>
      <c r="AN57" s="90">
        <f t="shared" si="15"/>
        <v>0</v>
      </c>
      <c r="AO57" s="90">
        <f t="shared" si="15"/>
        <v>0</v>
      </c>
      <c r="AP57" s="90">
        <f t="shared" si="15"/>
        <v>0</v>
      </c>
      <c r="AQ57" s="90">
        <f t="shared" si="15"/>
        <v>0</v>
      </c>
      <c r="AR57" s="90">
        <f t="shared" si="15"/>
        <v>0</v>
      </c>
      <c r="AS57" s="90">
        <f t="shared" si="15"/>
        <v>0</v>
      </c>
      <c r="AT57" s="90">
        <f t="shared" si="15"/>
        <v>0</v>
      </c>
      <c r="AU57" s="90">
        <f t="shared" si="15"/>
        <v>0</v>
      </c>
      <c r="AV57" s="85"/>
    </row>
    <row r="58" spans="1:48" ht="14.25" customHeight="1">
      <c r="A58" s="52"/>
      <c r="B58" s="51"/>
      <c r="C58" s="53"/>
      <c r="D58" s="51"/>
      <c r="E58" s="103"/>
      <c r="F58" s="80"/>
      <c r="G58" s="49"/>
      <c r="H58" s="104"/>
      <c r="I58" s="170" t="s">
        <v>68</v>
      </c>
      <c r="J58" s="83">
        <f>J56/(COUNTIFS($E$5:$E$41,$E56,J$5:J$41,"Alive")+COUNTIFS($E$5:$E$41,$E56,J$5:J$41,"Sacrificed")+COUNTIFS($E$5:$E$41,$E56,J$5:J$41,"Died"))</f>
        <v>1</v>
      </c>
      <c r="K58" s="83">
        <f t="shared" ref="K58:AU58" si="16">K56/(COUNTIFS($E$5:$E$41,$E56,K$5:K$41,"Alive")+COUNTIFS($E$5:$E$41,$E56,K$5:K$41,"Sacrificed")+COUNTIFS($E$5:$E$41,$E56,K$5:K$41,"Died"))*J58</f>
        <v>1</v>
      </c>
      <c r="L58" s="83">
        <f t="shared" si="16"/>
        <v>1</v>
      </c>
      <c r="M58" s="83">
        <f t="shared" si="16"/>
        <v>1</v>
      </c>
      <c r="N58" s="83">
        <f t="shared" si="16"/>
        <v>1</v>
      </c>
      <c r="O58" s="83">
        <f t="shared" si="16"/>
        <v>1</v>
      </c>
      <c r="P58" s="83">
        <f t="shared" si="16"/>
        <v>1</v>
      </c>
      <c r="Q58" s="83">
        <f t="shared" si="16"/>
        <v>1</v>
      </c>
      <c r="R58" s="83">
        <f t="shared" si="16"/>
        <v>1</v>
      </c>
      <c r="S58" s="83">
        <f t="shared" si="16"/>
        <v>1</v>
      </c>
      <c r="T58" s="83">
        <f t="shared" si="16"/>
        <v>0.8</v>
      </c>
      <c r="U58" s="83">
        <f t="shared" si="16"/>
        <v>0.60000000000000009</v>
      </c>
      <c r="V58" s="83">
        <f t="shared" si="16"/>
        <v>0.2</v>
      </c>
      <c r="W58" s="83">
        <f t="shared" si="16"/>
        <v>0.2</v>
      </c>
      <c r="X58" s="83">
        <f t="shared" si="16"/>
        <v>0</v>
      </c>
      <c r="Y58" s="83" t="e">
        <f t="shared" si="16"/>
        <v>#DIV/0!</v>
      </c>
      <c r="Z58" s="83" t="e">
        <f t="shared" si="16"/>
        <v>#DIV/0!</v>
      </c>
      <c r="AA58" s="83" t="e">
        <f t="shared" si="16"/>
        <v>#DIV/0!</v>
      </c>
      <c r="AB58" s="83" t="e">
        <f t="shared" si="16"/>
        <v>#DIV/0!</v>
      </c>
      <c r="AC58" s="83" t="e">
        <f t="shared" si="16"/>
        <v>#DIV/0!</v>
      </c>
      <c r="AD58" s="83" t="e">
        <f t="shared" si="16"/>
        <v>#DIV/0!</v>
      </c>
      <c r="AE58" s="83" t="e">
        <f t="shared" si="16"/>
        <v>#DIV/0!</v>
      </c>
      <c r="AF58" s="83" t="e">
        <f t="shared" si="16"/>
        <v>#DIV/0!</v>
      </c>
      <c r="AG58" s="83" t="e">
        <f t="shared" si="16"/>
        <v>#DIV/0!</v>
      </c>
      <c r="AH58" s="83" t="e">
        <f t="shared" si="16"/>
        <v>#DIV/0!</v>
      </c>
      <c r="AI58" s="83" t="e">
        <f t="shared" si="16"/>
        <v>#DIV/0!</v>
      </c>
      <c r="AJ58" s="83" t="e">
        <f t="shared" si="16"/>
        <v>#DIV/0!</v>
      </c>
      <c r="AK58" s="83" t="e">
        <f t="shared" si="16"/>
        <v>#DIV/0!</v>
      </c>
      <c r="AL58" s="83" t="e">
        <f t="shared" si="16"/>
        <v>#DIV/0!</v>
      </c>
      <c r="AM58" s="83" t="e">
        <f t="shared" si="16"/>
        <v>#DIV/0!</v>
      </c>
      <c r="AN58" s="83" t="e">
        <f t="shared" si="16"/>
        <v>#DIV/0!</v>
      </c>
      <c r="AO58" s="83" t="e">
        <f t="shared" si="16"/>
        <v>#DIV/0!</v>
      </c>
      <c r="AP58" s="83" t="e">
        <f t="shared" si="16"/>
        <v>#DIV/0!</v>
      </c>
      <c r="AQ58" s="83" t="e">
        <f t="shared" si="16"/>
        <v>#DIV/0!</v>
      </c>
      <c r="AR58" s="83" t="e">
        <f t="shared" si="16"/>
        <v>#DIV/0!</v>
      </c>
      <c r="AS58" s="83" t="e">
        <f t="shared" si="16"/>
        <v>#DIV/0!</v>
      </c>
      <c r="AT58" s="83" t="e">
        <f t="shared" si="16"/>
        <v>#DIV/0!</v>
      </c>
      <c r="AU58" s="83" t="e">
        <f t="shared" si="16"/>
        <v>#DIV/0!</v>
      </c>
      <c r="AV58" s="3"/>
    </row>
    <row r="60" spans="1:48" ht="14.25" customHeight="1">
      <c r="A60" s="129"/>
      <c r="E60" s="134" t="str">
        <f>'RAD_DOSE Groups'!C9</f>
        <v>3.3 uCi + CP-PTX</v>
      </c>
      <c r="H60" s="134" t="str">
        <f>E60</f>
        <v>3.3 uCi + CP-PTX</v>
      </c>
      <c r="I60" s="170" t="s">
        <v>67</v>
      </c>
      <c r="J60" s="87">
        <f t="shared" ref="J60:AU60" si="17">COUNTIFS($E$5:$E$41,$E60,J$5:J$41,"Alive")</f>
        <v>5</v>
      </c>
      <c r="K60" s="87">
        <f t="shared" si="17"/>
        <v>5</v>
      </c>
      <c r="L60" s="87">
        <f t="shared" si="17"/>
        <v>5</v>
      </c>
      <c r="M60" s="87">
        <f t="shared" si="17"/>
        <v>5</v>
      </c>
      <c r="N60" s="87">
        <f t="shared" si="17"/>
        <v>5</v>
      </c>
      <c r="O60" s="87">
        <f t="shared" si="17"/>
        <v>5</v>
      </c>
      <c r="P60" s="87">
        <f t="shared" si="17"/>
        <v>5</v>
      </c>
      <c r="Q60" s="87">
        <f t="shared" si="17"/>
        <v>5</v>
      </c>
      <c r="R60" s="87">
        <f t="shared" si="17"/>
        <v>5</v>
      </c>
      <c r="S60" s="87">
        <f t="shared" si="17"/>
        <v>5</v>
      </c>
      <c r="T60" s="87">
        <f t="shared" si="17"/>
        <v>5</v>
      </c>
      <c r="U60" s="87">
        <f t="shared" si="17"/>
        <v>5</v>
      </c>
      <c r="V60" s="87">
        <f t="shared" si="17"/>
        <v>5</v>
      </c>
      <c r="W60" s="87">
        <f t="shared" si="17"/>
        <v>5</v>
      </c>
      <c r="X60" s="87">
        <f t="shared" si="17"/>
        <v>5</v>
      </c>
      <c r="Y60" s="87">
        <f t="shared" si="17"/>
        <v>4</v>
      </c>
      <c r="Z60" s="87">
        <f t="shared" si="17"/>
        <v>4</v>
      </c>
      <c r="AA60" s="87">
        <f t="shared" si="17"/>
        <v>4</v>
      </c>
      <c r="AB60" s="87">
        <f t="shared" si="17"/>
        <v>1</v>
      </c>
      <c r="AC60" s="87">
        <f t="shared" si="17"/>
        <v>1</v>
      </c>
      <c r="AD60" s="87">
        <f t="shared" si="17"/>
        <v>1</v>
      </c>
      <c r="AE60" s="87">
        <f t="shared" si="17"/>
        <v>1</v>
      </c>
      <c r="AF60" s="87">
        <f t="shared" si="17"/>
        <v>1</v>
      </c>
      <c r="AG60" s="87">
        <f t="shared" si="17"/>
        <v>1</v>
      </c>
      <c r="AH60" s="87">
        <f t="shared" si="17"/>
        <v>0</v>
      </c>
      <c r="AI60" s="87">
        <f t="shared" si="17"/>
        <v>0</v>
      </c>
      <c r="AJ60" s="87">
        <f t="shared" si="17"/>
        <v>0</v>
      </c>
      <c r="AK60" s="87">
        <f t="shared" si="17"/>
        <v>0</v>
      </c>
      <c r="AL60" s="87">
        <f t="shared" si="17"/>
        <v>0</v>
      </c>
      <c r="AM60" s="87">
        <f t="shared" si="17"/>
        <v>0</v>
      </c>
      <c r="AN60" s="87">
        <f t="shared" si="17"/>
        <v>0</v>
      </c>
      <c r="AO60" s="87">
        <f t="shared" si="17"/>
        <v>0</v>
      </c>
      <c r="AP60" s="87">
        <f t="shared" si="17"/>
        <v>0</v>
      </c>
      <c r="AQ60" s="87">
        <f t="shared" si="17"/>
        <v>0</v>
      </c>
      <c r="AR60" s="87">
        <f t="shared" si="17"/>
        <v>0</v>
      </c>
      <c r="AS60" s="87">
        <f t="shared" si="17"/>
        <v>0</v>
      </c>
      <c r="AT60" s="87">
        <f t="shared" si="17"/>
        <v>0</v>
      </c>
      <c r="AU60" s="87">
        <f t="shared" si="17"/>
        <v>0</v>
      </c>
      <c r="AV60" s="85"/>
    </row>
    <row r="61" spans="1:48" ht="14.25" customHeight="1">
      <c r="A61" s="129"/>
      <c r="E61" s="104"/>
      <c r="H61" s="104"/>
      <c r="I61" s="170" t="s">
        <v>66</v>
      </c>
      <c r="J61" s="90">
        <f t="shared" ref="J61:AU61" si="18">COUNTIFS($E$5:$E$41,$E60,J$5:J$41,"Censored")</f>
        <v>0</v>
      </c>
      <c r="K61" s="90">
        <f t="shared" si="18"/>
        <v>0</v>
      </c>
      <c r="L61" s="90">
        <f t="shared" si="18"/>
        <v>0</v>
      </c>
      <c r="M61" s="90">
        <f t="shared" si="18"/>
        <v>0</v>
      </c>
      <c r="N61" s="90">
        <f t="shared" si="18"/>
        <v>0</v>
      </c>
      <c r="O61" s="90">
        <f t="shared" si="18"/>
        <v>0</v>
      </c>
      <c r="P61" s="90">
        <f t="shared" si="18"/>
        <v>0</v>
      </c>
      <c r="Q61" s="90">
        <f t="shared" si="18"/>
        <v>0</v>
      </c>
      <c r="R61" s="90">
        <f t="shared" si="18"/>
        <v>0</v>
      </c>
      <c r="S61" s="90">
        <f t="shared" si="18"/>
        <v>0</v>
      </c>
      <c r="T61" s="90">
        <f t="shared" si="18"/>
        <v>0</v>
      </c>
      <c r="U61" s="90">
        <f t="shared" si="18"/>
        <v>0</v>
      </c>
      <c r="V61" s="90">
        <f t="shared" si="18"/>
        <v>0</v>
      </c>
      <c r="W61" s="90">
        <f t="shared" si="18"/>
        <v>0</v>
      </c>
      <c r="X61" s="90">
        <f t="shared" si="18"/>
        <v>0</v>
      </c>
      <c r="Y61" s="90">
        <f t="shared" si="18"/>
        <v>0</v>
      </c>
      <c r="Z61" s="90">
        <f t="shared" si="18"/>
        <v>0</v>
      </c>
      <c r="AA61" s="90">
        <f t="shared" si="18"/>
        <v>0</v>
      </c>
      <c r="AB61" s="90">
        <f t="shared" si="18"/>
        <v>0</v>
      </c>
      <c r="AC61" s="90">
        <f t="shared" si="18"/>
        <v>0</v>
      </c>
      <c r="AD61" s="90">
        <f t="shared" si="18"/>
        <v>0</v>
      </c>
      <c r="AE61" s="90">
        <f t="shared" si="18"/>
        <v>0</v>
      </c>
      <c r="AF61" s="90">
        <f t="shared" si="18"/>
        <v>0</v>
      </c>
      <c r="AG61" s="90">
        <f t="shared" si="18"/>
        <v>0</v>
      </c>
      <c r="AH61" s="90">
        <f t="shared" si="18"/>
        <v>0</v>
      </c>
      <c r="AI61" s="90">
        <f t="shared" si="18"/>
        <v>0</v>
      </c>
      <c r="AJ61" s="90">
        <f t="shared" si="18"/>
        <v>0</v>
      </c>
      <c r="AK61" s="90">
        <f t="shared" si="18"/>
        <v>0</v>
      </c>
      <c r="AL61" s="90">
        <f t="shared" si="18"/>
        <v>0</v>
      </c>
      <c r="AM61" s="90">
        <f t="shared" si="18"/>
        <v>0</v>
      </c>
      <c r="AN61" s="90">
        <f t="shared" si="18"/>
        <v>0</v>
      </c>
      <c r="AO61" s="90">
        <f t="shared" si="18"/>
        <v>0</v>
      </c>
      <c r="AP61" s="90">
        <f t="shared" si="18"/>
        <v>0</v>
      </c>
      <c r="AQ61" s="90">
        <f t="shared" si="18"/>
        <v>0</v>
      </c>
      <c r="AR61" s="90">
        <f t="shared" si="18"/>
        <v>0</v>
      </c>
      <c r="AS61" s="90">
        <f t="shared" si="18"/>
        <v>0</v>
      </c>
      <c r="AT61" s="90">
        <f t="shared" si="18"/>
        <v>0</v>
      </c>
      <c r="AU61" s="90">
        <f t="shared" si="18"/>
        <v>0</v>
      </c>
      <c r="AV61" s="85"/>
    </row>
    <row r="62" spans="1:48" ht="14.25" customHeight="1">
      <c r="A62" s="52"/>
      <c r="B62" s="51"/>
      <c r="C62" s="53"/>
      <c r="D62" s="51"/>
      <c r="E62" s="103"/>
      <c r="F62" s="80"/>
      <c r="G62" s="49"/>
      <c r="H62" s="104"/>
      <c r="I62" s="170" t="s">
        <v>68</v>
      </c>
      <c r="J62" s="83">
        <f>J60/(COUNTIFS($E$5:$E$41,$E60,J$5:J$41,"Alive")+COUNTIFS($E$5:$E$41,$E60,J$5:J$41,"Sacrificed")+COUNTIFS($E$5:$E$41,$E60,J$5:J$41,"Died"))</f>
        <v>1</v>
      </c>
      <c r="K62" s="83">
        <f t="shared" ref="K62:AU62" si="19">K60/(COUNTIFS($E$5:$E$41,$E60,K$5:K$41,"Alive")+COUNTIFS($E$5:$E$41,$E60,K$5:K$41,"Sacrificed")+COUNTIFS($E$5:$E$41,$E60,K$5:K$41,"Died"))*J62</f>
        <v>1</v>
      </c>
      <c r="L62" s="83">
        <f t="shared" si="19"/>
        <v>1</v>
      </c>
      <c r="M62" s="83">
        <f t="shared" si="19"/>
        <v>1</v>
      </c>
      <c r="N62" s="83">
        <f t="shared" si="19"/>
        <v>1</v>
      </c>
      <c r="O62" s="83">
        <f t="shared" si="19"/>
        <v>1</v>
      </c>
      <c r="P62" s="83">
        <f t="shared" si="19"/>
        <v>1</v>
      </c>
      <c r="Q62" s="83">
        <f t="shared" si="19"/>
        <v>1</v>
      </c>
      <c r="R62" s="83">
        <f t="shared" si="19"/>
        <v>1</v>
      </c>
      <c r="S62" s="83">
        <f t="shared" si="19"/>
        <v>1</v>
      </c>
      <c r="T62" s="83">
        <f t="shared" si="19"/>
        <v>1</v>
      </c>
      <c r="U62" s="83">
        <f t="shared" si="19"/>
        <v>1</v>
      </c>
      <c r="V62" s="83">
        <f t="shared" si="19"/>
        <v>1</v>
      </c>
      <c r="W62" s="83">
        <f t="shared" si="19"/>
        <v>1</v>
      </c>
      <c r="X62" s="83">
        <f t="shared" si="19"/>
        <v>1</v>
      </c>
      <c r="Y62" s="83">
        <f t="shared" si="19"/>
        <v>0.8</v>
      </c>
      <c r="Z62" s="83">
        <f t="shared" si="19"/>
        <v>0.8</v>
      </c>
      <c r="AA62" s="83">
        <f t="shared" si="19"/>
        <v>0.8</v>
      </c>
      <c r="AB62" s="83">
        <f t="shared" si="19"/>
        <v>0.2</v>
      </c>
      <c r="AC62" s="83">
        <f t="shared" si="19"/>
        <v>0.2</v>
      </c>
      <c r="AD62" s="83">
        <f t="shared" si="19"/>
        <v>0.2</v>
      </c>
      <c r="AE62" s="83">
        <f t="shared" si="19"/>
        <v>0.2</v>
      </c>
      <c r="AF62" s="83">
        <f t="shared" si="19"/>
        <v>0.2</v>
      </c>
      <c r="AG62" s="83">
        <f t="shared" si="19"/>
        <v>0.2</v>
      </c>
      <c r="AH62" s="83">
        <f t="shared" si="19"/>
        <v>0</v>
      </c>
      <c r="AI62" s="83" t="e">
        <f t="shared" si="19"/>
        <v>#DIV/0!</v>
      </c>
      <c r="AJ62" s="83" t="e">
        <f t="shared" si="19"/>
        <v>#DIV/0!</v>
      </c>
      <c r="AK62" s="83" t="e">
        <f t="shared" si="19"/>
        <v>#DIV/0!</v>
      </c>
      <c r="AL62" s="83" t="e">
        <f t="shared" si="19"/>
        <v>#DIV/0!</v>
      </c>
      <c r="AM62" s="83" t="e">
        <f t="shared" si="19"/>
        <v>#DIV/0!</v>
      </c>
      <c r="AN62" s="83" t="e">
        <f t="shared" si="19"/>
        <v>#DIV/0!</v>
      </c>
      <c r="AO62" s="83" t="e">
        <f t="shared" si="19"/>
        <v>#DIV/0!</v>
      </c>
      <c r="AP62" s="83" t="e">
        <f t="shared" si="19"/>
        <v>#DIV/0!</v>
      </c>
      <c r="AQ62" s="83" t="e">
        <f t="shared" si="19"/>
        <v>#DIV/0!</v>
      </c>
      <c r="AR62" s="83" t="e">
        <f t="shared" si="19"/>
        <v>#DIV/0!</v>
      </c>
      <c r="AS62" s="83" t="e">
        <f t="shared" si="19"/>
        <v>#DIV/0!</v>
      </c>
      <c r="AT62" s="83" t="e">
        <f t="shared" si="19"/>
        <v>#DIV/0!</v>
      </c>
      <c r="AU62" s="83" t="e">
        <f t="shared" si="19"/>
        <v>#DIV/0!</v>
      </c>
      <c r="AV62" s="3"/>
    </row>
    <row r="64" spans="1:48" ht="14.25" customHeight="1">
      <c r="A64" s="129"/>
      <c r="E64" s="134" t="str">
        <f>'RAD_DOSE Groups'!C10</f>
        <v>6.6 uCi Control</v>
      </c>
      <c r="H64" s="134" t="str">
        <f>E64</f>
        <v>6.6 uCi Control</v>
      </c>
      <c r="I64" s="170" t="s">
        <v>67</v>
      </c>
      <c r="J64" s="87">
        <f t="shared" ref="J64:AU64" si="20">COUNTIFS($E$5:$E$41,$E64,J$5:J$41,"Alive")</f>
        <v>5</v>
      </c>
      <c r="K64" s="87">
        <f t="shared" si="20"/>
        <v>5</v>
      </c>
      <c r="L64" s="87">
        <f t="shared" si="20"/>
        <v>5</v>
      </c>
      <c r="M64" s="87">
        <f t="shared" si="20"/>
        <v>5</v>
      </c>
      <c r="N64" s="87">
        <f t="shared" si="20"/>
        <v>5</v>
      </c>
      <c r="O64" s="87">
        <f t="shared" si="20"/>
        <v>5</v>
      </c>
      <c r="P64" s="87">
        <f t="shared" si="20"/>
        <v>5</v>
      </c>
      <c r="Q64" s="87">
        <f t="shared" si="20"/>
        <v>5</v>
      </c>
      <c r="R64" s="87">
        <f t="shared" si="20"/>
        <v>5</v>
      </c>
      <c r="S64" s="87">
        <f t="shared" si="20"/>
        <v>5</v>
      </c>
      <c r="T64" s="87">
        <f t="shared" si="20"/>
        <v>5</v>
      </c>
      <c r="U64" s="87">
        <f t="shared" si="20"/>
        <v>5</v>
      </c>
      <c r="V64" s="87">
        <f t="shared" si="20"/>
        <v>5</v>
      </c>
      <c r="W64" s="87">
        <f t="shared" si="20"/>
        <v>4</v>
      </c>
      <c r="X64" s="87">
        <f t="shared" si="20"/>
        <v>4</v>
      </c>
      <c r="Y64" s="87">
        <f t="shared" si="20"/>
        <v>3</v>
      </c>
      <c r="Z64" s="87">
        <f t="shared" si="20"/>
        <v>2</v>
      </c>
      <c r="AA64" s="87">
        <f t="shared" si="20"/>
        <v>2</v>
      </c>
      <c r="AB64" s="87">
        <f t="shared" si="20"/>
        <v>2</v>
      </c>
      <c r="AC64" s="87">
        <f t="shared" si="20"/>
        <v>1</v>
      </c>
      <c r="AD64" s="87">
        <f t="shared" si="20"/>
        <v>0</v>
      </c>
      <c r="AE64" s="87">
        <f t="shared" si="20"/>
        <v>0</v>
      </c>
      <c r="AF64" s="87">
        <f t="shared" si="20"/>
        <v>0</v>
      </c>
      <c r="AG64" s="87">
        <f t="shared" si="20"/>
        <v>0</v>
      </c>
      <c r="AH64" s="87">
        <f t="shared" si="20"/>
        <v>0</v>
      </c>
      <c r="AI64" s="87">
        <f t="shared" si="20"/>
        <v>0</v>
      </c>
      <c r="AJ64" s="87">
        <f t="shared" si="20"/>
        <v>0</v>
      </c>
      <c r="AK64" s="87">
        <f t="shared" si="20"/>
        <v>0</v>
      </c>
      <c r="AL64" s="87">
        <f t="shared" si="20"/>
        <v>0</v>
      </c>
      <c r="AM64" s="87">
        <f t="shared" si="20"/>
        <v>0</v>
      </c>
      <c r="AN64" s="87">
        <f t="shared" si="20"/>
        <v>0</v>
      </c>
      <c r="AO64" s="87">
        <f t="shared" si="20"/>
        <v>0</v>
      </c>
      <c r="AP64" s="87">
        <f t="shared" si="20"/>
        <v>0</v>
      </c>
      <c r="AQ64" s="87">
        <f t="shared" si="20"/>
        <v>0</v>
      </c>
      <c r="AR64" s="87">
        <f t="shared" si="20"/>
        <v>0</v>
      </c>
      <c r="AS64" s="87">
        <f t="shared" si="20"/>
        <v>0</v>
      </c>
      <c r="AT64" s="87">
        <f t="shared" si="20"/>
        <v>0</v>
      </c>
      <c r="AU64" s="87">
        <f t="shared" si="20"/>
        <v>0</v>
      </c>
      <c r="AV64" s="85"/>
    </row>
    <row r="65" spans="1:48" ht="14.25" customHeight="1">
      <c r="A65" s="129"/>
      <c r="E65" s="104"/>
      <c r="H65" s="104"/>
      <c r="I65" s="170" t="s">
        <v>66</v>
      </c>
      <c r="J65" s="90">
        <f t="shared" ref="J65:AU65" si="21">COUNTIFS($E$5:$E$41,$E64,J$5:J$41,"Censored")</f>
        <v>0</v>
      </c>
      <c r="K65" s="90">
        <f t="shared" si="21"/>
        <v>0</v>
      </c>
      <c r="L65" s="90">
        <f t="shared" si="21"/>
        <v>0</v>
      </c>
      <c r="M65" s="90">
        <f t="shared" si="21"/>
        <v>0</v>
      </c>
      <c r="N65" s="90">
        <f t="shared" si="21"/>
        <v>0</v>
      </c>
      <c r="O65" s="90">
        <f t="shared" si="21"/>
        <v>0</v>
      </c>
      <c r="P65" s="90">
        <f t="shared" si="21"/>
        <v>0</v>
      </c>
      <c r="Q65" s="90">
        <f t="shared" si="21"/>
        <v>0</v>
      </c>
      <c r="R65" s="90">
        <f t="shared" si="21"/>
        <v>0</v>
      </c>
      <c r="S65" s="90">
        <f t="shared" si="21"/>
        <v>0</v>
      </c>
      <c r="T65" s="90">
        <f t="shared" si="21"/>
        <v>0</v>
      </c>
      <c r="U65" s="90">
        <f t="shared" si="21"/>
        <v>0</v>
      </c>
      <c r="V65" s="90">
        <f t="shared" si="21"/>
        <v>0</v>
      </c>
      <c r="W65" s="90">
        <f t="shared" si="21"/>
        <v>0</v>
      </c>
      <c r="X65" s="90">
        <f t="shared" si="21"/>
        <v>0</v>
      </c>
      <c r="Y65" s="90">
        <f t="shared" si="21"/>
        <v>0</v>
      </c>
      <c r="Z65" s="90">
        <f t="shared" si="21"/>
        <v>0</v>
      </c>
      <c r="AA65" s="90">
        <f t="shared" si="21"/>
        <v>0</v>
      </c>
      <c r="AB65" s="90">
        <f t="shared" si="21"/>
        <v>0</v>
      </c>
      <c r="AC65" s="90">
        <f t="shared" si="21"/>
        <v>0</v>
      </c>
      <c r="AD65" s="90">
        <f t="shared" si="21"/>
        <v>0</v>
      </c>
      <c r="AE65" s="90">
        <f t="shared" si="21"/>
        <v>0</v>
      </c>
      <c r="AF65" s="90">
        <f t="shared" si="21"/>
        <v>0</v>
      </c>
      <c r="AG65" s="90">
        <f t="shared" si="21"/>
        <v>0</v>
      </c>
      <c r="AH65" s="90">
        <f t="shared" si="21"/>
        <v>0</v>
      </c>
      <c r="AI65" s="90">
        <f t="shared" si="21"/>
        <v>0</v>
      </c>
      <c r="AJ65" s="90">
        <f t="shared" si="21"/>
        <v>0</v>
      </c>
      <c r="AK65" s="90">
        <f t="shared" si="21"/>
        <v>0</v>
      </c>
      <c r="AL65" s="90">
        <f t="shared" si="21"/>
        <v>0</v>
      </c>
      <c r="AM65" s="90">
        <f t="shared" si="21"/>
        <v>0</v>
      </c>
      <c r="AN65" s="90">
        <f t="shared" si="21"/>
        <v>0</v>
      </c>
      <c r="AO65" s="90">
        <f t="shared" si="21"/>
        <v>0</v>
      </c>
      <c r="AP65" s="90">
        <f t="shared" si="21"/>
        <v>0</v>
      </c>
      <c r="AQ65" s="90">
        <f t="shared" si="21"/>
        <v>0</v>
      </c>
      <c r="AR65" s="90">
        <f t="shared" si="21"/>
        <v>0</v>
      </c>
      <c r="AS65" s="90">
        <f t="shared" si="21"/>
        <v>0</v>
      </c>
      <c r="AT65" s="90">
        <f t="shared" si="21"/>
        <v>0</v>
      </c>
      <c r="AU65" s="90">
        <f t="shared" si="21"/>
        <v>0</v>
      </c>
      <c r="AV65" s="85"/>
    </row>
    <row r="66" spans="1:48" ht="14.25" customHeight="1">
      <c r="A66" s="52"/>
      <c r="B66" s="51"/>
      <c r="C66" s="53"/>
      <c r="D66" s="51"/>
      <c r="E66" s="103"/>
      <c r="F66" s="80"/>
      <c r="G66" s="49"/>
      <c r="H66" s="104"/>
      <c r="I66" s="170" t="s">
        <v>68</v>
      </c>
      <c r="J66" s="83">
        <f>J64/(COUNTIFS($E$5:$E$41,$E64,J$5:J$41,"Alive")+COUNTIFS($E$5:$E$41,$E64,J$5:J$41,"Sacrificed")+COUNTIFS($E$5:$E$41,$E64,J$5:J$41,"Died"))</f>
        <v>1</v>
      </c>
      <c r="K66" s="83">
        <f t="shared" ref="K66:AU66" si="22">K64/(COUNTIFS($E$5:$E$41,$E64,K$5:K$41,"Alive")+COUNTIFS($E$5:$E$41,$E64,K$5:K$41,"Sacrificed")+COUNTIFS($E$5:$E$41,$E64,K$5:K$41,"Died"))*J66</f>
        <v>1</v>
      </c>
      <c r="L66" s="83">
        <f t="shared" si="22"/>
        <v>1</v>
      </c>
      <c r="M66" s="83">
        <f t="shared" si="22"/>
        <v>1</v>
      </c>
      <c r="N66" s="83">
        <f t="shared" si="22"/>
        <v>1</v>
      </c>
      <c r="O66" s="83">
        <f t="shared" si="22"/>
        <v>1</v>
      </c>
      <c r="P66" s="83">
        <f t="shared" si="22"/>
        <v>1</v>
      </c>
      <c r="Q66" s="83">
        <f t="shared" si="22"/>
        <v>1</v>
      </c>
      <c r="R66" s="83">
        <f t="shared" si="22"/>
        <v>1</v>
      </c>
      <c r="S66" s="83">
        <f t="shared" si="22"/>
        <v>1</v>
      </c>
      <c r="T66" s="83">
        <f t="shared" si="22"/>
        <v>1</v>
      </c>
      <c r="U66" s="83">
        <f t="shared" si="22"/>
        <v>1</v>
      </c>
      <c r="V66" s="83">
        <f t="shared" si="22"/>
        <v>1</v>
      </c>
      <c r="W66" s="83">
        <f t="shared" si="22"/>
        <v>0.8</v>
      </c>
      <c r="X66" s="83">
        <f t="shared" si="22"/>
        <v>0.8</v>
      </c>
      <c r="Y66" s="83">
        <f t="shared" si="22"/>
        <v>0.60000000000000009</v>
      </c>
      <c r="Z66" s="83">
        <f t="shared" si="22"/>
        <v>0.4</v>
      </c>
      <c r="AA66" s="83">
        <f t="shared" si="22"/>
        <v>0.4</v>
      </c>
      <c r="AB66" s="83">
        <f t="shared" si="22"/>
        <v>0.4</v>
      </c>
      <c r="AC66" s="83">
        <f t="shared" si="22"/>
        <v>0.2</v>
      </c>
      <c r="AD66" s="83">
        <f t="shared" si="22"/>
        <v>0</v>
      </c>
      <c r="AE66" s="83" t="e">
        <f t="shared" si="22"/>
        <v>#DIV/0!</v>
      </c>
      <c r="AF66" s="83" t="e">
        <f t="shared" si="22"/>
        <v>#DIV/0!</v>
      </c>
      <c r="AG66" s="83" t="e">
        <f t="shared" si="22"/>
        <v>#DIV/0!</v>
      </c>
      <c r="AH66" s="83" t="e">
        <f t="shared" si="22"/>
        <v>#DIV/0!</v>
      </c>
      <c r="AI66" s="83" t="e">
        <f t="shared" si="22"/>
        <v>#DIV/0!</v>
      </c>
      <c r="AJ66" s="83" t="e">
        <f t="shared" si="22"/>
        <v>#DIV/0!</v>
      </c>
      <c r="AK66" s="83" t="e">
        <f t="shared" si="22"/>
        <v>#DIV/0!</v>
      </c>
      <c r="AL66" s="83" t="e">
        <f t="shared" si="22"/>
        <v>#DIV/0!</v>
      </c>
      <c r="AM66" s="83" t="e">
        <f t="shared" si="22"/>
        <v>#DIV/0!</v>
      </c>
      <c r="AN66" s="83" t="e">
        <f t="shared" si="22"/>
        <v>#DIV/0!</v>
      </c>
      <c r="AO66" s="83" t="e">
        <f t="shared" si="22"/>
        <v>#DIV/0!</v>
      </c>
      <c r="AP66" s="83" t="e">
        <f t="shared" si="22"/>
        <v>#DIV/0!</v>
      </c>
      <c r="AQ66" s="83" t="e">
        <f t="shared" si="22"/>
        <v>#DIV/0!</v>
      </c>
      <c r="AR66" s="83" t="e">
        <f t="shared" si="22"/>
        <v>#DIV/0!</v>
      </c>
      <c r="AS66" s="83" t="e">
        <f t="shared" si="22"/>
        <v>#DIV/0!</v>
      </c>
      <c r="AT66" s="83" t="e">
        <f t="shared" si="22"/>
        <v>#DIV/0!</v>
      </c>
      <c r="AU66" s="83" t="e">
        <f t="shared" si="22"/>
        <v>#DIV/0!</v>
      </c>
      <c r="AV66" s="3"/>
    </row>
    <row r="68" spans="1:48" ht="14.25" customHeight="1">
      <c r="A68" s="129"/>
      <c r="E68" s="134" t="str">
        <f>'RAD_DOSE Groups'!C11</f>
        <v>6.6 uCi + CP-PTX</v>
      </c>
      <c r="H68" s="134" t="str">
        <f>E68</f>
        <v>6.6 uCi + CP-PTX</v>
      </c>
      <c r="I68" s="170" t="s">
        <v>67</v>
      </c>
      <c r="J68" s="87">
        <f t="shared" ref="J68:AU68" si="23">COUNTIFS($E$5:$E$41,$E68,J$5:J$41,"Alive")</f>
        <v>5</v>
      </c>
      <c r="K68" s="87">
        <f t="shared" si="23"/>
        <v>5</v>
      </c>
      <c r="L68" s="87">
        <f t="shared" si="23"/>
        <v>5</v>
      </c>
      <c r="M68" s="87">
        <f t="shared" si="23"/>
        <v>5</v>
      </c>
      <c r="N68" s="87">
        <f t="shared" si="23"/>
        <v>5</v>
      </c>
      <c r="O68" s="87">
        <f t="shared" si="23"/>
        <v>5</v>
      </c>
      <c r="P68" s="87">
        <f t="shared" si="23"/>
        <v>5</v>
      </c>
      <c r="Q68" s="87">
        <f t="shared" si="23"/>
        <v>5</v>
      </c>
      <c r="R68" s="87">
        <f t="shared" si="23"/>
        <v>5</v>
      </c>
      <c r="S68" s="87">
        <f t="shared" si="23"/>
        <v>5</v>
      </c>
      <c r="T68" s="87">
        <f t="shared" si="23"/>
        <v>5</v>
      </c>
      <c r="U68" s="87">
        <f t="shared" si="23"/>
        <v>5</v>
      </c>
      <c r="V68" s="87">
        <f t="shared" si="23"/>
        <v>5</v>
      </c>
      <c r="W68" s="87">
        <f t="shared" si="23"/>
        <v>5</v>
      </c>
      <c r="X68" s="87">
        <f t="shared" si="23"/>
        <v>4</v>
      </c>
      <c r="Y68" s="87">
        <f t="shared" si="23"/>
        <v>4</v>
      </c>
      <c r="Z68" s="87">
        <f t="shared" si="23"/>
        <v>4</v>
      </c>
      <c r="AA68" s="87">
        <f t="shared" si="23"/>
        <v>3</v>
      </c>
      <c r="AB68" s="87">
        <f t="shared" si="23"/>
        <v>3</v>
      </c>
      <c r="AC68" s="87">
        <f t="shared" si="23"/>
        <v>3</v>
      </c>
      <c r="AD68" s="87">
        <f t="shared" si="23"/>
        <v>3</v>
      </c>
      <c r="AE68" s="87">
        <f t="shared" si="23"/>
        <v>3</v>
      </c>
      <c r="AF68" s="87">
        <f t="shared" si="23"/>
        <v>3</v>
      </c>
      <c r="AG68" s="87">
        <f t="shared" si="23"/>
        <v>3</v>
      </c>
      <c r="AH68" s="87">
        <f t="shared" si="23"/>
        <v>1</v>
      </c>
      <c r="AI68" s="87">
        <f t="shared" si="23"/>
        <v>0</v>
      </c>
      <c r="AJ68" s="87">
        <f t="shared" si="23"/>
        <v>0</v>
      </c>
      <c r="AK68" s="87">
        <f t="shared" si="23"/>
        <v>0</v>
      </c>
      <c r="AL68" s="87">
        <f t="shared" si="23"/>
        <v>0</v>
      </c>
      <c r="AM68" s="87">
        <f t="shared" si="23"/>
        <v>0</v>
      </c>
      <c r="AN68" s="87">
        <f t="shared" si="23"/>
        <v>0</v>
      </c>
      <c r="AO68" s="87">
        <f t="shared" si="23"/>
        <v>0</v>
      </c>
      <c r="AP68" s="87">
        <f t="shared" si="23"/>
        <v>0</v>
      </c>
      <c r="AQ68" s="87">
        <f t="shared" si="23"/>
        <v>0</v>
      </c>
      <c r="AR68" s="87">
        <f t="shared" si="23"/>
        <v>0</v>
      </c>
      <c r="AS68" s="87">
        <f t="shared" si="23"/>
        <v>0</v>
      </c>
      <c r="AT68" s="87">
        <f t="shared" si="23"/>
        <v>0</v>
      </c>
      <c r="AU68" s="87">
        <f t="shared" si="23"/>
        <v>0</v>
      </c>
      <c r="AV68" s="85"/>
    </row>
    <row r="69" spans="1:48" ht="14.25" customHeight="1">
      <c r="A69" s="129"/>
      <c r="E69" s="104"/>
      <c r="H69" s="104"/>
      <c r="I69" s="170" t="s">
        <v>66</v>
      </c>
      <c r="J69" s="90">
        <f t="shared" ref="J69:AU69" si="24">COUNTIFS($E$5:$E$41,$E68,J$5:J$41,"Censored")</f>
        <v>0</v>
      </c>
      <c r="K69" s="90">
        <f t="shared" si="24"/>
        <v>0</v>
      </c>
      <c r="L69" s="90">
        <f t="shared" si="24"/>
        <v>0</v>
      </c>
      <c r="M69" s="90">
        <f t="shared" si="24"/>
        <v>0</v>
      </c>
      <c r="N69" s="90">
        <f t="shared" si="24"/>
        <v>0</v>
      </c>
      <c r="O69" s="90">
        <f t="shared" si="24"/>
        <v>0</v>
      </c>
      <c r="P69" s="90">
        <f t="shared" si="24"/>
        <v>0</v>
      </c>
      <c r="Q69" s="90">
        <f t="shared" si="24"/>
        <v>0</v>
      </c>
      <c r="R69" s="90">
        <f t="shared" si="24"/>
        <v>0</v>
      </c>
      <c r="S69" s="90">
        <f t="shared" si="24"/>
        <v>0</v>
      </c>
      <c r="T69" s="90">
        <f t="shared" si="24"/>
        <v>0</v>
      </c>
      <c r="U69" s="90">
        <f t="shared" si="24"/>
        <v>0</v>
      </c>
      <c r="V69" s="90">
        <f t="shared" si="24"/>
        <v>0</v>
      </c>
      <c r="W69" s="90">
        <f t="shared" si="24"/>
        <v>0</v>
      </c>
      <c r="X69" s="90">
        <f t="shared" si="24"/>
        <v>0</v>
      </c>
      <c r="Y69" s="90">
        <f t="shared" si="24"/>
        <v>0</v>
      </c>
      <c r="Z69" s="90">
        <f t="shared" si="24"/>
        <v>0</v>
      </c>
      <c r="AA69" s="90">
        <f t="shared" si="24"/>
        <v>0</v>
      </c>
      <c r="AB69" s="90">
        <f t="shared" si="24"/>
        <v>0</v>
      </c>
      <c r="AC69" s="90">
        <f t="shared" si="24"/>
        <v>0</v>
      </c>
      <c r="AD69" s="90">
        <f t="shared" si="24"/>
        <v>0</v>
      </c>
      <c r="AE69" s="90">
        <f t="shared" si="24"/>
        <v>0</v>
      </c>
      <c r="AF69" s="90">
        <f t="shared" si="24"/>
        <v>0</v>
      </c>
      <c r="AG69" s="90">
        <f t="shared" si="24"/>
        <v>0</v>
      </c>
      <c r="AH69" s="90">
        <f t="shared" si="24"/>
        <v>0</v>
      </c>
      <c r="AI69" s="90">
        <f t="shared" si="24"/>
        <v>0</v>
      </c>
      <c r="AJ69" s="90">
        <f t="shared" si="24"/>
        <v>0</v>
      </c>
      <c r="AK69" s="90">
        <f t="shared" si="24"/>
        <v>0</v>
      </c>
      <c r="AL69" s="90">
        <f t="shared" si="24"/>
        <v>0</v>
      </c>
      <c r="AM69" s="90">
        <f t="shared" si="24"/>
        <v>0</v>
      </c>
      <c r="AN69" s="90">
        <f t="shared" si="24"/>
        <v>0</v>
      </c>
      <c r="AO69" s="90">
        <f t="shared" si="24"/>
        <v>0</v>
      </c>
      <c r="AP69" s="90">
        <f t="shared" si="24"/>
        <v>0</v>
      </c>
      <c r="AQ69" s="90">
        <f t="shared" si="24"/>
        <v>0</v>
      </c>
      <c r="AR69" s="90">
        <f t="shared" si="24"/>
        <v>0</v>
      </c>
      <c r="AS69" s="90">
        <f t="shared" si="24"/>
        <v>0</v>
      </c>
      <c r="AT69" s="90">
        <f t="shared" si="24"/>
        <v>0</v>
      </c>
      <c r="AU69" s="90">
        <f t="shared" si="24"/>
        <v>0</v>
      </c>
      <c r="AV69" s="85"/>
    </row>
    <row r="70" spans="1:48" ht="14.25" customHeight="1">
      <c r="A70" s="52"/>
      <c r="B70" s="51"/>
      <c r="C70" s="53"/>
      <c r="D70" s="51"/>
      <c r="E70" s="103"/>
      <c r="F70" s="80"/>
      <c r="G70" s="49"/>
      <c r="H70" s="104"/>
      <c r="I70" s="170" t="s">
        <v>68</v>
      </c>
      <c r="J70" s="83">
        <f>J68/(COUNTIFS($E$5:$E$41,$E68,J$5:J$41,"Alive")+COUNTIFS($E$5:$E$41,$E68,J$5:J$41,"Sacrificed")+COUNTIFS($E$5:$E$41,$E68,J$5:J$41,"Died"))</f>
        <v>1</v>
      </c>
      <c r="K70" s="83">
        <f t="shared" ref="K70:AU70" si="25">K68/(COUNTIFS($E$5:$E$41,$E68,K$5:K$41,"Alive")+COUNTIFS($E$5:$E$41,$E68,K$5:K$41,"Sacrificed")+COUNTIFS($E$5:$E$41,$E68,K$5:K$41,"Died"))*J70</f>
        <v>1</v>
      </c>
      <c r="L70" s="83">
        <f t="shared" si="25"/>
        <v>1</v>
      </c>
      <c r="M70" s="83">
        <f t="shared" si="25"/>
        <v>1</v>
      </c>
      <c r="N70" s="83">
        <f t="shared" si="25"/>
        <v>1</v>
      </c>
      <c r="O70" s="83">
        <f t="shared" si="25"/>
        <v>1</v>
      </c>
      <c r="P70" s="83">
        <f t="shared" si="25"/>
        <v>1</v>
      </c>
      <c r="Q70" s="83">
        <f t="shared" si="25"/>
        <v>1</v>
      </c>
      <c r="R70" s="83">
        <f t="shared" si="25"/>
        <v>1</v>
      </c>
      <c r="S70" s="83">
        <f t="shared" si="25"/>
        <v>1</v>
      </c>
      <c r="T70" s="83">
        <f t="shared" si="25"/>
        <v>1</v>
      </c>
      <c r="U70" s="83">
        <f t="shared" si="25"/>
        <v>1</v>
      </c>
      <c r="V70" s="83">
        <f t="shared" si="25"/>
        <v>1</v>
      </c>
      <c r="W70" s="83">
        <f t="shared" si="25"/>
        <v>1</v>
      </c>
      <c r="X70" s="83">
        <f t="shared" si="25"/>
        <v>0.8</v>
      </c>
      <c r="Y70" s="83">
        <f t="shared" si="25"/>
        <v>0.8</v>
      </c>
      <c r="Z70" s="83">
        <f t="shared" si="25"/>
        <v>0.8</v>
      </c>
      <c r="AA70" s="83">
        <f t="shared" si="25"/>
        <v>0.60000000000000009</v>
      </c>
      <c r="AB70" s="83">
        <f t="shared" si="25"/>
        <v>0.60000000000000009</v>
      </c>
      <c r="AC70" s="83">
        <f t="shared" si="25"/>
        <v>0.60000000000000009</v>
      </c>
      <c r="AD70" s="83">
        <f t="shared" si="25"/>
        <v>0.60000000000000009</v>
      </c>
      <c r="AE70" s="83">
        <f t="shared" si="25"/>
        <v>0.60000000000000009</v>
      </c>
      <c r="AF70" s="83">
        <f t="shared" si="25"/>
        <v>0.60000000000000009</v>
      </c>
      <c r="AG70" s="83">
        <f t="shared" si="25"/>
        <v>0.60000000000000009</v>
      </c>
      <c r="AH70" s="83">
        <f t="shared" si="25"/>
        <v>0.2</v>
      </c>
      <c r="AI70" s="83">
        <f t="shared" si="25"/>
        <v>0</v>
      </c>
      <c r="AJ70" s="83" t="e">
        <f t="shared" si="25"/>
        <v>#DIV/0!</v>
      </c>
      <c r="AK70" s="83" t="e">
        <f t="shared" si="25"/>
        <v>#DIV/0!</v>
      </c>
      <c r="AL70" s="83" t="e">
        <f t="shared" si="25"/>
        <v>#DIV/0!</v>
      </c>
      <c r="AM70" s="83" t="e">
        <f t="shared" si="25"/>
        <v>#DIV/0!</v>
      </c>
      <c r="AN70" s="83" t="e">
        <f t="shared" si="25"/>
        <v>#DIV/0!</v>
      </c>
      <c r="AO70" s="83" t="e">
        <f t="shared" si="25"/>
        <v>#DIV/0!</v>
      </c>
      <c r="AP70" s="83" t="e">
        <f t="shared" si="25"/>
        <v>#DIV/0!</v>
      </c>
      <c r="AQ70" s="83" t="e">
        <f t="shared" si="25"/>
        <v>#DIV/0!</v>
      </c>
      <c r="AR70" s="83" t="e">
        <f t="shared" si="25"/>
        <v>#DIV/0!</v>
      </c>
      <c r="AS70" s="83" t="e">
        <f t="shared" si="25"/>
        <v>#DIV/0!</v>
      </c>
      <c r="AT70" s="83" t="e">
        <f t="shared" si="25"/>
        <v>#DIV/0!</v>
      </c>
      <c r="AU70" s="83" t="e">
        <f t="shared" si="25"/>
        <v>#DIV/0!</v>
      </c>
      <c r="AV70" s="3"/>
    </row>
    <row r="72" spans="1:48" ht="14.25" customHeight="1">
      <c r="A72" s="129"/>
      <c r="E72" s="134" t="str">
        <f>'RAD_DOSE Groups'!C12</f>
        <v>10.0 uCi Control</v>
      </c>
      <c r="H72" s="134" t="str">
        <f>E72</f>
        <v>10.0 uCi Control</v>
      </c>
      <c r="I72" s="170" t="s">
        <v>67</v>
      </c>
      <c r="J72" s="87">
        <f t="shared" ref="J72:AU72" si="26">COUNTIFS($E$5:$E$41,$E72,J$5:J$41,"Alive")</f>
        <v>5</v>
      </c>
      <c r="K72" s="87">
        <f t="shared" si="26"/>
        <v>5</v>
      </c>
      <c r="L72" s="87">
        <f t="shared" si="26"/>
        <v>5</v>
      </c>
      <c r="M72" s="87">
        <f t="shared" si="26"/>
        <v>5</v>
      </c>
      <c r="N72" s="87">
        <f t="shared" si="26"/>
        <v>5</v>
      </c>
      <c r="O72" s="87">
        <f t="shared" si="26"/>
        <v>5</v>
      </c>
      <c r="P72" s="87">
        <f t="shared" si="26"/>
        <v>5</v>
      </c>
      <c r="Q72" s="87">
        <f t="shared" si="26"/>
        <v>5</v>
      </c>
      <c r="R72" s="87">
        <f t="shared" si="26"/>
        <v>5</v>
      </c>
      <c r="S72" s="87">
        <f t="shared" si="26"/>
        <v>5</v>
      </c>
      <c r="T72" s="87">
        <f t="shared" si="26"/>
        <v>5</v>
      </c>
      <c r="U72" s="87">
        <f t="shared" si="26"/>
        <v>5</v>
      </c>
      <c r="V72" s="87">
        <f t="shared" si="26"/>
        <v>4</v>
      </c>
      <c r="W72" s="87">
        <f t="shared" si="26"/>
        <v>4</v>
      </c>
      <c r="X72" s="87">
        <f t="shared" si="26"/>
        <v>3</v>
      </c>
      <c r="Y72" s="87">
        <f t="shared" si="26"/>
        <v>2</v>
      </c>
      <c r="Z72" s="87">
        <f t="shared" si="26"/>
        <v>2</v>
      </c>
      <c r="AA72" s="87">
        <f t="shared" si="26"/>
        <v>2</v>
      </c>
      <c r="AB72" s="87">
        <f t="shared" si="26"/>
        <v>1</v>
      </c>
      <c r="AC72" s="87">
        <f t="shared" si="26"/>
        <v>1</v>
      </c>
      <c r="AD72" s="87">
        <f t="shared" si="26"/>
        <v>0</v>
      </c>
      <c r="AE72" s="87">
        <f t="shared" si="26"/>
        <v>0</v>
      </c>
      <c r="AF72" s="87">
        <f t="shared" si="26"/>
        <v>0</v>
      </c>
      <c r="AG72" s="87">
        <f t="shared" si="26"/>
        <v>0</v>
      </c>
      <c r="AH72" s="87">
        <f t="shared" si="26"/>
        <v>0</v>
      </c>
      <c r="AI72" s="87">
        <f t="shared" si="26"/>
        <v>0</v>
      </c>
      <c r="AJ72" s="87">
        <f t="shared" si="26"/>
        <v>0</v>
      </c>
      <c r="AK72" s="87">
        <f t="shared" si="26"/>
        <v>0</v>
      </c>
      <c r="AL72" s="87">
        <f t="shared" si="26"/>
        <v>0</v>
      </c>
      <c r="AM72" s="87">
        <f t="shared" si="26"/>
        <v>0</v>
      </c>
      <c r="AN72" s="87">
        <f t="shared" si="26"/>
        <v>0</v>
      </c>
      <c r="AO72" s="87">
        <f t="shared" si="26"/>
        <v>0</v>
      </c>
      <c r="AP72" s="87">
        <f t="shared" si="26"/>
        <v>0</v>
      </c>
      <c r="AQ72" s="87">
        <f t="shared" si="26"/>
        <v>0</v>
      </c>
      <c r="AR72" s="87">
        <f t="shared" si="26"/>
        <v>0</v>
      </c>
      <c r="AS72" s="87">
        <f t="shared" si="26"/>
        <v>0</v>
      </c>
      <c r="AT72" s="87">
        <f t="shared" si="26"/>
        <v>0</v>
      </c>
      <c r="AU72" s="87">
        <f t="shared" si="26"/>
        <v>0</v>
      </c>
      <c r="AV72" s="85"/>
    </row>
    <row r="73" spans="1:48" ht="14.25" customHeight="1">
      <c r="A73" s="129"/>
      <c r="E73" s="104"/>
      <c r="H73" s="104"/>
      <c r="I73" s="170" t="s">
        <v>66</v>
      </c>
      <c r="J73" s="90">
        <f t="shared" ref="J73:AU73" si="27">COUNTIFS($E$5:$E$41,$E72,J$5:J$41,"Censored")</f>
        <v>0</v>
      </c>
      <c r="K73" s="90">
        <f t="shared" si="27"/>
        <v>0</v>
      </c>
      <c r="L73" s="90">
        <f t="shared" si="27"/>
        <v>0</v>
      </c>
      <c r="M73" s="90">
        <f t="shared" si="27"/>
        <v>0</v>
      </c>
      <c r="N73" s="90">
        <f t="shared" si="27"/>
        <v>0</v>
      </c>
      <c r="O73" s="90">
        <f t="shared" si="27"/>
        <v>0</v>
      </c>
      <c r="P73" s="90">
        <f t="shared" si="27"/>
        <v>0</v>
      </c>
      <c r="Q73" s="90">
        <f t="shared" si="27"/>
        <v>0</v>
      </c>
      <c r="R73" s="90">
        <f t="shared" si="27"/>
        <v>0</v>
      </c>
      <c r="S73" s="90">
        <f t="shared" si="27"/>
        <v>0</v>
      </c>
      <c r="T73" s="90">
        <f t="shared" si="27"/>
        <v>0</v>
      </c>
      <c r="U73" s="90">
        <f t="shared" si="27"/>
        <v>0</v>
      </c>
      <c r="V73" s="90">
        <f t="shared" si="27"/>
        <v>0</v>
      </c>
      <c r="W73" s="90">
        <f t="shared" si="27"/>
        <v>0</v>
      </c>
      <c r="X73" s="90">
        <f t="shared" si="27"/>
        <v>0</v>
      </c>
      <c r="Y73" s="90">
        <f t="shared" si="27"/>
        <v>0</v>
      </c>
      <c r="Z73" s="90">
        <f t="shared" si="27"/>
        <v>0</v>
      </c>
      <c r="AA73" s="90">
        <f t="shared" si="27"/>
        <v>0</v>
      </c>
      <c r="AB73" s="90">
        <f t="shared" si="27"/>
        <v>0</v>
      </c>
      <c r="AC73" s="90">
        <f t="shared" si="27"/>
        <v>0</v>
      </c>
      <c r="AD73" s="90">
        <f t="shared" si="27"/>
        <v>0</v>
      </c>
      <c r="AE73" s="90">
        <f t="shared" si="27"/>
        <v>0</v>
      </c>
      <c r="AF73" s="90">
        <f t="shared" si="27"/>
        <v>0</v>
      </c>
      <c r="AG73" s="90">
        <f t="shared" si="27"/>
        <v>0</v>
      </c>
      <c r="AH73" s="90">
        <f t="shared" si="27"/>
        <v>0</v>
      </c>
      <c r="AI73" s="90">
        <f t="shared" si="27"/>
        <v>0</v>
      </c>
      <c r="AJ73" s="90">
        <f t="shared" si="27"/>
        <v>0</v>
      </c>
      <c r="AK73" s="90">
        <f t="shared" si="27"/>
        <v>0</v>
      </c>
      <c r="AL73" s="90">
        <f t="shared" si="27"/>
        <v>0</v>
      </c>
      <c r="AM73" s="90">
        <f t="shared" si="27"/>
        <v>0</v>
      </c>
      <c r="AN73" s="90">
        <f t="shared" si="27"/>
        <v>0</v>
      </c>
      <c r="AO73" s="90">
        <f t="shared" si="27"/>
        <v>0</v>
      </c>
      <c r="AP73" s="90">
        <f t="shared" si="27"/>
        <v>0</v>
      </c>
      <c r="AQ73" s="90">
        <f t="shared" si="27"/>
        <v>0</v>
      </c>
      <c r="AR73" s="90">
        <f t="shared" si="27"/>
        <v>0</v>
      </c>
      <c r="AS73" s="90">
        <f t="shared" si="27"/>
        <v>0</v>
      </c>
      <c r="AT73" s="90">
        <f t="shared" si="27"/>
        <v>0</v>
      </c>
      <c r="AU73" s="90">
        <f t="shared" si="27"/>
        <v>0</v>
      </c>
      <c r="AV73" s="85"/>
    </row>
    <row r="74" spans="1:48" ht="14.25" customHeight="1">
      <c r="A74" s="52"/>
      <c r="B74" s="51"/>
      <c r="C74" s="53"/>
      <c r="D74" s="51"/>
      <c r="E74" s="103"/>
      <c r="F74" s="80"/>
      <c r="G74" s="49"/>
      <c r="H74" s="104"/>
      <c r="I74" s="170" t="s">
        <v>68</v>
      </c>
      <c r="J74" s="83">
        <f>J72/(COUNTIFS($E$5:$E$41,$E72,J$5:J$41,"Alive")+COUNTIFS($E$5:$E$41,$E72,J$5:J$41,"Sacrificed")+COUNTIFS($E$5:$E$41,$E72,J$5:J$41,"Died"))</f>
        <v>1</v>
      </c>
      <c r="K74" s="83">
        <f t="shared" ref="K74:AU74" si="28">K72/(COUNTIFS($E$5:$E$41,$E72,K$5:K$41,"Alive")+COUNTIFS($E$5:$E$41,$E72,K$5:K$41,"Sacrificed")+COUNTIFS($E$5:$E$41,$E72,K$5:K$41,"Died"))*J74</f>
        <v>1</v>
      </c>
      <c r="L74" s="83">
        <f t="shared" si="28"/>
        <v>1</v>
      </c>
      <c r="M74" s="83">
        <f t="shared" si="28"/>
        <v>1</v>
      </c>
      <c r="N74" s="83">
        <f t="shared" si="28"/>
        <v>1</v>
      </c>
      <c r="O74" s="83">
        <f t="shared" si="28"/>
        <v>1</v>
      </c>
      <c r="P74" s="83">
        <f t="shared" si="28"/>
        <v>1</v>
      </c>
      <c r="Q74" s="83">
        <f t="shared" si="28"/>
        <v>1</v>
      </c>
      <c r="R74" s="83">
        <f t="shared" si="28"/>
        <v>1</v>
      </c>
      <c r="S74" s="83">
        <f t="shared" si="28"/>
        <v>1</v>
      </c>
      <c r="T74" s="83">
        <f t="shared" si="28"/>
        <v>1</v>
      </c>
      <c r="U74" s="83">
        <f t="shared" si="28"/>
        <v>1</v>
      </c>
      <c r="V74" s="83">
        <f t="shared" si="28"/>
        <v>0.8</v>
      </c>
      <c r="W74" s="83">
        <f t="shared" si="28"/>
        <v>0.8</v>
      </c>
      <c r="X74" s="83">
        <f t="shared" si="28"/>
        <v>0.60000000000000009</v>
      </c>
      <c r="Y74" s="83">
        <f t="shared" si="28"/>
        <v>0.4</v>
      </c>
      <c r="Z74" s="83">
        <f t="shared" si="28"/>
        <v>0.4</v>
      </c>
      <c r="AA74" s="83">
        <f t="shared" si="28"/>
        <v>0.4</v>
      </c>
      <c r="AB74" s="83">
        <f t="shared" si="28"/>
        <v>0.2</v>
      </c>
      <c r="AC74" s="83">
        <f t="shared" si="28"/>
        <v>0.2</v>
      </c>
      <c r="AD74" s="83">
        <f t="shared" si="28"/>
        <v>0</v>
      </c>
      <c r="AE74" s="83" t="e">
        <f t="shared" si="28"/>
        <v>#DIV/0!</v>
      </c>
      <c r="AF74" s="83" t="e">
        <f t="shared" si="28"/>
        <v>#DIV/0!</v>
      </c>
      <c r="AG74" s="83" t="e">
        <f t="shared" si="28"/>
        <v>#DIV/0!</v>
      </c>
      <c r="AH74" s="83" t="e">
        <f t="shared" si="28"/>
        <v>#DIV/0!</v>
      </c>
      <c r="AI74" s="83" t="e">
        <f t="shared" si="28"/>
        <v>#DIV/0!</v>
      </c>
      <c r="AJ74" s="83" t="e">
        <f t="shared" si="28"/>
        <v>#DIV/0!</v>
      </c>
      <c r="AK74" s="83" t="e">
        <f t="shared" si="28"/>
        <v>#DIV/0!</v>
      </c>
      <c r="AL74" s="83" t="e">
        <f t="shared" si="28"/>
        <v>#DIV/0!</v>
      </c>
      <c r="AM74" s="83" t="e">
        <f t="shared" si="28"/>
        <v>#DIV/0!</v>
      </c>
      <c r="AN74" s="83" t="e">
        <f t="shared" si="28"/>
        <v>#DIV/0!</v>
      </c>
      <c r="AO74" s="83" t="e">
        <f t="shared" si="28"/>
        <v>#DIV/0!</v>
      </c>
      <c r="AP74" s="83" t="e">
        <f t="shared" si="28"/>
        <v>#DIV/0!</v>
      </c>
      <c r="AQ74" s="83" t="e">
        <f t="shared" si="28"/>
        <v>#DIV/0!</v>
      </c>
      <c r="AR74" s="83" t="e">
        <f t="shared" si="28"/>
        <v>#DIV/0!</v>
      </c>
      <c r="AS74" s="83" t="e">
        <f t="shared" si="28"/>
        <v>#DIV/0!</v>
      </c>
      <c r="AT74" s="83" t="e">
        <f t="shared" si="28"/>
        <v>#DIV/0!</v>
      </c>
      <c r="AU74" s="83" t="e">
        <f t="shared" si="28"/>
        <v>#DIV/0!</v>
      </c>
      <c r="AV74" s="3"/>
    </row>
    <row r="76" spans="1:48" ht="14.25" customHeight="1">
      <c r="A76" s="129"/>
      <c r="E76" s="134" t="str">
        <f>'RAD_DOSE Groups'!C13</f>
        <v>10.0 uCi + CP-PTX</v>
      </c>
      <c r="H76" s="134" t="str">
        <f>E76</f>
        <v>10.0 uCi + CP-PTX</v>
      </c>
      <c r="I76" s="170" t="s">
        <v>67</v>
      </c>
      <c r="J76" s="87">
        <f t="shared" ref="J76:AU76" si="29">COUNTIFS($E$5:$E$41,$E76,J$5:J$41,"Alive")</f>
        <v>4</v>
      </c>
      <c r="K76" s="87">
        <f t="shared" si="29"/>
        <v>4</v>
      </c>
      <c r="L76" s="87">
        <f t="shared" si="29"/>
        <v>4</v>
      </c>
      <c r="M76" s="87">
        <f t="shared" si="29"/>
        <v>4</v>
      </c>
      <c r="N76" s="87">
        <f t="shared" si="29"/>
        <v>4</v>
      </c>
      <c r="O76" s="87">
        <f t="shared" si="29"/>
        <v>4</v>
      </c>
      <c r="P76" s="87">
        <f t="shared" si="29"/>
        <v>4</v>
      </c>
      <c r="Q76" s="87">
        <f t="shared" si="29"/>
        <v>4</v>
      </c>
      <c r="R76" s="87">
        <f t="shared" si="29"/>
        <v>4</v>
      </c>
      <c r="S76" s="87">
        <f t="shared" si="29"/>
        <v>4</v>
      </c>
      <c r="T76" s="87">
        <f t="shared" si="29"/>
        <v>4</v>
      </c>
      <c r="U76" s="87">
        <f t="shared" si="29"/>
        <v>4</v>
      </c>
      <c r="V76" s="87">
        <f t="shared" si="29"/>
        <v>4</v>
      </c>
      <c r="W76" s="87">
        <f t="shared" si="29"/>
        <v>4</v>
      </c>
      <c r="X76" s="87">
        <f t="shared" si="29"/>
        <v>4</v>
      </c>
      <c r="Y76" s="87">
        <f t="shared" si="29"/>
        <v>4</v>
      </c>
      <c r="Z76" s="87">
        <f t="shared" si="29"/>
        <v>4</v>
      </c>
      <c r="AA76" s="87">
        <f t="shared" si="29"/>
        <v>4</v>
      </c>
      <c r="AB76" s="87">
        <f t="shared" si="29"/>
        <v>4</v>
      </c>
      <c r="AC76" s="87">
        <f t="shared" si="29"/>
        <v>4</v>
      </c>
      <c r="AD76" s="87">
        <f t="shared" si="29"/>
        <v>4</v>
      </c>
      <c r="AE76" s="87">
        <f t="shared" si="29"/>
        <v>3</v>
      </c>
      <c r="AF76" s="87">
        <f t="shared" si="29"/>
        <v>3</v>
      </c>
      <c r="AG76" s="87">
        <f t="shared" si="29"/>
        <v>3</v>
      </c>
      <c r="AH76" s="87">
        <f t="shared" si="29"/>
        <v>3</v>
      </c>
      <c r="AI76" s="87">
        <f t="shared" si="29"/>
        <v>3</v>
      </c>
      <c r="AJ76" s="87">
        <f t="shared" si="29"/>
        <v>3</v>
      </c>
      <c r="AK76" s="87">
        <f t="shared" si="29"/>
        <v>2</v>
      </c>
      <c r="AL76" s="87">
        <f t="shared" si="29"/>
        <v>2</v>
      </c>
      <c r="AM76" s="87">
        <f t="shared" si="29"/>
        <v>2</v>
      </c>
      <c r="AN76" s="87">
        <f t="shared" si="29"/>
        <v>2</v>
      </c>
      <c r="AO76" s="87">
        <f t="shared" si="29"/>
        <v>1</v>
      </c>
      <c r="AP76" s="87">
        <f t="shared" si="29"/>
        <v>1</v>
      </c>
      <c r="AQ76" s="87">
        <f t="shared" si="29"/>
        <v>1</v>
      </c>
      <c r="AR76" s="87">
        <f t="shared" si="29"/>
        <v>1</v>
      </c>
      <c r="AS76" s="87">
        <f t="shared" si="29"/>
        <v>1</v>
      </c>
      <c r="AT76" s="87">
        <f t="shared" si="29"/>
        <v>0</v>
      </c>
      <c r="AU76" s="87">
        <f t="shared" si="29"/>
        <v>0</v>
      </c>
      <c r="AV76" s="85"/>
    </row>
    <row r="77" spans="1:48" ht="14.25" customHeight="1">
      <c r="A77" s="129"/>
      <c r="E77" s="104"/>
      <c r="H77" s="104"/>
      <c r="I77" s="170" t="s">
        <v>66</v>
      </c>
      <c r="J77" s="90">
        <f t="shared" ref="J77:AU77" si="30">COUNTIFS($E$5:$E$41,$E76,J$5:J$41,"Censored")</f>
        <v>0</v>
      </c>
      <c r="K77" s="90">
        <f t="shared" si="30"/>
        <v>0</v>
      </c>
      <c r="L77" s="90">
        <f t="shared" si="30"/>
        <v>0</v>
      </c>
      <c r="M77" s="90">
        <f t="shared" si="30"/>
        <v>0</v>
      </c>
      <c r="N77" s="90">
        <f t="shared" si="30"/>
        <v>0</v>
      </c>
      <c r="O77" s="90">
        <f t="shared" si="30"/>
        <v>0</v>
      </c>
      <c r="P77" s="90">
        <f t="shared" si="30"/>
        <v>0</v>
      </c>
      <c r="Q77" s="90">
        <f t="shared" si="30"/>
        <v>0</v>
      </c>
      <c r="R77" s="90">
        <f t="shared" si="30"/>
        <v>0</v>
      </c>
      <c r="S77" s="90">
        <f t="shared" si="30"/>
        <v>0</v>
      </c>
      <c r="T77" s="90">
        <f t="shared" si="30"/>
        <v>0</v>
      </c>
      <c r="U77" s="90">
        <f t="shared" si="30"/>
        <v>0</v>
      </c>
      <c r="V77" s="90">
        <f t="shared" si="30"/>
        <v>0</v>
      </c>
      <c r="W77" s="90">
        <f t="shared" si="30"/>
        <v>0</v>
      </c>
      <c r="X77" s="90">
        <f t="shared" si="30"/>
        <v>0</v>
      </c>
      <c r="Y77" s="90">
        <f t="shared" si="30"/>
        <v>0</v>
      </c>
      <c r="Z77" s="90">
        <f t="shared" si="30"/>
        <v>0</v>
      </c>
      <c r="AA77" s="90">
        <f t="shared" si="30"/>
        <v>0</v>
      </c>
      <c r="AB77" s="90">
        <f t="shared" si="30"/>
        <v>0</v>
      </c>
      <c r="AC77" s="90">
        <f t="shared" si="30"/>
        <v>0</v>
      </c>
      <c r="AD77" s="90">
        <f t="shared" si="30"/>
        <v>0</v>
      </c>
      <c r="AE77" s="90">
        <f t="shared" si="30"/>
        <v>0</v>
      </c>
      <c r="AF77" s="90">
        <f t="shared" si="30"/>
        <v>0</v>
      </c>
      <c r="AG77" s="90">
        <f t="shared" si="30"/>
        <v>0</v>
      </c>
      <c r="AH77" s="90">
        <f t="shared" si="30"/>
        <v>0</v>
      </c>
      <c r="AI77" s="90">
        <f t="shared" si="30"/>
        <v>0</v>
      </c>
      <c r="AJ77" s="90">
        <f t="shared" si="30"/>
        <v>0</v>
      </c>
      <c r="AK77" s="90">
        <f t="shared" si="30"/>
        <v>0</v>
      </c>
      <c r="AL77" s="90">
        <f t="shared" si="30"/>
        <v>0</v>
      </c>
      <c r="AM77" s="90">
        <f t="shared" si="30"/>
        <v>0</v>
      </c>
      <c r="AN77" s="90">
        <f t="shared" si="30"/>
        <v>0</v>
      </c>
      <c r="AO77" s="90">
        <f t="shared" si="30"/>
        <v>0</v>
      </c>
      <c r="AP77" s="90">
        <f t="shared" si="30"/>
        <v>0</v>
      </c>
      <c r="AQ77" s="90">
        <f t="shared" si="30"/>
        <v>0</v>
      </c>
      <c r="AR77" s="90">
        <f t="shared" si="30"/>
        <v>0</v>
      </c>
      <c r="AS77" s="90">
        <f t="shared" si="30"/>
        <v>0</v>
      </c>
      <c r="AT77" s="90">
        <f t="shared" si="30"/>
        <v>0</v>
      </c>
      <c r="AU77" s="90">
        <f t="shared" si="30"/>
        <v>0</v>
      </c>
      <c r="AV77" s="85"/>
    </row>
    <row r="78" spans="1:48" ht="14.25" customHeight="1">
      <c r="A78" s="52"/>
      <c r="B78" s="51"/>
      <c r="C78" s="53"/>
      <c r="D78" s="51"/>
      <c r="E78" s="103"/>
      <c r="F78" s="80"/>
      <c r="G78" s="49"/>
      <c r="H78" s="104"/>
      <c r="I78" s="170" t="s">
        <v>68</v>
      </c>
      <c r="J78" s="83">
        <f>J76/(COUNTIFS($E$5:$E$41,$E76,J$5:J$41,"Alive")+COUNTIFS($E$5:$E$41,$E76,J$5:J$41,"Sacrificed")+COUNTIFS($E$5:$E$41,$E76,J$5:J$41,"Died"))</f>
        <v>1</v>
      </c>
      <c r="K78" s="83">
        <f t="shared" ref="K78:AU78" si="31">K76/(COUNTIFS($E$5:$E$41,$E76,K$5:K$41,"Alive")+COUNTIFS($E$5:$E$41,$E76,K$5:K$41,"Sacrificed")+COUNTIFS($E$5:$E$41,$E76,K$5:K$41,"Died"))*J78</f>
        <v>1</v>
      </c>
      <c r="L78" s="83">
        <f t="shared" si="31"/>
        <v>1</v>
      </c>
      <c r="M78" s="83">
        <f t="shared" si="31"/>
        <v>1</v>
      </c>
      <c r="N78" s="83">
        <f t="shared" si="31"/>
        <v>1</v>
      </c>
      <c r="O78" s="83">
        <f t="shared" si="31"/>
        <v>1</v>
      </c>
      <c r="P78" s="83">
        <f t="shared" si="31"/>
        <v>1</v>
      </c>
      <c r="Q78" s="83">
        <f t="shared" si="31"/>
        <v>1</v>
      </c>
      <c r="R78" s="83">
        <f t="shared" si="31"/>
        <v>1</v>
      </c>
      <c r="S78" s="83">
        <f t="shared" si="31"/>
        <v>1</v>
      </c>
      <c r="T78" s="83">
        <f t="shared" si="31"/>
        <v>1</v>
      </c>
      <c r="U78" s="83">
        <f t="shared" si="31"/>
        <v>1</v>
      </c>
      <c r="V78" s="83">
        <f t="shared" si="31"/>
        <v>1</v>
      </c>
      <c r="W78" s="83">
        <f t="shared" si="31"/>
        <v>1</v>
      </c>
      <c r="X78" s="83">
        <f t="shared" si="31"/>
        <v>1</v>
      </c>
      <c r="Y78" s="83">
        <f t="shared" si="31"/>
        <v>1</v>
      </c>
      <c r="Z78" s="83">
        <f t="shared" si="31"/>
        <v>1</v>
      </c>
      <c r="AA78" s="83">
        <f t="shared" si="31"/>
        <v>1</v>
      </c>
      <c r="AB78" s="83">
        <f t="shared" si="31"/>
        <v>1</v>
      </c>
      <c r="AC78" s="83">
        <f t="shared" si="31"/>
        <v>1</v>
      </c>
      <c r="AD78" s="83">
        <f t="shared" si="31"/>
        <v>1</v>
      </c>
      <c r="AE78" s="83">
        <f t="shared" si="31"/>
        <v>0.75</v>
      </c>
      <c r="AF78" s="83">
        <f t="shared" si="31"/>
        <v>0.75</v>
      </c>
      <c r="AG78" s="83">
        <f t="shared" si="31"/>
        <v>0.75</v>
      </c>
      <c r="AH78" s="83">
        <f t="shared" si="31"/>
        <v>0.75</v>
      </c>
      <c r="AI78" s="83">
        <f t="shared" si="31"/>
        <v>0.75</v>
      </c>
      <c r="AJ78" s="83">
        <f t="shared" si="31"/>
        <v>0.75</v>
      </c>
      <c r="AK78" s="83">
        <f t="shared" si="31"/>
        <v>0.5</v>
      </c>
      <c r="AL78" s="83">
        <f t="shared" si="31"/>
        <v>0.5</v>
      </c>
      <c r="AM78" s="83">
        <f t="shared" si="31"/>
        <v>0.5</v>
      </c>
      <c r="AN78" s="83">
        <f t="shared" si="31"/>
        <v>0.5</v>
      </c>
      <c r="AO78" s="83">
        <f t="shared" si="31"/>
        <v>0.25</v>
      </c>
      <c r="AP78" s="83">
        <f t="shared" si="31"/>
        <v>0.25</v>
      </c>
      <c r="AQ78" s="83">
        <f t="shared" si="31"/>
        <v>0.25</v>
      </c>
      <c r="AR78" s="83">
        <f t="shared" si="31"/>
        <v>0.25</v>
      </c>
      <c r="AS78" s="83">
        <f t="shared" si="31"/>
        <v>0.25</v>
      </c>
      <c r="AT78" s="83">
        <f t="shared" si="31"/>
        <v>0</v>
      </c>
      <c r="AU78" s="83" t="e">
        <f t="shared" si="31"/>
        <v>#DIV/0!</v>
      </c>
      <c r="AV78" s="3"/>
    </row>
    <row r="80" spans="1:48" ht="14.25" customHeight="1">
      <c r="A80" s="129"/>
      <c r="E80" s="134" t="str">
        <f>'RAD_DOSE Groups'!C14</f>
        <v>Group 9</v>
      </c>
      <c r="H80" s="134" t="str">
        <f>E80</f>
        <v>Group 9</v>
      </c>
      <c r="I80" s="170" t="s">
        <v>67</v>
      </c>
      <c r="J80" s="87">
        <f t="shared" ref="J80:AU80" si="32">COUNTIFS($E$5:$E$41,$E80,J$5:J$41,"Alive")</f>
        <v>0</v>
      </c>
      <c r="K80" s="87">
        <f t="shared" si="32"/>
        <v>0</v>
      </c>
      <c r="L80" s="87">
        <f t="shared" si="32"/>
        <v>0</v>
      </c>
      <c r="M80" s="87">
        <f t="shared" si="32"/>
        <v>0</v>
      </c>
      <c r="N80" s="87">
        <f t="shared" si="32"/>
        <v>0</v>
      </c>
      <c r="O80" s="87">
        <f t="shared" si="32"/>
        <v>0</v>
      </c>
      <c r="P80" s="87">
        <f t="shared" si="32"/>
        <v>0</v>
      </c>
      <c r="Q80" s="87">
        <f t="shared" si="32"/>
        <v>0</v>
      </c>
      <c r="R80" s="87">
        <f t="shared" si="32"/>
        <v>0</v>
      </c>
      <c r="S80" s="87">
        <f t="shared" si="32"/>
        <v>0</v>
      </c>
      <c r="T80" s="87">
        <f t="shared" si="32"/>
        <v>0</v>
      </c>
      <c r="U80" s="87">
        <f t="shared" si="32"/>
        <v>0</v>
      </c>
      <c r="V80" s="87">
        <f t="shared" si="32"/>
        <v>0</v>
      </c>
      <c r="W80" s="87">
        <f t="shared" si="32"/>
        <v>0</v>
      </c>
      <c r="X80" s="87">
        <f t="shared" si="32"/>
        <v>0</v>
      </c>
      <c r="Y80" s="87">
        <f t="shared" si="32"/>
        <v>0</v>
      </c>
      <c r="Z80" s="87">
        <f t="shared" si="32"/>
        <v>0</v>
      </c>
      <c r="AA80" s="87">
        <f t="shared" si="32"/>
        <v>0</v>
      </c>
      <c r="AB80" s="87">
        <f t="shared" si="32"/>
        <v>0</v>
      </c>
      <c r="AC80" s="87">
        <f t="shared" si="32"/>
        <v>0</v>
      </c>
      <c r="AD80" s="87">
        <f t="shared" si="32"/>
        <v>0</v>
      </c>
      <c r="AE80" s="87">
        <f t="shared" si="32"/>
        <v>0</v>
      </c>
      <c r="AF80" s="87">
        <f t="shared" si="32"/>
        <v>0</v>
      </c>
      <c r="AG80" s="87">
        <f t="shared" si="32"/>
        <v>0</v>
      </c>
      <c r="AH80" s="87">
        <f t="shared" si="32"/>
        <v>0</v>
      </c>
      <c r="AI80" s="87">
        <f t="shared" si="32"/>
        <v>0</v>
      </c>
      <c r="AJ80" s="87">
        <f t="shared" si="32"/>
        <v>0</v>
      </c>
      <c r="AK80" s="87">
        <f t="shared" si="32"/>
        <v>0</v>
      </c>
      <c r="AL80" s="87">
        <f t="shared" si="32"/>
        <v>0</v>
      </c>
      <c r="AM80" s="87">
        <f t="shared" si="32"/>
        <v>0</v>
      </c>
      <c r="AN80" s="87">
        <f t="shared" si="32"/>
        <v>0</v>
      </c>
      <c r="AO80" s="87">
        <f t="shared" si="32"/>
        <v>0</v>
      </c>
      <c r="AP80" s="87">
        <f t="shared" si="32"/>
        <v>0</v>
      </c>
      <c r="AQ80" s="87">
        <f t="shared" si="32"/>
        <v>0</v>
      </c>
      <c r="AR80" s="87">
        <f t="shared" si="32"/>
        <v>0</v>
      </c>
      <c r="AS80" s="87">
        <f t="shared" si="32"/>
        <v>0</v>
      </c>
      <c r="AT80" s="87">
        <f t="shared" si="32"/>
        <v>0</v>
      </c>
      <c r="AU80" s="87">
        <f t="shared" si="32"/>
        <v>0</v>
      </c>
      <c r="AV80" s="85"/>
    </row>
    <row r="81" spans="1:48" ht="14.25" customHeight="1">
      <c r="A81" s="129"/>
      <c r="E81" s="104"/>
      <c r="H81" s="104"/>
      <c r="I81" s="170" t="s">
        <v>66</v>
      </c>
      <c r="J81" s="90">
        <f t="shared" ref="J81:AU81" si="33">COUNTIFS($E$5:$E$41,$E80,J$5:J$41,"Censored")</f>
        <v>0</v>
      </c>
      <c r="K81" s="90">
        <f t="shared" si="33"/>
        <v>0</v>
      </c>
      <c r="L81" s="90">
        <f t="shared" si="33"/>
        <v>0</v>
      </c>
      <c r="M81" s="90">
        <f t="shared" si="33"/>
        <v>0</v>
      </c>
      <c r="N81" s="90">
        <f t="shared" si="33"/>
        <v>0</v>
      </c>
      <c r="O81" s="90">
        <f t="shared" si="33"/>
        <v>0</v>
      </c>
      <c r="P81" s="90">
        <f t="shared" si="33"/>
        <v>0</v>
      </c>
      <c r="Q81" s="90">
        <f t="shared" si="33"/>
        <v>0</v>
      </c>
      <c r="R81" s="90">
        <f t="shared" si="33"/>
        <v>0</v>
      </c>
      <c r="S81" s="90">
        <f t="shared" si="33"/>
        <v>0</v>
      </c>
      <c r="T81" s="90">
        <f t="shared" si="33"/>
        <v>0</v>
      </c>
      <c r="U81" s="90">
        <f t="shared" si="33"/>
        <v>0</v>
      </c>
      <c r="V81" s="90">
        <f t="shared" si="33"/>
        <v>0</v>
      </c>
      <c r="W81" s="90">
        <f t="shared" si="33"/>
        <v>0</v>
      </c>
      <c r="X81" s="90">
        <f t="shared" si="33"/>
        <v>0</v>
      </c>
      <c r="Y81" s="90">
        <f t="shared" si="33"/>
        <v>0</v>
      </c>
      <c r="Z81" s="90">
        <f t="shared" si="33"/>
        <v>0</v>
      </c>
      <c r="AA81" s="90">
        <f t="shared" si="33"/>
        <v>0</v>
      </c>
      <c r="AB81" s="90">
        <f t="shared" si="33"/>
        <v>0</v>
      </c>
      <c r="AC81" s="90">
        <f t="shared" si="33"/>
        <v>0</v>
      </c>
      <c r="AD81" s="90">
        <f t="shared" si="33"/>
        <v>0</v>
      </c>
      <c r="AE81" s="90">
        <f t="shared" si="33"/>
        <v>0</v>
      </c>
      <c r="AF81" s="90">
        <f t="shared" si="33"/>
        <v>0</v>
      </c>
      <c r="AG81" s="90">
        <f t="shared" si="33"/>
        <v>0</v>
      </c>
      <c r="AH81" s="90">
        <f t="shared" si="33"/>
        <v>0</v>
      </c>
      <c r="AI81" s="90">
        <f t="shared" si="33"/>
        <v>0</v>
      </c>
      <c r="AJ81" s="90">
        <f t="shared" si="33"/>
        <v>0</v>
      </c>
      <c r="AK81" s="90">
        <f t="shared" si="33"/>
        <v>0</v>
      </c>
      <c r="AL81" s="90">
        <f t="shared" si="33"/>
        <v>0</v>
      </c>
      <c r="AM81" s="90">
        <f t="shared" si="33"/>
        <v>0</v>
      </c>
      <c r="AN81" s="90">
        <f t="shared" si="33"/>
        <v>0</v>
      </c>
      <c r="AO81" s="90">
        <f t="shared" si="33"/>
        <v>0</v>
      </c>
      <c r="AP81" s="90">
        <f t="shared" si="33"/>
        <v>0</v>
      </c>
      <c r="AQ81" s="90">
        <f t="shared" si="33"/>
        <v>0</v>
      </c>
      <c r="AR81" s="90">
        <f t="shared" si="33"/>
        <v>0</v>
      </c>
      <c r="AS81" s="90">
        <f t="shared" si="33"/>
        <v>0</v>
      </c>
      <c r="AT81" s="90">
        <f t="shared" si="33"/>
        <v>0</v>
      </c>
      <c r="AU81" s="90">
        <f t="shared" si="33"/>
        <v>0</v>
      </c>
      <c r="AV81" s="85"/>
    </row>
    <row r="82" spans="1:48" ht="14.25" customHeight="1">
      <c r="A82" s="52"/>
      <c r="B82" s="51"/>
      <c r="C82" s="53"/>
      <c r="D82" s="51"/>
      <c r="E82" s="103"/>
      <c r="F82" s="80"/>
      <c r="G82" s="49"/>
      <c r="H82" s="104"/>
      <c r="I82" s="170" t="s">
        <v>68</v>
      </c>
      <c r="J82" s="83" t="e">
        <f>J80/(COUNTIFS($E$5:$E$41,$E80,J$5:J$41,"Alive")+COUNTIFS($E$5:$E$41,$E80,J$5:J$41,"Sacrificed")+COUNTIFS($E$5:$E$41,$E80,J$5:J$41,"Died"))</f>
        <v>#DIV/0!</v>
      </c>
      <c r="K82" s="83" t="e">
        <f t="shared" ref="K82:AU82" si="34">K80/(COUNTIFS($E$5:$E$41,$E80,K$5:K$41,"Alive")+COUNTIFS($E$5:$E$41,$E80,K$5:K$41,"Sacrificed")+COUNTIFS($E$5:$E$41,$E80,K$5:K$41,"Died"))*J82</f>
        <v>#DIV/0!</v>
      </c>
      <c r="L82" s="83" t="e">
        <f t="shared" si="34"/>
        <v>#DIV/0!</v>
      </c>
      <c r="M82" s="83" t="e">
        <f t="shared" si="34"/>
        <v>#DIV/0!</v>
      </c>
      <c r="N82" s="83" t="e">
        <f t="shared" si="34"/>
        <v>#DIV/0!</v>
      </c>
      <c r="O82" s="83" t="e">
        <f t="shared" si="34"/>
        <v>#DIV/0!</v>
      </c>
      <c r="P82" s="83" t="e">
        <f t="shared" si="34"/>
        <v>#DIV/0!</v>
      </c>
      <c r="Q82" s="83" t="e">
        <f t="shared" si="34"/>
        <v>#DIV/0!</v>
      </c>
      <c r="R82" s="83" t="e">
        <f t="shared" si="34"/>
        <v>#DIV/0!</v>
      </c>
      <c r="S82" s="83" t="e">
        <f t="shared" si="34"/>
        <v>#DIV/0!</v>
      </c>
      <c r="T82" s="83" t="e">
        <f t="shared" si="34"/>
        <v>#DIV/0!</v>
      </c>
      <c r="U82" s="83" t="e">
        <f t="shared" si="34"/>
        <v>#DIV/0!</v>
      </c>
      <c r="V82" s="83" t="e">
        <f t="shared" si="34"/>
        <v>#DIV/0!</v>
      </c>
      <c r="W82" s="83" t="e">
        <f t="shared" si="34"/>
        <v>#DIV/0!</v>
      </c>
      <c r="X82" s="83" t="e">
        <f t="shared" si="34"/>
        <v>#DIV/0!</v>
      </c>
      <c r="Y82" s="83" t="e">
        <f t="shared" si="34"/>
        <v>#DIV/0!</v>
      </c>
      <c r="Z82" s="83" t="e">
        <f t="shared" si="34"/>
        <v>#DIV/0!</v>
      </c>
      <c r="AA82" s="83" t="e">
        <f t="shared" si="34"/>
        <v>#DIV/0!</v>
      </c>
      <c r="AB82" s="83" t="e">
        <f t="shared" si="34"/>
        <v>#DIV/0!</v>
      </c>
      <c r="AC82" s="83" t="e">
        <f t="shared" si="34"/>
        <v>#DIV/0!</v>
      </c>
      <c r="AD82" s="83" t="e">
        <f t="shared" si="34"/>
        <v>#DIV/0!</v>
      </c>
      <c r="AE82" s="83" t="e">
        <f t="shared" si="34"/>
        <v>#DIV/0!</v>
      </c>
      <c r="AF82" s="83" t="e">
        <f t="shared" si="34"/>
        <v>#DIV/0!</v>
      </c>
      <c r="AG82" s="83" t="e">
        <f t="shared" si="34"/>
        <v>#DIV/0!</v>
      </c>
      <c r="AH82" s="83" t="e">
        <f t="shared" si="34"/>
        <v>#DIV/0!</v>
      </c>
      <c r="AI82" s="83" t="e">
        <f t="shared" si="34"/>
        <v>#DIV/0!</v>
      </c>
      <c r="AJ82" s="83" t="e">
        <f t="shared" si="34"/>
        <v>#DIV/0!</v>
      </c>
      <c r="AK82" s="83" t="e">
        <f t="shared" si="34"/>
        <v>#DIV/0!</v>
      </c>
      <c r="AL82" s="83" t="e">
        <f t="shared" si="34"/>
        <v>#DIV/0!</v>
      </c>
      <c r="AM82" s="83" t="e">
        <f t="shared" si="34"/>
        <v>#DIV/0!</v>
      </c>
      <c r="AN82" s="83" t="e">
        <f t="shared" si="34"/>
        <v>#DIV/0!</v>
      </c>
      <c r="AO82" s="83" t="e">
        <f t="shared" si="34"/>
        <v>#DIV/0!</v>
      </c>
      <c r="AP82" s="83" t="e">
        <f t="shared" si="34"/>
        <v>#DIV/0!</v>
      </c>
      <c r="AQ82" s="83" t="e">
        <f t="shared" si="34"/>
        <v>#DIV/0!</v>
      </c>
      <c r="AR82" s="83" t="e">
        <f t="shared" si="34"/>
        <v>#DIV/0!</v>
      </c>
      <c r="AS82" s="83" t="e">
        <f t="shared" si="34"/>
        <v>#DIV/0!</v>
      </c>
      <c r="AT82" s="83" t="e">
        <f t="shared" si="34"/>
        <v>#DIV/0!</v>
      </c>
      <c r="AU82" s="83" t="e">
        <f t="shared" si="34"/>
        <v>#DIV/0!</v>
      </c>
      <c r="AV82" s="3"/>
    </row>
    <row r="84" spans="1:48" ht="14.25" customHeight="1">
      <c r="A84" s="129"/>
      <c r="E84" s="134" t="str">
        <f>'RAD_DOSE Groups'!C15</f>
        <v>Group 10</v>
      </c>
      <c r="H84" s="134" t="str">
        <f>E84</f>
        <v>Group 10</v>
      </c>
      <c r="I84" s="170" t="s">
        <v>67</v>
      </c>
      <c r="J84" s="87">
        <f t="shared" ref="J84:AU84" si="35">COUNTIFS($E$5:$E$41,$E84,J$5:J$41,"Alive")</f>
        <v>0</v>
      </c>
      <c r="K84" s="87">
        <f t="shared" si="35"/>
        <v>0</v>
      </c>
      <c r="L84" s="87">
        <f t="shared" si="35"/>
        <v>0</v>
      </c>
      <c r="M84" s="87">
        <f t="shared" si="35"/>
        <v>0</v>
      </c>
      <c r="N84" s="87">
        <f t="shared" si="35"/>
        <v>0</v>
      </c>
      <c r="O84" s="87">
        <f t="shared" si="35"/>
        <v>0</v>
      </c>
      <c r="P84" s="87">
        <f t="shared" si="35"/>
        <v>0</v>
      </c>
      <c r="Q84" s="87">
        <f t="shared" si="35"/>
        <v>0</v>
      </c>
      <c r="R84" s="87">
        <f t="shared" si="35"/>
        <v>0</v>
      </c>
      <c r="S84" s="87">
        <f t="shared" si="35"/>
        <v>0</v>
      </c>
      <c r="T84" s="87">
        <f t="shared" si="35"/>
        <v>0</v>
      </c>
      <c r="U84" s="87">
        <f t="shared" si="35"/>
        <v>0</v>
      </c>
      <c r="V84" s="87">
        <f t="shared" si="35"/>
        <v>0</v>
      </c>
      <c r="W84" s="87">
        <f t="shared" si="35"/>
        <v>0</v>
      </c>
      <c r="X84" s="87">
        <f t="shared" si="35"/>
        <v>0</v>
      </c>
      <c r="Y84" s="87">
        <f t="shared" si="35"/>
        <v>0</v>
      </c>
      <c r="Z84" s="87">
        <f t="shared" si="35"/>
        <v>0</v>
      </c>
      <c r="AA84" s="87">
        <f t="shared" si="35"/>
        <v>0</v>
      </c>
      <c r="AB84" s="87">
        <f t="shared" si="35"/>
        <v>0</v>
      </c>
      <c r="AC84" s="87">
        <f t="shared" si="35"/>
        <v>0</v>
      </c>
      <c r="AD84" s="87">
        <f t="shared" si="35"/>
        <v>0</v>
      </c>
      <c r="AE84" s="87">
        <f t="shared" si="35"/>
        <v>0</v>
      </c>
      <c r="AF84" s="87">
        <f t="shared" si="35"/>
        <v>0</v>
      </c>
      <c r="AG84" s="87">
        <f t="shared" si="35"/>
        <v>0</v>
      </c>
      <c r="AH84" s="87">
        <f t="shared" si="35"/>
        <v>0</v>
      </c>
      <c r="AI84" s="87">
        <f t="shared" si="35"/>
        <v>0</v>
      </c>
      <c r="AJ84" s="87">
        <f t="shared" si="35"/>
        <v>0</v>
      </c>
      <c r="AK84" s="87">
        <f t="shared" si="35"/>
        <v>0</v>
      </c>
      <c r="AL84" s="87">
        <f t="shared" si="35"/>
        <v>0</v>
      </c>
      <c r="AM84" s="87">
        <f t="shared" si="35"/>
        <v>0</v>
      </c>
      <c r="AN84" s="87">
        <f t="shared" si="35"/>
        <v>0</v>
      </c>
      <c r="AO84" s="87">
        <f t="shared" si="35"/>
        <v>0</v>
      </c>
      <c r="AP84" s="87">
        <f t="shared" si="35"/>
        <v>0</v>
      </c>
      <c r="AQ84" s="87">
        <f t="shared" si="35"/>
        <v>0</v>
      </c>
      <c r="AR84" s="87">
        <f t="shared" si="35"/>
        <v>0</v>
      </c>
      <c r="AS84" s="87">
        <f t="shared" si="35"/>
        <v>0</v>
      </c>
      <c r="AT84" s="87">
        <f t="shared" si="35"/>
        <v>0</v>
      </c>
      <c r="AU84" s="87">
        <f t="shared" si="35"/>
        <v>0</v>
      </c>
      <c r="AV84" s="85"/>
    </row>
    <row r="85" spans="1:48" ht="14.25" customHeight="1">
      <c r="A85" s="129"/>
      <c r="E85" s="104"/>
      <c r="H85" s="104"/>
      <c r="I85" s="170" t="s">
        <v>66</v>
      </c>
      <c r="J85" s="90">
        <f t="shared" ref="J85:AU85" si="36">COUNTIFS($E$5:$E$41,$E84,J$5:J$41,"Censored")</f>
        <v>0</v>
      </c>
      <c r="K85" s="90">
        <f t="shared" si="36"/>
        <v>0</v>
      </c>
      <c r="L85" s="90">
        <f t="shared" si="36"/>
        <v>0</v>
      </c>
      <c r="M85" s="90">
        <f t="shared" si="36"/>
        <v>0</v>
      </c>
      <c r="N85" s="90">
        <f t="shared" si="36"/>
        <v>0</v>
      </c>
      <c r="O85" s="90">
        <f t="shared" si="36"/>
        <v>0</v>
      </c>
      <c r="P85" s="90">
        <f t="shared" si="36"/>
        <v>0</v>
      </c>
      <c r="Q85" s="90">
        <f t="shared" si="36"/>
        <v>0</v>
      </c>
      <c r="R85" s="90">
        <f t="shared" si="36"/>
        <v>0</v>
      </c>
      <c r="S85" s="90">
        <f t="shared" si="36"/>
        <v>0</v>
      </c>
      <c r="T85" s="90">
        <f t="shared" si="36"/>
        <v>0</v>
      </c>
      <c r="U85" s="90">
        <f t="shared" si="36"/>
        <v>0</v>
      </c>
      <c r="V85" s="90">
        <f t="shared" si="36"/>
        <v>0</v>
      </c>
      <c r="W85" s="90">
        <f t="shared" si="36"/>
        <v>0</v>
      </c>
      <c r="X85" s="90">
        <f t="shared" si="36"/>
        <v>0</v>
      </c>
      <c r="Y85" s="90">
        <f t="shared" si="36"/>
        <v>0</v>
      </c>
      <c r="Z85" s="90">
        <f t="shared" si="36"/>
        <v>0</v>
      </c>
      <c r="AA85" s="90">
        <f t="shared" si="36"/>
        <v>0</v>
      </c>
      <c r="AB85" s="90">
        <f t="shared" si="36"/>
        <v>0</v>
      </c>
      <c r="AC85" s="90">
        <f t="shared" si="36"/>
        <v>0</v>
      </c>
      <c r="AD85" s="90">
        <f t="shared" si="36"/>
        <v>0</v>
      </c>
      <c r="AE85" s="90">
        <f t="shared" si="36"/>
        <v>0</v>
      </c>
      <c r="AF85" s="90">
        <f t="shared" si="36"/>
        <v>0</v>
      </c>
      <c r="AG85" s="90">
        <f t="shared" si="36"/>
        <v>0</v>
      </c>
      <c r="AH85" s="90">
        <f t="shared" si="36"/>
        <v>0</v>
      </c>
      <c r="AI85" s="90">
        <f t="shared" si="36"/>
        <v>0</v>
      </c>
      <c r="AJ85" s="90">
        <f t="shared" si="36"/>
        <v>0</v>
      </c>
      <c r="AK85" s="90">
        <f t="shared" si="36"/>
        <v>0</v>
      </c>
      <c r="AL85" s="90">
        <f t="shared" si="36"/>
        <v>0</v>
      </c>
      <c r="AM85" s="90">
        <f t="shared" si="36"/>
        <v>0</v>
      </c>
      <c r="AN85" s="90">
        <f t="shared" si="36"/>
        <v>0</v>
      </c>
      <c r="AO85" s="90">
        <f t="shared" si="36"/>
        <v>0</v>
      </c>
      <c r="AP85" s="90">
        <f t="shared" si="36"/>
        <v>0</v>
      </c>
      <c r="AQ85" s="90">
        <f t="shared" si="36"/>
        <v>0</v>
      </c>
      <c r="AR85" s="90">
        <f t="shared" si="36"/>
        <v>0</v>
      </c>
      <c r="AS85" s="90">
        <f t="shared" si="36"/>
        <v>0</v>
      </c>
      <c r="AT85" s="90">
        <f t="shared" si="36"/>
        <v>0</v>
      </c>
      <c r="AU85" s="90">
        <f t="shared" si="36"/>
        <v>0</v>
      </c>
      <c r="AV85" s="85"/>
    </row>
    <row r="86" spans="1:48" ht="14.25" customHeight="1">
      <c r="A86" s="52"/>
      <c r="B86" s="51"/>
      <c r="C86" s="53"/>
      <c r="D86" s="51"/>
      <c r="E86" s="103"/>
      <c r="F86" s="80"/>
      <c r="G86" s="49"/>
      <c r="H86" s="104"/>
      <c r="I86" s="170" t="s">
        <v>68</v>
      </c>
      <c r="J86" s="83" t="e">
        <f>J84/(COUNTIFS($E$5:$E$41,$E84,J$5:J$41,"Alive")+COUNTIFS($E$5:$E$41,$E84,J$5:J$41,"Sacrificed")+COUNTIFS($E$5:$E$41,$E84,J$5:J$41,"Died"))</f>
        <v>#DIV/0!</v>
      </c>
      <c r="K86" s="83" t="e">
        <f t="shared" ref="K86:AU86" si="37">K84/(COUNTIFS($E$5:$E$41,$E84,K$5:K$41,"Alive")+COUNTIFS($E$5:$E$41,$E84,K$5:K$41,"Sacrificed")+COUNTIFS($E$5:$E$41,$E84,K$5:K$41,"Died"))*J86</f>
        <v>#DIV/0!</v>
      </c>
      <c r="L86" s="83" t="e">
        <f t="shared" si="37"/>
        <v>#DIV/0!</v>
      </c>
      <c r="M86" s="83" t="e">
        <f t="shared" si="37"/>
        <v>#DIV/0!</v>
      </c>
      <c r="N86" s="83" t="e">
        <f t="shared" si="37"/>
        <v>#DIV/0!</v>
      </c>
      <c r="O86" s="83" t="e">
        <f t="shared" si="37"/>
        <v>#DIV/0!</v>
      </c>
      <c r="P86" s="83" t="e">
        <f t="shared" si="37"/>
        <v>#DIV/0!</v>
      </c>
      <c r="Q86" s="83" t="e">
        <f t="shared" si="37"/>
        <v>#DIV/0!</v>
      </c>
      <c r="R86" s="83" t="e">
        <f t="shared" si="37"/>
        <v>#DIV/0!</v>
      </c>
      <c r="S86" s="83" t="e">
        <f t="shared" si="37"/>
        <v>#DIV/0!</v>
      </c>
      <c r="T86" s="83" t="e">
        <f t="shared" si="37"/>
        <v>#DIV/0!</v>
      </c>
      <c r="U86" s="83" t="e">
        <f t="shared" si="37"/>
        <v>#DIV/0!</v>
      </c>
      <c r="V86" s="83" t="e">
        <f t="shared" si="37"/>
        <v>#DIV/0!</v>
      </c>
      <c r="W86" s="83" t="e">
        <f t="shared" si="37"/>
        <v>#DIV/0!</v>
      </c>
      <c r="X86" s="83" t="e">
        <f t="shared" si="37"/>
        <v>#DIV/0!</v>
      </c>
      <c r="Y86" s="83" t="e">
        <f t="shared" si="37"/>
        <v>#DIV/0!</v>
      </c>
      <c r="Z86" s="83" t="e">
        <f t="shared" si="37"/>
        <v>#DIV/0!</v>
      </c>
      <c r="AA86" s="83" t="e">
        <f t="shared" si="37"/>
        <v>#DIV/0!</v>
      </c>
      <c r="AB86" s="83" t="e">
        <f t="shared" si="37"/>
        <v>#DIV/0!</v>
      </c>
      <c r="AC86" s="83" t="e">
        <f t="shared" si="37"/>
        <v>#DIV/0!</v>
      </c>
      <c r="AD86" s="83" t="e">
        <f t="shared" si="37"/>
        <v>#DIV/0!</v>
      </c>
      <c r="AE86" s="83" t="e">
        <f t="shared" si="37"/>
        <v>#DIV/0!</v>
      </c>
      <c r="AF86" s="83" t="e">
        <f t="shared" si="37"/>
        <v>#DIV/0!</v>
      </c>
      <c r="AG86" s="83" t="e">
        <f t="shared" si="37"/>
        <v>#DIV/0!</v>
      </c>
      <c r="AH86" s="83" t="e">
        <f t="shared" si="37"/>
        <v>#DIV/0!</v>
      </c>
      <c r="AI86" s="83" t="e">
        <f t="shared" si="37"/>
        <v>#DIV/0!</v>
      </c>
      <c r="AJ86" s="83" t="e">
        <f t="shared" si="37"/>
        <v>#DIV/0!</v>
      </c>
      <c r="AK86" s="83" t="e">
        <f t="shared" si="37"/>
        <v>#DIV/0!</v>
      </c>
      <c r="AL86" s="83" t="e">
        <f t="shared" si="37"/>
        <v>#DIV/0!</v>
      </c>
      <c r="AM86" s="83" t="e">
        <f t="shared" si="37"/>
        <v>#DIV/0!</v>
      </c>
      <c r="AN86" s="83" t="e">
        <f t="shared" si="37"/>
        <v>#DIV/0!</v>
      </c>
      <c r="AO86" s="83" t="e">
        <f t="shared" si="37"/>
        <v>#DIV/0!</v>
      </c>
      <c r="AP86" s="83" t="e">
        <f t="shared" si="37"/>
        <v>#DIV/0!</v>
      </c>
      <c r="AQ86" s="83" t="e">
        <f t="shared" si="37"/>
        <v>#DIV/0!</v>
      </c>
      <c r="AR86" s="83" t="e">
        <f t="shared" si="37"/>
        <v>#DIV/0!</v>
      </c>
      <c r="AS86" s="83" t="e">
        <f t="shared" si="37"/>
        <v>#DIV/0!</v>
      </c>
      <c r="AT86" s="83" t="e">
        <f t="shared" si="37"/>
        <v>#DIV/0!</v>
      </c>
      <c r="AU86" s="83" t="e">
        <f t="shared" si="37"/>
        <v>#DIV/0!</v>
      </c>
      <c r="AV86" s="3"/>
    </row>
    <row r="88" spans="1:48" ht="14.25" customHeight="1">
      <c r="A88" s="129"/>
      <c r="E88" s="134" t="str">
        <f>'RAD_DOSE Groups'!C16</f>
        <v>Group 11</v>
      </c>
      <c r="H88" s="134" t="str">
        <f>E88</f>
        <v>Group 11</v>
      </c>
      <c r="I88" s="170" t="s">
        <v>67</v>
      </c>
      <c r="J88" s="87">
        <f t="shared" ref="J88:AU88" si="38">COUNTIFS($E$5:$E$41,$E88,J$5:J$41,"Alive")</f>
        <v>0</v>
      </c>
      <c r="K88" s="87">
        <f t="shared" si="38"/>
        <v>0</v>
      </c>
      <c r="L88" s="87">
        <f t="shared" si="38"/>
        <v>0</v>
      </c>
      <c r="M88" s="87">
        <f t="shared" si="38"/>
        <v>0</v>
      </c>
      <c r="N88" s="87">
        <f t="shared" si="38"/>
        <v>0</v>
      </c>
      <c r="O88" s="87">
        <f t="shared" si="38"/>
        <v>0</v>
      </c>
      <c r="P88" s="87">
        <f t="shared" si="38"/>
        <v>0</v>
      </c>
      <c r="Q88" s="87">
        <f t="shared" si="38"/>
        <v>0</v>
      </c>
      <c r="R88" s="87">
        <f t="shared" si="38"/>
        <v>0</v>
      </c>
      <c r="S88" s="87">
        <f t="shared" si="38"/>
        <v>0</v>
      </c>
      <c r="T88" s="87">
        <f t="shared" si="38"/>
        <v>0</v>
      </c>
      <c r="U88" s="87">
        <f t="shared" si="38"/>
        <v>0</v>
      </c>
      <c r="V88" s="87">
        <f t="shared" si="38"/>
        <v>0</v>
      </c>
      <c r="W88" s="87">
        <f t="shared" si="38"/>
        <v>0</v>
      </c>
      <c r="X88" s="87">
        <f t="shared" si="38"/>
        <v>0</v>
      </c>
      <c r="Y88" s="87">
        <f t="shared" si="38"/>
        <v>0</v>
      </c>
      <c r="Z88" s="87">
        <f t="shared" si="38"/>
        <v>0</v>
      </c>
      <c r="AA88" s="87">
        <f t="shared" si="38"/>
        <v>0</v>
      </c>
      <c r="AB88" s="87">
        <f t="shared" si="38"/>
        <v>0</v>
      </c>
      <c r="AC88" s="87">
        <f t="shared" si="38"/>
        <v>0</v>
      </c>
      <c r="AD88" s="87">
        <f t="shared" si="38"/>
        <v>0</v>
      </c>
      <c r="AE88" s="87">
        <f t="shared" si="38"/>
        <v>0</v>
      </c>
      <c r="AF88" s="87">
        <f t="shared" si="38"/>
        <v>0</v>
      </c>
      <c r="AG88" s="87">
        <f t="shared" si="38"/>
        <v>0</v>
      </c>
      <c r="AH88" s="87">
        <f t="shared" si="38"/>
        <v>0</v>
      </c>
      <c r="AI88" s="87">
        <f t="shared" si="38"/>
        <v>0</v>
      </c>
      <c r="AJ88" s="87">
        <f t="shared" si="38"/>
        <v>0</v>
      </c>
      <c r="AK88" s="87">
        <f t="shared" si="38"/>
        <v>0</v>
      </c>
      <c r="AL88" s="87">
        <f t="shared" si="38"/>
        <v>0</v>
      </c>
      <c r="AM88" s="87">
        <f t="shared" si="38"/>
        <v>0</v>
      </c>
      <c r="AN88" s="87">
        <f t="shared" si="38"/>
        <v>0</v>
      </c>
      <c r="AO88" s="87">
        <f t="shared" si="38"/>
        <v>0</v>
      </c>
      <c r="AP88" s="87">
        <f t="shared" si="38"/>
        <v>0</v>
      </c>
      <c r="AQ88" s="87">
        <f t="shared" si="38"/>
        <v>0</v>
      </c>
      <c r="AR88" s="87">
        <f t="shared" si="38"/>
        <v>0</v>
      </c>
      <c r="AS88" s="87">
        <f t="shared" si="38"/>
        <v>0</v>
      </c>
      <c r="AT88" s="87">
        <f t="shared" si="38"/>
        <v>0</v>
      </c>
      <c r="AU88" s="87">
        <f t="shared" si="38"/>
        <v>0</v>
      </c>
      <c r="AV88" s="85"/>
    </row>
    <row r="89" spans="1:48" ht="14.25" customHeight="1">
      <c r="A89" s="129"/>
      <c r="E89" s="104"/>
      <c r="H89" s="104"/>
      <c r="I89" s="170" t="s">
        <v>66</v>
      </c>
      <c r="J89" s="90">
        <f t="shared" ref="J89:AU89" si="39">COUNTIFS($E$5:$E$41,$E88,J$5:J$41,"Censored")</f>
        <v>0</v>
      </c>
      <c r="K89" s="90">
        <f t="shared" si="39"/>
        <v>0</v>
      </c>
      <c r="L89" s="90">
        <f t="shared" si="39"/>
        <v>0</v>
      </c>
      <c r="M89" s="90">
        <f t="shared" si="39"/>
        <v>0</v>
      </c>
      <c r="N89" s="90">
        <f t="shared" si="39"/>
        <v>0</v>
      </c>
      <c r="O89" s="90">
        <f t="shared" si="39"/>
        <v>0</v>
      </c>
      <c r="P89" s="90">
        <f t="shared" si="39"/>
        <v>0</v>
      </c>
      <c r="Q89" s="90">
        <f t="shared" si="39"/>
        <v>0</v>
      </c>
      <c r="R89" s="90">
        <f t="shared" si="39"/>
        <v>0</v>
      </c>
      <c r="S89" s="90">
        <f t="shared" si="39"/>
        <v>0</v>
      </c>
      <c r="T89" s="90">
        <f t="shared" si="39"/>
        <v>0</v>
      </c>
      <c r="U89" s="90">
        <f t="shared" si="39"/>
        <v>0</v>
      </c>
      <c r="V89" s="90">
        <f t="shared" si="39"/>
        <v>0</v>
      </c>
      <c r="W89" s="90">
        <f t="shared" si="39"/>
        <v>0</v>
      </c>
      <c r="X89" s="90">
        <f t="shared" si="39"/>
        <v>0</v>
      </c>
      <c r="Y89" s="90">
        <f t="shared" si="39"/>
        <v>0</v>
      </c>
      <c r="Z89" s="90">
        <f t="shared" si="39"/>
        <v>0</v>
      </c>
      <c r="AA89" s="90">
        <f t="shared" si="39"/>
        <v>0</v>
      </c>
      <c r="AB89" s="90">
        <f t="shared" si="39"/>
        <v>0</v>
      </c>
      <c r="AC89" s="90">
        <f t="shared" si="39"/>
        <v>0</v>
      </c>
      <c r="AD89" s="90">
        <f t="shared" si="39"/>
        <v>0</v>
      </c>
      <c r="AE89" s="90">
        <f t="shared" si="39"/>
        <v>0</v>
      </c>
      <c r="AF89" s="90">
        <f t="shared" si="39"/>
        <v>0</v>
      </c>
      <c r="AG89" s="90">
        <f t="shared" si="39"/>
        <v>0</v>
      </c>
      <c r="AH89" s="90">
        <f t="shared" si="39"/>
        <v>0</v>
      </c>
      <c r="AI89" s="90">
        <f t="shared" si="39"/>
        <v>0</v>
      </c>
      <c r="AJ89" s="90">
        <f t="shared" si="39"/>
        <v>0</v>
      </c>
      <c r="AK89" s="90">
        <f t="shared" si="39"/>
        <v>0</v>
      </c>
      <c r="AL89" s="90">
        <f t="shared" si="39"/>
        <v>0</v>
      </c>
      <c r="AM89" s="90">
        <f t="shared" si="39"/>
        <v>0</v>
      </c>
      <c r="AN89" s="90">
        <f t="shared" si="39"/>
        <v>0</v>
      </c>
      <c r="AO89" s="90">
        <f t="shared" si="39"/>
        <v>0</v>
      </c>
      <c r="AP89" s="90">
        <f t="shared" si="39"/>
        <v>0</v>
      </c>
      <c r="AQ89" s="90">
        <f t="shared" si="39"/>
        <v>0</v>
      </c>
      <c r="AR89" s="90">
        <f t="shared" si="39"/>
        <v>0</v>
      </c>
      <c r="AS89" s="90">
        <f t="shared" si="39"/>
        <v>0</v>
      </c>
      <c r="AT89" s="90">
        <f t="shared" si="39"/>
        <v>0</v>
      </c>
      <c r="AU89" s="90">
        <f t="shared" si="39"/>
        <v>0</v>
      </c>
      <c r="AV89" s="85"/>
    </row>
    <row r="90" spans="1:48" ht="14.25" customHeight="1">
      <c r="A90" s="52"/>
      <c r="B90" s="51"/>
      <c r="C90" s="53"/>
      <c r="D90" s="51"/>
      <c r="E90" s="103"/>
      <c r="F90" s="80"/>
      <c r="G90" s="49"/>
      <c r="H90" s="104"/>
      <c r="I90" s="170" t="s">
        <v>68</v>
      </c>
      <c r="J90" s="83" t="e">
        <f>J88/(COUNTIFS($E$5:$E$41,$E88,J$5:J$41,"Alive")+COUNTIFS($E$5:$E$41,$E88,J$5:J$41,"Sacrificed")+COUNTIFS($E$5:$E$41,$E88,J$5:J$41,"Died"))</f>
        <v>#DIV/0!</v>
      </c>
      <c r="K90" s="83" t="e">
        <f t="shared" ref="K90:AU90" si="40">K88/(COUNTIFS($E$5:$E$41,$E88,K$5:K$41,"Alive")+COUNTIFS($E$5:$E$41,$E88,K$5:K$41,"Sacrificed")+COUNTIFS($E$5:$E$41,$E88,K$5:K$41,"Died"))*J90</f>
        <v>#DIV/0!</v>
      </c>
      <c r="L90" s="83" t="e">
        <f t="shared" si="40"/>
        <v>#DIV/0!</v>
      </c>
      <c r="M90" s="83" t="e">
        <f t="shared" si="40"/>
        <v>#DIV/0!</v>
      </c>
      <c r="N90" s="83" t="e">
        <f t="shared" si="40"/>
        <v>#DIV/0!</v>
      </c>
      <c r="O90" s="83" t="e">
        <f t="shared" si="40"/>
        <v>#DIV/0!</v>
      </c>
      <c r="P90" s="83" t="e">
        <f t="shared" si="40"/>
        <v>#DIV/0!</v>
      </c>
      <c r="Q90" s="83" t="e">
        <f t="shared" si="40"/>
        <v>#DIV/0!</v>
      </c>
      <c r="R90" s="83" t="e">
        <f t="shared" si="40"/>
        <v>#DIV/0!</v>
      </c>
      <c r="S90" s="83" t="e">
        <f t="shared" si="40"/>
        <v>#DIV/0!</v>
      </c>
      <c r="T90" s="83" t="e">
        <f t="shared" si="40"/>
        <v>#DIV/0!</v>
      </c>
      <c r="U90" s="83" t="e">
        <f t="shared" si="40"/>
        <v>#DIV/0!</v>
      </c>
      <c r="V90" s="83" t="e">
        <f t="shared" si="40"/>
        <v>#DIV/0!</v>
      </c>
      <c r="W90" s="83" t="e">
        <f t="shared" si="40"/>
        <v>#DIV/0!</v>
      </c>
      <c r="X90" s="83" t="e">
        <f t="shared" si="40"/>
        <v>#DIV/0!</v>
      </c>
      <c r="Y90" s="83" t="e">
        <f t="shared" si="40"/>
        <v>#DIV/0!</v>
      </c>
      <c r="Z90" s="83" t="e">
        <f t="shared" si="40"/>
        <v>#DIV/0!</v>
      </c>
      <c r="AA90" s="83" t="e">
        <f t="shared" si="40"/>
        <v>#DIV/0!</v>
      </c>
      <c r="AB90" s="83" t="e">
        <f t="shared" si="40"/>
        <v>#DIV/0!</v>
      </c>
      <c r="AC90" s="83" t="e">
        <f t="shared" si="40"/>
        <v>#DIV/0!</v>
      </c>
      <c r="AD90" s="83" t="e">
        <f t="shared" si="40"/>
        <v>#DIV/0!</v>
      </c>
      <c r="AE90" s="83" t="e">
        <f t="shared" si="40"/>
        <v>#DIV/0!</v>
      </c>
      <c r="AF90" s="83" t="e">
        <f t="shared" si="40"/>
        <v>#DIV/0!</v>
      </c>
      <c r="AG90" s="83" t="e">
        <f t="shared" si="40"/>
        <v>#DIV/0!</v>
      </c>
      <c r="AH90" s="83" t="e">
        <f t="shared" si="40"/>
        <v>#DIV/0!</v>
      </c>
      <c r="AI90" s="83" t="e">
        <f t="shared" si="40"/>
        <v>#DIV/0!</v>
      </c>
      <c r="AJ90" s="83" t="e">
        <f t="shared" si="40"/>
        <v>#DIV/0!</v>
      </c>
      <c r="AK90" s="83" t="e">
        <f t="shared" si="40"/>
        <v>#DIV/0!</v>
      </c>
      <c r="AL90" s="83" t="e">
        <f t="shared" si="40"/>
        <v>#DIV/0!</v>
      </c>
      <c r="AM90" s="83" t="e">
        <f t="shared" si="40"/>
        <v>#DIV/0!</v>
      </c>
      <c r="AN90" s="83" t="e">
        <f t="shared" si="40"/>
        <v>#DIV/0!</v>
      </c>
      <c r="AO90" s="83" t="e">
        <f t="shared" si="40"/>
        <v>#DIV/0!</v>
      </c>
      <c r="AP90" s="83" t="e">
        <f t="shared" si="40"/>
        <v>#DIV/0!</v>
      </c>
      <c r="AQ90" s="83" t="e">
        <f t="shared" si="40"/>
        <v>#DIV/0!</v>
      </c>
      <c r="AR90" s="83" t="e">
        <f t="shared" si="40"/>
        <v>#DIV/0!</v>
      </c>
      <c r="AS90" s="83" t="e">
        <f t="shared" si="40"/>
        <v>#DIV/0!</v>
      </c>
      <c r="AT90" s="83" t="e">
        <f t="shared" si="40"/>
        <v>#DIV/0!</v>
      </c>
      <c r="AU90" s="83" t="e">
        <f t="shared" si="40"/>
        <v>#DIV/0!</v>
      </c>
      <c r="AV90" s="3"/>
    </row>
    <row r="92" spans="1:48" ht="14.25" customHeight="1">
      <c r="A92" s="129"/>
      <c r="E92" s="134" t="str">
        <f>'RAD_DOSE Groups'!C17</f>
        <v>Group 12</v>
      </c>
      <c r="H92" s="134" t="str">
        <f>E92</f>
        <v>Group 12</v>
      </c>
      <c r="I92" s="170" t="s">
        <v>67</v>
      </c>
      <c r="J92" s="87">
        <f t="shared" ref="J92:AU92" si="41">COUNTIFS($E$5:$E$41,$E92,J$5:J$41,"Alive")</f>
        <v>0</v>
      </c>
      <c r="K92" s="87">
        <f t="shared" si="41"/>
        <v>0</v>
      </c>
      <c r="L92" s="87">
        <f t="shared" si="41"/>
        <v>0</v>
      </c>
      <c r="M92" s="87">
        <f t="shared" si="41"/>
        <v>0</v>
      </c>
      <c r="N92" s="87">
        <f t="shared" si="41"/>
        <v>0</v>
      </c>
      <c r="O92" s="87">
        <f t="shared" si="41"/>
        <v>0</v>
      </c>
      <c r="P92" s="87">
        <f t="shared" si="41"/>
        <v>0</v>
      </c>
      <c r="Q92" s="87">
        <f t="shared" si="41"/>
        <v>0</v>
      </c>
      <c r="R92" s="87">
        <f t="shared" si="41"/>
        <v>0</v>
      </c>
      <c r="S92" s="87">
        <f t="shared" si="41"/>
        <v>0</v>
      </c>
      <c r="T92" s="87">
        <f t="shared" si="41"/>
        <v>0</v>
      </c>
      <c r="U92" s="87">
        <f t="shared" si="41"/>
        <v>0</v>
      </c>
      <c r="V92" s="87">
        <f t="shared" si="41"/>
        <v>0</v>
      </c>
      <c r="W92" s="87">
        <f t="shared" si="41"/>
        <v>0</v>
      </c>
      <c r="X92" s="87">
        <f t="shared" si="41"/>
        <v>0</v>
      </c>
      <c r="Y92" s="87">
        <f t="shared" si="41"/>
        <v>0</v>
      </c>
      <c r="Z92" s="87">
        <f t="shared" si="41"/>
        <v>0</v>
      </c>
      <c r="AA92" s="87">
        <f t="shared" si="41"/>
        <v>0</v>
      </c>
      <c r="AB92" s="87">
        <f t="shared" si="41"/>
        <v>0</v>
      </c>
      <c r="AC92" s="87">
        <f t="shared" si="41"/>
        <v>0</v>
      </c>
      <c r="AD92" s="87">
        <f t="shared" si="41"/>
        <v>0</v>
      </c>
      <c r="AE92" s="87">
        <f t="shared" si="41"/>
        <v>0</v>
      </c>
      <c r="AF92" s="87">
        <f t="shared" si="41"/>
        <v>0</v>
      </c>
      <c r="AG92" s="87">
        <f t="shared" si="41"/>
        <v>0</v>
      </c>
      <c r="AH92" s="87">
        <f t="shared" si="41"/>
        <v>0</v>
      </c>
      <c r="AI92" s="87">
        <f t="shared" si="41"/>
        <v>0</v>
      </c>
      <c r="AJ92" s="87">
        <f t="shared" si="41"/>
        <v>0</v>
      </c>
      <c r="AK92" s="87">
        <f t="shared" si="41"/>
        <v>0</v>
      </c>
      <c r="AL92" s="87">
        <f t="shared" si="41"/>
        <v>0</v>
      </c>
      <c r="AM92" s="87">
        <f t="shared" si="41"/>
        <v>0</v>
      </c>
      <c r="AN92" s="87">
        <f t="shared" si="41"/>
        <v>0</v>
      </c>
      <c r="AO92" s="87">
        <f t="shared" si="41"/>
        <v>0</v>
      </c>
      <c r="AP92" s="87">
        <f t="shared" si="41"/>
        <v>0</v>
      </c>
      <c r="AQ92" s="87">
        <f t="shared" si="41"/>
        <v>0</v>
      </c>
      <c r="AR92" s="87">
        <f t="shared" si="41"/>
        <v>0</v>
      </c>
      <c r="AS92" s="87">
        <f t="shared" si="41"/>
        <v>0</v>
      </c>
      <c r="AT92" s="87">
        <f t="shared" si="41"/>
        <v>0</v>
      </c>
      <c r="AU92" s="87">
        <f t="shared" si="41"/>
        <v>0</v>
      </c>
      <c r="AV92" s="85"/>
    </row>
    <row r="93" spans="1:48" ht="14.25" customHeight="1">
      <c r="A93" s="129"/>
      <c r="E93" s="104"/>
      <c r="H93" s="104"/>
      <c r="I93" s="170" t="s">
        <v>66</v>
      </c>
      <c r="J93" s="90">
        <f t="shared" ref="J93:AU93" si="42">COUNTIFS($E$5:$E$41,$E92,J$5:J$41,"Censored")</f>
        <v>0</v>
      </c>
      <c r="K93" s="90">
        <f t="shared" si="42"/>
        <v>0</v>
      </c>
      <c r="L93" s="90">
        <f t="shared" si="42"/>
        <v>0</v>
      </c>
      <c r="M93" s="90">
        <f t="shared" si="42"/>
        <v>0</v>
      </c>
      <c r="N93" s="90">
        <f t="shared" si="42"/>
        <v>0</v>
      </c>
      <c r="O93" s="90">
        <f t="shared" si="42"/>
        <v>0</v>
      </c>
      <c r="P93" s="90">
        <f t="shared" si="42"/>
        <v>0</v>
      </c>
      <c r="Q93" s="90">
        <f t="shared" si="42"/>
        <v>0</v>
      </c>
      <c r="R93" s="90">
        <f t="shared" si="42"/>
        <v>0</v>
      </c>
      <c r="S93" s="90">
        <f t="shared" si="42"/>
        <v>0</v>
      </c>
      <c r="T93" s="90">
        <f t="shared" si="42"/>
        <v>0</v>
      </c>
      <c r="U93" s="90">
        <f t="shared" si="42"/>
        <v>0</v>
      </c>
      <c r="V93" s="90">
        <f t="shared" si="42"/>
        <v>0</v>
      </c>
      <c r="W93" s="90">
        <f t="shared" si="42"/>
        <v>0</v>
      </c>
      <c r="X93" s="90">
        <f t="shared" si="42"/>
        <v>0</v>
      </c>
      <c r="Y93" s="90">
        <f t="shared" si="42"/>
        <v>0</v>
      </c>
      <c r="Z93" s="90">
        <f t="shared" si="42"/>
        <v>0</v>
      </c>
      <c r="AA93" s="90">
        <f t="shared" si="42"/>
        <v>0</v>
      </c>
      <c r="AB93" s="90">
        <f t="shared" si="42"/>
        <v>0</v>
      </c>
      <c r="AC93" s="90">
        <f t="shared" si="42"/>
        <v>0</v>
      </c>
      <c r="AD93" s="90">
        <f t="shared" si="42"/>
        <v>0</v>
      </c>
      <c r="AE93" s="90">
        <f t="shared" si="42"/>
        <v>0</v>
      </c>
      <c r="AF93" s="90">
        <f t="shared" si="42"/>
        <v>0</v>
      </c>
      <c r="AG93" s="90">
        <f t="shared" si="42"/>
        <v>0</v>
      </c>
      <c r="AH93" s="90">
        <f t="shared" si="42"/>
        <v>0</v>
      </c>
      <c r="AI93" s="90">
        <f t="shared" si="42"/>
        <v>0</v>
      </c>
      <c r="AJ93" s="90">
        <f t="shared" si="42"/>
        <v>0</v>
      </c>
      <c r="AK93" s="90">
        <f t="shared" si="42"/>
        <v>0</v>
      </c>
      <c r="AL93" s="90">
        <f t="shared" si="42"/>
        <v>0</v>
      </c>
      <c r="AM93" s="90">
        <f t="shared" si="42"/>
        <v>0</v>
      </c>
      <c r="AN93" s="90">
        <f t="shared" si="42"/>
        <v>0</v>
      </c>
      <c r="AO93" s="90">
        <f t="shared" si="42"/>
        <v>0</v>
      </c>
      <c r="AP93" s="90">
        <f t="shared" si="42"/>
        <v>0</v>
      </c>
      <c r="AQ93" s="90">
        <f t="shared" si="42"/>
        <v>0</v>
      </c>
      <c r="AR93" s="90">
        <f t="shared" si="42"/>
        <v>0</v>
      </c>
      <c r="AS93" s="90">
        <f t="shared" si="42"/>
        <v>0</v>
      </c>
      <c r="AT93" s="90">
        <f t="shared" si="42"/>
        <v>0</v>
      </c>
      <c r="AU93" s="90">
        <f t="shared" si="42"/>
        <v>0</v>
      </c>
      <c r="AV93" s="85"/>
    </row>
    <row r="94" spans="1:48" ht="14.25" customHeight="1">
      <c r="A94" s="52"/>
      <c r="B94" s="51"/>
      <c r="C94" s="53"/>
      <c r="D94" s="51"/>
      <c r="E94" s="103"/>
      <c r="F94" s="80"/>
      <c r="G94" s="49"/>
      <c r="H94" s="104"/>
      <c r="I94" s="170" t="s">
        <v>68</v>
      </c>
      <c r="J94" s="83" t="e">
        <f>J92/(COUNTIFS($E$5:$E$41,$E92,J$5:J$41,"Alive")+COUNTIFS($E$5:$E$41,$E92,J$5:J$41,"Sacrificed")+COUNTIFS($E$5:$E$41,$E92,J$5:J$41,"Died"))</f>
        <v>#DIV/0!</v>
      </c>
      <c r="K94" s="83" t="e">
        <f t="shared" ref="K94:AU94" si="43">K92/(COUNTIFS($E$5:$E$41,$E92,K$5:K$41,"Alive")+COUNTIFS($E$5:$E$41,$E92,K$5:K$41,"Sacrificed")+COUNTIFS($E$5:$E$41,$E92,K$5:K$41,"Died"))*J94</f>
        <v>#DIV/0!</v>
      </c>
      <c r="L94" s="83" t="e">
        <f t="shared" si="43"/>
        <v>#DIV/0!</v>
      </c>
      <c r="M94" s="83" t="e">
        <f t="shared" si="43"/>
        <v>#DIV/0!</v>
      </c>
      <c r="N94" s="83" t="e">
        <f t="shared" si="43"/>
        <v>#DIV/0!</v>
      </c>
      <c r="O94" s="83" t="e">
        <f t="shared" si="43"/>
        <v>#DIV/0!</v>
      </c>
      <c r="P94" s="83" t="e">
        <f t="shared" si="43"/>
        <v>#DIV/0!</v>
      </c>
      <c r="Q94" s="83" t="e">
        <f t="shared" si="43"/>
        <v>#DIV/0!</v>
      </c>
      <c r="R94" s="83" t="e">
        <f t="shared" si="43"/>
        <v>#DIV/0!</v>
      </c>
      <c r="S94" s="83" t="e">
        <f t="shared" si="43"/>
        <v>#DIV/0!</v>
      </c>
      <c r="T94" s="83" t="e">
        <f t="shared" si="43"/>
        <v>#DIV/0!</v>
      </c>
      <c r="U94" s="83" t="e">
        <f t="shared" si="43"/>
        <v>#DIV/0!</v>
      </c>
      <c r="V94" s="83" t="e">
        <f t="shared" si="43"/>
        <v>#DIV/0!</v>
      </c>
      <c r="W94" s="83" t="e">
        <f t="shared" si="43"/>
        <v>#DIV/0!</v>
      </c>
      <c r="X94" s="83" t="e">
        <f t="shared" si="43"/>
        <v>#DIV/0!</v>
      </c>
      <c r="Y94" s="83" t="e">
        <f t="shared" si="43"/>
        <v>#DIV/0!</v>
      </c>
      <c r="Z94" s="83" t="e">
        <f t="shared" si="43"/>
        <v>#DIV/0!</v>
      </c>
      <c r="AA94" s="83" t="e">
        <f t="shared" si="43"/>
        <v>#DIV/0!</v>
      </c>
      <c r="AB94" s="83" t="e">
        <f t="shared" si="43"/>
        <v>#DIV/0!</v>
      </c>
      <c r="AC94" s="83" t="e">
        <f t="shared" si="43"/>
        <v>#DIV/0!</v>
      </c>
      <c r="AD94" s="83" t="e">
        <f t="shared" si="43"/>
        <v>#DIV/0!</v>
      </c>
      <c r="AE94" s="83" t="e">
        <f t="shared" si="43"/>
        <v>#DIV/0!</v>
      </c>
      <c r="AF94" s="83" t="e">
        <f t="shared" si="43"/>
        <v>#DIV/0!</v>
      </c>
      <c r="AG94" s="83" t="e">
        <f t="shared" si="43"/>
        <v>#DIV/0!</v>
      </c>
      <c r="AH94" s="83" t="e">
        <f t="shared" si="43"/>
        <v>#DIV/0!</v>
      </c>
      <c r="AI94" s="83" t="e">
        <f t="shared" si="43"/>
        <v>#DIV/0!</v>
      </c>
      <c r="AJ94" s="83" t="e">
        <f t="shared" si="43"/>
        <v>#DIV/0!</v>
      </c>
      <c r="AK94" s="83" t="e">
        <f t="shared" si="43"/>
        <v>#DIV/0!</v>
      </c>
      <c r="AL94" s="83" t="e">
        <f t="shared" si="43"/>
        <v>#DIV/0!</v>
      </c>
      <c r="AM94" s="83" t="e">
        <f t="shared" si="43"/>
        <v>#DIV/0!</v>
      </c>
      <c r="AN94" s="83" t="e">
        <f t="shared" si="43"/>
        <v>#DIV/0!</v>
      </c>
      <c r="AO94" s="83" t="e">
        <f t="shared" si="43"/>
        <v>#DIV/0!</v>
      </c>
      <c r="AP94" s="83" t="e">
        <f t="shared" si="43"/>
        <v>#DIV/0!</v>
      </c>
      <c r="AQ94" s="83" t="e">
        <f t="shared" si="43"/>
        <v>#DIV/0!</v>
      </c>
      <c r="AR94" s="83" t="e">
        <f t="shared" si="43"/>
        <v>#DIV/0!</v>
      </c>
      <c r="AS94" s="83" t="e">
        <f t="shared" si="43"/>
        <v>#DIV/0!</v>
      </c>
      <c r="AT94" s="83" t="e">
        <f t="shared" si="43"/>
        <v>#DIV/0!</v>
      </c>
      <c r="AU94" s="83" t="e">
        <f t="shared" si="43"/>
        <v>#DIV/0!</v>
      </c>
      <c r="AV94" s="3"/>
    </row>
    <row r="96" spans="1:48" ht="14.25" customHeight="1">
      <c r="A96" s="129"/>
      <c r="E96" s="134" t="str">
        <f>'RAD_DOSE Groups'!C18</f>
        <v>Group 13</v>
      </c>
      <c r="H96" s="134" t="str">
        <f>E96</f>
        <v>Group 13</v>
      </c>
      <c r="I96" s="170" t="s">
        <v>67</v>
      </c>
      <c r="J96" s="87">
        <f t="shared" ref="J96:AU96" si="44">COUNTIFS($E$5:$E$41,$E96,J$5:J$41,"Alive")</f>
        <v>0</v>
      </c>
      <c r="K96" s="87">
        <f t="shared" si="44"/>
        <v>0</v>
      </c>
      <c r="L96" s="87">
        <f t="shared" si="44"/>
        <v>0</v>
      </c>
      <c r="M96" s="87">
        <f t="shared" si="44"/>
        <v>0</v>
      </c>
      <c r="N96" s="87">
        <f t="shared" si="44"/>
        <v>0</v>
      </c>
      <c r="O96" s="87">
        <f t="shared" si="44"/>
        <v>0</v>
      </c>
      <c r="P96" s="87">
        <f t="shared" si="44"/>
        <v>0</v>
      </c>
      <c r="Q96" s="87">
        <f t="shared" si="44"/>
        <v>0</v>
      </c>
      <c r="R96" s="87">
        <f t="shared" si="44"/>
        <v>0</v>
      </c>
      <c r="S96" s="87">
        <f t="shared" si="44"/>
        <v>0</v>
      </c>
      <c r="T96" s="87">
        <f t="shared" si="44"/>
        <v>0</v>
      </c>
      <c r="U96" s="87">
        <f t="shared" si="44"/>
        <v>0</v>
      </c>
      <c r="V96" s="87">
        <f t="shared" si="44"/>
        <v>0</v>
      </c>
      <c r="W96" s="87">
        <f t="shared" si="44"/>
        <v>0</v>
      </c>
      <c r="X96" s="87">
        <f t="shared" si="44"/>
        <v>0</v>
      </c>
      <c r="Y96" s="87">
        <f t="shared" si="44"/>
        <v>0</v>
      </c>
      <c r="Z96" s="87">
        <f t="shared" si="44"/>
        <v>0</v>
      </c>
      <c r="AA96" s="87">
        <f t="shared" si="44"/>
        <v>0</v>
      </c>
      <c r="AB96" s="87">
        <f t="shared" si="44"/>
        <v>0</v>
      </c>
      <c r="AC96" s="87">
        <f t="shared" si="44"/>
        <v>0</v>
      </c>
      <c r="AD96" s="87">
        <f t="shared" si="44"/>
        <v>0</v>
      </c>
      <c r="AE96" s="87">
        <f t="shared" si="44"/>
        <v>0</v>
      </c>
      <c r="AF96" s="87">
        <f t="shared" si="44"/>
        <v>0</v>
      </c>
      <c r="AG96" s="87">
        <f t="shared" si="44"/>
        <v>0</v>
      </c>
      <c r="AH96" s="87">
        <f t="shared" si="44"/>
        <v>0</v>
      </c>
      <c r="AI96" s="87">
        <f t="shared" si="44"/>
        <v>0</v>
      </c>
      <c r="AJ96" s="87">
        <f t="shared" si="44"/>
        <v>0</v>
      </c>
      <c r="AK96" s="87">
        <f t="shared" si="44"/>
        <v>0</v>
      </c>
      <c r="AL96" s="87">
        <f t="shared" si="44"/>
        <v>0</v>
      </c>
      <c r="AM96" s="87">
        <f t="shared" si="44"/>
        <v>0</v>
      </c>
      <c r="AN96" s="87">
        <f t="shared" si="44"/>
        <v>0</v>
      </c>
      <c r="AO96" s="87">
        <f t="shared" si="44"/>
        <v>0</v>
      </c>
      <c r="AP96" s="87">
        <f t="shared" si="44"/>
        <v>0</v>
      </c>
      <c r="AQ96" s="87">
        <f t="shared" si="44"/>
        <v>0</v>
      </c>
      <c r="AR96" s="87">
        <f t="shared" si="44"/>
        <v>0</v>
      </c>
      <c r="AS96" s="87">
        <f t="shared" si="44"/>
        <v>0</v>
      </c>
      <c r="AT96" s="87">
        <f t="shared" si="44"/>
        <v>0</v>
      </c>
      <c r="AU96" s="87">
        <f t="shared" si="44"/>
        <v>0</v>
      </c>
      <c r="AV96" s="85"/>
    </row>
    <row r="97" spans="1:48" ht="14.25" customHeight="1">
      <c r="A97" s="129"/>
      <c r="E97" s="104"/>
      <c r="H97" s="104"/>
      <c r="I97" s="170" t="s">
        <v>66</v>
      </c>
      <c r="J97" s="90">
        <f t="shared" ref="J97:AU97" si="45">COUNTIFS($E$5:$E$41,$E96,J$5:J$41,"Censored")</f>
        <v>0</v>
      </c>
      <c r="K97" s="90">
        <f t="shared" si="45"/>
        <v>0</v>
      </c>
      <c r="L97" s="90">
        <f t="shared" si="45"/>
        <v>0</v>
      </c>
      <c r="M97" s="90">
        <f t="shared" si="45"/>
        <v>0</v>
      </c>
      <c r="N97" s="90">
        <f t="shared" si="45"/>
        <v>0</v>
      </c>
      <c r="O97" s="90">
        <f t="shared" si="45"/>
        <v>0</v>
      </c>
      <c r="P97" s="90">
        <f t="shared" si="45"/>
        <v>0</v>
      </c>
      <c r="Q97" s="90">
        <f t="shared" si="45"/>
        <v>0</v>
      </c>
      <c r="R97" s="90">
        <f t="shared" si="45"/>
        <v>0</v>
      </c>
      <c r="S97" s="90">
        <f t="shared" si="45"/>
        <v>0</v>
      </c>
      <c r="T97" s="90">
        <f t="shared" si="45"/>
        <v>0</v>
      </c>
      <c r="U97" s="90">
        <f t="shared" si="45"/>
        <v>0</v>
      </c>
      <c r="V97" s="90">
        <f t="shared" si="45"/>
        <v>0</v>
      </c>
      <c r="W97" s="90">
        <f t="shared" si="45"/>
        <v>0</v>
      </c>
      <c r="X97" s="90">
        <f t="shared" si="45"/>
        <v>0</v>
      </c>
      <c r="Y97" s="90">
        <f t="shared" si="45"/>
        <v>0</v>
      </c>
      <c r="Z97" s="90">
        <f t="shared" si="45"/>
        <v>0</v>
      </c>
      <c r="AA97" s="90">
        <f t="shared" si="45"/>
        <v>0</v>
      </c>
      <c r="AB97" s="90">
        <f t="shared" si="45"/>
        <v>0</v>
      </c>
      <c r="AC97" s="90">
        <f t="shared" si="45"/>
        <v>0</v>
      </c>
      <c r="AD97" s="90">
        <f t="shared" si="45"/>
        <v>0</v>
      </c>
      <c r="AE97" s="90">
        <f t="shared" si="45"/>
        <v>0</v>
      </c>
      <c r="AF97" s="90">
        <f t="shared" si="45"/>
        <v>0</v>
      </c>
      <c r="AG97" s="90">
        <f t="shared" si="45"/>
        <v>0</v>
      </c>
      <c r="AH97" s="90">
        <f t="shared" si="45"/>
        <v>0</v>
      </c>
      <c r="AI97" s="90">
        <f t="shared" si="45"/>
        <v>0</v>
      </c>
      <c r="AJ97" s="90">
        <f t="shared" si="45"/>
        <v>0</v>
      </c>
      <c r="AK97" s="90">
        <f t="shared" si="45"/>
        <v>0</v>
      </c>
      <c r="AL97" s="90">
        <f t="shared" si="45"/>
        <v>0</v>
      </c>
      <c r="AM97" s="90">
        <f t="shared" si="45"/>
        <v>0</v>
      </c>
      <c r="AN97" s="90">
        <f t="shared" si="45"/>
        <v>0</v>
      </c>
      <c r="AO97" s="90">
        <f t="shared" si="45"/>
        <v>0</v>
      </c>
      <c r="AP97" s="90">
        <f t="shared" si="45"/>
        <v>0</v>
      </c>
      <c r="AQ97" s="90">
        <f t="shared" si="45"/>
        <v>0</v>
      </c>
      <c r="AR97" s="90">
        <f t="shared" si="45"/>
        <v>0</v>
      </c>
      <c r="AS97" s="90">
        <f t="shared" si="45"/>
        <v>0</v>
      </c>
      <c r="AT97" s="90">
        <f t="shared" si="45"/>
        <v>0</v>
      </c>
      <c r="AU97" s="90">
        <f t="shared" si="45"/>
        <v>0</v>
      </c>
      <c r="AV97" s="85"/>
    </row>
    <row r="98" spans="1:48" ht="14.25" customHeight="1">
      <c r="A98" s="52"/>
      <c r="B98" s="51"/>
      <c r="C98" s="53"/>
      <c r="D98" s="51"/>
      <c r="E98" s="103"/>
      <c r="F98" s="80"/>
      <c r="G98" s="49"/>
      <c r="H98" s="104"/>
      <c r="I98" s="170" t="s">
        <v>68</v>
      </c>
      <c r="J98" s="83" t="e">
        <f>J96/(COUNTIFS($E$5:$E$41,$E96,J$5:J$41,"Alive")+COUNTIFS($E$5:$E$41,$E96,J$5:J$41,"Sacrificed")+COUNTIFS($E$5:$E$41,$E96,J$5:J$41,"Died"))</f>
        <v>#DIV/0!</v>
      </c>
      <c r="K98" s="83" t="e">
        <f t="shared" ref="K98:AU98" si="46">K96/(COUNTIFS($E$5:$E$41,$E96,K$5:K$41,"Alive")+COUNTIFS($E$5:$E$41,$E96,K$5:K$41,"Sacrificed")+COUNTIFS($E$5:$E$41,$E96,K$5:K$41,"Died"))*J98</f>
        <v>#DIV/0!</v>
      </c>
      <c r="L98" s="83" t="e">
        <f t="shared" si="46"/>
        <v>#DIV/0!</v>
      </c>
      <c r="M98" s="83" t="e">
        <f t="shared" si="46"/>
        <v>#DIV/0!</v>
      </c>
      <c r="N98" s="83" t="e">
        <f t="shared" si="46"/>
        <v>#DIV/0!</v>
      </c>
      <c r="O98" s="83" t="e">
        <f t="shared" si="46"/>
        <v>#DIV/0!</v>
      </c>
      <c r="P98" s="83" t="e">
        <f t="shared" si="46"/>
        <v>#DIV/0!</v>
      </c>
      <c r="Q98" s="83" t="e">
        <f t="shared" si="46"/>
        <v>#DIV/0!</v>
      </c>
      <c r="R98" s="83" t="e">
        <f t="shared" si="46"/>
        <v>#DIV/0!</v>
      </c>
      <c r="S98" s="83" t="e">
        <f t="shared" si="46"/>
        <v>#DIV/0!</v>
      </c>
      <c r="T98" s="83" t="e">
        <f t="shared" si="46"/>
        <v>#DIV/0!</v>
      </c>
      <c r="U98" s="83" t="e">
        <f t="shared" si="46"/>
        <v>#DIV/0!</v>
      </c>
      <c r="V98" s="83" t="e">
        <f t="shared" si="46"/>
        <v>#DIV/0!</v>
      </c>
      <c r="W98" s="83" t="e">
        <f t="shared" si="46"/>
        <v>#DIV/0!</v>
      </c>
      <c r="X98" s="83" t="e">
        <f t="shared" si="46"/>
        <v>#DIV/0!</v>
      </c>
      <c r="Y98" s="83" t="e">
        <f t="shared" si="46"/>
        <v>#DIV/0!</v>
      </c>
      <c r="Z98" s="83" t="e">
        <f t="shared" si="46"/>
        <v>#DIV/0!</v>
      </c>
      <c r="AA98" s="83" t="e">
        <f t="shared" si="46"/>
        <v>#DIV/0!</v>
      </c>
      <c r="AB98" s="83" t="e">
        <f t="shared" si="46"/>
        <v>#DIV/0!</v>
      </c>
      <c r="AC98" s="83" t="e">
        <f t="shared" si="46"/>
        <v>#DIV/0!</v>
      </c>
      <c r="AD98" s="83" t="e">
        <f t="shared" si="46"/>
        <v>#DIV/0!</v>
      </c>
      <c r="AE98" s="83" t="e">
        <f t="shared" si="46"/>
        <v>#DIV/0!</v>
      </c>
      <c r="AF98" s="83" t="e">
        <f t="shared" si="46"/>
        <v>#DIV/0!</v>
      </c>
      <c r="AG98" s="83" t="e">
        <f t="shared" si="46"/>
        <v>#DIV/0!</v>
      </c>
      <c r="AH98" s="83" t="e">
        <f t="shared" si="46"/>
        <v>#DIV/0!</v>
      </c>
      <c r="AI98" s="83" t="e">
        <f t="shared" si="46"/>
        <v>#DIV/0!</v>
      </c>
      <c r="AJ98" s="83" t="e">
        <f t="shared" si="46"/>
        <v>#DIV/0!</v>
      </c>
      <c r="AK98" s="83" t="e">
        <f t="shared" si="46"/>
        <v>#DIV/0!</v>
      </c>
      <c r="AL98" s="83" t="e">
        <f t="shared" si="46"/>
        <v>#DIV/0!</v>
      </c>
      <c r="AM98" s="83" t="e">
        <f t="shared" si="46"/>
        <v>#DIV/0!</v>
      </c>
      <c r="AN98" s="83" t="e">
        <f t="shared" si="46"/>
        <v>#DIV/0!</v>
      </c>
      <c r="AO98" s="83" t="e">
        <f t="shared" si="46"/>
        <v>#DIV/0!</v>
      </c>
      <c r="AP98" s="83" t="e">
        <f t="shared" si="46"/>
        <v>#DIV/0!</v>
      </c>
      <c r="AQ98" s="83" t="e">
        <f t="shared" si="46"/>
        <v>#DIV/0!</v>
      </c>
      <c r="AR98" s="83" t="e">
        <f t="shared" si="46"/>
        <v>#DIV/0!</v>
      </c>
      <c r="AS98" s="83" t="e">
        <f t="shared" si="46"/>
        <v>#DIV/0!</v>
      </c>
      <c r="AT98" s="83" t="e">
        <f t="shared" si="46"/>
        <v>#DIV/0!</v>
      </c>
      <c r="AU98" s="83" t="e">
        <f t="shared" si="46"/>
        <v>#DIV/0!</v>
      </c>
      <c r="AV98" s="3"/>
    </row>
    <row r="100" spans="1:48" ht="14.25" customHeight="1">
      <c r="A100" s="129"/>
      <c r="E100" s="134" t="str">
        <f>'RAD_DOSE Groups'!C19</f>
        <v>Group 14</v>
      </c>
      <c r="H100" s="134" t="str">
        <f>E100</f>
        <v>Group 14</v>
      </c>
      <c r="I100" s="170" t="s">
        <v>67</v>
      </c>
      <c r="J100" s="87">
        <f t="shared" ref="J100:AU100" si="47">COUNTIFS($E$5:$E$41,$E100,J$5:J$41,"Alive")</f>
        <v>0</v>
      </c>
      <c r="K100" s="87">
        <f t="shared" si="47"/>
        <v>0</v>
      </c>
      <c r="L100" s="87">
        <f t="shared" si="47"/>
        <v>0</v>
      </c>
      <c r="M100" s="87">
        <f t="shared" si="47"/>
        <v>0</v>
      </c>
      <c r="N100" s="87">
        <f t="shared" si="47"/>
        <v>0</v>
      </c>
      <c r="O100" s="87">
        <f t="shared" si="47"/>
        <v>0</v>
      </c>
      <c r="P100" s="87">
        <f t="shared" si="47"/>
        <v>0</v>
      </c>
      <c r="Q100" s="87">
        <f t="shared" si="47"/>
        <v>0</v>
      </c>
      <c r="R100" s="87">
        <f t="shared" si="47"/>
        <v>0</v>
      </c>
      <c r="S100" s="87">
        <f t="shared" si="47"/>
        <v>0</v>
      </c>
      <c r="T100" s="87">
        <f t="shared" si="47"/>
        <v>0</v>
      </c>
      <c r="U100" s="87">
        <f t="shared" si="47"/>
        <v>0</v>
      </c>
      <c r="V100" s="87">
        <f t="shared" si="47"/>
        <v>0</v>
      </c>
      <c r="W100" s="87">
        <f t="shared" si="47"/>
        <v>0</v>
      </c>
      <c r="X100" s="87">
        <f t="shared" si="47"/>
        <v>0</v>
      </c>
      <c r="Y100" s="87">
        <f t="shared" si="47"/>
        <v>0</v>
      </c>
      <c r="Z100" s="87">
        <f t="shared" si="47"/>
        <v>0</v>
      </c>
      <c r="AA100" s="87">
        <f t="shared" si="47"/>
        <v>0</v>
      </c>
      <c r="AB100" s="87">
        <f t="shared" si="47"/>
        <v>0</v>
      </c>
      <c r="AC100" s="87">
        <f t="shared" si="47"/>
        <v>0</v>
      </c>
      <c r="AD100" s="87">
        <f t="shared" si="47"/>
        <v>0</v>
      </c>
      <c r="AE100" s="87">
        <f t="shared" si="47"/>
        <v>0</v>
      </c>
      <c r="AF100" s="87">
        <f t="shared" si="47"/>
        <v>0</v>
      </c>
      <c r="AG100" s="87">
        <f t="shared" si="47"/>
        <v>0</v>
      </c>
      <c r="AH100" s="87">
        <f t="shared" si="47"/>
        <v>0</v>
      </c>
      <c r="AI100" s="87">
        <f t="shared" si="47"/>
        <v>0</v>
      </c>
      <c r="AJ100" s="87">
        <f t="shared" si="47"/>
        <v>0</v>
      </c>
      <c r="AK100" s="87">
        <f t="shared" si="47"/>
        <v>0</v>
      </c>
      <c r="AL100" s="87">
        <f t="shared" si="47"/>
        <v>0</v>
      </c>
      <c r="AM100" s="87">
        <f t="shared" si="47"/>
        <v>0</v>
      </c>
      <c r="AN100" s="87">
        <f t="shared" si="47"/>
        <v>0</v>
      </c>
      <c r="AO100" s="87">
        <f t="shared" si="47"/>
        <v>0</v>
      </c>
      <c r="AP100" s="87">
        <f t="shared" si="47"/>
        <v>0</v>
      </c>
      <c r="AQ100" s="87">
        <f t="shared" si="47"/>
        <v>0</v>
      </c>
      <c r="AR100" s="87">
        <f t="shared" si="47"/>
        <v>0</v>
      </c>
      <c r="AS100" s="87">
        <f t="shared" si="47"/>
        <v>0</v>
      </c>
      <c r="AT100" s="87">
        <f t="shared" si="47"/>
        <v>0</v>
      </c>
      <c r="AU100" s="87">
        <f t="shared" si="47"/>
        <v>0</v>
      </c>
      <c r="AV100" s="85"/>
    </row>
    <row r="101" spans="1:48" ht="14.25" customHeight="1">
      <c r="A101" s="129"/>
      <c r="E101" s="104"/>
      <c r="H101" s="104"/>
      <c r="I101" s="170" t="s">
        <v>66</v>
      </c>
      <c r="J101" s="90">
        <f t="shared" ref="J101:AU101" si="48">COUNTIFS($E$5:$E$41,$E100,J$5:J$41,"Censored")</f>
        <v>0</v>
      </c>
      <c r="K101" s="90">
        <f t="shared" si="48"/>
        <v>0</v>
      </c>
      <c r="L101" s="90">
        <f t="shared" si="48"/>
        <v>0</v>
      </c>
      <c r="M101" s="90">
        <f t="shared" si="48"/>
        <v>0</v>
      </c>
      <c r="N101" s="90">
        <f t="shared" si="48"/>
        <v>0</v>
      </c>
      <c r="O101" s="90">
        <f t="shared" si="48"/>
        <v>0</v>
      </c>
      <c r="P101" s="90">
        <f t="shared" si="48"/>
        <v>0</v>
      </c>
      <c r="Q101" s="90">
        <f t="shared" si="48"/>
        <v>0</v>
      </c>
      <c r="R101" s="90">
        <f t="shared" si="48"/>
        <v>0</v>
      </c>
      <c r="S101" s="90">
        <f t="shared" si="48"/>
        <v>0</v>
      </c>
      <c r="T101" s="90">
        <f t="shared" si="48"/>
        <v>0</v>
      </c>
      <c r="U101" s="90">
        <f t="shared" si="48"/>
        <v>0</v>
      </c>
      <c r="V101" s="90">
        <f t="shared" si="48"/>
        <v>0</v>
      </c>
      <c r="W101" s="90">
        <f t="shared" si="48"/>
        <v>0</v>
      </c>
      <c r="X101" s="90">
        <f t="shared" si="48"/>
        <v>0</v>
      </c>
      <c r="Y101" s="90">
        <f t="shared" si="48"/>
        <v>0</v>
      </c>
      <c r="Z101" s="90">
        <f t="shared" si="48"/>
        <v>0</v>
      </c>
      <c r="AA101" s="90">
        <f t="shared" si="48"/>
        <v>0</v>
      </c>
      <c r="AB101" s="90">
        <f t="shared" si="48"/>
        <v>0</v>
      </c>
      <c r="AC101" s="90">
        <f t="shared" si="48"/>
        <v>0</v>
      </c>
      <c r="AD101" s="90">
        <f t="shared" si="48"/>
        <v>0</v>
      </c>
      <c r="AE101" s="90">
        <f t="shared" si="48"/>
        <v>0</v>
      </c>
      <c r="AF101" s="90">
        <f t="shared" si="48"/>
        <v>0</v>
      </c>
      <c r="AG101" s="90">
        <f t="shared" si="48"/>
        <v>0</v>
      </c>
      <c r="AH101" s="90">
        <f t="shared" si="48"/>
        <v>0</v>
      </c>
      <c r="AI101" s="90">
        <f t="shared" si="48"/>
        <v>0</v>
      </c>
      <c r="AJ101" s="90">
        <f t="shared" si="48"/>
        <v>0</v>
      </c>
      <c r="AK101" s="90">
        <f t="shared" si="48"/>
        <v>0</v>
      </c>
      <c r="AL101" s="90">
        <f t="shared" si="48"/>
        <v>0</v>
      </c>
      <c r="AM101" s="90">
        <f t="shared" si="48"/>
        <v>0</v>
      </c>
      <c r="AN101" s="90">
        <f t="shared" si="48"/>
        <v>0</v>
      </c>
      <c r="AO101" s="90">
        <f t="shared" si="48"/>
        <v>0</v>
      </c>
      <c r="AP101" s="90">
        <f t="shared" si="48"/>
        <v>0</v>
      </c>
      <c r="AQ101" s="90">
        <f t="shared" si="48"/>
        <v>0</v>
      </c>
      <c r="AR101" s="90">
        <f t="shared" si="48"/>
        <v>0</v>
      </c>
      <c r="AS101" s="90">
        <f t="shared" si="48"/>
        <v>0</v>
      </c>
      <c r="AT101" s="90">
        <f t="shared" si="48"/>
        <v>0</v>
      </c>
      <c r="AU101" s="90">
        <f t="shared" si="48"/>
        <v>0</v>
      </c>
      <c r="AV101" s="85"/>
    </row>
    <row r="102" spans="1:48" ht="14.25" customHeight="1">
      <c r="A102" s="52"/>
      <c r="B102" s="51"/>
      <c r="C102" s="53"/>
      <c r="D102" s="51"/>
      <c r="E102" s="103"/>
      <c r="F102" s="80"/>
      <c r="G102" s="49"/>
      <c r="H102" s="104"/>
      <c r="I102" s="170" t="s">
        <v>68</v>
      </c>
      <c r="J102" s="83" t="e">
        <f>J100/(COUNTIFS($E$5:$E$41,$E100,J$5:J$41,"Alive")+COUNTIFS($E$5:$E$41,$E100,J$5:J$41,"Sacrificed")+COUNTIFS($E$5:$E$41,$E100,J$5:J$41,"Died"))</f>
        <v>#DIV/0!</v>
      </c>
      <c r="K102" s="83" t="e">
        <f t="shared" ref="K102:AU102" si="49">K100/(COUNTIFS($E$5:$E$41,$E100,K$5:K$41,"Alive")+COUNTIFS($E$5:$E$41,$E100,K$5:K$41,"Sacrificed")+COUNTIFS($E$5:$E$41,$E100,K$5:K$41,"Died"))*J102</f>
        <v>#DIV/0!</v>
      </c>
      <c r="L102" s="83" t="e">
        <f t="shared" si="49"/>
        <v>#DIV/0!</v>
      </c>
      <c r="M102" s="83" t="e">
        <f t="shared" si="49"/>
        <v>#DIV/0!</v>
      </c>
      <c r="N102" s="83" t="e">
        <f t="shared" si="49"/>
        <v>#DIV/0!</v>
      </c>
      <c r="O102" s="83" t="e">
        <f t="shared" si="49"/>
        <v>#DIV/0!</v>
      </c>
      <c r="P102" s="83" t="e">
        <f t="shared" si="49"/>
        <v>#DIV/0!</v>
      </c>
      <c r="Q102" s="83" t="e">
        <f t="shared" si="49"/>
        <v>#DIV/0!</v>
      </c>
      <c r="R102" s="83" t="e">
        <f t="shared" si="49"/>
        <v>#DIV/0!</v>
      </c>
      <c r="S102" s="83" t="e">
        <f t="shared" si="49"/>
        <v>#DIV/0!</v>
      </c>
      <c r="T102" s="83" t="e">
        <f t="shared" si="49"/>
        <v>#DIV/0!</v>
      </c>
      <c r="U102" s="83" t="e">
        <f t="shared" si="49"/>
        <v>#DIV/0!</v>
      </c>
      <c r="V102" s="83" t="e">
        <f t="shared" si="49"/>
        <v>#DIV/0!</v>
      </c>
      <c r="W102" s="83" t="e">
        <f t="shared" si="49"/>
        <v>#DIV/0!</v>
      </c>
      <c r="X102" s="83" t="e">
        <f t="shared" si="49"/>
        <v>#DIV/0!</v>
      </c>
      <c r="Y102" s="83" t="e">
        <f t="shared" si="49"/>
        <v>#DIV/0!</v>
      </c>
      <c r="Z102" s="83" t="e">
        <f t="shared" si="49"/>
        <v>#DIV/0!</v>
      </c>
      <c r="AA102" s="83" t="e">
        <f t="shared" si="49"/>
        <v>#DIV/0!</v>
      </c>
      <c r="AB102" s="83" t="e">
        <f t="shared" si="49"/>
        <v>#DIV/0!</v>
      </c>
      <c r="AC102" s="83" t="e">
        <f t="shared" si="49"/>
        <v>#DIV/0!</v>
      </c>
      <c r="AD102" s="83" t="e">
        <f t="shared" si="49"/>
        <v>#DIV/0!</v>
      </c>
      <c r="AE102" s="83" t="e">
        <f t="shared" si="49"/>
        <v>#DIV/0!</v>
      </c>
      <c r="AF102" s="83" t="e">
        <f t="shared" si="49"/>
        <v>#DIV/0!</v>
      </c>
      <c r="AG102" s="83" t="e">
        <f t="shared" si="49"/>
        <v>#DIV/0!</v>
      </c>
      <c r="AH102" s="83" t="e">
        <f t="shared" si="49"/>
        <v>#DIV/0!</v>
      </c>
      <c r="AI102" s="83" t="e">
        <f t="shared" si="49"/>
        <v>#DIV/0!</v>
      </c>
      <c r="AJ102" s="83" t="e">
        <f t="shared" si="49"/>
        <v>#DIV/0!</v>
      </c>
      <c r="AK102" s="83" t="e">
        <f t="shared" si="49"/>
        <v>#DIV/0!</v>
      </c>
      <c r="AL102" s="83" t="e">
        <f t="shared" si="49"/>
        <v>#DIV/0!</v>
      </c>
      <c r="AM102" s="83" t="e">
        <f t="shared" si="49"/>
        <v>#DIV/0!</v>
      </c>
      <c r="AN102" s="83" t="e">
        <f t="shared" si="49"/>
        <v>#DIV/0!</v>
      </c>
      <c r="AO102" s="83" t="e">
        <f t="shared" si="49"/>
        <v>#DIV/0!</v>
      </c>
      <c r="AP102" s="83" t="e">
        <f t="shared" si="49"/>
        <v>#DIV/0!</v>
      </c>
      <c r="AQ102" s="83" t="e">
        <f t="shared" si="49"/>
        <v>#DIV/0!</v>
      </c>
      <c r="AR102" s="83" t="e">
        <f t="shared" si="49"/>
        <v>#DIV/0!</v>
      </c>
      <c r="AS102" s="83" t="e">
        <f t="shared" si="49"/>
        <v>#DIV/0!</v>
      </c>
      <c r="AT102" s="83" t="e">
        <f t="shared" si="49"/>
        <v>#DIV/0!</v>
      </c>
      <c r="AU102" s="83" t="e">
        <f t="shared" si="49"/>
        <v>#DIV/0!</v>
      </c>
      <c r="AV102" s="3"/>
    </row>
    <row r="104" spans="1:48" ht="14.25" customHeight="1">
      <c r="A104" s="129"/>
      <c r="E104" s="134" t="str">
        <f>'RAD_DOSE Groups'!C20</f>
        <v>Group 15</v>
      </c>
      <c r="H104" s="134" t="str">
        <f>E104</f>
        <v>Group 15</v>
      </c>
      <c r="I104" s="170" t="s">
        <v>67</v>
      </c>
      <c r="J104" s="87">
        <f t="shared" ref="J104:AU104" si="50">COUNTIFS($E$5:$E$41,$E104,J$5:J$41,"Alive")</f>
        <v>0</v>
      </c>
      <c r="K104" s="87">
        <f t="shared" si="50"/>
        <v>0</v>
      </c>
      <c r="L104" s="87">
        <f t="shared" si="50"/>
        <v>0</v>
      </c>
      <c r="M104" s="87">
        <f t="shared" si="50"/>
        <v>0</v>
      </c>
      <c r="N104" s="87">
        <f t="shared" si="50"/>
        <v>0</v>
      </c>
      <c r="O104" s="87">
        <f t="shared" si="50"/>
        <v>0</v>
      </c>
      <c r="P104" s="87">
        <f t="shared" si="50"/>
        <v>0</v>
      </c>
      <c r="Q104" s="87">
        <f t="shared" si="50"/>
        <v>0</v>
      </c>
      <c r="R104" s="87">
        <f t="shared" si="50"/>
        <v>0</v>
      </c>
      <c r="S104" s="87">
        <f t="shared" si="50"/>
        <v>0</v>
      </c>
      <c r="T104" s="87">
        <f t="shared" si="50"/>
        <v>0</v>
      </c>
      <c r="U104" s="87">
        <f t="shared" si="50"/>
        <v>0</v>
      </c>
      <c r="V104" s="87">
        <f t="shared" si="50"/>
        <v>0</v>
      </c>
      <c r="W104" s="87">
        <f t="shared" si="50"/>
        <v>0</v>
      </c>
      <c r="X104" s="87">
        <f t="shared" si="50"/>
        <v>0</v>
      </c>
      <c r="Y104" s="87">
        <f t="shared" si="50"/>
        <v>0</v>
      </c>
      <c r="Z104" s="87">
        <f t="shared" si="50"/>
        <v>0</v>
      </c>
      <c r="AA104" s="87">
        <f t="shared" si="50"/>
        <v>0</v>
      </c>
      <c r="AB104" s="87">
        <f t="shared" si="50"/>
        <v>0</v>
      </c>
      <c r="AC104" s="87">
        <f t="shared" si="50"/>
        <v>0</v>
      </c>
      <c r="AD104" s="87">
        <f t="shared" si="50"/>
        <v>0</v>
      </c>
      <c r="AE104" s="87">
        <f t="shared" si="50"/>
        <v>0</v>
      </c>
      <c r="AF104" s="87">
        <f t="shared" si="50"/>
        <v>0</v>
      </c>
      <c r="AG104" s="87">
        <f t="shared" si="50"/>
        <v>0</v>
      </c>
      <c r="AH104" s="87">
        <f t="shared" si="50"/>
        <v>0</v>
      </c>
      <c r="AI104" s="87">
        <f t="shared" si="50"/>
        <v>0</v>
      </c>
      <c r="AJ104" s="87">
        <f t="shared" si="50"/>
        <v>0</v>
      </c>
      <c r="AK104" s="87">
        <f t="shared" si="50"/>
        <v>0</v>
      </c>
      <c r="AL104" s="87">
        <f t="shared" si="50"/>
        <v>0</v>
      </c>
      <c r="AM104" s="87">
        <f t="shared" si="50"/>
        <v>0</v>
      </c>
      <c r="AN104" s="87">
        <f t="shared" si="50"/>
        <v>0</v>
      </c>
      <c r="AO104" s="87">
        <f t="shared" si="50"/>
        <v>0</v>
      </c>
      <c r="AP104" s="87">
        <f t="shared" si="50"/>
        <v>0</v>
      </c>
      <c r="AQ104" s="87">
        <f t="shared" si="50"/>
        <v>0</v>
      </c>
      <c r="AR104" s="87">
        <f t="shared" si="50"/>
        <v>0</v>
      </c>
      <c r="AS104" s="87">
        <f t="shared" si="50"/>
        <v>0</v>
      </c>
      <c r="AT104" s="87">
        <f t="shared" si="50"/>
        <v>0</v>
      </c>
      <c r="AU104" s="87">
        <f t="shared" si="50"/>
        <v>0</v>
      </c>
      <c r="AV104" s="85"/>
    </row>
    <row r="105" spans="1:48" ht="14.25" customHeight="1">
      <c r="A105" s="129"/>
      <c r="E105" s="104"/>
      <c r="H105" s="104"/>
      <c r="I105" s="170" t="s">
        <v>66</v>
      </c>
      <c r="J105" s="90">
        <f t="shared" ref="J105:AU105" si="51">COUNTIFS($E$5:$E$41,$E104,J$5:J$41,"Censored")</f>
        <v>0</v>
      </c>
      <c r="K105" s="90">
        <f t="shared" si="51"/>
        <v>0</v>
      </c>
      <c r="L105" s="90">
        <f t="shared" si="51"/>
        <v>0</v>
      </c>
      <c r="M105" s="90">
        <f t="shared" si="51"/>
        <v>0</v>
      </c>
      <c r="N105" s="90">
        <f t="shared" si="51"/>
        <v>0</v>
      </c>
      <c r="O105" s="90">
        <f t="shared" si="51"/>
        <v>0</v>
      </c>
      <c r="P105" s="90">
        <f t="shared" si="51"/>
        <v>0</v>
      </c>
      <c r="Q105" s="90">
        <f t="shared" si="51"/>
        <v>0</v>
      </c>
      <c r="R105" s="90">
        <f t="shared" si="51"/>
        <v>0</v>
      </c>
      <c r="S105" s="90">
        <f t="shared" si="51"/>
        <v>0</v>
      </c>
      <c r="T105" s="90">
        <f t="shared" si="51"/>
        <v>0</v>
      </c>
      <c r="U105" s="90">
        <f t="shared" si="51"/>
        <v>0</v>
      </c>
      <c r="V105" s="90">
        <f t="shared" si="51"/>
        <v>0</v>
      </c>
      <c r="W105" s="90">
        <f t="shared" si="51"/>
        <v>0</v>
      </c>
      <c r="X105" s="90">
        <f t="shared" si="51"/>
        <v>0</v>
      </c>
      <c r="Y105" s="90">
        <f t="shared" si="51"/>
        <v>0</v>
      </c>
      <c r="Z105" s="90">
        <f t="shared" si="51"/>
        <v>0</v>
      </c>
      <c r="AA105" s="90">
        <f t="shared" si="51"/>
        <v>0</v>
      </c>
      <c r="AB105" s="90">
        <f t="shared" si="51"/>
        <v>0</v>
      </c>
      <c r="AC105" s="90">
        <f t="shared" si="51"/>
        <v>0</v>
      </c>
      <c r="AD105" s="90">
        <f t="shared" si="51"/>
        <v>0</v>
      </c>
      <c r="AE105" s="90">
        <f t="shared" si="51"/>
        <v>0</v>
      </c>
      <c r="AF105" s="90">
        <f t="shared" si="51"/>
        <v>0</v>
      </c>
      <c r="AG105" s="90">
        <f t="shared" si="51"/>
        <v>0</v>
      </c>
      <c r="AH105" s="90">
        <f t="shared" si="51"/>
        <v>0</v>
      </c>
      <c r="AI105" s="90">
        <f t="shared" si="51"/>
        <v>0</v>
      </c>
      <c r="AJ105" s="90">
        <f t="shared" si="51"/>
        <v>0</v>
      </c>
      <c r="AK105" s="90">
        <f t="shared" si="51"/>
        <v>0</v>
      </c>
      <c r="AL105" s="90">
        <f t="shared" si="51"/>
        <v>0</v>
      </c>
      <c r="AM105" s="90">
        <f t="shared" si="51"/>
        <v>0</v>
      </c>
      <c r="AN105" s="90">
        <f t="shared" si="51"/>
        <v>0</v>
      </c>
      <c r="AO105" s="90">
        <f t="shared" si="51"/>
        <v>0</v>
      </c>
      <c r="AP105" s="90">
        <f t="shared" si="51"/>
        <v>0</v>
      </c>
      <c r="AQ105" s="90">
        <f t="shared" si="51"/>
        <v>0</v>
      </c>
      <c r="AR105" s="90">
        <f t="shared" si="51"/>
        <v>0</v>
      </c>
      <c r="AS105" s="90">
        <f t="shared" si="51"/>
        <v>0</v>
      </c>
      <c r="AT105" s="90">
        <f t="shared" si="51"/>
        <v>0</v>
      </c>
      <c r="AU105" s="90">
        <f t="shared" si="51"/>
        <v>0</v>
      </c>
      <c r="AV105" s="85"/>
    </row>
    <row r="106" spans="1:48" ht="14.25" customHeight="1">
      <c r="A106" s="52"/>
      <c r="B106" s="51"/>
      <c r="C106" s="53"/>
      <c r="D106" s="51"/>
      <c r="E106" s="103"/>
      <c r="F106" s="80"/>
      <c r="G106" s="49"/>
      <c r="H106" s="104"/>
      <c r="I106" s="170" t="s">
        <v>68</v>
      </c>
      <c r="J106" s="83" t="e">
        <f>J104/(COUNTIFS($E$5:$E$41,$E104,J$5:J$41,"Alive")+COUNTIFS($E$5:$E$41,$E104,J$5:J$41,"Sacrificed")+COUNTIFS($E$5:$E$41,$E104,J$5:J$41,"Died"))</f>
        <v>#DIV/0!</v>
      </c>
      <c r="K106" s="83" t="e">
        <f t="shared" ref="K106:AU106" si="52">K104/(COUNTIFS($E$5:$E$41,$E104,K$5:K$41,"Alive")+COUNTIFS($E$5:$E$41,$E104,K$5:K$41,"Sacrificed")+COUNTIFS($E$5:$E$41,$E104,K$5:K$41,"Died"))*J106</f>
        <v>#DIV/0!</v>
      </c>
      <c r="L106" s="83" t="e">
        <f t="shared" si="52"/>
        <v>#DIV/0!</v>
      </c>
      <c r="M106" s="83" t="e">
        <f t="shared" si="52"/>
        <v>#DIV/0!</v>
      </c>
      <c r="N106" s="83" t="e">
        <f t="shared" si="52"/>
        <v>#DIV/0!</v>
      </c>
      <c r="O106" s="83" t="e">
        <f t="shared" si="52"/>
        <v>#DIV/0!</v>
      </c>
      <c r="P106" s="83" t="e">
        <f t="shared" si="52"/>
        <v>#DIV/0!</v>
      </c>
      <c r="Q106" s="83" t="e">
        <f t="shared" si="52"/>
        <v>#DIV/0!</v>
      </c>
      <c r="R106" s="83" t="e">
        <f t="shared" si="52"/>
        <v>#DIV/0!</v>
      </c>
      <c r="S106" s="83" t="e">
        <f t="shared" si="52"/>
        <v>#DIV/0!</v>
      </c>
      <c r="T106" s="83" t="e">
        <f t="shared" si="52"/>
        <v>#DIV/0!</v>
      </c>
      <c r="U106" s="83" t="e">
        <f t="shared" si="52"/>
        <v>#DIV/0!</v>
      </c>
      <c r="V106" s="83" t="e">
        <f t="shared" si="52"/>
        <v>#DIV/0!</v>
      </c>
      <c r="W106" s="83" t="e">
        <f t="shared" si="52"/>
        <v>#DIV/0!</v>
      </c>
      <c r="X106" s="83" t="e">
        <f t="shared" si="52"/>
        <v>#DIV/0!</v>
      </c>
      <c r="Y106" s="83" t="e">
        <f t="shared" si="52"/>
        <v>#DIV/0!</v>
      </c>
      <c r="Z106" s="83" t="e">
        <f t="shared" si="52"/>
        <v>#DIV/0!</v>
      </c>
      <c r="AA106" s="83" t="e">
        <f t="shared" si="52"/>
        <v>#DIV/0!</v>
      </c>
      <c r="AB106" s="83" t="e">
        <f t="shared" si="52"/>
        <v>#DIV/0!</v>
      </c>
      <c r="AC106" s="83" t="e">
        <f t="shared" si="52"/>
        <v>#DIV/0!</v>
      </c>
      <c r="AD106" s="83" t="e">
        <f t="shared" si="52"/>
        <v>#DIV/0!</v>
      </c>
      <c r="AE106" s="83" t="e">
        <f t="shared" si="52"/>
        <v>#DIV/0!</v>
      </c>
      <c r="AF106" s="83" t="e">
        <f t="shared" si="52"/>
        <v>#DIV/0!</v>
      </c>
      <c r="AG106" s="83" t="e">
        <f t="shared" si="52"/>
        <v>#DIV/0!</v>
      </c>
      <c r="AH106" s="83" t="e">
        <f t="shared" si="52"/>
        <v>#DIV/0!</v>
      </c>
      <c r="AI106" s="83" t="e">
        <f t="shared" si="52"/>
        <v>#DIV/0!</v>
      </c>
      <c r="AJ106" s="83" t="e">
        <f t="shared" si="52"/>
        <v>#DIV/0!</v>
      </c>
      <c r="AK106" s="83" t="e">
        <f t="shared" si="52"/>
        <v>#DIV/0!</v>
      </c>
      <c r="AL106" s="83" t="e">
        <f t="shared" si="52"/>
        <v>#DIV/0!</v>
      </c>
      <c r="AM106" s="83" t="e">
        <f t="shared" si="52"/>
        <v>#DIV/0!</v>
      </c>
      <c r="AN106" s="83" t="e">
        <f t="shared" si="52"/>
        <v>#DIV/0!</v>
      </c>
      <c r="AO106" s="83" t="e">
        <f t="shared" si="52"/>
        <v>#DIV/0!</v>
      </c>
      <c r="AP106" s="83" t="e">
        <f t="shared" si="52"/>
        <v>#DIV/0!</v>
      </c>
      <c r="AQ106" s="83" t="e">
        <f t="shared" si="52"/>
        <v>#DIV/0!</v>
      </c>
      <c r="AR106" s="83" t="e">
        <f t="shared" si="52"/>
        <v>#DIV/0!</v>
      </c>
      <c r="AS106" s="83" t="e">
        <f t="shared" si="52"/>
        <v>#DIV/0!</v>
      </c>
      <c r="AT106" s="83" t="e">
        <f t="shared" si="52"/>
        <v>#DIV/0!</v>
      </c>
      <c r="AU106" s="83" t="e">
        <f t="shared" si="52"/>
        <v>#DIV/0!</v>
      </c>
      <c r="AV106" s="3"/>
    </row>
    <row r="108" spans="1:48" ht="14.25" customHeight="1">
      <c r="A108" s="129"/>
      <c r="E108" s="134" t="str">
        <f>'RAD_DOSE Groups'!C21</f>
        <v>Group 16</v>
      </c>
      <c r="H108" s="134" t="str">
        <f>E108</f>
        <v>Group 16</v>
      </c>
      <c r="I108" s="170" t="s">
        <v>67</v>
      </c>
      <c r="J108" s="87">
        <f t="shared" ref="J108:AU108" si="53">COUNTIFS($E$5:$E$41,$E108,J$5:J$41,"Alive")</f>
        <v>0</v>
      </c>
      <c r="K108" s="87">
        <f t="shared" si="53"/>
        <v>0</v>
      </c>
      <c r="L108" s="87">
        <f t="shared" si="53"/>
        <v>0</v>
      </c>
      <c r="M108" s="87">
        <f t="shared" si="53"/>
        <v>0</v>
      </c>
      <c r="N108" s="87">
        <f t="shared" si="53"/>
        <v>0</v>
      </c>
      <c r="O108" s="87">
        <f t="shared" si="53"/>
        <v>0</v>
      </c>
      <c r="P108" s="87">
        <f t="shared" si="53"/>
        <v>0</v>
      </c>
      <c r="Q108" s="87">
        <f t="shared" si="53"/>
        <v>0</v>
      </c>
      <c r="R108" s="87">
        <f t="shared" si="53"/>
        <v>0</v>
      </c>
      <c r="S108" s="87">
        <f t="shared" si="53"/>
        <v>0</v>
      </c>
      <c r="T108" s="87">
        <f t="shared" si="53"/>
        <v>0</v>
      </c>
      <c r="U108" s="87">
        <f t="shared" si="53"/>
        <v>0</v>
      </c>
      <c r="V108" s="87">
        <f t="shared" si="53"/>
        <v>0</v>
      </c>
      <c r="W108" s="87">
        <f t="shared" si="53"/>
        <v>0</v>
      </c>
      <c r="X108" s="87">
        <f t="shared" si="53"/>
        <v>0</v>
      </c>
      <c r="Y108" s="87">
        <f t="shared" si="53"/>
        <v>0</v>
      </c>
      <c r="Z108" s="87">
        <f t="shared" si="53"/>
        <v>0</v>
      </c>
      <c r="AA108" s="87">
        <f t="shared" si="53"/>
        <v>0</v>
      </c>
      <c r="AB108" s="87">
        <f t="shared" si="53"/>
        <v>0</v>
      </c>
      <c r="AC108" s="87">
        <f t="shared" si="53"/>
        <v>0</v>
      </c>
      <c r="AD108" s="87">
        <f t="shared" si="53"/>
        <v>0</v>
      </c>
      <c r="AE108" s="87">
        <f t="shared" si="53"/>
        <v>0</v>
      </c>
      <c r="AF108" s="87">
        <f t="shared" si="53"/>
        <v>0</v>
      </c>
      <c r="AG108" s="87">
        <f t="shared" si="53"/>
        <v>0</v>
      </c>
      <c r="AH108" s="87">
        <f t="shared" si="53"/>
        <v>0</v>
      </c>
      <c r="AI108" s="87">
        <f t="shared" si="53"/>
        <v>0</v>
      </c>
      <c r="AJ108" s="87">
        <f t="shared" si="53"/>
        <v>0</v>
      </c>
      <c r="AK108" s="87">
        <f t="shared" si="53"/>
        <v>0</v>
      </c>
      <c r="AL108" s="87">
        <f t="shared" si="53"/>
        <v>0</v>
      </c>
      <c r="AM108" s="87">
        <f t="shared" si="53"/>
        <v>0</v>
      </c>
      <c r="AN108" s="87">
        <f t="shared" si="53"/>
        <v>0</v>
      </c>
      <c r="AO108" s="87">
        <f t="shared" si="53"/>
        <v>0</v>
      </c>
      <c r="AP108" s="87">
        <f t="shared" si="53"/>
        <v>0</v>
      </c>
      <c r="AQ108" s="87">
        <f t="shared" si="53"/>
        <v>0</v>
      </c>
      <c r="AR108" s="87">
        <f t="shared" si="53"/>
        <v>0</v>
      </c>
      <c r="AS108" s="87">
        <f t="shared" si="53"/>
        <v>0</v>
      </c>
      <c r="AT108" s="87">
        <f t="shared" si="53"/>
        <v>0</v>
      </c>
      <c r="AU108" s="87">
        <f t="shared" si="53"/>
        <v>0</v>
      </c>
      <c r="AV108" s="85"/>
    </row>
    <row r="109" spans="1:48" ht="14.25" customHeight="1">
      <c r="A109" s="129"/>
      <c r="E109" s="104"/>
      <c r="H109" s="104"/>
      <c r="I109" s="170" t="s">
        <v>66</v>
      </c>
      <c r="J109" s="90">
        <f t="shared" ref="J109:AU109" si="54">COUNTIFS($E$5:$E$41,$E108,J$5:J$41,"Censored")</f>
        <v>0</v>
      </c>
      <c r="K109" s="90">
        <f t="shared" si="54"/>
        <v>0</v>
      </c>
      <c r="L109" s="90">
        <f t="shared" si="54"/>
        <v>0</v>
      </c>
      <c r="M109" s="90">
        <f t="shared" si="54"/>
        <v>0</v>
      </c>
      <c r="N109" s="90">
        <f t="shared" si="54"/>
        <v>0</v>
      </c>
      <c r="O109" s="90">
        <f t="shared" si="54"/>
        <v>0</v>
      </c>
      <c r="P109" s="90">
        <f t="shared" si="54"/>
        <v>0</v>
      </c>
      <c r="Q109" s="90">
        <f t="shared" si="54"/>
        <v>0</v>
      </c>
      <c r="R109" s="90">
        <f t="shared" si="54"/>
        <v>0</v>
      </c>
      <c r="S109" s="90">
        <f t="shared" si="54"/>
        <v>0</v>
      </c>
      <c r="T109" s="90">
        <f t="shared" si="54"/>
        <v>0</v>
      </c>
      <c r="U109" s="90">
        <f t="shared" si="54"/>
        <v>0</v>
      </c>
      <c r="V109" s="90">
        <f t="shared" si="54"/>
        <v>0</v>
      </c>
      <c r="W109" s="90">
        <f t="shared" si="54"/>
        <v>0</v>
      </c>
      <c r="X109" s="90">
        <f t="shared" si="54"/>
        <v>0</v>
      </c>
      <c r="Y109" s="90">
        <f t="shared" si="54"/>
        <v>0</v>
      </c>
      <c r="Z109" s="90">
        <f t="shared" si="54"/>
        <v>0</v>
      </c>
      <c r="AA109" s="90">
        <f t="shared" si="54"/>
        <v>0</v>
      </c>
      <c r="AB109" s="90">
        <f t="shared" si="54"/>
        <v>0</v>
      </c>
      <c r="AC109" s="90">
        <f t="shared" si="54"/>
        <v>0</v>
      </c>
      <c r="AD109" s="90">
        <f t="shared" si="54"/>
        <v>0</v>
      </c>
      <c r="AE109" s="90">
        <f t="shared" si="54"/>
        <v>0</v>
      </c>
      <c r="AF109" s="90">
        <f t="shared" si="54"/>
        <v>0</v>
      </c>
      <c r="AG109" s="90">
        <f t="shared" si="54"/>
        <v>0</v>
      </c>
      <c r="AH109" s="90">
        <f t="shared" si="54"/>
        <v>0</v>
      </c>
      <c r="AI109" s="90">
        <f t="shared" si="54"/>
        <v>0</v>
      </c>
      <c r="AJ109" s="90">
        <f t="shared" si="54"/>
        <v>0</v>
      </c>
      <c r="AK109" s="90">
        <f t="shared" si="54"/>
        <v>0</v>
      </c>
      <c r="AL109" s="90">
        <f t="shared" si="54"/>
        <v>0</v>
      </c>
      <c r="AM109" s="90">
        <f t="shared" si="54"/>
        <v>0</v>
      </c>
      <c r="AN109" s="90">
        <f t="shared" si="54"/>
        <v>0</v>
      </c>
      <c r="AO109" s="90">
        <f t="shared" si="54"/>
        <v>0</v>
      </c>
      <c r="AP109" s="90">
        <f t="shared" si="54"/>
        <v>0</v>
      </c>
      <c r="AQ109" s="90">
        <f t="shared" si="54"/>
        <v>0</v>
      </c>
      <c r="AR109" s="90">
        <f t="shared" si="54"/>
        <v>0</v>
      </c>
      <c r="AS109" s="90">
        <f t="shared" si="54"/>
        <v>0</v>
      </c>
      <c r="AT109" s="90">
        <f t="shared" si="54"/>
        <v>0</v>
      </c>
      <c r="AU109" s="90">
        <f t="shared" si="54"/>
        <v>0</v>
      </c>
      <c r="AV109" s="85"/>
    </row>
    <row r="110" spans="1:48" ht="14.25" customHeight="1">
      <c r="A110" s="52"/>
      <c r="B110" s="51"/>
      <c r="C110" s="53"/>
      <c r="D110" s="51"/>
      <c r="E110" s="103"/>
      <c r="F110" s="80"/>
      <c r="G110" s="49"/>
      <c r="H110" s="104"/>
      <c r="I110" s="170" t="s">
        <v>68</v>
      </c>
      <c r="J110" s="83" t="e">
        <f>J108/(COUNTIFS($E$5:$E$41,$E108,J$5:J$41,"Alive")+COUNTIFS($E$5:$E$41,$E108,J$5:J$41,"Sacrificed")+COUNTIFS($E$5:$E$41,$E108,J$5:J$41,"Died"))</f>
        <v>#DIV/0!</v>
      </c>
      <c r="K110" s="83" t="e">
        <f t="shared" ref="K110:AU110" si="55">K108/(COUNTIFS($E$5:$E$41,$E108,K$5:K$41,"Alive")+COUNTIFS($E$5:$E$41,$E108,K$5:K$41,"Sacrificed")+COUNTIFS($E$5:$E$41,$E108,K$5:K$41,"Died"))*J110</f>
        <v>#DIV/0!</v>
      </c>
      <c r="L110" s="83" t="e">
        <f t="shared" si="55"/>
        <v>#DIV/0!</v>
      </c>
      <c r="M110" s="83" t="e">
        <f t="shared" si="55"/>
        <v>#DIV/0!</v>
      </c>
      <c r="N110" s="83" t="e">
        <f t="shared" si="55"/>
        <v>#DIV/0!</v>
      </c>
      <c r="O110" s="83" t="e">
        <f t="shared" si="55"/>
        <v>#DIV/0!</v>
      </c>
      <c r="P110" s="83" t="e">
        <f t="shared" si="55"/>
        <v>#DIV/0!</v>
      </c>
      <c r="Q110" s="83" t="e">
        <f t="shared" si="55"/>
        <v>#DIV/0!</v>
      </c>
      <c r="R110" s="83" t="e">
        <f t="shared" si="55"/>
        <v>#DIV/0!</v>
      </c>
      <c r="S110" s="83" t="e">
        <f t="shared" si="55"/>
        <v>#DIV/0!</v>
      </c>
      <c r="T110" s="83" t="e">
        <f t="shared" si="55"/>
        <v>#DIV/0!</v>
      </c>
      <c r="U110" s="83" t="e">
        <f t="shared" si="55"/>
        <v>#DIV/0!</v>
      </c>
      <c r="V110" s="83" t="e">
        <f t="shared" si="55"/>
        <v>#DIV/0!</v>
      </c>
      <c r="W110" s="83" t="e">
        <f t="shared" si="55"/>
        <v>#DIV/0!</v>
      </c>
      <c r="X110" s="83" t="e">
        <f t="shared" si="55"/>
        <v>#DIV/0!</v>
      </c>
      <c r="Y110" s="83" t="e">
        <f t="shared" si="55"/>
        <v>#DIV/0!</v>
      </c>
      <c r="Z110" s="83" t="e">
        <f t="shared" si="55"/>
        <v>#DIV/0!</v>
      </c>
      <c r="AA110" s="83" t="e">
        <f t="shared" si="55"/>
        <v>#DIV/0!</v>
      </c>
      <c r="AB110" s="83" t="e">
        <f t="shared" si="55"/>
        <v>#DIV/0!</v>
      </c>
      <c r="AC110" s="83" t="e">
        <f t="shared" si="55"/>
        <v>#DIV/0!</v>
      </c>
      <c r="AD110" s="83" t="e">
        <f t="shared" si="55"/>
        <v>#DIV/0!</v>
      </c>
      <c r="AE110" s="83" t="e">
        <f t="shared" si="55"/>
        <v>#DIV/0!</v>
      </c>
      <c r="AF110" s="83" t="e">
        <f t="shared" si="55"/>
        <v>#DIV/0!</v>
      </c>
      <c r="AG110" s="83" t="e">
        <f t="shared" si="55"/>
        <v>#DIV/0!</v>
      </c>
      <c r="AH110" s="83" t="e">
        <f t="shared" si="55"/>
        <v>#DIV/0!</v>
      </c>
      <c r="AI110" s="83" t="e">
        <f t="shared" si="55"/>
        <v>#DIV/0!</v>
      </c>
      <c r="AJ110" s="83" t="e">
        <f t="shared" si="55"/>
        <v>#DIV/0!</v>
      </c>
      <c r="AK110" s="83" t="e">
        <f t="shared" si="55"/>
        <v>#DIV/0!</v>
      </c>
      <c r="AL110" s="83" t="e">
        <f t="shared" si="55"/>
        <v>#DIV/0!</v>
      </c>
      <c r="AM110" s="83" t="e">
        <f t="shared" si="55"/>
        <v>#DIV/0!</v>
      </c>
      <c r="AN110" s="83" t="e">
        <f t="shared" si="55"/>
        <v>#DIV/0!</v>
      </c>
      <c r="AO110" s="83" t="e">
        <f t="shared" si="55"/>
        <v>#DIV/0!</v>
      </c>
      <c r="AP110" s="83" t="e">
        <f t="shared" si="55"/>
        <v>#DIV/0!</v>
      </c>
      <c r="AQ110" s="83" t="e">
        <f t="shared" si="55"/>
        <v>#DIV/0!</v>
      </c>
      <c r="AR110" s="83" t="e">
        <f t="shared" si="55"/>
        <v>#DIV/0!</v>
      </c>
      <c r="AS110" s="83" t="e">
        <f t="shared" si="55"/>
        <v>#DIV/0!</v>
      </c>
      <c r="AT110" s="83" t="e">
        <f t="shared" si="55"/>
        <v>#DIV/0!</v>
      </c>
      <c r="AU110" s="83" t="e">
        <f t="shared" si="55"/>
        <v>#DIV/0!</v>
      </c>
      <c r="AV110" s="3"/>
    </row>
  </sheetData>
  <autoFilter ref="A4:AU41" xr:uid="{00000000-0009-0000-0000-000003000000}">
    <sortState xmlns:xlrd2="http://schemas.microsoft.com/office/spreadsheetml/2017/richdata2" ref="A5:AQ41">
      <sortCondition ref="B4:B41"/>
    </sortState>
  </autoFilter>
  <mergeCells count="3">
    <mergeCell ref="F2:G3"/>
    <mergeCell ref="H2:H3"/>
    <mergeCell ref="H44:H46"/>
  </mergeCells>
  <dataValidations count="2">
    <dataValidation type="list" allowBlank="1" showInputMessage="1" showErrorMessage="1" sqref="E48:E1048576 E5:E41" xr:uid="{00000000-0002-0000-0300-000001000000}">
      <formula1>Groups</formula1>
    </dataValidation>
    <dataValidation type="list" allowBlank="1" showInputMessage="1" showErrorMessage="1" sqref="J5:AU41" xr:uid="{00000000-0002-0000-0300-000000000000}">
      <formula1>"Alive,Sacrificed,Censored,Died"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"/>
  <sheetViews>
    <sheetView workbookViewId="0">
      <selection activeCell="Q11" sqref="Q10:Q11"/>
    </sheetView>
  </sheetViews>
  <sheetFormatPr defaultRowHeight="15"/>
  <cols>
    <col min="1" max="1" width="9.140625" style="129"/>
    <col min="2" max="2" width="7.140625" style="130" customWidth="1"/>
    <col min="3" max="3" width="17.85546875" style="129" customWidth="1"/>
    <col min="4" max="4" width="3.5703125" style="129" customWidth="1"/>
    <col min="5" max="5" width="9.140625" style="129"/>
    <col min="6" max="7" width="9.140625" style="133"/>
    <col min="8" max="9" width="10" style="133" customWidth="1"/>
    <col min="10" max="10" width="11.85546875" style="129" customWidth="1"/>
    <col min="11" max="11" width="11.140625" style="129" customWidth="1"/>
    <col min="12" max="16384" width="9.140625" style="129"/>
  </cols>
  <sheetData>
    <row r="1" spans="1:11" ht="27">
      <c r="A1" s="288" t="s">
        <v>97</v>
      </c>
      <c r="B1" s="288"/>
      <c r="C1" s="288"/>
      <c r="D1" s="288"/>
      <c r="E1" s="288"/>
      <c r="F1" s="288"/>
    </row>
    <row r="2" spans="1:11" ht="24" thickBot="1">
      <c r="A2" s="289" t="s">
        <v>36</v>
      </c>
      <c r="B2" s="289"/>
      <c r="C2" s="289"/>
      <c r="D2" s="289"/>
      <c r="E2" s="289"/>
      <c r="F2" s="289"/>
    </row>
    <row r="3" spans="1:11" s="132" customFormat="1">
      <c r="B3" s="131"/>
      <c r="F3" s="284"/>
      <c r="G3" s="284"/>
      <c r="H3" s="284"/>
      <c r="I3" s="284"/>
    </row>
    <row r="4" spans="1:11" ht="33.75" customHeight="1">
      <c r="F4" s="281" t="s">
        <v>61</v>
      </c>
      <c r="G4" s="283"/>
      <c r="H4" s="282" t="s">
        <v>59</v>
      </c>
      <c r="I4" s="283"/>
      <c r="J4" s="281" t="s">
        <v>60</v>
      </c>
      <c r="K4" s="281"/>
    </row>
    <row r="5" spans="1:11">
      <c r="B5" s="131" t="s">
        <v>33</v>
      </c>
      <c r="C5" s="132" t="s">
        <v>62</v>
      </c>
      <c r="E5" s="131" t="s">
        <v>33</v>
      </c>
      <c r="F5" s="177" t="s">
        <v>37</v>
      </c>
      <c r="G5" s="178" t="s">
        <v>38</v>
      </c>
      <c r="H5" s="181" t="s">
        <v>37</v>
      </c>
      <c r="I5" s="178" t="s">
        <v>38</v>
      </c>
      <c r="J5" s="171" t="s">
        <v>37</v>
      </c>
      <c r="K5" s="171" t="s">
        <v>38</v>
      </c>
    </row>
    <row r="6" spans="1:11">
      <c r="B6" s="130">
        <v>1</v>
      </c>
      <c r="C6" s="129" t="s">
        <v>34</v>
      </c>
      <c r="E6" s="135">
        <f>COUNTIF('RAD_DOSE Tumor Size'!E$5:E$41,'RAD_DOSE Groups'!C6)</f>
        <v>4</v>
      </c>
      <c r="F6" s="179">
        <f>AVERAGEIF('RAD_DOSE Body Weight'!E$5:E$41,'RAD_DOSE Groups'!C6,'RAD_DOSE Body Weight'!M$5:M$41)</f>
        <v>25.700000000000003</v>
      </c>
      <c r="G6" s="180">
        <f t="array" ref="G6">_xlfn.STDEV.P(IF('RAD_DOSE Body Weight'!E$5:E$41='RAD_DOSE Groups'!C6,'RAD_DOSE Body Weight'!M$5:M$41))</f>
        <v>1.6355427233796116</v>
      </c>
      <c r="H6" s="182">
        <f>AVERAGEIF('RAD_DOSE Tumor Size'!E$5:E$41,'RAD_DOSE Groups'!C6,'RAD_DOSE Tumor Size'!M$5:M$41)</f>
        <v>134.79557</v>
      </c>
      <c r="I6" s="180">
        <f t="array" ref="I6">_xlfn.STDEV.P(IF('RAD_DOSE Tumor Size'!E$5:E$41='RAD_DOSE Groups'!C6,'RAD_DOSE Tumor Size'!M$5:M$41))</f>
        <v>14.140949605210643</v>
      </c>
      <c r="J6" s="156">
        <f>AVERAGEIF('RAD_DOSE Tumor Size'!E$5:E$41,'RAD_DOSE Groups'!C6,'RAD_DOSE Tumor Size'!R$5:R$41)</f>
        <v>0</v>
      </c>
      <c r="K6" s="156">
        <f t="array" ref="K6">_xlfn.STDEV.P(IF('RAD_DOSE Tumor Size'!E$5:E$41='RAD_DOSE Groups'!C6,'RAD_DOSE Tumor Size'!R$5:R$41))</f>
        <v>0</v>
      </c>
    </row>
    <row r="7" spans="1:11">
      <c r="B7" s="130">
        <v>2</v>
      </c>
      <c r="C7" s="129" t="s">
        <v>35</v>
      </c>
      <c r="E7" s="135">
        <f>COUNTIF('RAD_DOSE Tumor Size'!E$5:E$41,'RAD_DOSE Groups'!C7)</f>
        <v>4</v>
      </c>
      <c r="F7" s="179">
        <f>AVERAGEIF('RAD_DOSE Body Weight'!E$5:E$41,'RAD_DOSE Groups'!C7,'RAD_DOSE Body Weight'!M$5:M$41)</f>
        <v>25.275000000000002</v>
      </c>
      <c r="G7" s="180">
        <f t="array" ref="G7">_xlfn.STDEV.P(IF('RAD_DOSE Body Weight'!E$5:E$41='RAD_DOSE Groups'!C7,'RAD_DOSE Body Weight'!M$5:M$41))</f>
        <v>0.99843627738579266</v>
      </c>
      <c r="H7" s="182">
        <f>AVERAGEIF('RAD_DOSE Tumor Size'!E$5:E$41,'RAD_DOSE Groups'!C7,'RAD_DOSE Tumor Size'!M$5:M$41)</f>
        <v>116.37769</v>
      </c>
      <c r="I7" s="180">
        <f t="array" ref="I7">_xlfn.STDEV.P(IF('RAD_DOSE Tumor Size'!E$5:E$41='RAD_DOSE Groups'!C7,'RAD_DOSE Tumor Size'!M$5:M$41))</f>
        <v>15.968477263969122</v>
      </c>
      <c r="J7" s="156">
        <f>AVERAGEIF('RAD_DOSE Tumor Size'!E$5:E$41,'RAD_DOSE Groups'!C7,'RAD_DOSE Tumor Size'!R$5:R$41)</f>
        <v>0</v>
      </c>
      <c r="K7" s="156">
        <f t="array" ref="K7">_xlfn.STDEV.P(IF('RAD_DOSE Tumor Size'!E$5:E$41='RAD_DOSE Groups'!C7,'RAD_DOSE Tumor Size'!R$5:R$41))</f>
        <v>0</v>
      </c>
    </row>
    <row r="8" spans="1:11">
      <c r="B8" s="130">
        <v>3</v>
      </c>
      <c r="C8" s="129" t="s">
        <v>47</v>
      </c>
      <c r="E8" s="135">
        <f>COUNTIF('RAD_DOSE Tumor Size'!E$5:E$41,'RAD_DOSE Groups'!C8)</f>
        <v>5</v>
      </c>
      <c r="F8" s="179">
        <f>AVERAGEIF('RAD_DOSE Body Weight'!E$5:E$41,'RAD_DOSE Groups'!C8,'RAD_DOSE Body Weight'!M$5:M$41)</f>
        <v>24.2</v>
      </c>
      <c r="G8" s="180">
        <f t="array" ref="G8">_xlfn.STDEV.P(IF('RAD_DOSE Body Weight'!E$5:E$41='RAD_DOSE Groups'!C8,'RAD_DOSE Body Weight'!M$5:M$41))</f>
        <v>1.1781341180018521</v>
      </c>
      <c r="H8" s="182">
        <f>AVERAGEIF('RAD_DOSE Tumor Size'!E$5:E$41,'RAD_DOSE Groups'!C8,'RAD_DOSE Tumor Size'!M$5:M$41)</f>
        <v>118.41128</v>
      </c>
      <c r="I8" s="180">
        <f t="array" ref="I8">_xlfn.STDEV.P(IF('RAD_DOSE Tumor Size'!E$5:E$41='RAD_DOSE Groups'!C8,'RAD_DOSE Tumor Size'!M$5:M$41))</f>
        <v>23.53757400311251</v>
      </c>
      <c r="J8" s="156">
        <f>AVERAGEIF('RAD_DOSE Tumor Size'!E$5:E$41,'RAD_DOSE Groups'!C8,'RAD_DOSE Tumor Size'!R$5:R$41)</f>
        <v>2.2986432383645941</v>
      </c>
      <c r="K8" s="156">
        <f t="array" ref="K8">_xlfn.STDEV.P(IF('RAD_DOSE Tumor Size'!E$5:E$41='RAD_DOSE Groups'!C8,'RAD_DOSE Tumor Size'!R$5:R$41))</f>
        <v>0.48078337962532708</v>
      </c>
    </row>
    <row r="9" spans="1:11">
      <c r="B9" s="130">
        <v>4</v>
      </c>
      <c r="C9" s="129" t="s">
        <v>48</v>
      </c>
      <c r="E9" s="135">
        <f>COUNTIF('RAD_DOSE Tumor Size'!E$5:E$41,'RAD_DOSE Groups'!C9)</f>
        <v>5</v>
      </c>
      <c r="F9" s="179">
        <f>AVERAGEIF('RAD_DOSE Body Weight'!E$5:E$41,'RAD_DOSE Groups'!C9,'RAD_DOSE Body Weight'!M$5:M$41)</f>
        <v>27.74</v>
      </c>
      <c r="G9" s="180">
        <f t="array" ref="G9">_xlfn.STDEV.P(IF('RAD_DOSE Body Weight'!E$5:E$41='RAD_DOSE Groups'!C9,'RAD_DOSE Body Weight'!M$5:M$41))</f>
        <v>1.5781001235663084</v>
      </c>
      <c r="H9" s="182">
        <f>AVERAGEIF('RAD_DOSE Tumor Size'!E$5:E$41,'RAD_DOSE Groups'!C9,'RAD_DOSE Tumor Size'!M$5:M$41)</f>
        <v>124.53407199999999</v>
      </c>
      <c r="I9" s="180">
        <f t="array" ref="I9">_xlfn.STDEV.P(IF('RAD_DOSE Tumor Size'!E$5:E$41='RAD_DOSE Groups'!C9,'RAD_DOSE Tumor Size'!M$5:M$41))</f>
        <v>22.692815203441345</v>
      </c>
      <c r="J9" s="156">
        <f>AVERAGEIF('RAD_DOSE Tumor Size'!E$5:E$41,'RAD_DOSE Groups'!C9,'RAD_DOSE Tumor Size'!R$5:R$41)</f>
        <v>2.5658738950660305</v>
      </c>
      <c r="K9" s="156">
        <f t="array" ref="K9">_xlfn.STDEV.P(IF('RAD_DOSE Tumor Size'!E$5:E$41='RAD_DOSE Groups'!C9,'RAD_DOSE Tumor Size'!R$5:R$41))</f>
        <v>0.30109687564937204</v>
      </c>
    </row>
    <row r="10" spans="1:11">
      <c r="B10" s="130">
        <v>5</v>
      </c>
      <c r="C10" s="129" t="s">
        <v>49</v>
      </c>
      <c r="E10" s="135">
        <f>COUNTIF('RAD_DOSE Tumor Size'!E$5:E$41,'RAD_DOSE Groups'!C10)</f>
        <v>5</v>
      </c>
      <c r="F10" s="179">
        <f>AVERAGEIF('RAD_DOSE Body Weight'!E$5:E$41,'RAD_DOSE Groups'!C10,'RAD_DOSE Body Weight'!M$5:M$41)</f>
        <v>25.28</v>
      </c>
      <c r="G10" s="180">
        <f t="array" ref="G10">_xlfn.STDEV.P(IF('RAD_DOSE Body Weight'!E$5:E$41='RAD_DOSE Groups'!C10,'RAD_DOSE Body Weight'!M$5:M$41))</f>
        <v>3.2201863300125959</v>
      </c>
      <c r="H10" s="182">
        <f>AVERAGEIF('RAD_DOSE Tumor Size'!E$5:E$41,'RAD_DOSE Groups'!C10,'RAD_DOSE Tumor Size'!M$5:M$41)</f>
        <v>130.351416</v>
      </c>
      <c r="I10" s="180">
        <f t="array" ref="I10">_xlfn.STDEV.P(IF('RAD_DOSE Tumor Size'!E$5:E$41='RAD_DOSE Groups'!C10,'RAD_DOSE Tumor Size'!M$5:M$41))</f>
        <v>24.879543893023154</v>
      </c>
      <c r="J10" s="156">
        <f>AVERAGEIF('RAD_DOSE Tumor Size'!E$5:E$41,'RAD_DOSE Groups'!C10,'RAD_DOSE Tumor Size'!R$5:R$41)</f>
        <v>5.7059452156019024</v>
      </c>
      <c r="K10" s="156">
        <f t="array" ref="K10">_xlfn.STDEV.P(IF('RAD_DOSE Tumor Size'!E$5:E$41='RAD_DOSE Groups'!C10,'RAD_DOSE Tumor Size'!R$5:R$41))</f>
        <v>0.4481503958987661</v>
      </c>
    </row>
    <row r="11" spans="1:11">
      <c r="B11" s="130">
        <v>6</v>
      </c>
      <c r="C11" s="129" t="s">
        <v>50</v>
      </c>
      <c r="E11" s="135">
        <f>COUNTIF('RAD_DOSE Tumor Size'!E$5:E$41,'RAD_DOSE Groups'!C11)</f>
        <v>5</v>
      </c>
      <c r="F11" s="179">
        <f>AVERAGEIF('RAD_DOSE Body Weight'!E$5:E$41,'RAD_DOSE Groups'!C11,'RAD_DOSE Body Weight'!M$5:M$41)</f>
        <v>26.339999999999996</v>
      </c>
      <c r="G11" s="180">
        <f t="array" ref="G11">_xlfn.STDEV.P(IF('RAD_DOSE Body Weight'!E$5:E$41='RAD_DOSE Groups'!C11,'RAD_DOSE Body Weight'!M$5:M$41))</f>
        <v>2.5865807545870285</v>
      </c>
      <c r="H11" s="182">
        <f>AVERAGEIF('RAD_DOSE Tumor Size'!E$5:E$41,'RAD_DOSE Groups'!C11,'RAD_DOSE Tumor Size'!M$5:M$41)</f>
        <v>148.154968</v>
      </c>
      <c r="I11" s="180">
        <f t="array" ref="I11">_xlfn.STDEV.P(IF('RAD_DOSE Tumor Size'!E$5:E$41='RAD_DOSE Groups'!C11,'RAD_DOSE Tumor Size'!M$5:M$41))</f>
        <v>39.506972038192139</v>
      </c>
      <c r="J11" s="156">
        <f>AVERAGEIF('RAD_DOSE Tumor Size'!E$5:E$41,'RAD_DOSE Groups'!C11,'RAD_DOSE Tumor Size'!R$5:R$41)</f>
        <v>5.9660663082663152</v>
      </c>
      <c r="K11" s="156">
        <f t="array" ref="K11">_xlfn.STDEV.P(IF('RAD_DOSE Tumor Size'!E$5:E$41='RAD_DOSE Groups'!C11,'RAD_DOSE Tumor Size'!R$5:R$41))</f>
        <v>0.4750172871052129</v>
      </c>
    </row>
    <row r="12" spans="1:11">
      <c r="B12" s="130">
        <v>7</v>
      </c>
      <c r="C12" s="129" t="s">
        <v>51</v>
      </c>
      <c r="E12" s="135">
        <f>COUNTIF('RAD_DOSE Tumor Size'!E$5:E$41,'RAD_DOSE Groups'!C12)</f>
        <v>5</v>
      </c>
      <c r="F12" s="179">
        <f>AVERAGEIF('RAD_DOSE Body Weight'!E$5:E$41,'RAD_DOSE Groups'!C12,'RAD_DOSE Body Weight'!M$5:M$41)</f>
        <v>25.48</v>
      </c>
      <c r="G12" s="180">
        <f t="array" ref="G12">_xlfn.STDEV.P(IF('RAD_DOSE Body Weight'!E$5:E$41='RAD_DOSE Groups'!C12,'RAD_DOSE Body Weight'!M$5:M$41))</f>
        <v>1.192308684863111</v>
      </c>
      <c r="H12" s="182">
        <f>AVERAGEIF('RAD_DOSE Tumor Size'!E$5:E$41,'RAD_DOSE Groups'!C12,'RAD_DOSE Tumor Size'!M$5:M$41)</f>
        <v>160.38557600000001</v>
      </c>
      <c r="I12" s="180">
        <f t="array" ref="I12">_xlfn.STDEV.P(IF('RAD_DOSE Tumor Size'!E$5:E$41='RAD_DOSE Groups'!C12,'RAD_DOSE Tumor Size'!M$5:M$41))</f>
        <v>25.97407376056788</v>
      </c>
      <c r="J12" s="156">
        <f>AVERAGEIF('RAD_DOSE Tumor Size'!E$5:E$41,'RAD_DOSE Groups'!C12,'RAD_DOSE Tumor Size'!R$5:R$41)</f>
        <v>8.130829507461943</v>
      </c>
      <c r="K12" s="156">
        <f t="array" ref="K12">_xlfn.STDEV.P(IF('RAD_DOSE Tumor Size'!E$5:E$41='RAD_DOSE Groups'!C12,'RAD_DOSE Tumor Size'!R$5:R$41))</f>
        <v>1.0950156076305946</v>
      </c>
    </row>
    <row r="13" spans="1:11">
      <c r="B13" s="130">
        <v>8</v>
      </c>
      <c r="C13" s="129" t="s">
        <v>52</v>
      </c>
      <c r="E13" s="135">
        <f>COUNTIF('RAD_DOSE Tumor Size'!E$5:E$41,'RAD_DOSE Groups'!C13)</f>
        <v>4</v>
      </c>
      <c r="F13" s="179">
        <f>AVERAGEIF('RAD_DOSE Body Weight'!E$5:E$41,'RAD_DOSE Groups'!C13,'RAD_DOSE Body Weight'!M$5:M$41)</f>
        <v>23.099999999999998</v>
      </c>
      <c r="G13" s="180">
        <f t="array" ref="G13">_xlfn.STDEV.P(IF('RAD_DOSE Body Weight'!E$5:E$41='RAD_DOSE Groups'!C13,'RAD_DOSE Body Weight'!M$5:M$41))</f>
        <v>2.0223748416156693</v>
      </c>
      <c r="H13" s="182">
        <f>AVERAGEIF('RAD_DOSE Tumor Size'!E$5:E$41,'RAD_DOSE Groups'!C13,'RAD_DOSE Tumor Size'!M$5:M$41)</f>
        <v>134.67922000000002</v>
      </c>
      <c r="I13" s="180">
        <f t="array" ref="I13">_xlfn.STDEV.P(IF('RAD_DOSE Tumor Size'!E$5:E$41='RAD_DOSE Groups'!C13,'RAD_DOSE Tumor Size'!M$5:M$41))</f>
        <v>21.8222244575662</v>
      </c>
      <c r="J13" s="156">
        <f>AVERAGEIF('RAD_DOSE Tumor Size'!E$5:E$41,'RAD_DOSE Groups'!C13,'RAD_DOSE Tumor Size'!R$5:R$41)</f>
        <v>9.2510800652557563</v>
      </c>
      <c r="K13" s="156">
        <f t="array" ref="K13">_xlfn.STDEV.P(IF('RAD_DOSE Tumor Size'!E$5:E$41='RAD_DOSE Groups'!C13,'RAD_DOSE Tumor Size'!R$5:R$41))</f>
        <v>0.37978792655384835</v>
      </c>
    </row>
    <row r="14" spans="1:11">
      <c r="B14" s="130">
        <v>9</v>
      </c>
      <c r="C14" s="129" t="s">
        <v>72</v>
      </c>
      <c r="E14" s="135">
        <f>COUNTIF('RAD_DOSE Tumor Size'!E$5:E$41,'RAD_DOSE Groups'!C14)</f>
        <v>0</v>
      </c>
      <c r="F14" s="179" t="e">
        <f>AVERAGEIF('RAD_DOSE Body Weight'!E$5:E$41,'RAD_DOSE Groups'!C14,'RAD_DOSE Body Weight'!M$5:M$41)</f>
        <v>#DIV/0!</v>
      </c>
      <c r="G14" s="180" t="e">
        <f t="array" ref="G14">_xlfn.STDEV.P(IF('RAD_DOSE Body Weight'!E$5:E$41='RAD_DOSE Groups'!C14,'RAD_DOSE Body Weight'!M$5:M$41))</f>
        <v>#DIV/0!</v>
      </c>
      <c r="H14" s="182" t="e">
        <f>AVERAGEIF('RAD_DOSE Tumor Size'!E$5:E$41,'RAD_DOSE Groups'!C14,'RAD_DOSE Tumor Size'!M$5:M$41)</f>
        <v>#DIV/0!</v>
      </c>
      <c r="I14" s="180" t="e">
        <f t="array" ref="I14">_xlfn.STDEV.P(IF('RAD_DOSE Tumor Size'!E$5:E$41='RAD_DOSE Groups'!C14,'RAD_DOSE Tumor Size'!M$5:M$41))</f>
        <v>#DIV/0!</v>
      </c>
      <c r="J14" s="156" t="e">
        <f>AVERAGEIF('RAD_DOSE Tumor Size'!E$5:E$41,'RAD_DOSE Groups'!C14,'RAD_DOSE Tumor Size'!R$5:R$41)</f>
        <v>#DIV/0!</v>
      </c>
      <c r="K14" s="156" t="e">
        <f t="array" ref="K14">_xlfn.STDEV.P(IF('RAD_DOSE Tumor Size'!E$5:E$41='RAD_DOSE Groups'!C14,'RAD_DOSE Tumor Size'!R$5:R$41))</f>
        <v>#DIV/0!</v>
      </c>
    </row>
    <row r="15" spans="1:11">
      <c r="B15" s="130">
        <v>10</v>
      </c>
      <c r="C15" s="129" t="s">
        <v>73</v>
      </c>
      <c r="E15" s="135">
        <f>COUNTIF('RAD_DOSE Tumor Size'!E$5:E$41,'RAD_DOSE Groups'!C15)</f>
        <v>0</v>
      </c>
      <c r="F15" s="179" t="e">
        <f>AVERAGEIF('RAD_DOSE Body Weight'!E$5:E$41,'RAD_DOSE Groups'!C15,'RAD_DOSE Body Weight'!M$5:M$41)</f>
        <v>#DIV/0!</v>
      </c>
      <c r="G15" s="180" t="e">
        <f t="array" ref="G15">_xlfn.STDEV.P(IF('RAD_DOSE Body Weight'!E$5:E$41='RAD_DOSE Groups'!C15,'RAD_DOSE Body Weight'!M$5:M$41))</f>
        <v>#DIV/0!</v>
      </c>
      <c r="H15" s="182" t="e">
        <f>AVERAGEIF('RAD_DOSE Tumor Size'!E$5:E$41,'RAD_DOSE Groups'!C15,'RAD_DOSE Tumor Size'!M$5:M$41)</f>
        <v>#DIV/0!</v>
      </c>
      <c r="I15" s="180" t="e">
        <f t="array" ref="I15">_xlfn.STDEV.P(IF('RAD_DOSE Tumor Size'!E$5:E$41='RAD_DOSE Groups'!C15,'RAD_DOSE Tumor Size'!M$5:M$41))</f>
        <v>#DIV/0!</v>
      </c>
      <c r="J15" s="156" t="e">
        <f>AVERAGEIF('RAD_DOSE Tumor Size'!E$5:E$41,'RAD_DOSE Groups'!C15,'RAD_DOSE Tumor Size'!R$5:R$41)</f>
        <v>#DIV/0!</v>
      </c>
      <c r="K15" s="156" t="e">
        <f t="array" ref="K15">_xlfn.STDEV.P(IF('RAD_DOSE Tumor Size'!E$5:E$41='RAD_DOSE Groups'!C15,'RAD_DOSE Tumor Size'!R$5:R$41))</f>
        <v>#DIV/0!</v>
      </c>
    </row>
    <row r="16" spans="1:11">
      <c r="B16" s="130">
        <v>11</v>
      </c>
      <c r="C16" s="129" t="s">
        <v>53</v>
      </c>
      <c r="E16" s="135">
        <f>COUNTIF('RAD_DOSE Tumor Size'!E$5:E$41,'RAD_DOSE Groups'!C16)</f>
        <v>0</v>
      </c>
      <c r="F16" s="179" t="e">
        <f>AVERAGEIF('RAD_DOSE Body Weight'!E$5:E$41,'RAD_DOSE Groups'!C16,'RAD_DOSE Body Weight'!M$5:M$41)</f>
        <v>#DIV/0!</v>
      </c>
      <c r="G16" s="180" t="e">
        <f t="array" ref="G16">_xlfn.STDEV.P(IF('RAD_DOSE Body Weight'!E$5:E$41='RAD_DOSE Groups'!C16,'RAD_DOSE Body Weight'!M$5:M$41))</f>
        <v>#DIV/0!</v>
      </c>
      <c r="H16" s="182" t="e">
        <f>AVERAGEIF('RAD_DOSE Tumor Size'!E$5:E$41,'RAD_DOSE Groups'!C16,'RAD_DOSE Tumor Size'!M$5:M$41)</f>
        <v>#DIV/0!</v>
      </c>
      <c r="I16" s="180" t="e">
        <f t="array" ref="I16">_xlfn.STDEV.P(IF('RAD_DOSE Tumor Size'!E$5:E$41='RAD_DOSE Groups'!C16,'RAD_DOSE Tumor Size'!M$5:M$41))</f>
        <v>#DIV/0!</v>
      </c>
      <c r="J16" s="156" t="e">
        <f>AVERAGEIF('RAD_DOSE Tumor Size'!E$5:E$41,'RAD_DOSE Groups'!C16,'RAD_DOSE Tumor Size'!R$5:R$41)</f>
        <v>#DIV/0!</v>
      </c>
      <c r="K16" s="156" t="e">
        <f t="array" ref="K16">_xlfn.STDEV.P(IF('RAD_DOSE Tumor Size'!E$5:E$41='RAD_DOSE Groups'!C16,'RAD_DOSE Tumor Size'!R$5:R$41))</f>
        <v>#DIV/0!</v>
      </c>
    </row>
    <row r="17" spans="2:11">
      <c r="B17" s="130">
        <v>12</v>
      </c>
      <c r="C17" s="129" t="s">
        <v>54</v>
      </c>
      <c r="E17" s="135">
        <f>COUNTIF('RAD_DOSE Tumor Size'!E$5:E$41,'RAD_DOSE Groups'!C17)</f>
        <v>0</v>
      </c>
      <c r="F17" s="179" t="e">
        <f>AVERAGEIF('RAD_DOSE Body Weight'!E$5:E$41,'RAD_DOSE Groups'!C17,'RAD_DOSE Body Weight'!M$5:M$41)</f>
        <v>#DIV/0!</v>
      </c>
      <c r="G17" s="180" t="e">
        <f t="array" ref="G17">_xlfn.STDEV.P(IF('RAD_DOSE Body Weight'!E$5:E$41='RAD_DOSE Groups'!C17,'RAD_DOSE Body Weight'!M$5:M$41))</f>
        <v>#DIV/0!</v>
      </c>
      <c r="H17" s="182" t="e">
        <f>AVERAGEIF('RAD_DOSE Tumor Size'!E$5:E$41,'RAD_DOSE Groups'!C17,'RAD_DOSE Tumor Size'!M$5:M$41)</f>
        <v>#DIV/0!</v>
      </c>
      <c r="I17" s="180" t="e">
        <f t="array" ref="I17">_xlfn.STDEV.P(IF('RAD_DOSE Tumor Size'!E$5:E$41='RAD_DOSE Groups'!C17,'RAD_DOSE Tumor Size'!M$5:M$41))</f>
        <v>#DIV/0!</v>
      </c>
      <c r="J17" s="156" t="e">
        <f>AVERAGEIF('RAD_DOSE Tumor Size'!E$5:E$41,'RAD_DOSE Groups'!C17,'RAD_DOSE Tumor Size'!R$5:R$41)</f>
        <v>#DIV/0!</v>
      </c>
      <c r="K17" s="156" t="e">
        <f t="array" ref="K17">_xlfn.STDEV.P(IF('RAD_DOSE Tumor Size'!E$5:E$41='RAD_DOSE Groups'!C17,'RAD_DOSE Tumor Size'!R$5:R$41))</f>
        <v>#DIV/0!</v>
      </c>
    </row>
    <row r="18" spans="2:11">
      <c r="B18" s="130">
        <v>13</v>
      </c>
      <c r="C18" s="129" t="s">
        <v>55</v>
      </c>
      <c r="E18" s="135">
        <f>COUNTIF('RAD_DOSE Tumor Size'!E$5:E$41,'RAD_DOSE Groups'!C18)</f>
        <v>0</v>
      </c>
      <c r="F18" s="179" t="e">
        <f>AVERAGEIF('RAD_DOSE Body Weight'!E$5:E$41,'RAD_DOSE Groups'!C18,'RAD_DOSE Body Weight'!M$5:M$41)</f>
        <v>#DIV/0!</v>
      </c>
      <c r="G18" s="180" t="e">
        <f t="array" ref="G18">_xlfn.STDEV.P(IF('RAD_DOSE Body Weight'!E$5:E$41='RAD_DOSE Groups'!C18,'RAD_DOSE Body Weight'!M$5:M$41))</f>
        <v>#DIV/0!</v>
      </c>
      <c r="H18" s="182" t="e">
        <f>AVERAGEIF('RAD_DOSE Tumor Size'!E$5:E$41,'RAD_DOSE Groups'!C18,'RAD_DOSE Tumor Size'!M$5:M$41)</f>
        <v>#DIV/0!</v>
      </c>
      <c r="I18" s="180" t="e">
        <f t="array" ref="I18">_xlfn.STDEV.P(IF('RAD_DOSE Tumor Size'!E$5:E$41='RAD_DOSE Groups'!C18,'RAD_DOSE Tumor Size'!M$5:M$41))</f>
        <v>#DIV/0!</v>
      </c>
      <c r="J18" s="156" t="e">
        <f>AVERAGEIF('RAD_DOSE Tumor Size'!E$5:E$41,'RAD_DOSE Groups'!C18,'RAD_DOSE Tumor Size'!R$5:R$41)</f>
        <v>#DIV/0!</v>
      </c>
      <c r="K18" s="156" t="e">
        <f t="array" ref="K18">_xlfn.STDEV.P(IF('RAD_DOSE Tumor Size'!E$5:E$41='RAD_DOSE Groups'!C18,'RAD_DOSE Tumor Size'!R$5:R$41))</f>
        <v>#DIV/0!</v>
      </c>
    </row>
    <row r="19" spans="2:11">
      <c r="B19" s="130">
        <v>14</v>
      </c>
      <c r="C19" s="129" t="s">
        <v>56</v>
      </c>
      <c r="E19" s="135">
        <f>COUNTIF('RAD_DOSE Tumor Size'!E$5:E$41,'RAD_DOSE Groups'!C19)</f>
        <v>0</v>
      </c>
      <c r="F19" s="179" t="e">
        <f>AVERAGEIF('RAD_DOSE Body Weight'!E$5:E$41,'RAD_DOSE Groups'!C19,'RAD_DOSE Body Weight'!M$5:M$41)</f>
        <v>#DIV/0!</v>
      </c>
      <c r="G19" s="180" t="e">
        <f t="array" ref="G19">_xlfn.STDEV.P(IF('RAD_DOSE Body Weight'!E$5:E$41='RAD_DOSE Groups'!C19,'RAD_DOSE Body Weight'!M$5:M$41))</f>
        <v>#DIV/0!</v>
      </c>
      <c r="H19" s="182" t="e">
        <f>AVERAGEIF('RAD_DOSE Tumor Size'!E$5:E$41,'RAD_DOSE Groups'!C19,'RAD_DOSE Tumor Size'!M$5:M$41)</f>
        <v>#DIV/0!</v>
      </c>
      <c r="I19" s="180" t="e">
        <f t="array" ref="I19">_xlfn.STDEV.P(IF('RAD_DOSE Tumor Size'!E$5:E$41='RAD_DOSE Groups'!C19,'RAD_DOSE Tumor Size'!M$5:M$41))</f>
        <v>#DIV/0!</v>
      </c>
      <c r="J19" s="156" t="e">
        <f>AVERAGEIF('RAD_DOSE Tumor Size'!E$5:E$41,'RAD_DOSE Groups'!C19,'RAD_DOSE Tumor Size'!R$5:R$41)</f>
        <v>#DIV/0!</v>
      </c>
      <c r="K19" s="156" t="e">
        <f t="array" ref="K19">_xlfn.STDEV.P(IF('RAD_DOSE Tumor Size'!E$5:E$41='RAD_DOSE Groups'!C19,'RAD_DOSE Tumor Size'!R$5:R$41))</f>
        <v>#DIV/0!</v>
      </c>
    </row>
    <row r="20" spans="2:11">
      <c r="B20" s="130">
        <v>15</v>
      </c>
      <c r="C20" s="129" t="s">
        <v>57</v>
      </c>
      <c r="E20" s="135">
        <f>COUNTIF('RAD_DOSE Tumor Size'!E$5:E$41,'RAD_DOSE Groups'!C20)</f>
        <v>0</v>
      </c>
      <c r="F20" s="179" t="e">
        <f>AVERAGEIF('RAD_DOSE Body Weight'!E$5:E$41,'RAD_DOSE Groups'!C20,'RAD_DOSE Body Weight'!M$5:M$41)</f>
        <v>#DIV/0!</v>
      </c>
      <c r="G20" s="180" t="e">
        <f t="array" ref="G20">_xlfn.STDEV.P(IF('RAD_DOSE Body Weight'!E$5:E$41='RAD_DOSE Groups'!C20,'RAD_DOSE Body Weight'!M$5:M$41))</f>
        <v>#DIV/0!</v>
      </c>
      <c r="H20" s="182" t="e">
        <f>AVERAGEIF('RAD_DOSE Tumor Size'!E$5:E$41,'RAD_DOSE Groups'!C20,'RAD_DOSE Tumor Size'!M$5:M$41)</f>
        <v>#DIV/0!</v>
      </c>
      <c r="I20" s="180" t="e">
        <f t="array" ref="I20">_xlfn.STDEV.P(IF('RAD_DOSE Tumor Size'!E$5:E$41='RAD_DOSE Groups'!C20,'RAD_DOSE Tumor Size'!M$5:M$41))</f>
        <v>#DIV/0!</v>
      </c>
      <c r="J20" s="156" t="e">
        <f>AVERAGEIF('RAD_DOSE Tumor Size'!E$5:E$41,'RAD_DOSE Groups'!C20,'RAD_DOSE Tumor Size'!R$5:R$41)</f>
        <v>#DIV/0!</v>
      </c>
      <c r="K20" s="156" t="e">
        <f t="array" ref="K20">_xlfn.STDEV.P(IF('RAD_DOSE Tumor Size'!E$5:E$41='RAD_DOSE Groups'!C20,'RAD_DOSE Tumor Size'!R$5:R$41))</f>
        <v>#DIV/0!</v>
      </c>
    </row>
    <row r="21" spans="2:11">
      <c r="B21" s="130">
        <v>16</v>
      </c>
      <c r="C21" s="129" t="s">
        <v>58</v>
      </c>
      <c r="E21" s="135">
        <f>COUNTIF('RAD_DOSE Tumor Size'!E$5:E$41,'RAD_DOSE Groups'!C21)</f>
        <v>0</v>
      </c>
      <c r="F21" s="179" t="e">
        <f>AVERAGEIF('RAD_DOSE Body Weight'!E$5:E$41,'RAD_DOSE Groups'!C21,'RAD_DOSE Body Weight'!M$5:M$41)</f>
        <v>#DIV/0!</v>
      </c>
      <c r="G21" s="180" t="e">
        <f t="array" ref="G21">_xlfn.STDEV.P(IF('RAD_DOSE Body Weight'!E$5:E$41='RAD_DOSE Groups'!C21,'RAD_DOSE Body Weight'!M$5:M$41))</f>
        <v>#DIV/0!</v>
      </c>
      <c r="H21" s="182" t="e">
        <f>AVERAGEIF('RAD_DOSE Tumor Size'!E$5:E$41,'RAD_DOSE Groups'!C21,'RAD_DOSE Tumor Size'!M$5:M$41)</f>
        <v>#DIV/0!</v>
      </c>
      <c r="I21" s="180" t="e">
        <f t="array" ref="I21">_xlfn.STDEV.P(IF('RAD_DOSE Tumor Size'!E$5:E$41='RAD_DOSE Groups'!C21,'RAD_DOSE Tumor Size'!M$5:M$41))</f>
        <v>#DIV/0!</v>
      </c>
      <c r="J21" s="156" t="e">
        <f>AVERAGEIF('RAD_DOSE Tumor Size'!E$5:E$41,'RAD_DOSE Groups'!C21,'RAD_DOSE Tumor Size'!R$5:R$41)</f>
        <v>#DIV/0!</v>
      </c>
      <c r="K21" s="156" t="e">
        <f t="array" ref="K21">_xlfn.STDEV.P(IF('RAD_DOSE Tumor Size'!E$5:E$41='RAD_DOSE Groups'!C21,'RAD_DOSE Tumor Size'!R$5:R$41))</f>
        <v>#DIV/0!</v>
      </c>
    </row>
  </sheetData>
  <mergeCells count="7">
    <mergeCell ref="A1:F1"/>
    <mergeCell ref="A2:F2"/>
    <mergeCell ref="J4:K4"/>
    <mergeCell ref="H4:I4"/>
    <mergeCell ref="F4:G4"/>
    <mergeCell ref="F3:G3"/>
    <mergeCell ref="H3:I3"/>
  </mergeCells>
  <phoneticPr fontId="27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4529A-B0B5-4409-B5DF-DD578EB871E3}">
  <dimension ref="A1:DW190"/>
  <sheetViews>
    <sheetView showGridLines="0" workbookViewId="0">
      <pane xSplit="5" ySplit="4" topLeftCell="F5" activePane="bottomRight" state="frozen"/>
      <selection activeCell="AA20" sqref="AA20"/>
      <selection pane="topRight" activeCell="AA20" sqref="AA20"/>
      <selection pane="bottomLeft" activeCell="AA20" sqref="AA20"/>
      <selection pane="bottomRight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20" style="50" hidden="1" customWidth="1" outlineLevel="1"/>
    <col min="5" max="5" width="22.85546875" style="59" customWidth="1" collapsed="1"/>
    <col min="6" max="6" width="12.7109375" style="62" customWidth="1"/>
    <col min="7" max="7" width="12.7109375" style="63" hidden="1" customWidth="1" outlineLevel="1"/>
    <col min="8" max="8" width="13.85546875" style="62" customWidth="1" collapsed="1"/>
    <col min="9" max="9" width="9.140625" style="63" hidden="1" customWidth="1" outlineLevel="1"/>
    <col min="10" max="10" width="9.140625" style="168" hidden="1" customWidth="1" outlineLevel="1"/>
    <col min="11" max="11" width="9" style="64" hidden="1" customWidth="1" outlineLevel="1"/>
    <col min="12" max="12" width="8.42578125" style="64" hidden="1" customWidth="1" outlineLevel="1"/>
    <col min="13" max="13" width="15" style="63" hidden="1" customWidth="1" outlineLevel="1"/>
    <col min="14" max="14" width="13.28515625" style="266" hidden="1" customWidth="1" outlineLevel="1"/>
    <col min="15" max="17" width="12.85546875" style="63" hidden="1" customWidth="1" outlineLevel="1"/>
    <col min="18" max="18" width="9.85546875" style="266" hidden="1" customWidth="1" outlineLevel="1"/>
    <col min="19" max="19" width="12.5703125" style="268" hidden="1" customWidth="1" outlineLevel="1"/>
    <col min="20" max="20" width="14.28515625" style="239" hidden="1" customWidth="1" outlineLevel="1"/>
    <col min="21" max="21" width="14.85546875" style="239" hidden="1" customWidth="1" outlineLevel="1"/>
    <col min="22" max="22" width="11.5703125" style="239" hidden="1" customWidth="1" outlineLevel="1"/>
    <col min="23" max="23" width="12.85546875" style="266" hidden="1" customWidth="1" outlineLevel="1"/>
    <col min="24" max="24" width="7.85546875" style="50" customWidth="1" collapsed="1"/>
    <col min="25" max="26" width="8.5703125" style="50" customWidth="1"/>
    <col min="27" max="68" width="8.5703125" style="50" customWidth="1" outlineLevel="1"/>
    <col min="69" max="69" width="6.140625" style="50" bestFit="1" customWidth="1"/>
    <col min="70" max="71" width="8.5703125" style="50" customWidth="1"/>
    <col min="72" max="113" width="8.5703125" style="50" customWidth="1" outlineLevel="1"/>
    <col min="114" max="114" width="9.140625" style="59"/>
    <col min="115" max="115" width="13.140625" style="59" customWidth="1"/>
    <col min="116" max="16384" width="9.140625" style="59"/>
  </cols>
  <sheetData>
    <row r="1" spans="1:113" s="7" customFormat="1" ht="25.5">
      <c r="A1" s="6" t="s">
        <v>96</v>
      </c>
      <c r="C1" s="8"/>
      <c r="D1" s="9"/>
      <c r="F1" s="10"/>
      <c r="G1" s="11"/>
      <c r="H1" s="10"/>
      <c r="I1" s="11"/>
      <c r="J1" s="162"/>
      <c r="K1" s="12"/>
      <c r="L1" s="12"/>
      <c r="M1" s="11"/>
      <c r="N1" s="218"/>
      <c r="O1" s="11"/>
      <c r="P1" s="11"/>
      <c r="Q1" s="11"/>
      <c r="R1" s="218"/>
      <c r="S1" s="219"/>
      <c r="T1" s="220"/>
      <c r="U1" s="220"/>
      <c r="V1" s="220"/>
      <c r="W1" s="218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</row>
    <row r="2" spans="1:113" s="56" customFormat="1" ht="15.75" customHeight="1">
      <c r="A2" s="221" t="s">
        <v>23</v>
      </c>
      <c r="B2" s="222"/>
      <c r="C2" s="223"/>
      <c r="D2" s="222"/>
      <c r="E2" s="16"/>
      <c r="F2" s="275" t="s">
        <v>14</v>
      </c>
      <c r="G2" s="285"/>
      <c r="H2" s="275" t="s">
        <v>0</v>
      </c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78"/>
      <c r="X2" s="17"/>
      <c r="Y2" s="221" t="s">
        <v>19</v>
      </c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4"/>
      <c r="BQ2" s="225"/>
      <c r="BR2" s="221" t="s">
        <v>71</v>
      </c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</row>
    <row r="3" spans="1:113" s="72" customFormat="1" ht="15.75">
      <c r="A3" s="226"/>
      <c r="B3" s="227"/>
      <c r="C3" s="228"/>
      <c r="D3" s="227"/>
      <c r="E3" s="68"/>
      <c r="F3" s="275"/>
      <c r="G3" s="285"/>
      <c r="H3" s="27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78"/>
      <c r="X3" s="183" t="s">
        <v>15</v>
      </c>
      <c r="Y3" s="229">
        <v>42466</v>
      </c>
      <c r="Z3" s="229">
        <v>42467</v>
      </c>
      <c r="AA3" s="229">
        <v>42468</v>
      </c>
      <c r="AB3" s="229">
        <v>42469</v>
      </c>
      <c r="AC3" s="229">
        <v>42470</v>
      </c>
      <c r="AD3" s="229">
        <v>42472</v>
      </c>
      <c r="AE3" s="229">
        <v>42474</v>
      </c>
      <c r="AF3" s="229">
        <v>42476</v>
      </c>
      <c r="AG3" s="229">
        <v>42478</v>
      </c>
      <c r="AH3" s="229">
        <v>42480</v>
      </c>
      <c r="AI3" s="229">
        <v>42482</v>
      </c>
      <c r="AJ3" s="229">
        <v>42485</v>
      </c>
      <c r="AK3" s="229">
        <v>42487</v>
      </c>
      <c r="AL3" s="229">
        <v>42489</v>
      </c>
      <c r="AM3" s="229">
        <v>42491</v>
      </c>
      <c r="AN3" s="229">
        <v>42493</v>
      </c>
      <c r="AO3" s="229">
        <v>42495</v>
      </c>
      <c r="AP3" s="229">
        <v>42497</v>
      </c>
      <c r="AQ3" s="229">
        <v>42499</v>
      </c>
      <c r="AR3" s="229">
        <v>42501</v>
      </c>
      <c r="AS3" s="229">
        <v>42504</v>
      </c>
      <c r="AT3" s="229">
        <v>42506</v>
      </c>
      <c r="AU3" s="229">
        <v>42509</v>
      </c>
      <c r="AV3" s="229">
        <v>42512</v>
      </c>
      <c r="AW3" s="229">
        <v>42514</v>
      </c>
      <c r="AX3" s="229">
        <v>42517</v>
      </c>
      <c r="AY3" s="229">
        <v>42520</v>
      </c>
      <c r="AZ3" s="229">
        <v>42522</v>
      </c>
      <c r="BA3" s="229">
        <v>42524</v>
      </c>
      <c r="BB3" s="229">
        <v>42527</v>
      </c>
      <c r="BC3" s="229">
        <v>42530</v>
      </c>
      <c r="BD3" s="229">
        <v>42533</v>
      </c>
      <c r="BE3" s="229">
        <v>42538</v>
      </c>
      <c r="BF3" s="229">
        <v>42541</v>
      </c>
      <c r="BG3" s="229">
        <v>42543</v>
      </c>
      <c r="BH3" s="229">
        <v>42549</v>
      </c>
      <c r="BI3" s="229">
        <v>42551</v>
      </c>
      <c r="BJ3" s="229">
        <v>42555</v>
      </c>
      <c r="BK3" s="229">
        <v>42559</v>
      </c>
      <c r="BL3" s="229">
        <v>42564</v>
      </c>
      <c r="BM3" s="229">
        <v>42566</v>
      </c>
      <c r="BN3" s="229"/>
      <c r="BO3" s="229"/>
      <c r="BP3" s="229"/>
      <c r="BQ3" s="70" t="s">
        <v>15</v>
      </c>
      <c r="BR3" s="229">
        <f t="shared" ref="BR3:CG4" si="0">IF(ISBLANK(Y3)="TRUE","",Y3)</f>
        <v>42466</v>
      </c>
      <c r="BS3" s="229">
        <f t="shared" si="0"/>
        <v>42467</v>
      </c>
      <c r="BT3" s="229">
        <f t="shared" si="0"/>
        <v>42468</v>
      </c>
      <c r="BU3" s="229">
        <f t="shared" si="0"/>
        <v>42469</v>
      </c>
      <c r="BV3" s="229">
        <f t="shared" si="0"/>
        <v>42470</v>
      </c>
      <c r="BW3" s="229">
        <f t="shared" si="0"/>
        <v>42472</v>
      </c>
      <c r="BX3" s="229">
        <f t="shared" si="0"/>
        <v>42474</v>
      </c>
      <c r="BY3" s="229">
        <f t="shared" si="0"/>
        <v>42476</v>
      </c>
      <c r="BZ3" s="229">
        <f t="shared" si="0"/>
        <v>42478</v>
      </c>
      <c r="CA3" s="229">
        <f t="shared" si="0"/>
        <v>42480</v>
      </c>
      <c r="CB3" s="229">
        <f t="shared" si="0"/>
        <v>42482</v>
      </c>
      <c r="CC3" s="229">
        <f t="shared" si="0"/>
        <v>42485</v>
      </c>
      <c r="CD3" s="229">
        <f t="shared" si="0"/>
        <v>42487</v>
      </c>
      <c r="CE3" s="229">
        <f t="shared" si="0"/>
        <v>42489</v>
      </c>
      <c r="CF3" s="229">
        <f t="shared" si="0"/>
        <v>42491</v>
      </c>
      <c r="CG3" s="229">
        <f t="shared" si="0"/>
        <v>42493</v>
      </c>
      <c r="CH3" s="229">
        <f t="shared" ref="CH3:CW4" si="1">IF(ISBLANK(AO3)="TRUE","",AO3)</f>
        <v>42495</v>
      </c>
      <c r="CI3" s="229">
        <f t="shared" si="1"/>
        <v>42497</v>
      </c>
      <c r="CJ3" s="229">
        <f t="shared" si="1"/>
        <v>42499</v>
      </c>
      <c r="CK3" s="229">
        <f t="shared" si="1"/>
        <v>42501</v>
      </c>
      <c r="CL3" s="229">
        <f t="shared" si="1"/>
        <v>42504</v>
      </c>
      <c r="CM3" s="229">
        <f t="shared" si="1"/>
        <v>42506</v>
      </c>
      <c r="CN3" s="229">
        <f t="shared" si="1"/>
        <v>42509</v>
      </c>
      <c r="CO3" s="229">
        <f t="shared" si="1"/>
        <v>42512</v>
      </c>
      <c r="CP3" s="229">
        <f t="shared" si="1"/>
        <v>42514</v>
      </c>
      <c r="CQ3" s="229">
        <f t="shared" si="1"/>
        <v>42517</v>
      </c>
      <c r="CR3" s="229">
        <f t="shared" si="1"/>
        <v>42520</v>
      </c>
      <c r="CS3" s="229">
        <f t="shared" si="1"/>
        <v>42522</v>
      </c>
      <c r="CT3" s="229">
        <f t="shared" si="1"/>
        <v>42524</v>
      </c>
      <c r="CU3" s="229">
        <f t="shared" si="1"/>
        <v>42527</v>
      </c>
      <c r="CV3" s="229">
        <f t="shared" si="1"/>
        <v>42530</v>
      </c>
      <c r="CW3" s="229">
        <f t="shared" si="1"/>
        <v>42533</v>
      </c>
      <c r="CX3" s="229">
        <f t="shared" ref="CX3:DI4" si="2">IF(ISBLANK(BE3)="TRUE","",BE3)</f>
        <v>42538</v>
      </c>
      <c r="CY3" s="229">
        <f t="shared" si="2"/>
        <v>42541</v>
      </c>
      <c r="CZ3" s="229">
        <f t="shared" si="2"/>
        <v>42543</v>
      </c>
      <c r="DA3" s="229">
        <f t="shared" si="2"/>
        <v>42549</v>
      </c>
      <c r="DB3" s="229">
        <f t="shared" si="2"/>
        <v>42551</v>
      </c>
      <c r="DC3" s="229">
        <f t="shared" si="2"/>
        <v>42555</v>
      </c>
      <c r="DD3" s="229">
        <f t="shared" si="2"/>
        <v>42559</v>
      </c>
      <c r="DE3" s="229">
        <f t="shared" si="2"/>
        <v>42564</v>
      </c>
      <c r="DF3" s="229">
        <f t="shared" si="2"/>
        <v>42566</v>
      </c>
      <c r="DG3" s="229">
        <f t="shared" si="2"/>
        <v>0</v>
      </c>
      <c r="DH3" s="229">
        <f t="shared" si="2"/>
        <v>0</v>
      </c>
      <c r="DI3" s="229">
        <f t="shared" si="2"/>
        <v>0</v>
      </c>
    </row>
    <row r="4" spans="1:113" s="58" customFormat="1" ht="15.75">
      <c r="A4" s="230" t="s">
        <v>6</v>
      </c>
      <c r="B4" s="213" t="s">
        <v>7</v>
      </c>
      <c r="C4" s="231" t="s">
        <v>8</v>
      </c>
      <c r="D4" s="230" t="s">
        <v>17</v>
      </c>
      <c r="E4" s="21" t="s">
        <v>11</v>
      </c>
      <c r="F4" s="22" t="s">
        <v>1</v>
      </c>
      <c r="G4" s="232" t="s">
        <v>2</v>
      </c>
      <c r="H4" s="22" t="s">
        <v>1</v>
      </c>
      <c r="I4" s="232" t="s">
        <v>2</v>
      </c>
      <c r="J4" s="233" t="s">
        <v>16</v>
      </c>
      <c r="K4" s="232" t="s">
        <v>27</v>
      </c>
      <c r="L4" s="232" t="s">
        <v>28</v>
      </c>
      <c r="M4" s="232" t="s">
        <v>3</v>
      </c>
      <c r="N4" s="234" t="s">
        <v>75</v>
      </c>
      <c r="O4" s="232" t="s">
        <v>4</v>
      </c>
      <c r="P4" s="232" t="s">
        <v>29</v>
      </c>
      <c r="Q4" s="232" t="s">
        <v>13</v>
      </c>
      <c r="R4" s="234" t="s">
        <v>31</v>
      </c>
      <c r="S4" s="157" t="s">
        <v>76</v>
      </c>
      <c r="T4" s="235" t="s">
        <v>77</v>
      </c>
      <c r="U4" s="235" t="s">
        <v>78</v>
      </c>
      <c r="V4" s="235" t="s">
        <v>79</v>
      </c>
      <c r="W4" s="78" t="s">
        <v>25</v>
      </c>
      <c r="X4" s="184" t="s">
        <v>9</v>
      </c>
      <c r="Y4" s="213">
        <f t="shared" ref="Y4:BP4" si="3">Y3-$H5</f>
        <v>-2</v>
      </c>
      <c r="Z4" s="213">
        <f t="shared" si="3"/>
        <v>-1</v>
      </c>
      <c r="AA4" s="213">
        <f t="shared" si="3"/>
        <v>0</v>
      </c>
      <c r="AB4" s="213">
        <f t="shared" si="3"/>
        <v>1</v>
      </c>
      <c r="AC4" s="213">
        <f t="shared" si="3"/>
        <v>2</v>
      </c>
      <c r="AD4" s="213">
        <f t="shared" si="3"/>
        <v>4</v>
      </c>
      <c r="AE4" s="213">
        <f t="shared" si="3"/>
        <v>6</v>
      </c>
      <c r="AF4" s="213">
        <f t="shared" si="3"/>
        <v>8</v>
      </c>
      <c r="AG4" s="213">
        <f t="shared" si="3"/>
        <v>10</v>
      </c>
      <c r="AH4" s="213">
        <f t="shared" si="3"/>
        <v>12</v>
      </c>
      <c r="AI4" s="213">
        <f t="shared" si="3"/>
        <v>14</v>
      </c>
      <c r="AJ4" s="213">
        <f t="shared" si="3"/>
        <v>17</v>
      </c>
      <c r="AK4" s="213">
        <f t="shared" si="3"/>
        <v>19</v>
      </c>
      <c r="AL4" s="213">
        <f t="shared" si="3"/>
        <v>21</v>
      </c>
      <c r="AM4" s="213">
        <f t="shared" si="3"/>
        <v>23</v>
      </c>
      <c r="AN4" s="213">
        <f t="shared" si="3"/>
        <v>25</v>
      </c>
      <c r="AO4" s="213">
        <f t="shared" si="3"/>
        <v>27</v>
      </c>
      <c r="AP4" s="213">
        <f t="shared" si="3"/>
        <v>29</v>
      </c>
      <c r="AQ4" s="213">
        <f t="shared" si="3"/>
        <v>31</v>
      </c>
      <c r="AR4" s="213">
        <f t="shared" si="3"/>
        <v>33</v>
      </c>
      <c r="AS4" s="213">
        <f t="shared" si="3"/>
        <v>36</v>
      </c>
      <c r="AT4" s="213">
        <f t="shared" si="3"/>
        <v>38</v>
      </c>
      <c r="AU4" s="213">
        <f t="shared" si="3"/>
        <v>41</v>
      </c>
      <c r="AV4" s="213">
        <f t="shared" si="3"/>
        <v>44</v>
      </c>
      <c r="AW4" s="213">
        <f t="shared" si="3"/>
        <v>46</v>
      </c>
      <c r="AX4" s="213">
        <f t="shared" si="3"/>
        <v>49</v>
      </c>
      <c r="AY4" s="213">
        <f t="shared" si="3"/>
        <v>52</v>
      </c>
      <c r="AZ4" s="213">
        <f t="shared" si="3"/>
        <v>54</v>
      </c>
      <c r="BA4" s="213">
        <f t="shared" si="3"/>
        <v>56</v>
      </c>
      <c r="BB4" s="213">
        <f t="shared" si="3"/>
        <v>59</v>
      </c>
      <c r="BC4" s="213">
        <f t="shared" si="3"/>
        <v>62</v>
      </c>
      <c r="BD4" s="213">
        <f t="shared" si="3"/>
        <v>65</v>
      </c>
      <c r="BE4" s="213">
        <f t="shared" si="3"/>
        <v>70</v>
      </c>
      <c r="BF4" s="213">
        <f t="shared" si="3"/>
        <v>73</v>
      </c>
      <c r="BG4" s="213">
        <f t="shared" si="3"/>
        <v>75</v>
      </c>
      <c r="BH4" s="213">
        <f t="shared" si="3"/>
        <v>81</v>
      </c>
      <c r="BI4" s="213">
        <f t="shared" si="3"/>
        <v>83</v>
      </c>
      <c r="BJ4" s="213">
        <f t="shared" si="3"/>
        <v>87</v>
      </c>
      <c r="BK4" s="213">
        <f t="shared" si="3"/>
        <v>91</v>
      </c>
      <c r="BL4" s="213">
        <f t="shared" si="3"/>
        <v>96</v>
      </c>
      <c r="BM4" s="213">
        <f t="shared" si="3"/>
        <v>98</v>
      </c>
      <c r="BN4" s="213">
        <f t="shared" si="3"/>
        <v>-42468</v>
      </c>
      <c r="BO4" s="213">
        <f t="shared" si="3"/>
        <v>-42468</v>
      </c>
      <c r="BP4" s="213">
        <f t="shared" si="3"/>
        <v>-42468</v>
      </c>
      <c r="BQ4" s="26" t="s">
        <v>9</v>
      </c>
      <c r="BR4" s="213">
        <f t="shared" si="0"/>
        <v>-2</v>
      </c>
      <c r="BS4" s="213">
        <f t="shared" si="0"/>
        <v>-1</v>
      </c>
      <c r="BT4" s="213">
        <f t="shared" si="0"/>
        <v>0</v>
      </c>
      <c r="BU4" s="213">
        <f t="shared" si="0"/>
        <v>1</v>
      </c>
      <c r="BV4" s="213">
        <f t="shared" si="0"/>
        <v>2</v>
      </c>
      <c r="BW4" s="213">
        <f t="shared" si="0"/>
        <v>4</v>
      </c>
      <c r="BX4" s="213">
        <f t="shared" si="0"/>
        <v>6</v>
      </c>
      <c r="BY4" s="213">
        <f t="shared" si="0"/>
        <v>8</v>
      </c>
      <c r="BZ4" s="213">
        <f t="shared" si="0"/>
        <v>10</v>
      </c>
      <c r="CA4" s="213">
        <f t="shared" si="0"/>
        <v>12</v>
      </c>
      <c r="CB4" s="213">
        <f t="shared" si="0"/>
        <v>14</v>
      </c>
      <c r="CC4" s="213">
        <f t="shared" si="0"/>
        <v>17</v>
      </c>
      <c r="CD4" s="213">
        <f t="shared" si="0"/>
        <v>19</v>
      </c>
      <c r="CE4" s="213">
        <f t="shared" si="0"/>
        <v>21</v>
      </c>
      <c r="CF4" s="213">
        <f t="shared" si="0"/>
        <v>23</v>
      </c>
      <c r="CG4" s="213">
        <f t="shared" si="0"/>
        <v>25</v>
      </c>
      <c r="CH4" s="213">
        <f t="shared" si="1"/>
        <v>27</v>
      </c>
      <c r="CI4" s="213">
        <f t="shared" si="1"/>
        <v>29</v>
      </c>
      <c r="CJ4" s="213">
        <f t="shared" si="1"/>
        <v>31</v>
      </c>
      <c r="CK4" s="213">
        <f t="shared" si="1"/>
        <v>33</v>
      </c>
      <c r="CL4" s="213">
        <f t="shared" si="1"/>
        <v>36</v>
      </c>
      <c r="CM4" s="213">
        <f t="shared" si="1"/>
        <v>38</v>
      </c>
      <c r="CN4" s="213">
        <f t="shared" si="1"/>
        <v>41</v>
      </c>
      <c r="CO4" s="213">
        <f t="shared" si="1"/>
        <v>44</v>
      </c>
      <c r="CP4" s="213">
        <f t="shared" si="1"/>
        <v>46</v>
      </c>
      <c r="CQ4" s="213">
        <f t="shared" si="1"/>
        <v>49</v>
      </c>
      <c r="CR4" s="213">
        <f t="shared" si="1"/>
        <v>52</v>
      </c>
      <c r="CS4" s="213">
        <f t="shared" si="1"/>
        <v>54</v>
      </c>
      <c r="CT4" s="213">
        <f t="shared" si="1"/>
        <v>56</v>
      </c>
      <c r="CU4" s="213">
        <f t="shared" si="1"/>
        <v>59</v>
      </c>
      <c r="CV4" s="213">
        <f t="shared" si="1"/>
        <v>62</v>
      </c>
      <c r="CW4" s="213">
        <f t="shared" si="1"/>
        <v>65</v>
      </c>
      <c r="CX4" s="213">
        <f t="shared" si="2"/>
        <v>70</v>
      </c>
      <c r="CY4" s="213">
        <f t="shared" si="2"/>
        <v>73</v>
      </c>
      <c r="CZ4" s="213">
        <f t="shared" si="2"/>
        <v>75</v>
      </c>
      <c r="DA4" s="213">
        <f t="shared" si="2"/>
        <v>81</v>
      </c>
      <c r="DB4" s="213">
        <f t="shared" si="2"/>
        <v>83</v>
      </c>
      <c r="DC4" s="213">
        <f t="shared" si="2"/>
        <v>87</v>
      </c>
      <c r="DD4" s="213">
        <f t="shared" si="2"/>
        <v>91</v>
      </c>
      <c r="DE4" s="213">
        <f t="shared" si="2"/>
        <v>96</v>
      </c>
      <c r="DF4" s="213">
        <f t="shared" si="2"/>
        <v>98</v>
      </c>
      <c r="DG4" s="213">
        <f t="shared" si="2"/>
        <v>-42468</v>
      </c>
      <c r="DH4" s="213">
        <f t="shared" si="2"/>
        <v>-42468</v>
      </c>
      <c r="DI4" s="213">
        <f t="shared" si="2"/>
        <v>-42468</v>
      </c>
    </row>
    <row r="5" spans="1:113">
      <c r="A5" s="27">
        <v>975081</v>
      </c>
      <c r="B5" s="28">
        <v>11</v>
      </c>
      <c r="C5" s="29" t="str">
        <f t="shared" ref="C5:C53" si="4">CONCATENATE(A5,"-",B5)</f>
        <v>975081-11</v>
      </c>
      <c r="D5" s="28" t="s">
        <v>80</v>
      </c>
      <c r="E5" s="30" t="s">
        <v>81</v>
      </c>
      <c r="F5" s="31">
        <v>42458</v>
      </c>
      <c r="G5" s="32"/>
      <c r="H5" s="31">
        <v>42468</v>
      </c>
      <c r="I5" s="32">
        <v>30.3</v>
      </c>
      <c r="J5" s="164"/>
      <c r="K5" s="32">
        <v>4.8</v>
      </c>
      <c r="L5" s="32">
        <v>3.5</v>
      </c>
      <c r="M5" s="32">
        <f t="shared" ref="M5:M53" si="5">K5*L5^2*0.52</f>
        <v>30.576000000000001</v>
      </c>
      <c r="N5" s="118">
        <f>5.71/560*1000</f>
        <v>10.196428571428571</v>
      </c>
      <c r="O5" s="32">
        <f>M5*10/3</f>
        <v>101.92</v>
      </c>
      <c r="P5" s="32">
        <f t="shared" ref="P5:P53" si="6">M5/3</f>
        <v>10.192</v>
      </c>
      <c r="Q5" s="38">
        <v>374</v>
      </c>
      <c r="R5" s="160"/>
      <c r="S5" s="236">
        <f t="shared" ref="S5:S51" si="7">Q5/M5</f>
        <v>12.231815803244375</v>
      </c>
      <c r="T5" s="237">
        <v>269</v>
      </c>
      <c r="U5" s="236">
        <f>T5/1000*2.5/I5*1000</f>
        <v>22.194719471947199</v>
      </c>
      <c r="V5" s="238">
        <f>T5/1000*2.5/M5*1000</f>
        <v>21.994374672946105</v>
      </c>
      <c r="W5" s="33"/>
      <c r="X5" s="138"/>
      <c r="Y5" s="87">
        <v>25.482599999999998</v>
      </c>
      <c r="Z5" s="87">
        <f>4.5*3.8*3.8*0.52</f>
        <v>33.789599999999993</v>
      </c>
      <c r="AA5" s="87">
        <v>30.576000000000001</v>
      </c>
      <c r="AB5" s="87">
        <f>6.7*4.1*4.1*0.52</f>
        <v>58.566039999999994</v>
      </c>
      <c r="AC5" s="87">
        <f>7.2*6*6*0.52</f>
        <v>134.78400000000002</v>
      </c>
      <c r="AD5" s="87">
        <f>8.1*6.8*6.8*0.52</f>
        <v>194.76288</v>
      </c>
      <c r="AE5" s="87">
        <f>7.4*5.8*5.8*0.52</f>
        <v>129.44672</v>
      </c>
      <c r="AF5" s="87">
        <f>9.4*5.2*5.2*0.52</f>
        <v>132.17152000000002</v>
      </c>
      <c r="AG5" s="87">
        <f>6.5*5.7*5.7*0.52</f>
        <v>109.81620000000002</v>
      </c>
      <c r="AH5" s="87">
        <f>9.6*6.5*6.5*0.52</f>
        <v>210.91199999999998</v>
      </c>
      <c r="AI5" s="87">
        <f>7.6*5.9*5.9*0.52</f>
        <v>137.56912000000003</v>
      </c>
      <c r="AJ5" s="87">
        <f>10.4*9*9*0.52</f>
        <v>438.04800000000006</v>
      </c>
      <c r="AK5" s="87">
        <f>9.9*9.5*9.5*0.52</f>
        <v>464.60700000000003</v>
      </c>
      <c r="AL5" s="87">
        <f>10.2*9.7*9.7*0.52</f>
        <v>499.05335999999988</v>
      </c>
      <c r="AM5" s="87">
        <f>11.1*10.6*10.6*0.52</f>
        <v>648.54192</v>
      </c>
      <c r="AN5" s="87">
        <f>12.7*11.7*11.7*0.52</f>
        <v>904.02155999999991</v>
      </c>
      <c r="AO5" s="87">
        <f>12.4*12.2*12.2*0.52</f>
        <v>959.72032000000002</v>
      </c>
      <c r="AP5" s="87">
        <f>12.7*12.4*12.4*0.52</f>
        <v>1015.4310400000001</v>
      </c>
      <c r="AQ5" s="87">
        <f>14.1*13.5*13.5*0.52</f>
        <v>1336.2570000000001</v>
      </c>
      <c r="AR5" s="87">
        <f>15*13.4*13.4*0.52</f>
        <v>1400.568</v>
      </c>
      <c r="AS5" s="87">
        <f>16.7*15*15*0.52</f>
        <v>1953.9</v>
      </c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36"/>
      <c r="BR5" s="86">
        <f t="shared" ref="BR5:CG20" si="8">IF(OR(ISERROR(Y5/$M5)=TRUE,ISBLANK(Y5)=TRUE),"",Y5/$M5)</f>
        <v>0.83341836734693875</v>
      </c>
      <c r="BS5" s="86">
        <f t="shared" si="8"/>
        <v>1.1051020408163263</v>
      </c>
      <c r="BT5" s="86">
        <f t="shared" si="8"/>
        <v>1</v>
      </c>
      <c r="BU5" s="86">
        <f t="shared" si="8"/>
        <v>1.9154251700680269</v>
      </c>
      <c r="BV5" s="86">
        <f t="shared" si="8"/>
        <v>4.4081632653061229</v>
      </c>
      <c r="BW5" s="86">
        <f t="shared" si="8"/>
        <v>6.3697959183673465</v>
      </c>
      <c r="BX5" s="86">
        <f t="shared" si="8"/>
        <v>4.233605442176871</v>
      </c>
      <c r="BY5" s="86">
        <f t="shared" si="8"/>
        <v>4.3227210884353742</v>
      </c>
      <c r="BZ5" s="86">
        <f t="shared" si="8"/>
        <v>3.5915816326530621</v>
      </c>
      <c r="CA5" s="86">
        <f t="shared" si="8"/>
        <v>6.8979591836734686</v>
      </c>
      <c r="CB5" s="86">
        <f t="shared" si="8"/>
        <v>4.499251700680273</v>
      </c>
      <c r="CC5" s="86">
        <f t="shared" si="8"/>
        <v>14.3265306122449</v>
      </c>
      <c r="CD5" s="86">
        <f t="shared" si="8"/>
        <v>15.19515306122449</v>
      </c>
      <c r="CE5" s="86">
        <f t="shared" si="8"/>
        <v>16.321734693877548</v>
      </c>
      <c r="CF5" s="86">
        <f t="shared" si="8"/>
        <v>21.210816326530612</v>
      </c>
      <c r="CG5" s="86">
        <f t="shared" si="8"/>
        <v>29.566377551020405</v>
      </c>
      <c r="CH5" s="86">
        <f t="shared" ref="CH5:CW20" si="9">IF(OR(ISERROR(AO5/$M5)=TRUE,ISBLANK(AO5)=TRUE),"",AO5/$M5)</f>
        <v>31.388027210884353</v>
      </c>
      <c r="CI5" s="86">
        <f t="shared" si="9"/>
        <v>33.210068027210887</v>
      </c>
      <c r="CJ5" s="86">
        <f t="shared" si="9"/>
        <v>43.702806122448983</v>
      </c>
      <c r="CK5" s="86">
        <f t="shared" si="9"/>
        <v>45.806122448979593</v>
      </c>
      <c r="CL5" s="86">
        <f t="shared" si="9"/>
        <v>63.903061224489797</v>
      </c>
      <c r="CM5" s="86" t="str">
        <f t="shared" si="9"/>
        <v/>
      </c>
      <c r="CN5" s="86" t="str">
        <f t="shared" si="9"/>
        <v/>
      </c>
      <c r="CO5" s="86" t="str">
        <f t="shared" si="9"/>
        <v/>
      </c>
      <c r="CP5" s="86" t="str">
        <f t="shared" si="9"/>
        <v/>
      </c>
      <c r="CQ5" s="86" t="str">
        <f t="shared" si="9"/>
        <v/>
      </c>
      <c r="CR5" s="86" t="str">
        <f t="shared" si="9"/>
        <v/>
      </c>
      <c r="CS5" s="86" t="str">
        <f t="shared" si="9"/>
        <v/>
      </c>
      <c r="CT5" s="86" t="str">
        <f t="shared" si="9"/>
        <v/>
      </c>
      <c r="CU5" s="86" t="str">
        <f t="shared" si="9"/>
        <v/>
      </c>
      <c r="CV5" s="86" t="str">
        <f t="shared" si="9"/>
        <v/>
      </c>
      <c r="CW5" s="86" t="str">
        <f t="shared" si="9"/>
        <v/>
      </c>
      <c r="CX5" s="86" t="str">
        <f t="shared" ref="CX5:DI26" si="10">IF(OR(ISERROR(BE5/$M5)=TRUE,ISBLANK(BE5)=TRUE),"",BE5/$M5)</f>
        <v/>
      </c>
      <c r="CY5" s="86" t="str">
        <f t="shared" si="10"/>
        <v/>
      </c>
      <c r="CZ5" s="86" t="str">
        <f t="shared" si="10"/>
        <v/>
      </c>
      <c r="DA5" s="86" t="str">
        <f t="shared" si="10"/>
        <v/>
      </c>
      <c r="DB5" s="86" t="str">
        <f t="shared" si="10"/>
        <v/>
      </c>
      <c r="DC5" s="86" t="str">
        <f t="shared" si="10"/>
        <v/>
      </c>
      <c r="DD5" s="86" t="str">
        <f t="shared" si="10"/>
        <v/>
      </c>
      <c r="DE5" s="86" t="str">
        <f t="shared" si="10"/>
        <v/>
      </c>
      <c r="DF5" s="86" t="str">
        <f t="shared" si="10"/>
        <v/>
      </c>
      <c r="DG5" s="86" t="str">
        <f t="shared" si="10"/>
        <v/>
      </c>
      <c r="DH5" s="86" t="str">
        <f t="shared" si="10"/>
        <v/>
      </c>
      <c r="DI5" s="86" t="str">
        <f t="shared" si="10"/>
        <v/>
      </c>
    </row>
    <row r="6" spans="1:113">
      <c r="A6" s="27">
        <v>975081</v>
      </c>
      <c r="B6" s="1">
        <v>12</v>
      </c>
      <c r="C6" s="29" t="str">
        <f t="shared" si="4"/>
        <v>975081-12</v>
      </c>
      <c r="D6" s="28" t="s">
        <v>80</v>
      </c>
      <c r="E6" s="37" t="s">
        <v>82</v>
      </c>
      <c r="F6" s="31">
        <v>42458</v>
      </c>
      <c r="G6" s="38"/>
      <c r="H6" s="31">
        <v>42468</v>
      </c>
      <c r="I6" s="38">
        <v>32.200000000000003</v>
      </c>
      <c r="J6" s="165"/>
      <c r="K6" s="38">
        <v>5.7</v>
      </c>
      <c r="L6" s="38">
        <v>4.5</v>
      </c>
      <c r="M6" s="32">
        <f t="shared" si="5"/>
        <v>60.021000000000001</v>
      </c>
      <c r="N6" s="118">
        <f>5.71/560*1000</f>
        <v>10.196428571428571</v>
      </c>
      <c r="O6" s="32">
        <f>M6*10/3</f>
        <v>200.07000000000002</v>
      </c>
      <c r="P6" s="32">
        <f t="shared" si="6"/>
        <v>20.007000000000001</v>
      </c>
      <c r="Q6" s="38">
        <v>163</v>
      </c>
      <c r="R6" s="160">
        <f>Q6/O6</f>
        <v>0.81471484980256903</v>
      </c>
      <c r="S6" s="236">
        <f t="shared" si="7"/>
        <v>2.7157161660085638</v>
      </c>
      <c r="T6" s="237">
        <v>286.60000000000002</v>
      </c>
      <c r="U6" s="236">
        <f>T6/1000*2.5/I6*1000</f>
        <v>22.251552795031056</v>
      </c>
      <c r="V6" s="238">
        <f t="shared" ref="V6:V53" si="11">T6/1000*2.5/M6*1000</f>
        <v>11.937488545675681</v>
      </c>
      <c r="W6" s="33"/>
      <c r="X6" s="138"/>
      <c r="Y6" s="87">
        <v>46.309120000000007</v>
      </c>
      <c r="Z6" s="93">
        <f>4.5*3.7*3.7*0.52</f>
        <v>32.034600000000005</v>
      </c>
      <c r="AA6" s="93">
        <v>60.021000000000001</v>
      </c>
      <c r="AB6" s="93">
        <f>5*4.1*4.1*0.52</f>
        <v>43.706000000000003</v>
      </c>
      <c r="AC6" s="93">
        <f>6.6*5.5*5.5*0.52</f>
        <v>103.818</v>
      </c>
      <c r="AD6" s="93">
        <f>6.6*6.1*6.1*0.52</f>
        <v>127.70471999999999</v>
      </c>
      <c r="AE6" s="93">
        <f>5.8*5.1*5.1*0.52</f>
        <v>78.446159999999992</v>
      </c>
      <c r="AF6" s="93">
        <f>6.1*4.5*4.5*0.52</f>
        <v>64.233000000000004</v>
      </c>
      <c r="AG6" s="93">
        <f>6.4*4.9*4.9*0.52</f>
        <v>79.905280000000005</v>
      </c>
      <c r="AH6" s="93">
        <f>5.8*4.6*4.6*0.52</f>
        <v>63.818559999999984</v>
      </c>
      <c r="AI6" s="93">
        <f>5*4.3*4.3*0.52</f>
        <v>48.074000000000005</v>
      </c>
      <c r="AJ6" s="93">
        <f>5.9*4.9*4.9*0.52</f>
        <v>73.662680000000009</v>
      </c>
      <c r="AK6" s="93">
        <f>5.6*5*5*0.52</f>
        <v>72.8</v>
      </c>
      <c r="AL6" s="93">
        <f>5.9*5.3*5.3*0.52</f>
        <v>86.180120000000002</v>
      </c>
      <c r="AM6" s="93">
        <f>5.7*5.5*5.5*0.52</f>
        <v>89.661000000000016</v>
      </c>
      <c r="AN6" s="93">
        <f>6.7*6.3*6.3*0.52</f>
        <v>138.27996000000002</v>
      </c>
      <c r="AO6" s="93">
        <f>6.8*6.6*6.6*0.52</f>
        <v>154.02815999999999</v>
      </c>
      <c r="AP6" s="93">
        <f>8.1*7.8*7.8*0.52</f>
        <v>256.25807999999995</v>
      </c>
      <c r="AQ6" s="93">
        <f>9*8.8*8.8*0.52</f>
        <v>362.41920000000005</v>
      </c>
      <c r="AR6" s="93">
        <f>9.6*8.1*8.1*0.52</f>
        <v>327.52511999999996</v>
      </c>
      <c r="AS6" s="93">
        <f>10.7*8.9*8.9*0.52</f>
        <v>440.72444000000002</v>
      </c>
      <c r="AT6" s="93">
        <f>11.1*9.4*9.4*0.52</f>
        <v>510.01392000000004</v>
      </c>
      <c r="AU6" s="93">
        <f>12.1*11.2*11.2*0.52</f>
        <v>789.26847999999984</v>
      </c>
      <c r="AV6" s="93">
        <f>12.8*11.8*11.8*0.52</f>
        <v>926.7814400000002</v>
      </c>
      <c r="AW6" s="93">
        <f>13.1*12.5*12.5*0.52</f>
        <v>1064.375</v>
      </c>
      <c r="AX6" s="93">
        <f>15.2*12.8*12.8*0.52</f>
        <v>1294.9913600000002</v>
      </c>
      <c r="AY6" s="93">
        <f>16*15.2*15.2*0.52</f>
        <v>1922.2528</v>
      </c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2"/>
      <c r="BR6" s="92">
        <f t="shared" si="8"/>
        <v>0.77154862464803997</v>
      </c>
      <c r="BS6" s="92">
        <f t="shared" si="8"/>
        <v>0.53372319688109171</v>
      </c>
      <c r="BT6" s="92">
        <f t="shared" si="8"/>
        <v>1</v>
      </c>
      <c r="BU6" s="92">
        <f t="shared" si="8"/>
        <v>0.72817847086852938</v>
      </c>
      <c r="BV6" s="92">
        <f t="shared" si="8"/>
        <v>1.7296946068875894</v>
      </c>
      <c r="BW6" s="92">
        <f t="shared" si="8"/>
        <v>2.1276673164392461</v>
      </c>
      <c r="BX6" s="92">
        <f t="shared" si="8"/>
        <v>1.3069785575048731</v>
      </c>
      <c r="BY6" s="92">
        <f t="shared" si="8"/>
        <v>1.0701754385964912</v>
      </c>
      <c r="BZ6" s="92">
        <f t="shared" si="8"/>
        <v>1.331288715616201</v>
      </c>
      <c r="CA6" s="92">
        <f t="shared" si="8"/>
        <v>1.063270521983972</v>
      </c>
      <c r="CB6" s="92">
        <f t="shared" si="8"/>
        <v>0.80095299978340917</v>
      </c>
      <c r="CC6" s="92">
        <f t="shared" si="8"/>
        <v>1.2272817847086854</v>
      </c>
      <c r="CD6" s="92">
        <f t="shared" si="8"/>
        <v>1.2129088152479965</v>
      </c>
      <c r="CE6" s="92">
        <f t="shared" si="8"/>
        <v>1.4358327918561837</v>
      </c>
      <c r="CF6" s="92">
        <f t="shared" si="8"/>
        <v>1.4938271604938274</v>
      </c>
      <c r="CG6" s="92">
        <f t="shared" si="8"/>
        <v>2.3038596491228072</v>
      </c>
      <c r="CH6" s="92">
        <f t="shared" si="9"/>
        <v>2.5662378167641324</v>
      </c>
      <c r="CI6" s="92">
        <f t="shared" si="9"/>
        <v>4.2694736842105252</v>
      </c>
      <c r="CJ6" s="92">
        <f t="shared" si="9"/>
        <v>6.0382066276803128</v>
      </c>
      <c r="CK6" s="92">
        <f t="shared" si="9"/>
        <v>5.4568421052631573</v>
      </c>
      <c r="CL6" s="92">
        <f t="shared" si="9"/>
        <v>7.3428373402642411</v>
      </c>
      <c r="CM6" s="92">
        <f t="shared" si="9"/>
        <v>8.4972579597141014</v>
      </c>
      <c r="CN6" s="92">
        <f t="shared" si="9"/>
        <v>13.149872211392676</v>
      </c>
      <c r="CO6" s="92">
        <f t="shared" si="9"/>
        <v>15.440952999783413</v>
      </c>
      <c r="CP6" s="92">
        <f t="shared" si="9"/>
        <v>17.733376651505306</v>
      </c>
      <c r="CQ6" s="92">
        <f t="shared" si="9"/>
        <v>21.575637860082306</v>
      </c>
      <c r="CR6" s="92">
        <f t="shared" si="9"/>
        <v>32.026337448559673</v>
      </c>
      <c r="CS6" s="92" t="str">
        <f t="shared" si="9"/>
        <v/>
      </c>
      <c r="CT6" s="92" t="str">
        <f t="shared" si="9"/>
        <v/>
      </c>
      <c r="CU6" s="92" t="str">
        <f t="shared" si="9"/>
        <v/>
      </c>
      <c r="CV6" s="92" t="str">
        <f t="shared" si="9"/>
        <v/>
      </c>
      <c r="CW6" s="92" t="str">
        <f t="shared" si="9"/>
        <v/>
      </c>
      <c r="CX6" s="92" t="str">
        <f t="shared" si="10"/>
        <v/>
      </c>
      <c r="CY6" s="92" t="str">
        <f t="shared" si="10"/>
        <v/>
      </c>
      <c r="CZ6" s="92" t="str">
        <f t="shared" si="10"/>
        <v/>
      </c>
      <c r="DA6" s="92" t="str">
        <f t="shared" si="10"/>
        <v/>
      </c>
      <c r="DB6" s="92" t="str">
        <f t="shared" si="10"/>
        <v/>
      </c>
      <c r="DC6" s="92" t="str">
        <f t="shared" si="10"/>
        <v/>
      </c>
      <c r="DD6" s="92" t="str">
        <f t="shared" si="10"/>
        <v/>
      </c>
      <c r="DE6" s="92" t="str">
        <f t="shared" si="10"/>
        <v/>
      </c>
      <c r="DF6" s="92" t="str">
        <f t="shared" si="10"/>
        <v/>
      </c>
      <c r="DG6" s="92" t="str">
        <f t="shared" si="10"/>
        <v/>
      </c>
      <c r="DH6" s="92" t="str">
        <f t="shared" si="10"/>
        <v/>
      </c>
      <c r="DI6" s="92" t="str">
        <f t="shared" si="10"/>
        <v/>
      </c>
    </row>
    <row r="7" spans="1:113">
      <c r="A7" s="27">
        <v>975081</v>
      </c>
      <c r="B7" s="1">
        <v>13</v>
      </c>
      <c r="C7" s="29" t="str">
        <f t="shared" si="4"/>
        <v>975081-13</v>
      </c>
      <c r="D7" s="28" t="s">
        <v>80</v>
      </c>
      <c r="E7" s="37" t="s">
        <v>82</v>
      </c>
      <c r="F7" s="31">
        <v>42458</v>
      </c>
      <c r="G7" s="38"/>
      <c r="H7" s="31">
        <v>42468</v>
      </c>
      <c r="I7" s="38">
        <v>28</v>
      </c>
      <c r="J7" s="165"/>
      <c r="K7" s="38">
        <v>6.8</v>
      </c>
      <c r="L7" s="38">
        <v>5.7</v>
      </c>
      <c r="M7" s="32">
        <f t="shared" si="5"/>
        <v>114.88464000000002</v>
      </c>
      <c r="N7" s="118">
        <f>5.71/560*1000</f>
        <v>10.196428571428571</v>
      </c>
      <c r="O7" s="32">
        <f>M7*10/3</f>
        <v>382.94880000000006</v>
      </c>
      <c r="P7" s="32">
        <f t="shared" si="6"/>
        <v>38.294880000000006</v>
      </c>
      <c r="Q7" s="38">
        <v>370</v>
      </c>
      <c r="R7" s="160">
        <f>Q7/O7</f>
        <v>0.96618660249098554</v>
      </c>
      <c r="S7" s="236">
        <f t="shared" si="7"/>
        <v>3.2206220083032853</v>
      </c>
      <c r="T7" s="237">
        <v>249.2</v>
      </c>
      <c r="U7" s="236">
        <f t="shared" ref="U7:U53" si="12">T7/1000*2.5/I7*1000</f>
        <v>22.25</v>
      </c>
      <c r="V7" s="238">
        <f t="shared" si="11"/>
        <v>5.4228311112782341</v>
      </c>
      <c r="W7" s="33"/>
      <c r="X7" s="138"/>
      <c r="Y7" s="87">
        <v>127.29599999999999</v>
      </c>
      <c r="Z7" s="93">
        <f>6.1*6*6*0.52</f>
        <v>114.19199999999999</v>
      </c>
      <c r="AA7" s="93">
        <v>114.88464000000002</v>
      </c>
      <c r="AB7" s="93">
        <f>8.6*6.9*6.9*0.52</f>
        <v>212.91192000000001</v>
      </c>
      <c r="AC7" s="93">
        <f>8.2*7.2*7.2*0.52</f>
        <v>221.04576000000003</v>
      </c>
      <c r="AD7" s="93">
        <f>9.1*7.2*7.2*0.52</f>
        <v>245.30688000000001</v>
      </c>
      <c r="AE7" s="93">
        <f>7.7*6.5*6.5*0.52</f>
        <v>169.16900000000004</v>
      </c>
      <c r="AF7" s="93">
        <f>8.2*6.6*6.6*0.52</f>
        <v>185.73983999999996</v>
      </c>
      <c r="AG7" s="93">
        <f>7.9*6.9*6.9*0.52</f>
        <v>195.58188000000001</v>
      </c>
      <c r="AH7" s="93">
        <f>8.1*6.4*6.4*0.52</f>
        <v>172.52352000000005</v>
      </c>
      <c r="AI7" s="93">
        <f>7.3*6.9*6.9*0.52</f>
        <v>180.72756000000004</v>
      </c>
      <c r="AJ7" s="93">
        <f>8*6.8*6.8*0.52</f>
        <v>192.35839999999999</v>
      </c>
      <c r="AK7" s="93">
        <f>7.1*6.6*6.6*0.52</f>
        <v>160.82351999999997</v>
      </c>
      <c r="AL7" s="93">
        <f>8.2*7.1*7.1*0.52</f>
        <v>214.94823999999997</v>
      </c>
      <c r="AM7" s="93">
        <f>8.9*7.5*7.5*0.52</f>
        <v>260.32499999999999</v>
      </c>
      <c r="AN7" s="93">
        <f>10.4*8.8*8.8*0.52</f>
        <v>418.79552000000012</v>
      </c>
      <c r="AO7" s="93">
        <f>11.3*9.4*9.4*0.52</f>
        <v>519.20336000000009</v>
      </c>
      <c r="AP7" s="93">
        <f>12.2*11.6*11.6*0.52</f>
        <v>853.64863999999989</v>
      </c>
      <c r="AQ7" s="93">
        <f>12.7*12.1*12.1*0.52</f>
        <v>966.89163999999982</v>
      </c>
      <c r="AR7" s="93">
        <f>13.3*13*13*0.52</f>
        <v>1168.8040000000001</v>
      </c>
      <c r="AS7" s="93">
        <f>15.2*13*13*0.52</f>
        <v>1335.7759999999998</v>
      </c>
      <c r="AT7" s="93">
        <f>14.7*14.3*14.3*0.52</f>
        <v>1563.12156</v>
      </c>
      <c r="AU7" s="93">
        <f>16.2*15.7*15.7*0.52</f>
        <v>2076.4317599999999</v>
      </c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2"/>
      <c r="BR7" s="92">
        <f t="shared" si="8"/>
        <v>1.1080332409972298</v>
      </c>
      <c r="BS7" s="92">
        <f t="shared" si="8"/>
        <v>0.99397099560045599</v>
      </c>
      <c r="BT7" s="92">
        <f t="shared" si="8"/>
        <v>1</v>
      </c>
      <c r="BU7" s="92">
        <f t="shared" si="8"/>
        <v>1.853267068600293</v>
      </c>
      <c r="BV7" s="92">
        <f t="shared" si="8"/>
        <v>1.9240671337787192</v>
      </c>
      <c r="BW7" s="92">
        <f t="shared" si="8"/>
        <v>2.1352452338276029</v>
      </c>
      <c r="BX7" s="92">
        <f t="shared" si="8"/>
        <v>1.4725119041152934</v>
      </c>
      <c r="BY7" s="92">
        <f t="shared" si="8"/>
        <v>1.6167508554668399</v>
      </c>
      <c r="BZ7" s="92">
        <f t="shared" si="8"/>
        <v>1.7024197490630599</v>
      </c>
      <c r="CA7" s="92">
        <f t="shared" si="8"/>
        <v>1.5017109336809518</v>
      </c>
      <c r="CB7" s="92">
        <f t="shared" si="8"/>
        <v>1.5731220466025746</v>
      </c>
      <c r="CC7" s="92">
        <f t="shared" si="8"/>
        <v>1.6743613419513692</v>
      </c>
      <c r="CD7" s="92">
        <f t="shared" si="8"/>
        <v>1.3998696431481175</v>
      </c>
      <c r="CE7" s="92">
        <f t="shared" si="8"/>
        <v>1.8709919794325851</v>
      </c>
      <c r="CF7" s="92">
        <f t="shared" si="8"/>
        <v>2.265968714355548</v>
      </c>
      <c r="CG7" s="92">
        <f t="shared" si="8"/>
        <v>3.6453569424076191</v>
      </c>
      <c r="CH7" s="92">
        <f t="shared" si="9"/>
        <v>4.5193453189216592</v>
      </c>
      <c r="CI7" s="92">
        <f t="shared" si="9"/>
        <v>7.4304853982220749</v>
      </c>
      <c r="CJ7" s="92">
        <f t="shared" si="9"/>
        <v>8.4161959335904228</v>
      </c>
      <c r="CK7" s="92">
        <f t="shared" si="9"/>
        <v>10.173718610251116</v>
      </c>
      <c r="CL7" s="92">
        <f t="shared" si="9"/>
        <v>11.627106983144131</v>
      </c>
      <c r="CM7" s="92">
        <f t="shared" si="9"/>
        <v>13.606009994025309</v>
      </c>
      <c r="CN7" s="92">
        <f t="shared" si="9"/>
        <v>18.074058986475475</v>
      </c>
      <c r="CO7" s="92" t="str">
        <f t="shared" si="9"/>
        <v/>
      </c>
      <c r="CP7" s="92" t="str">
        <f t="shared" si="9"/>
        <v/>
      </c>
      <c r="CQ7" s="92" t="str">
        <f t="shared" si="9"/>
        <v/>
      </c>
      <c r="CR7" s="92" t="str">
        <f t="shared" si="9"/>
        <v/>
      </c>
      <c r="CS7" s="92" t="str">
        <f t="shared" si="9"/>
        <v/>
      </c>
      <c r="CT7" s="92" t="str">
        <f t="shared" si="9"/>
        <v/>
      </c>
      <c r="CU7" s="92" t="str">
        <f t="shared" si="9"/>
        <v/>
      </c>
      <c r="CV7" s="92" t="str">
        <f t="shared" si="9"/>
        <v/>
      </c>
      <c r="CW7" s="92" t="str">
        <f t="shared" si="9"/>
        <v/>
      </c>
      <c r="CX7" s="92" t="str">
        <f t="shared" si="10"/>
        <v/>
      </c>
      <c r="CY7" s="92" t="str">
        <f t="shared" si="10"/>
        <v/>
      </c>
      <c r="CZ7" s="92" t="str">
        <f t="shared" si="10"/>
        <v/>
      </c>
      <c r="DA7" s="92" t="str">
        <f t="shared" si="10"/>
        <v/>
      </c>
      <c r="DB7" s="92" t="str">
        <f t="shared" si="10"/>
        <v/>
      </c>
      <c r="DC7" s="92" t="str">
        <f t="shared" si="10"/>
        <v/>
      </c>
      <c r="DD7" s="92" t="str">
        <f t="shared" si="10"/>
        <v/>
      </c>
      <c r="DE7" s="92" t="str">
        <f t="shared" si="10"/>
        <v/>
      </c>
      <c r="DF7" s="92" t="str">
        <f t="shared" si="10"/>
        <v/>
      </c>
      <c r="DG7" s="92" t="str">
        <f t="shared" si="10"/>
        <v/>
      </c>
      <c r="DH7" s="92" t="str">
        <f t="shared" si="10"/>
        <v/>
      </c>
      <c r="DI7" s="92" t="str">
        <f t="shared" si="10"/>
        <v/>
      </c>
    </row>
    <row r="8" spans="1:113">
      <c r="A8" s="27">
        <v>975081</v>
      </c>
      <c r="B8" s="1">
        <v>14</v>
      </c>
      <c r="C8" s="29" t="str">
        <f t="shared" si="4"/>
        <v>975081-14</v>
      </c>
      <c r="D8" s="28" t="s">
        <v>80</v>
      </c>
      <c r="E8" s="37" t="s">
        <v>34</v>
      </c>
      <c r="F8" s="31">
        <v>42458</v>
      </c>
      <c r="G8" s="38"/>
      <c r="H8" s="31">
        <v>42468</v>
      </c>
      <c r="I8" s="38">
        <v>28.2</v>
      </c>
      <c r="J8" s="165"/>
      <c r="K8" s="38">
        <v>6.3</v>
      </c>
      <c r="L8" s="38">
        <v>4.5</v>
      </c>
      <c r="M8" s="32">
        <f t="shared" si="5"/>
        <v>66.338999999999999</v>
      </c>
      <c r="N8" s="118"/>
      <c r="O8" s="32"/>
      <c r="P8" s="32">
        <f t="shared" si="6"/>
        <v>22.113</v>
      </c>
      <c r="Q8" s="38"/>
      <c r="R8" s="160"/>
      <c r="S8" s="236">
        <f t="shared" si="7"/>
        <v>0</v>
      </c>
      <c r="T8" s="237">
        <v>0</v>
      </c>
      <c r="U8" s="236">
        <f t="shared" si="12"/>
        <v>0</v>
      </c>
      <c r="V8" s="238">
        <f t="shared" si="11"/>
        <v>0</v>
      </c>
      <c r="W8" s="33"/>
      <c r="X8" s="138"/>
      <c r="Y8" s="87">
        <v>59.417279999999998</v>
      </c>
      <c r="Z8" s="93">
        <f>5.5*4.8*4.8*0.52</f>
        <v>65.89439999999999</v>
      </c>
      <c r="AA8" s="93">
        <v>66.338999999999999</v>
      </c>
      <c r="AB8" s="93">
        <f>6.8*5.7*5.7*0.52</f>
        <v>114.88464</v>
      </c>
      <c r="AC8" s="93">
        <f>6.9*6.1*6.1*0.52</f>
        <v>133.50948</v>
      </c>
      <c r="AD8" s="93">
        <f>6.8*6.7*6.7*0.52</f>
        <v>158.73104000000001</v>
      </c>
      <c r="AE8" s="93">
        <f>7.7*7*7*0.52</f>
        <v>196.19600000000003</v>
      </c>
      <c r="AF8" s="93">
        <f>10.4*7.1*7.1*0.52</f>
        <v>272.61727999999999</v>
      </c>
      <c r="AG8" s="93">
        <f>11*8.5*8.5*0.52</f>
        <v>413.27000000000004</v>
      </c>
      <c r="AH8" s="93">
        <f>11.6*9*9*0.52</f>
        <v>488.59199999999998</v>
      </c>
      <c r="AI8" s="93">
        <f>12.9*10.7*10.7*0.52</f>
        <v>767.99891999999988</v>
      </c>
      <c r="AJ8" s="93">
        <f>15.9*12*12*0.52</f>
        <v>1190.5920000000003</v>
      </c>
      <c r="AK8" s="93">
        <f>17.1*12.8*12.8*0.52</f>
        <v>1456.8652800000004</v>
      </c>
      <c r="AL8" s="93">
        <f>17.5*13.8*13.8*0.52</f>
        <v>1733.0040000000001</v>
      </c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2"/>
      <c r="BR8" s="92">
        <f t="shared" si="8"/>
        <v>0.8956613756613756</v>
      </c>
      <c r="BS8" s="92">
        <f t="shared" si="8"/>
        <v>0.99329805996472653</v>
      </c>
      <c r="BT8" s="92">
        <f t="shared" si="8"/>
        <v>1</v>
      </c>
      <c r="BU8" s="92">
        <f t="shared" si="8"/>
        <v>1.7317813051146385</v>
      </c>
      <c r="BV8" s="92">
        <f t="shared" si="8"/>
        <v>2.0125338036449145</v>
      </c>
      <c r="BW8" s="92">
        <f t="shared" si="8"/>
        <v>2.3927258475406625</v>
      </c>
      <c r="BX8" s="92">
        <f t="shared" si="8"/>
        <v>2.957475994513032</v>
      </c>
      <c r="BY8" s="92">
        <f t="shared" si="8"/>
        <v>4.1094571820497743</v>
      </c>
      <c r="BZ8" s="92">
        <f t="shared" si="8"/>
        <v>6.2296688222614156</v>
      </c>
      <c r="CA8" s="92">
        <f t="shared" si="8"/>
        <v>7.3650793650793647</v>
      </c>
      <c r="CB8" s="92">
        <f t="shared" si="8"/>
        <v>11.576884185773073</v>
      </c>
      <c r="CC8" s="92">
        <f t="shared" si="8"/>
        <v>17.947089947089953</v>
      </c>
      <c r="CD8" s="92">
        <f t="shared" si="8"/>
        <v>21.960917107583782</v>
      </c>
      <c r="CE8" s="92">
        <f t="shared" si="8"/>
        <v>26.123456790123459</v>
      </c>
      <c r="CF8" s="92" t="str">
        <f t="shared" si="8"/>
        <v/>
      </c>
      <c r="CG8" s="92" t="str">
        <f t="shared" si="8"/>
        <v/>
      </c>
      <c r="CH8" s="92" t="str">
        <f t="shared" si="9"/>
        <v/>
      </c>
      <c r="CI8" s="92" t="str">
        <f t="shared" si="9"/>
        <v/>
      </c>
      <c r="CJ8" s="92" t="str">
        <f t="shared" si="9"/>
        <v/>
      </c>
      <c r="CK8" s="92" t="str">
        <f t="shared" si="9"/>
        <v/>
      </c>
      <c r="CL8" s="92" t="str">
        <f t="shared" si="9"/>
        <v/>
      </c>
      <c r="CM8" s="92" t="str">
        <f t="shared" si="9"/>
        <v/>
      </c>
      <c r="CN8" s="92" t="str">
        <f t="shared" si="9"/>
        <v/>
      </c>
      <c r="CO8" s="92" t="str">
        <f t="shared" si="9"/>
        <v/>
      </c>
      <c r="CP8" s="92" t="str">
        <f t="shared" si="9"/>
        <v/>
      </c>
      <c r="CQ8" s="92" t="str">
        <f t="shared" si="9"/>
        <v/>
      </c>
      <c r="CR8" s="92" t="str">
        <f t="shared" si="9"/>
        <v/>
      </c>
      <c r="CS8" s="92" t="str">
        <f t="shared" si="9"/>
        <v/>
      </c>
      <c r="CT8" s="92" t="str">
        <f t="shared" si="9"/>
        <v/>
      </c>
      <c r="CU8" s="92" t="str">
        <f t="shared" si="9"/>
        <v/>
      </c>
      <c r="CV8" s="92" t="str">
        <f t="shared" si="9"/>
        <v/>
      </c>
      <c r="CW8" s="92" t="str">
        <f t="shared" si="9"/>
        <v/>
      </c>
      <c r="CX8" s="92" t="str">
        <f t="shared" si="10"/>
        <v/>
      </c>
      <c r="CY8" s="92" t="str">
        <f t="shared" si="10"/>
        <v/>
      </c>
      <c r="CZ8" s="92" t="str">
        <f t="shared" si="10"/>
        <v/>
      </c>
      <c r="DA8" s="92" t="str">
        <f t="shared" si="10"/>
        <v/>
      </c>
      <c r="DB8" s="92" t="str">
        <f t="shared" si="10"/>
        <v/>
      </c>
      <c r="DC8" s="92" t="str">
        <f t="shared" si="10"/>
        <v/>
      </c>
      <c r="DD8" s="92" t="str">
        <f t="shared" si="10"/>
        <v/>
      </c>
      <c r="DE8" s="92" t="str">
        <f t="shared" si="10"/>
        <v/>
      </c>
      <c r="DF8" s="92" t="str">
        <f t="shared" si="10"/>
        <v/>
      </c>
      <c r="DG8" s="92" t="str">
        <f t="shared" si="10"/>
        <v/>
      </c>
      <c r="DH8" s="92" t="str">
        <f t="shared" si="10"/>
        <v/>
      </c>
      <c r="DI8" s="92" t="str">
        <f t="shared" si="10"/>
        <v/>
      </c>
    </row>
    <row r="9" spans="1:113">
      <c r="A9" s="27">
        <v>975081</v>
      </c>
      <c r="B9" s="1">
        <v>15</v>
      </c>
      <c r="C9" s="29" t="str">
        <f t="shared" si="4"/>
        <v>975081-15</v>
      </c>
      <c r="D9" s="28" t="s">
        <v>80</v>
      </c>
      <c r="E9" s="37" t="s">
        <v>83</v>
      </c>
      <c r="F9" s="31">
        <v>42458</v>
      </c>
      <c r="G9" s="38"/>
      <c r="H9" s="31">
        <v>42468</v>
      </c>
      <c r="I9" s="38">
        <v>27</v>
      </c>
      <c r="J9" s="165"/>
      <c r="K9" s="38">
        <v>6.9</v>
      </c>
      <c r="L9" s="38">
        <v>6</v>
      </c>
      <c r="M9" s="32">
        <f t="shared" si="5"/>
        <v>129.16800000000001</v>
      </c>
      <c r="N9" s="118"/>
      <c r="O9" s="32"/>
      <c r="P9" s="32">
        <f t="shared" si="6"/>
        <v>43.056000000000004</v>
      </c>
      <c r="Q9" s="38"/>
      <c r="R9" s="160" t="e">
        <f>Q9/O9</f>
        <v>#DIV/0!</v>
      </c>
      <c r="S9" s="236">
        <f t="shared" si="7"/>
        <v>0</v>
      </c>
      <c r="T9" s="237">
        <v>120</v>
      </c>
      <c r="U9" s="236">
        <f t="shared" si="12"/>
        <v>11.111111111111111</v>
      </c>
      <c r="V9" s="238">
        <f t="shared" si="11"/>
        <v>2.3225566703827569</v>
      </c>
      <c r="W9" s="33"/>
      <c r="X9" s="138"/>
      <c r="Y9" s="87">
        <v>79.905280000000019</v>
      </c>
      <c r="Z9" s="93">
        <f>6.4*5.1*5.1*0.52</f>
        <v>86.561279999999996</v>
      </c>
      <c r="AA9" s="93">
        <v>129.16800000000001</v>
      </c>
      <c r="AB9" s="93">
        <f>9.5*6.8*6.8*0.52</f>
        <v>228.4256</v>
      </c>
      <c r="AC9" s="93">
        <f>8.3*6.4*6.4*0.52</f>
        <v>176.78336000000004</v>
      </c>
      <c r="AD9" s="93">
        <f>8.4*7.3*7.3*0.52</f>
        <v>232.77071999999998</v>
      </c>
      <c r="AE9" s="93">
        <f>9.6*7*7*0.52</f>
        <v>244.60800000000003</v>
      </c>
      <c r="AF9" s="93">
        <f>11*8.1*8.1*0.52</f>
        <v>375.28919999999999</v>
      </c>
      <c r="AG9" s="93">
        <f>12.1*8.3*8.3*0.52</f>
        <v>433.45588000000004</v>
      </c>
      <c r="AH9" s="93">
        <f>12.5*9.6*9.6*0.52</f>
        <v>599.04</v>
      </c>
      <c r="AI9" s="93">
        <f>13.2*9.9*9.9*0.52</f>
        <v>672.7406400000001</v>
      </c>
      <c r="AJ9" s="93">
        <f>15.4*11.1*11.1*0.52</f>
        <v>986.66568000000007</v>
      </c>
      <c r="AK9" s="93">
        <f>15.8*11.7*11.7*0.52</f>
        <v>1124.68824</v>
      </c>
      <c r="AL9" s="93">
        <f>16.3*12.3*12.3*0.52</f>
        <v>1282.33404</v>
      </c>
      <c r="AM9" s="93">
        <f>17.3*13*13*0.52</f>
        <v>1520.3240000000003</v>
      </c>
      <c r="AN9" s="93">
        <f>17.9*13.8*13.8*0.52</f>
        <v>1772.6155199999998</v>
      </c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2"/>
      <c r="BR9" s="92">
        <f t="shared" si="8"/>
        <v>0.61861513687600655</v>
      </c>
      <c r="BS9" s="92">
        <f t="shared" si="8"/>
        <v>0.67014492753623178</v>
      </c>
      <c r="BT9" s="92">
        <f t="shared" si="8"/>
        <v>1</v>
      </c>
      <c r="BU9" s="92">
        <f t="shared" si="8"/>
        <v>1.768438003220612</v>
      </c>
      <c r="BV9" s="92">
        <f t="shared" si="8"/>
        <v>1.368631239935588</v>
      </c>
      <c r="BW9" s="92">
        <f t="shared" si="8"/>
        <v>1.8020772946859902</v>
      </c>
      <c r="BX9" s="92">
        <f t="shared" si="8"/>
        <v>1.8937198067632852</v>
      </c>
      <c r="BY9" s="92">
        <f t="shared" si="8"/>
        <v>2.9054347826086953</v>
      </c>
      <c r="BZ9" s="92">
        <f t="shared" si="8"/>
        <v>3.3557528180354268</v>
      </c>
      <c r="CA9" s="92">
        <f t="shared" si="8"/>
        <v>4.6376811594202891</v>
      </c>
      <c r="CB9" s="92">
        <f t="shared" si="8"/>
        <v>5.2082608695652182</v>
      </c>
      <c r="CC9" s="92">
        <f t="shared" si="8"/>
        <v>7.6386231884057976</v>
      </c>
      <c r="CD9" s="92">
        <f t="shared" si="8"/>
        <v>8.7071739130434782</v>
      </c>
      <c r="CE9" s="92">
        <f t="shared" si="8"/>
        <v>9.9276449275362317</v>
      </c>
      <c r="CF9" s="92">
        <f t="shared" si="8"/>
        <v>11.770128824476652</v>
      </c>
      <c r="CG9" s="92">
        <f t="shared" si="8"/>
        <v>13.723333333333331</v>
      </c>
      <c r="CH9" s="92" t="str">
        <f t="shared" si="9"/>
        <v/>
      </c>
      <c r="CI9" s="92" t="str">
        <f t="shared" si="9"/>
        <v/>
      </c>
      <c r="CJ9" s="92" t="str">
        <f t="shared" si="9"/>
        <v/>
      </c>
      <c r="CK9" s="92" t="str">
        <f t="shared" si="9"/>
        <v/>
      </c>
      <c r="CL9" s="92" t="str">
        <f t="shared" si="9"/>
        <v/>
      </c>
      <c r="CM9" s="92" t="str">
        <f t="shared" si="9"/>
        <v/>
      </c>
      <c r="CN9" s="92" t="str">
        <f t="shared" si="9"/>
        <v/>
      </c>
      <c r="CO9" s="92" t="str">
        <f t="shared" si="9"/>
        <v/>
      </c>
      <c r="CP9" s="92" t="str">
        <f t="shared" si="9"/>
        <v/>
      </c>
      <c r="CQ9" s="92" t="str">
        <f t="shared" si="9"/>
        <v/>
      </c>
      <c r="CR9" s="92" t="str">
        <f t="shared" si="9"/>
        <v/>
      </c>
      <c r="CS9" s="92" t="str">
        <f t="shared" si="9"/>
        <v/>
      </c>
      <c r="CT9" s="92" t="str">
        <f t="shared" si="9"/>
        <v/>
      </c>
      <c r="CU9" s="92" t="str">
        <f t="shared" si="9"/>
        <v/>
      </c>
      <c r="CV9" s="92" t="str">
        <f t="shared" si="9"/>
        <v/>
      </c>
      <c r="CW9" s="92" t="str">
        <f t="shared" si="9"/>
        <v/>
      </c>
      <c r="CX9" s="92" t="str">
        <f t="shared" si="10"/>
        <v/>
      </c>
      <c r="CY9" s="92" t="str">
        <f t="shared" si="10"/>
        <v/>
      </c>
      <c r="CZ9" s="92" t="str">
        <f t="shared" si="10"/>
        <v/>
      </c>
      <c r="DA9" s="92" t="str">
        <f t="shared" si="10"/>
        <v/>
      </c>
      <c r="DB9" s="92" t="str">
        <f t="shared" si="10"/>
        <v/>
      </c>
      <c r="DC9" s="92" t="str">
        <f t="shared" si="10"/>
        <v/>
      </c>
      <c r="DD9" s="92" t="str">
        <f t="shared" si="10"/>
        <v/>
      </c>
      <c r="DE9" s="92" t="str">
        <f t="shared" si="10"/>
        <v/>
      </c>
      <c r="DF9" s="92" t="str">
        <f t="shared" si="10"/>
        <v/>
      </c>
      <c r="DG9" s="92" t="str">
        <f t="shared" si="10"/>
        <v/>
      </c>
      <c r="DH9" s="92" t="str">
        <f t="shared" si="10"/>
        <v/>
      </c>
      <c r="DI9" s="92" t="str">
        <f t="shared" si="10"/>
        <v/>
      </c>
    </row>
    <row r="10" spans="1:113">
      <c r="A10" s="41">
        <v>975080</v>
      </c>
      <c r="B10" s="1">
        <v>21</v>
      </c>
      <c r="C10" s="29" t="str">
        <f t="shared" si="4"/>
        <v>975080-21</v>
      </c>
      <c r="D10" s="28" t="s">
        <v>80</v>
      </c>
      <c r="E10" s="37" t="s">
        <v>84</v>
      </c>
      <c r="F10" s="31">
        <v>42458</v>
      </c>
      <c r="G10" s="38"/>
      <c r="H10" s="31">
        <v>42468</v>
      </c>
      <c r="I10" s="38">
        <v>31.8</v>
      </c>
      <c r="J10" s="165"/>
      <c r="K10" s="38">
        <v>5.0999999999999996</v>
      </c>
      <c r="L10" s="38">
        <v>3.5</v>
      </c>
      <c r="M10" s="32">
        <f t="shared" si="5"/>
        <v>32.486999999999995</v>
      </c>
      <c r="N10" s="118"/>
      <c r="O10" s="32"/>
      <c r="P10" s="32">
        <f t="shared" si="6"/>
        <v>10.828999999999999</v>
      </c>
      <c r="Q10" s="38"/>
      <c r="R10" s="160"/>
      <c r="S10" s="236">
        <f t="shared" si="7"/>
        <v>0</v>
      </c>
      <c r="T10" s="237">
        <v>285</v>
      </c>
      <c r="U10" s="236">
        <f t="shared" si="12"/>
        <v>22.405660377358487</v>
      </c>
      <c r="V10" s="238">
        <f t="shared" si="11"/>
        <v>21.931849662942099</v>
      </c>
      <c r="W10" s="33"/>
      <c r="X10" s="138"/>
      <c r="Y10" s="87">
        <v>9.8607600000000009</v>
      </c>
      <c r="Z10" s="93">
        <f>4.9*3.2*3.2*0.52</f>
        <v>26.091520000000006</v>
      </c>
      <c r="AA10" s="93">
        <v>32.486999999999995</v>
      </c>
      <c r="AB10" s="93">
        <f>6.5*5.1*5.1*0.52</f>
        <v>87.913799999999981</v>
      </c>
      <c r="AC10" s="93">
        <f>7.3*5.9*5.9*0.52</f>
        <v>132.13876000000002</v>
      </c>
      <c r="AD10" s="93">
        <f>7.5*5.9*5.9*0.52</f>
        <v>135.75899999999999</v>
      </c>
      <c r="AE10" s="93">
        <f>8.9*6.5*6.5*0.52</f>
        <v>195.53300000000002</v>
      </c>
      <c r="AF10" s="93">
        <f>9.2*6.3*6.3*0.52</f>
        <v>189.87696</v>
      </c>
      <c r="AG10" s="93">
        <f>11.9*6.8*6.8*0.52</f>
        <v>286.13312000000002</v>
      </c>
      <c r="AH10" s="93">
        <f>11*7.2*7.2*0.52</f>
        <v>296.52480000000003</v>
      </c>
      <c r="AI10" s="93">
        <f>13.8*8.3*8.3*0.52</f>
        <v>494.35464000000013</v>
      </c>
      <c r="AJ10" s="93">
        <f>15*9.8*9.8*0.52</f>
        <v>749.11200000000008</v>
      </c>
      <c r="AK10" s="93">
        <f>16.3*10.6*10.6*0.52</f>
        <v>952.36335999999994</v>
      </c>
      <c r="AL10" s="93">
        <f>16.3*11.4*11.4*0.52</f>
        <v>1101.5409600000003</v>
      </c>
      <c r="AM10" s="93">
        <f>18.1*12.9*12.9*0.52</f>
        <v>1566.2509200000004</v>
      </c>
      <c r="AN10" s="93">
        <f>18.1*14.3*14.3*0.52</f>
        <v>1924.6598800000004</v>
      </c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2"/>
      <c r="BR10" s="92">
        <f t="shared" si="8"/>
        <v>0.30352941176470594</v>
      </c>
      <c r="BS10" s="92">
        <f t="shared" si="8"/>
        <v>0.80313725490196108</v>
      </c>
      <c r="BT10" s="92">
        <f t="shared" si="8"/>
        <v>1</v>
      </c>
      <c r="BU10" s="92">
        <f t="shared" si="8"/>
        <v>2.7061224489795919</v>
      </c>
      <c r="BV10" s="92">
        <f t="shared" si="8"/>
        <v>4.067434973989597</v>
      </c>
      <c r="BW10" s="92">
        <f t="shared" si="8"/>
        <v>4.1788715486194477</v>
      </c>
      <c r="BX10" s="92">
        <f t="shared" si="8"/>
        <v>6.0188075230092055</v>
      </c>
      <c r="BY10" s="92">
        <f t="shared" si="8"/>
        <v>5.8447058823529421</v>
      </c>
      <c r="BZ10" s="92">
        <f t="shared" si="8"/>
        <v>8.807619047619049</v>
      </c>
      <c r="CA10" s="92">
        <f t="shared" si="8"/>
        <v>9.1274909963985618</v>
      </c>
      <c r="CB10" s="92">
        <f t="shared" si="8"/>
        <v>15.216998799519814</v>
      </c>
      <c r="CC10" s="92">
        <f t="shared" si="8"/>
        <v>23.058823529411772</v>
      </c>
      <c r="CD10" s="92">
        <f t="shared" si="8"/>
        <v>29.315214085634256</v>
      </c>
      <c r="CE10" s="92">
        <f t="shared" si="8"/>
        <v>33.907130852340948</v>
      </c>
      <c r="CF10" s="92">
        <f t="shared" si="8"/>
        <v>48.211620648259327</v>
      </c>
      <c r="CG10" s="92">
        <f t="shared" si="8"/>
        <v>59.244001600640274</v>
      </c>
      <c r="CH10" s="92" t="str">
        <f t="shared" si="9"/>
        <v/>
      </c>
      <c r="CI10" s="92" t="str">
        <f t="shared" si="9"/>
        <v/>
      </c>
      <c r="CJ10" s="92" t="str">
        <f t="shared" si="9"/>
        <v/>
      </c>
      <c r="CK10" s="92" t="str">
        <f t="shared" si="9"/>
        <v/>
      </c>
      <c r="CL10" s="92" t="str">
        <f t="shared" si="9"/>
        <v/>
      </c>
      <c r="CM10" s="92" t="str">
        <f t="shared" si="9"/>
        <v/>
      </c>
      <c r="CN10" s="92" t="str">
        <f t="shared" si="9"/>
        <v/>
      </c>
      <c r="CO10" s="92" t="str">
        <f t="shared" si="9"/>
        <v/>
      </c>
      <c r="CP10" s="92" t="str">
        <f t="shared" si="9"/>
        <v/>
      </c>
      <c r="CQ10" s="92" t="str">
        <f t="shared" si="9"/>
        <v/>
      </c>
      <c r="CR10" s="92" t="str">
        <f t="shared" si="9"/>
        <v/>
      </c>
      <c r="CS10" s="92" t="str">
        <f t="shared" si="9"/>
        <v/>
      </c>
      <c r="CT10" s="92" t="str">
        <f t="shared" si="9"/>
        <v/>
      </c>
      <c r="CU10" s="92" t="str">
        <f t="shared" si="9"/>
        <v/>
      </c>
      <c r="CV10" s="92" t="str">
        <f t="shared" si="9"/>
        <v/>
      </c>
      <c r="CW10" s="92" t="str">
        <f t="shared" si="9"/>
        <v/>
      </c>
      <c r="CX10" s="92" t="str">
        <f t="shared" si="10"/>
        <v/>
      </c>
      <c r="CY10" s="92" t="str">
        <f t="shared" si="10"/>
        <v/>
      </c>
      <c r="CZ10" s="92" t="str">
        <f t="shared" si="10"/>
        <v/>
      </c>
      <c r="DA10" s="92" t="str">
        <f t="shared" si="10"/>
        <v/>
      </c>
      <c r="DB10" s="92" t="str">
        <f t="shared" si="10"/>
        <v/>
      </c>
      <c r="DC10" s="92" t="str">
        <f t="shared" si="10"/>
        <v/>
      </c>
      <c r="DD10" s="92" t="str">
        <f t="shared" si="10"/>
        <v/>
      </c>
      <c r="DE10" s="92" t="str">
        <f t="shared" si="10"/>
        <v/>
      </c>
      <c r="DF10" s="92" t="str">
        <f t="shared" si="10"/>
        <v/>
      </c>
      <c r="DG10" s="92" t="str">
        <f t="shared" si="10"/>
        <v/>
      </c>
      <c r="DH10" s="92" t="str">
        <f t="shared" si="10"/>
        <v/>
      </c>
      <c r="DI10" s="92" t="str">
        <f t="shared" si="10"/>
        <v/>
      </c>
    </row>
    <row r="11" spans="1:113">
      <c r="A11" s="41">
        <v>975080</v>
      </c>
      <c r="B11" s="1">
        <v>22</v>
      </c>
      <c r="C11" s="29" t="str">
        <f t="shared" si="4"/>
        <v>975080-22</v>
      </c>
      <c r="D11" s="28" t="s">
        <v>80</v>
      </c>
      <c r="E11" s="37" t="s">
        <v>85</v>
      </c>
      <c r="F11" s="31">
        <v>42458</v>
      </c>
      <c r="G11" s="38"/>
      <c r="H11" s="31">
        <v>42468</v>
      </c>
      <c r="I11" s="38">
        <v>31.2</v>
      </c>
      <c r="J11" s="165"/>
      <c r="K11" s="38">
        <v>6.3</v>
      </c>
      <c r="L11" s="38">
        <v>4.5</v>
      </c>
      <c r="M11" s="32">
        <f t="shared" si="5"/>
        <v>66.338999999999999</v>
      </c>
      <c r="N11" s="118"/>
      <c r="O11" s="32"/>
      <c r="P11" s="32">
        <f t="shared" si="6"/>
        <v>22.113</v>
      </c>
      <c r="Q11" s="38"/>
      <c r="R11" s="160"/>
      <c r="S11" s="236">
        <f t="shared" si="7"/>
        <v>0</v>
      </c>
      <c r="T11" s="237">
        <v>555</v>
      </c>
      <c r="U11" s="236">
        <f t="shared" si="12"/>
        <v>44.471153846153854</v>
      </c>
      <c r="V11" s="238">
        <f t="shared" si="11"/>
        <v>20.915298693076473</v>
      </c>
      <c r="W11" s="33"/>
      <c r="X11" s="138"/>
      <c r="Y11" s="87">
        <v>45.560320000000011</v>
      </c>
      <c r="Z11" s="93">
        <f>5.5*4.5*4.5*0.52</f>
        <v>57.914999999999999</v>
      </c>
      <c r="AA11" s="93">
        <v>66.338999999999999</v>
      </c>
      <c r="AB11" s="93">
        <f>6.9*5.3*5.3*0.52</f>
        <v>100.78692000000001</v>
      </c>
      <c r="AC11" s="93">
        <f>7.2*5.9*5.9*0.52</f>
        <v>130.32864000000004</v>
      </c>
      <c r="AD11" s="93">
        <f>8.7*6.2*6.2*0.52</f>
        <v>173.90255999999999</v>
      </c>
      <c r="AE11" s="93">
        <f>8.7*6.3*6.3*0.52</f>
        <v>179.55755999999997</v>
      </c>
      <c r="AF11" s="93">
        <f>10*7.8*7.8*0.52</f>
        <v>316.36799999999999</v>
      </c>
      <c r="AG11" s="93">
        <f>11*8.3*8.3*0.52</f>
        <v>394.05080000000009</v>
      </c>
      <c r="AH11" s="93">
        <f>10.8*9.3*9.3*0.52</f>
        <v>485.72784000000013</v>
      </c>
      <c r="AI11" s="93">
        <f>11.9*9.9*9.9*0.52</f>
        <v>606.48587999999995</v>
      </c>
      <c r="AJ11" s="93">
        <f>13.2*12.1*12.1*0.52</f>
        <v>1004.9582399999999</v>
      </c>
      <c r="AK11" s="93">
        <f>13.7*12.1*12.1*0.52</f>
        <v>1043.0248399999998</v>
      </c>
      <c r="AL11" s="93">
        <f>15.1*13.4*13.4*0.52</f>
        <v>1409.9051200000001</v>
      </c>
      <c r="AM11" s="93">
        <f>16.8*14.5*14.5*0.52</f>
        <v>1836.7440000000001</v>
      </c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2"/>
      <c r="BR11" s="92">
        <f t="shared" si="8"/>
        <v>0.68678032529884403</v>
      </c>
      <c r="BS11" s="92">
        <f t="shared" si="8"/>
        <v>0.87301587301587302</v>
      </c>
      <c r="BT11" s="92">
        <f t="shared" si="8"/>
        <v>1</v>
      </c>
      <c r="BU11" s="92">
        <f t="shared" si="8"/>
        <v>1.5192710170487951</v>
      </c>
      <c r="BV11" s="92">
        <f t="shared" si="8"/>
        <v>1.9645855379188719</v>
      </c>
      <c r="BW11" s="92">
        <f t="shared" si="8"/>
        <v>2.6214226925338036</v>
      </c>
      <c r="BX11" s="92">
        <f t="shared" si="8"/>
        <v>2.7066666666666661</v>
      </c>
      <c r="BY11" s="92">
        <f t="shared" si="8"/>
        <v>4.768959435626102</v>
      </c>
      <c r="BZ11" s="92">
        <f t="shared" si="8"/>
        <v>5.939956888105038</v>
      </c>
      <c r="CA11" s="92">
        <f t="shared" si="8"/>
        <v>7.3219047619047641</v>
      </c>
      <c r="CB11" s="92">
        <f t="shared" si="8"/>
        <v>9.1422222222222214</v>
      </c>
      <c r="CC11" s="92">
        <f t="shared" si="8"/>
        <v>15.148830099941211</v>
      </c>
      <c r="CD11" s="92">
        <f t="shared" si="8"/>
        <v>15.722649421908679</v>
      </c>
      <c r="CE11" s="92">
        <f t="shared" si="8"/>
        <v>21.253035469331767</v>
      </c>
      <c r="CF11" s="92">
        <f t="shared" si="8"/>
        <v>27.68724279835391</v>
      </c>
      <c r="CG11" s="92" t="str">
        <f t="shared" si="8"/>
        <v/>
      </c>
      <c r="CH11" s="92" t="str">
        <f t="shared" si="9"/>
        <v/>
      </c>
      <c r="CI11" s="92" t="str">
        <f t="shared" si="9"/>
        <v/>
      </c>
      <c r="CJ11" s="92" t="str">
        <f t="shared" si="9"/>
        <v/>
      </c>
      <c r="CK11" s="92" t="str">
        <f t="shared" si="9"/>
        <v/>
      </c>
      <c r="CL11" s="92" t="str">
        <f t="shared" si="9"/>
        <v/>
      </c>
      <c r="CM11" s="92" t="str">
        <f t="shared" si="9"/>
        <v/>
      </c>
      <c r="CN11" s="92" t="str">
        <f t="shared" si="9"/>
        <v/>
      </c>
      <c r="CO11" s="92" t="str">
        <f t="shared" si="9"/>
        <v/>
      </c>
      <c r="CP11" s="92" t="str">
        <f t="shared" si="9"/>
        <v/>
      </c>
      <c r="CQ11" s="92" t="str">
        <f t="shared" si="9"/>
        <v/>
      </c>
      <c r="CR11" s="92" t="str">
        <f t="shared" si="9"/>
        <v/>
      </c>
      <c r="CS11" s="92" t="str">
        <f t="shared" si="9"/>
        <v/>
      </c>
      <c r="CT11" s="92" t="str">
        <f t="shared" si="9"/>
        <v/>
      </c>
      <c r="CU11" s="92" t="str">
        <f t="shared" si="9"/>
        <v/>
      </c>
      <c r="CV11" s="92" t="str">
        <f t="shared" si="9"/>
        <v/>
      </c>
      <c r="CW11" s="92" t="str">
        <f t="shared" si="9"/>
        <v/>
      </c>
      <c r="CX11" s="92" t="str">
        <f t="shared" si="10"/>
        <v/>
      </c>
      <c r="CY11" s="92" t="str">
        <f t="shared" si="10"/>
        <v/>
      </c>
      <c r="CZ11" s="92" t="str">
        <f t="shared" si="10"/>
        <v/>
      </c>
      <c r="DA11" s="92" t="str">
        <f t="shared" si="10"/>
        <v/>
      </c>
      <c r="DB11" s="92" t="str">
        <f t="shared" si="10"/>
        <v/>
      </c>
      <c r="DC11" s="92" t="str">
        <f t="shared" si="10"/>
        <v/>
      </c>
      <c r="DD11" s="92" t="str">
        <f t="shared" si="10"/>
        <v/>
      </c>
      <c r="DE11" s="92" t="str">
        <f t="shared" si="10"/>
        <v/>
      </c>
      <c r="DF11" s="92" t="str">
        <f t="shared" si="10"/>
        <v/>
      </c>
      <c r="DG11" s="92" t="str">
        <f t="shared" si="10"/>
        <v/>
      </c>
      <c r="DH11" s="92" t="str">
        <f t="shared" si="10"/>
        <v/>
      </c>
      <c r="DI11" s="92" t="str">
        <f t="shared" si="10"/>
        <v/>
      </c>
    </row>
    <row r="12" spans="1:113">
      <c r="A12" s="41">
        <v>975080</v>
      </c>
      <c r="B12" s="1">
        <v>23</v>
      </c>
      <c r="C12" s="29" t="str">
        <f t="shared" si="4"/>
        <v>975080-23</v>
      </c>
      <c r="D12" s="28" t="s">
        <v>80</v>
      </c>
      <c r="E12" s="37" t="s">
        <v>86</v>
      </c>
      <c r="F12" s="31">
        <v>42458</v>
      </c>
      <c r="G12" s="38"/>
      <c r="H12" s="31">
        <v>42468</v>
      </c>
      <c r="I12" s="38">
        <v>29.9</v>
      </c>
      <c r="J12" s="165"/>
      <c r="K12" s="38">
        <v>6.1</v>
      </c>
      <c r="L12" s="38">
        <v>4.7</v>
      </c>
      <c r="M12" s="32">
        <f t="shared" si="5"/>
        <v>70.069480000000013</v>
      </c>
      <c r="N12" s="118">
        <f>8.76*1000/850</f>
        <v>10.305882352941177</v>
      </c>
      <c r="O12" s="32">
        <f>M12*10/3</f>
        <v>233.56493333333336</v>
      </c>
      <c r="P12" s="32">
        <f t="shared" si="6"/>
        <v>23.356493333333336</v>
      </c>
      <c r="Q12" s="38">
        <v>199</v>
      </c>
      <c r="R12" s="160">
        <f>Q12/O12</f>
        <v>0.8520114606245115</v>
      </c>
      <c r="S12" s="236">
        <f t="shared" si="7"/>
        <v>2.8400382020817045</v>
      </c>
      <c r="T12" s="237">
        <v>266</v>
      </c>
      <c r="U12" s="236">
        <f t="shared" si="12"/>
        <v>22.240802675585286</v>
      </c>
      <c r="V12" s="238">
        <f t="shared" si="11"/>
        <v>9.4905799215293154</v>
      </c>
      <c r="W12" s="33"/>
      <c r="X12" s="138"/>
      <c r="Y12" s="87">
        <v>53.915680000000002</v>
      </c>
      <c r="Z12" s="93">
        <f>6.1*4.8*4.8*0.52</f>
        <v>73.082879999999989</v>
      </c>
      <c r="AA12" s="93">
        <v>70.069480000000013</v>
      </c>
      <c r="AB12" s="93">
        <f>7.1*6*6*0.52</f>
        <v>132.91199999999998</v>
      </c>
      <c r="AC12" s="93">
        <f>7.5*6.5*6.5*0.52</f>
        <v>164.77500000000001</v>
      </c>
      <c r="AD12" s="93">
        <f>6.8*5.6*5.6*0.52</f>
        <v>110.88896</v>
      </c>
      <c r="AE12" s="93">
        <f>7.2*5.4*5.4*0.52</f>
        <v>109.17504000000002</v>
      </c>
      <c r="AF12" s="93">
        <f>6.7*5.7*5.7*0.52</f>
        <v>113.19516000000002</v>
      </c>
      <c r="AG12" s="93">
        <f>8.3*5.9*5.9*0.52</f>
        <v>150.23996000000002</v>
      </c>
      <c r="AH12" s="93">
        <f>6.7*5.5*5.5*0.52</f>
        <v>105.39100000000001</v>
      </c>
      <c r="AI12" s="93">
        <f>7*5.6*5.6*0.52</f>
        <v>114.15039999999998</v>
      </c>
      <c r="AJ12" s="93">
        <f>8.4*7.1*7.1*0.52</f>
        <v>220.19087999999999</v>
      </c>
      <c r="AK12" s="93">
        <f>8.9*7.5*7.5*0.52</f>
        <v>260.32499999999999</v>
      </c>
      <c r="AL12" s="93">
        <f>10.1*7.6*7.6*0.52</f>
        <v>303.35551999999996</v>
      </c>
      <c r="AM12" s="93">
        <f>11.9*8.8*8.8*0.52</f>
        <v>479.19872000000009</v>
      </c>
      <c r="AN12" s="93">
        <f>13.5*12*12*0.52</f>
        <v>1010.88</v>
      </c>
      <c r="AO12" s="93">
        <f>13.4*12.8*12.8*0.52</f>
        <v>1141.6371200000001</v>
      </c>
      <c r="AP12" s="93">
        <f>14.4*13.3*13.3*0.52</f>
        <v>1324.5523200000002</v>
      </c>
      <c r="AQ12" s="93">
        <f>15.4*13.6*13.6*0.52</f>
        <v>1481.15968</v>
      </c>
      <c r="AR12" s="93">
        <f>15.5*14.2*14.2*0.52</f>
        <v>1625.2183999999997</v>
      </c>
      <c r="AS12" s="93">
        <f>16.9*15.5*15.5*0.52</f>
        <v>2111.317</v>
      </c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2"/>
      <c r="BR12" s="92">
        <f t="shared" si="8"/>
        <v>0.76946025573473631</v>
      </c>
      <c r="BS12" s="92">
        <f t="shared" si="8"/>
        <v>1.0430058850158439</v>
      </c>
      <c r="BT12" s="92">
        <f t="shared" si="8"/>
        <v>1</v>
      </c>
      <c r="BU12" s="92">
        <f t="shared" si="8"/>
        <v>1.8968600880154949</v>
      </c>
      <c r="BV12" s="92">
        <f t="shared" si="8"/>
        <v>2.3515944459699143</v>
      </c>
      <c r="BW12" s="92">
        <f t="shared" si="8"/>
        <v>1.5825571989402516</v>
      </c>
      <c r="BX12" s="92">
        <f t="shared" si="8"/>
        <v>1.5580969060994887</v>
      </c>
      <c r="BY12" s="92">
        <f t="shared" si="8"/>
        <v>1.6154702446771403</v>
      </c>
      <c r="BZ12" s="92">
        <f t="shared" si="8"/>
        <v>2.1441569139659662</v>
      </c>
      <c r="CA12" s="92">
        <f t="shared" si="8"/>
        <v>1.5040927947517233</v>
      </c>
      <c r="CB12" s="92">
        <f t="shared" si="8"/>
        <v>1.6291029989090822</v>
      </c>
      <c r="CC12" s="92">
        <f t="shared" si="8"/>
        <v>3.14246487914567</v>
      </c>
      <c r="CD12" s="92">
        <f t="shared" si="8"/>
        <v>3.7152409294317574</v>
      </c>
      <c r="CE12" s="92">
        <f t="shared" si="8"/>
        <v>4.3293530935294493</v>
      </c>
      <c r="CF12" s="92">
        <f t="shared" si="8"/>
        <v>6.8389078954203741</v>
      </c>
      <c r="CG12" s="92">
        <f t="shared" si="8"/>
        <v>14.426823204624892</v>
      </c>
      <c r="CH12" s="92">
        <f t="shared" si="9"/>
        <v>16.292929817660983</v>
      </c>
      <c r="CI12" s="92">
        <f t="shared" si="9"/>
        <v>18.903413012341463</v>
      </c>
      <c r="CJ12" s="92">
        <f t="shared" si="9"/>
        <v>21.138442585844789</v>
      </c>
      <c r="CK12" s="92">
        <f t="shared" si="9"/>
        <v>23.194383631789467</v>
      </c>
      <c r="CL12" s="92">
        <f t="shared" si="9"/>
        <v>30.13176350102783</v>
      </c>
      <c r="CM12" s="92" t="str">
        <f t="shared" si="9"/>
        <v/>
      </c>
      <c r="CN12" s="92" t="str">
        <f t="shared" si="9"/>
        <v/>
      </c>
      <c r="CO12" s="92" t="str">
        <f t="shared" si="9"/>
        <v/>
      </c>
      <c r="CP12" s="92" t="str">
        <f t="shared" si="9"/>
        <v/>
      </c>
      <c r="CQ12" s="92" t="str">
        <f t="shared" si="9"/>
        <v/>
      </c>
      <c r="CR12" s="92" t="str">
        <f t="shared" si="9"/>
        <v/>
      </c>
      <c r="CS12" s="92" t="str">
        <f t="shared" si="9"/>
        <v/>
      </c>
      <c r="CT12" s="92" t="str">
        <f t="shared" si="9"/>
        <v/>
      </c>
      <c r="CU12" s="92" t="str">
        <f t="shared" si="9"/>
        <v/>
      </c>
      <c r="CV12" s="92" t="str">
        <f t="shared" si="9"/>
        <v/>
      </c>
      <c r="CW12" s="92" t="str">
        <f t="shared" si="9"/>
        <v/>
      </c>
      <c r="CX12" s="92" t="str">
        <f t="shared" si="10"/>
        <v/>
      </c>
      <c r="CY12" s="92" t="str">
        <f t="shared" si="10"/>
        <v/>
      </c>
      <c r="CZ12" s="92" t="str">
        <f t="shared" si="10"/>
        <v/>
      </c>
      <c r="DA12" s="92" t="str">
        <f t="shared" si="10"/>
        <v/>
      </c>
      <c r="DB12" s="92" t="str">
        <f t="shared" si="10"/>
        <v/>
      </c>
      <c r="DC12" s="92" t="str">
        <f t="shared" si="10"/>
        <v/>
      </c>
      <c r="DD12" s="92" t="str">
        <f t="shared" si="10"/>
        <v/>
      </c>
      <c r="DE12" s="92" t="str">
        <f t="shared" si="10"/>
        <v/>
      </c>
      <c r="DF12" s="92" t="str">
        <f t="shared" si="10"/>
        <v/>
      </c>
      <c r="DG12" s="92" t="str">
        <f t="shared" si="10"/>
        <v/>
      </c>
      <c r="DH12" s="92" t="str">
        <f t="shared" si="10"/>
        <v/>
      </c>
      <c r="DI12" s="92" t="str">
        <f t="shared" si="10"/>
        <v/>
      </c>
    </row>
    <row r="13" spans="1:113">
      <c r="A13" s="41">
        <v>975080</v>
      </c>
      <c r="B13" s="1">
        <v>24</v>
      </c>
      <c r="C13" s="29" t="str">
        <f t="shared" si="4"/>
        <v>975080-24</v>
      </c>
      <c r="D13" s="28" t="s">
        <v>80</v>
      </c>
      <c r="E13" s="37" t="s">
        <v>87</v>
      </c>
      <c r="F13" s="31">
        <v>42458</v>
      </c>
      <c r="G13" s="38"/>
      <c r="H13" s="31">
        <v>42468</v>
      </c>
      <c r="I13" s="38">
        <v>31.2</v>
      </c>
      <c r="J13" s="165"/>
      <c r="K13" s="38">
        <v>6.9</v>
      </c>
      <c r="L13" s="38">
        <v>4.5999999999999996</v>
      </c>
      <c r="M13" s="32">
        <f t="shared" si="5"/>
        <v>75.922079999999994</v>
      </c>
      <c r="N13" s="118">
        <f>5.71/560*1000</f>
        <v>10.196428571428571</v>
      </c>
      <c r="O13" s="32">
        <f>M13*10/3</f>
        <v>253.07359999999997</v>
      </c>
      <c r="P13" s="32">
        <f t="shared" si="6"/>
        <v>25.307359999999999</v>
      </c>
      <c r="Q13" s="38">
        <v>178</v>
      </c>
      <c r="R13" s="160">
        <f>Q13/O13</f>
        <v>0.7033527005582566</v>
      </c>
      <c r="S13" s="236">
        <f t="shared" si="7"/>
        <v>2.3445090018608554</v>
      </c>
      <c r="T13" s="237">
        <v>139</v>
      </c>
      <c r="U13" s="236">
        <f t="shared" si="12"/>
        <v>11.137820512820515</v>
      </c>
      <c r="V13" s="238">
        <f t="shared" si="11"/>
        <v>4.5770611131834116</v>
      </c>
      <c r="W13" s="33"/>
      <c r="X13" s="138"/>
      <c r="Y13" s="87">
        <v>37.374479999999998</v>
      </c>
      <c r="Z13" s="93">
        <f>7.1*4.9*4.9*0.52</f>
        <v>88.644919999999999</v>
      </c>
      <c r="AA13" s="93">
        <v>75.922079999999994</v>
      </c>
      <c r="AB13" s="93">
        <f>7.7*6.8*6.8*0.52</f>
        <v>185.14496</v>
      </c>
      <c r="AC13" s="93">
        <f>7.6*6.8*6.8*0.52</f>
        <v>182.74047999999999</v>
      </c>
      <c r="AD13" s="93">
        <f>8.1*6*6*0.52</f>
        <v>151.63199999999998</v>
      </c>
      <c r="AE13" s="93">
        <f>7.8*6.5*6.5*0.52</f>
        <v>171.36599999999999</v>
      </c>
      <c r="AF13" s="93">
        <f>9.6*6.8*6.8*0.52</f>
        <v>230.83008000000001</v>
      </c>
      <c r="AG13" s="93">
        <f>10.9*7.1*7.1*0.52</f>
        <v>285.72387999999995</v>
      </c>
      <c r="AH13" s="93">
        <f>8.3*6.7*6.7*0.52</f>
        <v>193.74524000000002</v>
      </c>
      <c r="AI13" s="93">
        <f>10.8*7.1*7.1*0.52</f>
        <v>283.10255999999998</v>
      </c>
      <c r="AJ13" s="93">
        <f>11.7*8.1*8.1*0.52</f>
        <v>399.17124000000001</v>
      </c>
      <c r="AK13" s="93">
        <f>10.6*8.2*8.2*0.52</f>
        <v>370.62687999999991</v>
      </c>
      <c r="AL13" s="93">
        <f>12.7*8.2*8.2*0.52</f>
        <v>444.05295999999993</v>
      </c>
      <c r="AM13" s="93">
        <f>13.7*9.7*9.7*0.52</f>
        <v>670.29715999999985</v>
      </c>
      <c r="AN13" s="93">
        <f>14.2*10.4*10.4*0.52</f>
        <v>798.65344000000005</v>
      </c>
      <c r="AO13" s="93">
        <f>15*12*12*0.52</f>
        <v>1123.2</v>
      </c>
      <c r="AP13" s="93">
        <f>15.3*11.3*11.3*0.52</f>
        <v>1015.9016400000003</v>
      </c>
      <c r="AQ13" s="93">
        <f>15.9*12.2*12.2*0.52</f>
        <v>1230.6091199999998</v>
      </c>
      <c r="AR13" s="93">
        <f>15.9*12.4*12.4*0.52</f>
        <v>1271.2876800000001</v>
      </c>
      <c r="AS13" s="93">
        <f>16.9*13*13*0.52</f>
        <v>1485.172</v>
      </c>
      <c r="AT13" s="93">
        <f>16.9*15.5*15.5*0.52</f>
        <v>2111.317</v>
      </c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2"/>
      <c r="BR13" s="92">
        <f t="shared" si="8"/>
        <v>0.49227418426892416</v>
      </c>
      <c r="BS13" s="92">
        <f t="shared" si="8"/>
        <v>1.167577600613682</v>
      </c>
      <c r="BT13" s="92">
        <f t="shared" si="8"/>
        <v>1</v>
      </c>
      <c r="BU13" s="92">
        <f t="shared" si="8"/>
        <v>2.4386181200515056</v>
      </c>
      <c r="BV13" s="92">
        <f t="shared" si="8"/>
        <v>2.4069477548560316</v>
      </c>
      <c r="BW13" s="92">
        <f t="shared" si="8"/>
        <v>1.997205556012164</v>
      </c>
      <c r="BX13" s="92">
        <f t="shared" si="8"/>
        <v>2.2571299416454345</v>
      </c>
      <c r="BY13" s="92">
        <f t="shared" si="8"/>
        <v>3.0403550587655137</v>
      </c>
      <c r="BZ13" s="92">
        <f t="shared" si="8"/>
        <v>3.7633831949809591</v>
      </c>
      <c r="CA13" s="92">
        <f t="shared" si="8"/>
        <v>2.5518958384701795</v>
      </c>
      <c r="CB13" s="92">
        <f t="shared" si="8"/>
        <v>3.7288567436508591</v>
      </c>
      <c r="CC13" s="92">
        <f t="shared" si="8"/>
        <v>5.2576436262020225</v>
      </c>
      <c r="CD13" s="92">
        <f t="shared" si="8"/>
        <v>4.8816744746719261</v>
      </c>
      <c r="CE13" s="92">
        <f t="shared" si="8"/>
        <v>5.848798663050327</v>
      </c>
      <c r="CF13" s="92">
        <f t="shared" si="8"/>
        <v>8.8287512670885722</v>
      </c>
      <c r="CG13" s="92">
        <f t="shared" si="8"/>
        <v>10.519383030601903</v>
      </c>
      <c r="CH13" s="92">
        <f t="shared" si="9"/>
        <v>14.794115229719736</v>
      </c>
      <c r="CI13" s="92">
        <f t="shared" si="9"/>
        <v>13.38084573025397</v>
      </c>
      <c r="CJ13" s="92">
        <f t="shared" si="9"/>
        <v>16.208843593326211</v>
      </c>
      <c r="CK13" s="92">
        <f t="shared" si="9"/>
        <v>16.744637133229229</v>
      </c>
      <c r="CL13" s="92">
        <f t="shared" si="9"/>
        <v>19.561792827593766</v>
      </c>
      <c r="CM13" s="92">
        <f t="shared" si="9"/>
        <v>27.808998383605932</v>
      </c>
      <c r="CN13" s="92" t="str">
        <f t="shared" si="9"/>
        <v/>
      </c>
      <c r="CO13" s="92" t="str">
        <f t="shared" si="9"/>
        <v/>
      </c>
      <c r="CP13" s="92" t="str">
        <f t="shared" si="9"/>
        <v/>
      </c>
      <c r="CQ13" s="92" t="str">
        <f t="shared" si="9"/>
        <v/>
      </c>
      <c r="CR13" s="92" t="str">
        <f t="shared" si="9"/>
        <v/>
      </c>
      <c r="CS13" s="92" t="str">
        <f t="shared" si="9"/>
        <v/>
      </c>
      <c r="CT13" s="92" t="str">
        <f t="shared" si="9"/>
        <v/>
      </c>
      <c r="CU13" s="92" t="str">
        <f t="shared" si="9"/>
        <v/>
      </c>
      <c r="CV13" s="92" t="str">
        <f t="shared" si="9"/>
        <v/>
      </c>
      <c r="CW13" s="92" t="str">
        <f t="shared" si="9"/>
        <v/>
      </c>
      <c r="CX13" s="92" t="str">
        <f t="shared" si="10"/>
        <v/>
      </c>
      <c r="CY13" s="92" t="str">
        <f t="shared" si="10"/>
        <v/>
      </c>
      <c r="CZ13" s="92" t="str">
        <f t="shared" si="10"/>
        <v/>
      </c>
      <c r="DA13" s="92" t="str">
        <f t="shared" si="10"/>
        <v/>
      </c>
      <c r="DB13" s="92" t="str">
        <f t="shared" si="10"/>
        <v/>
      </c>
      <c r="DC13" s="92" t="str">
        <f t="shared" si="10"/>
        <v/>
      </c>
      <c r="DD13" s="92" t="str">
        <f t="shared" si="10"/>
        <v/>
      </c>
      <c r="DE13" s="92" t="str">
        <f t="shared" si="10"/>
        <v/>
      </c>
      <c r="DF13" s="92" t="str">
        <f t="shared" si="10"/>
        <v/>
      </c>
      <c r="DG13" s="92" t="str">
        <f t="shared" si="10"/>
        <v/>
      </c>
      <c r="DH13" s="92" t="str">
        <f t="shared" si="10"/>
        <v/>
      </c>
      <c r="DI13" s="92" t="str">
        <f t="shared" si="10"/>
        <v/>
      </c>
    </row>
    <row r="14" spans="1:113">
      <c r="A14" s="41">
        <v>975080</v>
      </c>
      <c r="B14" s="1">
        <v>25</v>
      </c>
      <c r="C14" s="29" t="str">
        <f t="shared" si="4"/>
        <v>975080-25</v>
      </c>
      <c r="D14" s="28" t="s">
        <v>80</v>
      </c>
      <c r="E14" s="37" t="s">
        <v>88</v>
      </c>
      <c r="F14" s="31">
        <v>42458</v>
      </c>
      <c r="G14" s="38"/>
      <c r="H14" s="31">
        <v>42468</v>
      </c>
      <c r="I14" s="38">
        <v>31.3</v>
      </c>
      <c r="J14" s="165"/>
      <c r="K14" s="38">
        <v>7.1</v>
      </c>
      <c r="L14" s="38">
        <v>5.7</v>
      </c>
      <c r="M14" s="32">
        <f t="shared" si="5"/>
        <v>119.95308</v>
      </c>
      <c r="N14" s="118"/>
      <c r="O14" s="32"/>
      <c r="P14" s="32">
        <f t="shared" si="6"/>
        <v>39.984360000000002</v>
      </c>
      <c r="Q14" s="38"/>
      <c r="R14" s="160"/>
      <c r="S14" s="236">
        <f t="shared" si="7"/>
        <v>0</v>
      </c>
      <c r="T14" s="237">
        <v>278</v>
      </c>
      <c r="U14" s="236">
        <f t="shared" si="12"/>
        <v>22.204472843450478</v>
      </c>
      <c r="V14" s="238">
        <f t="shared" si="11"/>
        <v>5.7939320941154664</v>
      </c>
      <c r="W14" s="33"/>
      <c r="X14" s="138"/>
      <c r="Y14" s="87">
        <v>75.479039999999998</v>
      </c>
      <c r="Z14" s="93">
        <f>6.1*5.6*5.6*0.52</f>
        <v>99.473919999999978</v>
      </c>
      <c r="AA14" s="93">
        <v>119.95308</v>
      </c>
      <c r="AB14" s="93">
        <f>6.3*5.4*5.4*0.52</f>
        <v>95.528160000000014</v>
      </c>
      <c r="AC14" s="93">
        <f>7.5*6.1*6.1*0.52</f>
        <v>145.119</v>
      </c>
      <c r="AD14" s="93">
        <f>7.7*6.7*6.7*0.52</f>
        <v>179.73956000000001</v>
      </c>
      <c r="AE14" s="93">
        <f>9.1*7.4*7.4*0.52</f>
        <v>259.12432000000001</v>
      </c>
      <c r="AF14" s="93">
        <f>9.5*8*8*0.52</f>
        <v>316.16000000000003</v>
      </c>
      <c r="AG14" s="93">
        <f>10.8*8.4*8.4*0.52</f>
        <v>396.26496000000009</v>
      </c>
      <c r="AH14" s="93">
        <f>12*9.3*9.3*0.52</f>
        <v>539.69760000000008</v>
      </c>
      <c r="AI14" s="93">
        <f>12.3*10*10*0.52</f>
        <v>639.6</v>
      </c>
      <c r="AJ14" s="93">
        <f>14.7*11.2*11.2*0.52</f>
        <v>958.86335999999983</v>
      </c>
      <c r="AK14" s="93">
        <f>15.3*11.8*11.8*0.52</f>
        <v>1107.7934400000001</v>
      </c>
      <c r="AL14" s="93">
        <f>16.1*12.2*12.2*0.52</f>
        <v>1246.0884800000001</v>
      </c>
      <c r="AM14" s="93">
        <f>16.4*13.4*13.4*0.52</f>
        <v>1531.2876800000001</v>
      </c>
      <c r="AN14" s="93">
        <f>17.2*14.5*14.5*0.52</f>
        <v>1880.4759999999999</v>
      </c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2"/>
      <c r="BR14" s="92">
        <f t="shared" si="8"/>
        <v>0.62923803207053952</v>
      </c>
      <c r="BS14" s="92">
        <f t="shared" si="8"/>
        <v>0.82927357930284051</v>
      </c>
      <c r="BT14" s="92">
        <f t="shared" si="8"/>
        <v>1</v>
      </c>
      <c r="BU14" s="92">
        <f t="shared" si="8"/>
        <v>0.7963793843392768</v>
      </c>
      <c r="BV14" s="92">
        <f t="shared" si="8"/>
        <v>1.2097980310301328</v>
      </c>
      <c r="BW14" s="92">
        <f t="shared" si="8"/>
        <v>1.4984155471456007</v>
      </c>
      <c r="BX14" s="92">
        <f t="shared" si="8"/>
        <v>2.1602139769983397</v>
      </c>
      <c r="BY14" s="92">
        <f t="shared" si="8"/>
        <v>2.635697224281361</v>
      </c>
      <c r="BZ14" s="92">
        <f t="shared" si="8"/>
        <v>3.3034996683703337</v>
      </c>
      <c r="CA14" s="92">
        <f t="shared" si="8"/>
        <v>4.4992392025281891</v>
      </c>
      <c r="CB14" s="92">
        <f t="shared" si="8"/>
        <v>5.3320848451744638</v>
      </c>
      <c r="CC14" s="92">
        <f t="shared" si="8"/>
        <v>7.9936535185257425</v>
      </c>
      <c r="CD14" s="92">
        <f t="shared" si="8"/>
        <v>9.2352229721821253</v>
      </c>
      <c r="CE14" s="92">
        <f t="shared" si="8"/>
        <v>10.388132426445408</v>
      </c>
      <c r="CF14" s="92">
        <f t="shared" si="8"/>
        <v>12.765722063993689</v>
      </c>
      <c r="CG14" s="92">
        <f t="shared" si="8"/>
        <v>15.676762947645862</v>
      </c>
      <c r="CH14" s="92" t="str">
        <f t="shared" si="9"/>
        <v/>
      </c>
      <c r="CI14" s="92" t="str">
        <f t="shared" si="9"/>
        <v/>
      </c>
      <c r="CJ14" s="92" t="str">
        <f t="shared" si="9"/>
        <v/>
      </c>
      <c r="CK14" s="92" t="str">
        <f t="shared" si="9"/>
        <v/>
      </c>
      <c r="CL14" s="92" t="str">
        <f t="shared" si="9"/>
        <v/>
      </c>
      <c r="CM14" s="92" t="str">
        <f t="shared" si="9"/>
        <v/>
      </c>
      <c r="CN14" s="92" t="str">
        <f t="shared" si="9"/>
        <v/>
      </c>
      <c r="CO14" s="92" t="str">
        <f t="shared" si="9"/>
        <v/>
      </c>
      <c r="CP14" s="92" t="str">
        <f t="shared" si="9"/>
        <v/>
      </c>
      <c r="CQ14" s="92" t="str">
        <f t="shared" si="9"/>
        <v/>
      </c>
      <c r="CR14" s="92" t="str">
        <f t="shared" si="9"/>
        <v/>
      </c>
      <c r="CS14" s="92" t="str">
        <f t="shared" si="9"/>
        <v/>
      </c>
      <c r="CT14" s="92" t="str">
        <f t="shared" si="9"/>
        <v/>
      </c>
      <c r="CU14" s="92" t="str">
        <f t="shared" si="9"/>
        <v/>
      </c>
      <c r="CV14" s="92" t="str">
        <f t="shared" si="9"/>
        <v/>
      </c>
      <c r="CW14" s="92" t="str">
        <f t="shared" si="9"/>
        <v/>
      </c>
      <c r="CX14" s="92" t="str">
        <f t="shared" si="10"/>
        <v/>
      </c>
      <c r="CY14" s="92" t="str">
        <f t="shared" si="10"/>
        <v/>
      </c>
      <c r="CZ14" s="92" t="str">
        <f t="shared" si="10"/>
        <v/>
      </c>
      <c r="DA14" s="92" t="str">
        <f t="shared" si="10"/>
        <v/>
      </c>
      <c r="DB14" s="92" t="str">
        <f t="shared" si="10"/>
        <v/>
      </c>
      <c r="DC14" s="92" t="str">
        <f t="shared" si="10"/>
        <v/>
      </c>
      <c r="DD14" s="92" t="str">
        <f t="shared" si="10"/>
        <v/>
      </c>
      <c r="DE14" s="92" t="str">
        <f t="shared" si="10"/>
        <v/>
      </c>
      <c r="DF14" s="92" t="str">
        <f t="shared" si="10"/>
        <v/>
      </c>
      <c r="DG14" s="92" t="str">
        <f t="shared" si="10"/>
        <v/>
      </c>
      <c r="DH14" s="92" t="str">
        <f t="shared" si="10"/>
        <v/>
      </c>
      <c r="DI14" s="92" t="str">
        <f t="shared" si="10"/>
        <v/>
      </c>
    </row>
    <row r="15" spans="1:113">
      <c r="A15" s="41">
        <v>961180</v>
      </c>
      <c r="B15" s="1">
        <v>31</v>
      </c>
      <c r="C15" s="29" t="str">
        <f t="shared" si="4"/>
        <v>961180-31</v>
      </c>
      <c r="D15" s="28" t="s">
        <v>80</v>
      </c>
      <c r="E15" s="37" t="s">
        <v>83</v>
      </c>
      <c r="F15" s="31">
        <v>42458</v>
      </c>
      <c r="G15" s="38"/>
      <c r="H15" s="31">
        <v>42468</v>
      </c>
      <c r="I15" s="38">
        <v>28.9</v>
      </c>
      <c r="J15" s="165"/>
      <c r="K15" s="38">
        <v>6.2</v>
      </c>
      <c r="L15" s="38">
        <v>5.8</v>
      </c>
      <c r="M15" s="32">
        <f t="shared" si="5"/>
        <v>108.45536000000001</v>
      </c>
      <c r="N15" s="118"/>
      <c r="O15" s="32"/>
      <c r="P15" s="32">
        <f t="shared" si="6"/>
        <v>36.151786666666673</v>
      </c>
      <c r="Q15" s="38"/>
      <c r="R15" s="160"/>
      <c r="S15" s="236">
        <f t="shared" si="7"/>
        <v>0</v>
      </c>
      <c r="T15" s="237">
        <v>128</v>
      </c>
      <c r="U15" s="236">
        <f t="shared" si="12"/>
        <v>11.072664359861593</v>
      </c>
      <c r="V15" s="238">
        <f t="shared" si="11"/>
        <v>2.9505226850936643</v>
      </c>
      <c r="W15" s="33"/>
      <c r="X15" s="138"/>
      <c r="Y15" s="87">
        <v>80.600000000000009</v>
      </c>
      <c r="Z15" s="93">
        <f>6.4*6*6*0.52</f>
        <v>119.80800000000002</v>
      </c>
      <c r="AA15" s="93">
        <v>108.45536000000001</v>
      </c>
      <c r="AB15" s="93">
        <f>8.2*6.6*6.6*0.52</f>
        <v>185.73983999999996</v>
      </c>
      <c r="AC15" s="93">
        <f>8.4*6.5*6.5*0.52</f>
        <v>184.54800000000003</v>
      </c>
      <c r="AD15" s="93">
        <f>8.5*7.4*7.4*0.52</f>
        <v>242.03920000000002</v>
      </c>
      <c r="AE15" s="93">
        <f>9.4*8.1*8.1*0.52</f>
        <v>320.70167999999995</v>
      </c>
      <c r="AF15" s="93">
        <f>12.5*9.6*9.6*0.52</f>
        <v>599.04</v>
      </c>
      <c r="AG15" s="93">
        <f>13.2*10.5*10.5*0.52</f>
        <v>756.75599999999997</v>
      </c>
      <c r="AH15" s="93">
        <f>15.4*11.2*11.2*0.52</f>
        <v>1004.52352</v>
      </c>
      <c r="AI15" s="93">
        <f>15.9*11.6*11.6*0.52</f>
        <v>1112.5420799999999</v>
      </c>
      <c r="AJ15" s="93">
        <f>18.2*14.8*14.8*0.52</f>
        <v>2072.9945600000001</v>
      </c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2"/>
      <c r="BR15" s="92">
        <f t="shared" si="8"/>
        <v>0.74316290130796669</v>
      </c>
      <c r="BS15" s="92">
        <f t="shared" si="8"/>
        <v>1.104675693299068</v>
      </c>
      <c r="BT15" s="92">
        <f t="shared" si="8"/>
        <v>1</v>
      </c>
      <c r="BU15" s="92">
        <f t="shared" si="8"/>
        <v>1.7125925357677108</v>
      </c>
      <c r="BV15" s="92">
        <f t="shared" si="8"/>
        <v>1.7016033140270799</v>
      </c>
      <c r="BW15" s="92">
        <f t="shared" si="8"/>
        <v>2.2316942196310077</v>
      </c>
      <c r="BX15" s="92">
        <f t="shared" si="8"/>
        <v>2.9569924437114028</v>
      </c>
      <c r="BY15" s="92">
        <f t="shared" si="8"/>
        <v>5.5233784664953385</v>
      </c>
      <c r="BZ15" s="92">
        <f t="shared" si="8"/>
        <v>6.9775804533773149</v>
      </c>
      <c r="CA15" s="92">
        <f t="shared" si="8"/>
        <v>9.2620919795941834</v>
      </c>
      <c r="CB15" s="92">
        <f t="shared" si="8"/>
        <v>10.25806451612903</v>
      </c>
      <c r="CC15" s="92">
        <f t="shared" si="8"/>
        <v>19.113804610486746</v>
      </c>
      <c r="CD15" s="92" t="str">
        <f t="shared" si="8"/>
        <v/>
      </c>
      <c r="CE15" s="92" t="str">
        <f t="shared" si="8"/>
        <v/>
      </c>
      <c r="CF15" s="92" t="str">
        <f t="shared" si="8"/>
        <v/>
      </c>
      <c r="CG15" s="92" t="str">
        <f t="shared" si="8"/>
        <v/>
      </c>
      <c r="CH15" s="92" t="str">
        <f t="shared" si="9"/>
        <v/>
      </c>
      <c r="CI15" s="92" t="str">
        <f t="shared" si="9"/>
        <v/>
      </c>
      <c r="CJ15" s="92" t="str">
        <f t="shared" si="9"/>
        <v/>
      </c>
      <c r="CK15" s="92" t="str">
        <f t="shared" si="9"/>
        <v/>
      </c>
      <c r="CL15" s="92" t="str">
        <f t="shared" si="9"/>
        <v/>
      </c>
      <c r="CM15" s="92" t="str">
        <f t="shared" si="9"/>
        <v/>
      </c>
      <c r="CN15" s="92" t="str">
        <f t="shared" si="9"/>
        <v/>
      </c>
      <c r="CO15" s="92" t="str">
        <f t="shared" si="9"/>
        <v/>
      </c>
      <c r="CP15" s="92" t="str">
        <f t="shared" si="9"/>
        <v/>
      </c>
      <c r="CQ15" s="92" t="str">
        <f t="shared" si="9"/>
        <v/>
      </c>
      <c r="CR15" s="92" t="str">
        <f t="shared" si="9"/>
        <v/>
      </c>
      <c r="CS15" s="92" t="str">
        <f t="shared" si="9"/>
        <v/>
      </c>
      <c r="CT15" s="92" t="str">
        <f t="shared" si="9"/>
        <v/>
      </c>
      <c r="CU15" s="92" t="str">
        <f t="shared" si="9"/>
        <v/>
      </c>
      <c r="CV15" s="92" t="str">
        <f t="shared" si="9"/>
        <v/>
      </c>
      <c r="CW15" s="92" t="str">
        <f t="shared" si="9"/>
        <v/>
      </c>
      <c r="CX15" s="92" t="str">
        <f t="shared" si="10"/>
        <v/>
      </c>
      <c r="CY15" s="92" t="str">
        <f t="shared" si="10"/>
        <v/>
      </c>
      <c r="CZ15" s="92" t="str">
        <f t="shared" si="10"/>
        <v/>
      </c>
      <c r="DA15" s="92" t="str">
        <f t="shared" si="10"/>
        <v/>
      </c>
      <c r="DB15" s="92" t="str">
        <f t="shared" si="10"/>
        <v/>
      </c>
      <c r="DC15" s="92" t="str">
        <f t="shared" si="10"/>
        <v/>
      </c>
      <c r="DD15" s="92" t="str">
        <f t="shared" si="10"/>
        <v/>
      </c>
      <c r="DE15" s="92" t="str">
        <f t="shared" si="10"/>
        <v/>
      </c>
      <c r="DF15" s="92" t="str">
        <f t="shared" si="10"/>
        <v/>
      </c>
      <c r="DG15" s="92" t="str">
        <f t="shared" si="10"/>
        <v/>
      </c>
      <c r="DH15" s="92" t="str">
        <f t="shared" si="10"/>
        <v/>
      </c>
      <c r="DI15" s="92" t="str">
        <f t="shared" si="10"/>
        <v/>
      </c>
    </row>
    <row r="16" spans="1:113">
      <c r="A16" s="41">
        <v>961180</v>
      </c>
      <c r="B16" s="1">
        <v>32</v>
      </c>
      <c r="C16" s="29" t="str">
        <f t="shared" si="4"/>
        <v>961180-32</v>
      </c>
      <c r="D16" s="28" t="s">
        <v>80</v>
      </c>
      <c r="E16" s="37" t="s">
        <v>34</v>
      </c>
      <c r="F16" s="31">
        <v>42458</v>
      </c>
      <c r="G16" s="38"/>
      <c r="H16" s="31">
        <v>42468</v>
      </c>
      <c r="I16" s="38">
        <v>25.6</v>
      </c>
      <c r="J16" s="165"/>
      <c r="K16" s="38">
        <v>7.3</v>
      </c>
      <c r="L16" s="38">
        <v>5.8</v>
      </c>
      <c r="M16" s="32">
        <f t="shared" si="5"/>
        <v>127.69744</v>
      </c>
      <c r="N16" s="118"/>
      <c r="O16" s="32"/>
      <c r="P16" s="32">
        <f t="shared" si="6"/>
        <v>42.565813333333331</v>
      </c>
      <c r="Q16" s="38"/>
      <c r="R16" s="160"/>
      <c r="S16" s="236">
        <f t="shared" si="7"/>
        <v>0</v>
      </c>
      <c r="T16" s="237">
        <v>0</v>
      </c>
      <c r="U16" s="236">
        <f t="shared" si="12"/>
        <v>0</v>
      </c>
      <c r="V16" s="238">
        <f t="shared" si="11"/>
        <v>0</v>
      </c>
      <c r="W16" s="33"/>
      <c r="X16" s="138"/>
      <c r="Y16" s="87">
        <v>99.831680000000006</v>
      </c>
      <c r="Z16" s="93">
        <f>6.8*5.8*5.8*0.52</f>
        <v>118.95103999999999</v>
      </c>
      <c r="AA16" s="93">
        <v>127.69744</v>
      </c>
      <c r="AB16" s="93">
        <f>7.1*6.5*6.5*0.52</f>
        <v>155.98699999999999</v>
      </c>
      <c r="AC16" s="93">
        <f>8.3*6.7*6.7*0.52</f>
        <v>193.74524000000002</v>
      </c>
      <c r="AD16" s="93">
        <f>8.5*7*7*0.52</f>
        <v>216.58</v>
      </c>
      <c r="AE16" s="93">
        <f>9.7*8*8*0.52</f>
        <v>322.81599999999997</v>
      </c>
      <c r="AF16" s="93">
        <f>11.5*9.7*9.7*0.52</f>
        <v>562.65819999999997</v>
      </c>
      <c r="AG16" s="93">
        <f>13*11.3*11.3*0.52</f>
        <v>863.18440000000021</v>
      </c>
      <c r="AH16" s="93">
        <f>14.2*11.6*11.6*0.52</f>
        <v>993.59104000000002</v>
      </c>
      <c r="AI16" s="93">
        <f>16*12.7*12.7*0.52</f>
        <v>1341.9328</v>
      </c>
      <c r="AJ16" s="93">
        <f>17.6*15.2*15.2*0.52</f>
        <v>2114.4780799999999</v>
      </c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2"/>
      <c r="BR16" s="92">
        <f t="shared" si="8"/>
        <v>0.78178293942306132</v>
      </c>
      <c r="BS16" s="92">
        <f t="shared" si="8"/>
        <v>0.93150684931506844</v>
      </c>
      <c r="BT16" s="92">
        <f t="shared" si="8"/>
        <v>1</v>
      </c>
      <c r="BU16" s="92">
        <f t="shared" si="8"/>
        <v>1.2215358428485332</v>
      </c>
      <c r="BV16" s="92">
        <f t="shared" si="8"/>
        <v>1.5172210186829118</v>
      </c>
      <c r="BW16" s="92">
        <f t="shared" si="8"/>
        <v>1.6960402651768118</v>
      </c>
      <c r="BX16" s="92">
        <f t="shared" si="8"/>
        <v>2.5279755020930721</v>
      </c>
      <c r="BY16" s="92">
        <f t="shared" si="8"/>
        <v>4.4061823009137848</v>
      </c>
      <c r="BZ16" s="92">
        <f t="shared" si="8"/>
        <v>6.7596061440229356</v>
      </c>
      <c r="CA16" s="92">
        <f t="shared" si="8"/>
        <v>7.7808219178082192</v>
      </c>
      <c r="CB16" s="92">
        <f t="shared" si="8"/>
        <v>10.508689915788445</v>
      </c>
      <c r="CC16" s="92">
        <f t="shared" si="8"/>
        <v>16.558500154740766</v>
      </c>
      <c r="CD16" s="92" t="str">
        <f t="shared" si="8"/>
        <v/>
      </c>
      <c r="CE16" s="92" t="str">
        <f t="shared" si="8"/>
        <v/>
      </c>
      <c r="CF16" s="92" t="str">
        <f t="shared" si="8"/>
        <v/>
      </c>
      <c r="CG16" s="92" t="str">
        <f t="shared" si="8"/>
        <v/>
      </c>
      <c r="CH16" s="92" t="str">
        <f t="shared" si="9"/>
        <v/>
      </c>
      <c r="CI16" s="92" t="str">
        <f t="shared" si="9"/>
        <v/>
      </c>
      <c r="CJ16" s="92" t="str">
        <f t="shared" si="9"/>
        <v/>
      </c>
      <c r="CK16" s="92" t="str">
        <f t="shared" si="9"/>
        <v/>
      </c>
      <c r="CL16" s="92" t="str">
        <f t="shared" si="9"/>
        <v/>
      </c>
      <c r="CM16" s="92" t="str">
        <f t="shared" si="9"/>
        <v/>
      </c>
      <c r="CN16" s="92" t="str">
        <f t="shared" si="9"/>
        <v/>
      </c>
      <c r="CO16" s="92" t="str">
        <f t="shared" si="9"/>
        <v/>
      </c>
      <c r="CP16" s="92" t="str">
        <f t="shared" si="9"/>
        <v/>
      </c>
      <c r="CQ16" s="92" t="str">
        <f t="shared" si="9"/>
        <v/>
      </c>
      <c r="CR16" s="92" t="str">
        <f t="shared" si="9"/>
        <v/>
      </c>
      <c r="CS16" s="92" t="str">
        <f t="shared" si="9"/>
        <v/>
      </c>
      <c r="CT16" s="92" t="str">
        <f t="shared" si="9"/>
        <v/>
      </c>
      <c r="CU16" s="92" t="str">
        <f t="shared" si="9"/>
        <v/>
      </c>
      <c r="CV16" s="92" t="str">
        <f t="shared" si="9"/>
        <v/>
      </c>
      <c r="CW16" s="92" t="str">
        <f t="shared" si="9"/>
        <v/>
      </c>
      <c r="CX16" s="92" t="str">
        <f t="shared" si="10"/>
        <v/>
      </c>
      <c r="CY16" s="92" t="str">
        <f t="shared" si="10"/>
        <v/>
      </c>
      <c r="CZ16" s="92" t="str">
        <f t="shared" si="10"/>
        <v/>
      </c>
      <c r="DA16" s="92" t="str">
        <f t="shared" si="10"/>
        <v/>
      </c>
      <c r="DB16" s="92" t="str">
        <f t="shared" si="10"/>
        <v/>
      </c>
      <c r="DC16" s="92" t="str">
        <f t="shared" si="10"/>
        <v/>
      </c>
      <c r="DD16" s="92" t="str">
        <f t="shared" si="10"/>
        <v/>
      </c>
      <c r="DE16" s="92" t="str">
        <f t="shared" si="10"/>
        <v/>
      </c>
      <c r="DF16" s="92" t="str">
        <f t="shared" si="10"/>
        <v/>
      </c>
      <c r="DG16" s="92" t="str">
        <f t="shared" si="10"/>
        <v/>
      </c>
      <c r="DH16" s="92" t="str">
        <f t="shared" si="10"/>
        <v/>
      </c>
      <c r="DI16" s="92" t="str">
        <f t="shared" si="10"/>
        <v/>
      </c>
    </row>
    <row r="17" spans="1:113">
      <c r="A17" s="41">
        <v>961180</v>
      </c>
      <c r="B17" s="1">
        <v>33</v>
      </c>
      <c r="C17" s="29" t="str">
        <f t="shared" si="4"/>
        <v>961180-33</v>
      </c>
      <c r="D17" s="28" t="s">
        <v>80</v>
      </c>
      <c r="E17" s="37" t="s">
        <v>86</v>
      </c>
      <c r="F17" s="31">
        <v>42458</v>
      </c>
      <c r="G17" s="38"/>
      <c r="H17" s="31">
        <v>42468</v>
      </c>
      <c r="I17" s="38">
        <v>29</v>
      </c>
      <c r="J17" s="165"/>
      <c r="K17" s="38">
        <v>7.6</v>
      </c>
      <c r="L17" s="38">
        <v>5.5</v>
      </c>
      <c r="M17" s="32">
        <f t="shared" si="5"/>
        <v>119.54799999999999</v>
      </c>
      <c r="N17" s="118">
        <f>8.76*1000/850</f>
        <v>10.305882352941177</v>
      </c>
      <c r="O17" s="32">
        <f>M17*10/3</f>
        <v>398.49333333333328</v>
      </c>
      <c r="P17" s="32">
        <f t="shared" si="6"/>
        <v>39.849333333333327</v>
      </c>
      <c r="Q17" s="38">
        <v>358</v>
      </c>
      <c r="R17" s="160">
        <f>Q17/O17</f>
        <v>0.8983839127379798</v>
      </c>
      <c r="S17" s="236">
        <f t="shared" si="7"/>
        <v>2.9946130424599327</v>
      </c>
      <c r="T17" s="237">
        <v>258.10000000000002</v>
      </c>
      <c r="U17" s="236">
        <f t="shared" si="12"/>
        <v>22.25</v>
      </c>
      <c r="V17" s="238">
        <f t="shared" si="11"/>
        <v>5.3974135911934962</v>
      </c>
      <c r="W17" s="33"/>
      <c r="X17" s="138"/>
      <c r="Y17" s="87">
        <v>96.028919999999985</v>
      </c>
      <c r="Z17" s="93">
        <f>6.2*5.1*5.1*0.52</f>
        <v>83.856239999999985</v>
      </c>
      <c r="AA17" s="93">
        <v>119.54799999999999</v>
      </c>
      <c r="AB17" s="93">
        <f>7.3*6.1*6.1*0.52</f>
        <v>141.24915999999996</v>
      </c>
      <c r="AC17" s="93">
        <f>7.8*6.3*6.3*0.52</f>
        <v>160.98264</v>
      </c>
      <c r="AD17" s="93">
        <f>7.9*6.1*6.1*0.52</f>
        <v>152.85867999999996</v>
      </c>
      <c r="AE17" s="93">
        <f>7.3*6.4*6.4*0.52</f>
        <v>155.48416</v>
      </c>
      <c r="AF17" s="93">
        <f>7.3*6.5*6.5*0.52</f>
        <v>160.38099999999997</v>
      </c>
      <c r="AG17" s="93">
        <f>6.8*6.5*6.5*0.52</f>
        <v>149.39599999999999</v>
      </c>
      <c r="AH17" s="93">
        <f>7.4*7*7*0.52</f>
        <v>188.55200000000002</v>
      </c>
      <c r="AI17" s="93">
        <f>9.1*8.5*8.5*0.52</f>
        <v>341.88699999999994</v>
      </c>
      <c r="AJ17" s="93">
        <f>10.1*9.6*9.6*0.52</f>
        <v>484.02431999999999</v>
      </c>
      <c r="AK17" s="93">
        <f>11.1*11*11*0.52</f>
        <v>698.41199999999992</v>
      </c>
      <c r="AL17" s="93">
        <f>12.9*12.1*12.1*0.52</f>
        <v>982.11828000000003</v>
      </c>
      <c r="AM17" s="93">
        <f>12.8*12.5*12.5*0.52</f>
        <v>1040</v>
      </c>
      <c r="AN17" s="93">
        <f>14.5*13*13*0.52</f>
        <v>1274.26</v>
      </c>
      <c r="AO17" s="93">
        <f>16.4*13.9*13.9*0.52</f>
        <v>1647.69488</v>
      </c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2"/>
      <c r="BR17" s="92">
        <f t="shared" si="8"/>
        <v>0.80326663766855155</v>
      </c>
      <c r="BS17" s="92">
        <f t="shared" si="8"/>
        <v>0.70144410613310126</v>
      </c>
      <c r="BT17" s="92">
        <f t="shared" si="8"/>
        <v>1</v>
      </c>
      <c r="BU17" s="92">
        <f t="shared" si="8"/>
        <v>1.1815267507612004</v>
      </c>
      <c r="BV17" s="92">
        <f t="shared" si="8"/>
        <v>1.3465941713788605</v>
      </c>
      <c r="BW17" s="92">
        <f t="shared" si="8"/>
        <v>1.2786385384949976</v>
      </c>
      <c r="BX17" s="92">
        <f t="shared" si="8"/>
        <v>1.3006002609830363</v>
      </c>
      <c r="BY17" s="92">
        <f t="shared" si="8"/>
        <v>1.3415615484993475</v>
      </c>
      <c r="BZ17" s="92">
        <f t="shared" si="8"/>
        <v>1.2496737712048718</v>
      </c>
      <c r="CA17" s="92">
        <f t="shared" si="8"/>
        <v>1.577207481513702</v>
      </c>
      <c r="CB17" s="92">
        <f t="shared" si="8"/>
        <v>2.8598303610265332</v>
      </c>
      <c r="CC17" s="92">
        <f t="shared" si="8"/>
        <v>4.0487864288821234</v>
      </c>
      <c r="CD17" s="92">
        <f t="shared" si="8"/>
        <v>5.8421052631578947</v>
      </c>
      <c r="CE17" s="92">
        <f t="shared" si="8"/>
        <v>8.2152631578947375</v>
      </c>
      <c r="CF17" s="92">
        <f t="shared" si="8"/>
        <v>8.6994345367551116</v>
      </c>
      <c r="CG17" s="92">
        <f t="shared" si="8"/>
        <v>10.6589821661592</v>
      </c>
      <c r="CH17" s="92">
        <f t="shared" si="9"/>
        <v>13.782705524140932</v>
      </c>
      <c r="CI17" s="92" t="str">
        <f t="shared" si="9"/>
        <v/>
      </c>
      <c r="CJ17" s="92" t="str">
        <f t="shared" si="9"/>
        <v/>
      </c>
      <c r="CK17" s="92" t="str">
        <f t="shared" si="9"/>
        <v/>
      </c>
      <c r="CL17" s="92" t="str">
        <f t="shared" si="9"/>
        <v/>
      </c>
      <c r="CM17" s="92" t="str">
        <f t="shared" si="9"/>
        <v/>
      </c>
      <c r="CN17" s="92" t="str">
        <f t="shared" si="9"/>
        <v/>
      </c>
      <c r="CO17" s="92" t="str">
        <f t="shared" si="9"/>
        <v/>
      </c>
      <c r="CP17" s="92" t="str">
        <f t="shared" si="9"/>
        <v/>
      </c>
      <c r="CQ17" s="92" t="str">
        <f t="shared" si="9"/>
        <v/>
      </c>
      <c r="CR17" s="92" t="str">
        <f t="shared" si="9"/>
        <v/>
      </c>
      <c r="CS17" s="92" t="str">
        <f t="shared" si="9"/>
        <v/>
      </c>
      <c r="CT17" s="92" t="str">
        <f t="shared" si="9"/>
        <v/>
      </c>
      <c r="CU17" s="92" t="str">
        <f t="shared" si="9"/>
        <v/>
      </c>
      <c r="CV17" s="92" t="str">
        <f t="shared" si="9"/>
        <v/>
      </c>
      <c r="CW17" s="92" t="str">
        <f t="shared" si="9"/>
        <v/>
      </c>
      <c r="CX17" s="92" t="str">
        <f t="shared" si="10"/>
        <v/>
      </c>
      <c r="CY17" s="92" t="str">
        <f t="shared" si="10"/>
        <v/>
      </c>
      <c r="CZ17" s="92" t="str">
        <f t="shared" si="10"/>
        <v/>
      </c>
      <c r="DA17" s="92" t="str">
        <f t="shared" si="10"/>
        <v/>
      </c>
      <c r="DB17" s="92" t="str">
        <f t="shared" si="10"/>
        <v/>
      </c>
      <c r="DC17" s="92" t="str">
        <f t="shared" si="10"/>
        <v/>
      </c>
      <c r="DD17" s="92" t="str">
        <f t="shared" si="10"/>
        <v/>
      </c>
      <c r="DE17" s="92" t="str">
        <f t="shared" si="10"/>
        <v/>
      </c>
      <c r="DF17" s="92" t="str">
        <f t="shared" si="10"/>
        <v/>
      </c>
      <c r="DG17" s="92" t="str">
        <f t="shared" si="10"/>
        <v/>
      </c>
      <c r="DH17" s="92" t="str">
        <f t="shared" si="10"/>
        <v/>
      </c>
      <c r="DI17" s="92" t="str">
        <f t="shared" si="10"/>
        <v/>
      </c>
    </row>
    <row r="18" spans="1:113">
      <c r="A18" s="41">
        <v>961180</v>
      </c>
      <c r="B18" s="1">
        <v>34</v>
      </c>
      <c r="C18" s="29" t="str">
        <f t="shared" si="4"/>
        <v>961180-34</v>
      </c>
      <c r="D18" s="28" t="s">
        <v>80</v>
      </c>
      <c r="E18" s="37" t="s">
        <v>84</v>
      </c>
      <c r="F18" s="31">
        <v>42458</v>
      </c>
      <c r="G18" s="38"/>
      <c r="H18" s="31">
        <v>42468</v>
      </c>
      <c r="I18" s="38">
        <v>22.6</v>
      </c>
      <c r="J18" s="165"/>
      <c r="K18" s="38">
        <v>7.2</v>
      </c>
      <c r="L18" s="38">
        <v>5.0999999999999996</v>
      </c>
      <c r="M18" s="32">
        <f t="shared" si="5"/>
        <v>97.381439999999998</v>
      </c>
      <c r="N18" s="118"/>
      <c r="O18" s="32"/>
      <c r="P18" s="32">
        <f t="shared" si="6"/>
        <v>32.460479999999997</v>
      </c>
      <c r="Q18" s="38"/>
      <c r="R18" s="160"/>
      <c r="S18" s="236">
        <f t="shared" si="7"/>
        <v>0</v>
      </c>
      <c r="T18" s="237">
        <v>201</v>
      </c>
      <c r="U18" s="236">
        <f t="shared" si="12"/>
        <v>22.234513274336283</v>
      </c>
      <c r="V18" s="238">
        <f t="shared" si="11"/>
        <v>5.1601208608129037</v>
      </c>
      <c r="W18" s="33"/>
      <c r="X18" s="138"/>
      <c r="Y18" s="87">
        <v>65.286000000000001</v>
      </c>
      <c r="Z18" s="93">
        <f>7*5.9*5.9*0.52</f>
        <v>126.70840000000003</v>
      </c>
      <c r="AA18" s="93">
        <v>97.381439999999998</v>
      </c>
      <c r="AB18" s="93">
        <f>7.6*6.4*6.4*0.52</f>
        <v>161.87392000000003</v>
      </c>
      <c r="AC18" s="93">
        <f>7*6.5*6.5*0.52</f>
        <v>153.79</v>
      </c>
      <c r="AD18" s="93">
        <f>9*7*7*0.52</f>
        <v>229.32000000000002</v>
      </c>
      <c r="AE18" s="93">
        <f>9.8*6.2*6.2*0.52</f>
        <v>195.89024000000003</v>
      </c>
      <c r="AF18" s="93">
        <f>10.3*7.2*7.2*0.52</f>
        <v>277.65504000000004</v>
      </c>
      <c r="AG18" s="93">
        <f>10.9*7.3*7.3*0.52</f>
        <v>302.04772000000003</v>
      </c>
      <c r="AH18" s="93">
        <f>11.2*8.4*8.4*0.52</f>
        <v>410.94144000000006</v>
      </c>
      <c r="AI18" s="93">
        <f>11.5*8.8*8.8*0.52</f>
        <v>463.09120000000007</v>
      </c>
      <c r="AJ18" s="93">
        <f>14.8*10.5*10.5*0.52</f>
        <v>848.48400000000004</v>
      </c>
      <c r="AK18" s="93">
        <f>15.5*11.3*11.3*0.52</f>
        <v>1029.1814000000002</v>
      </c>
      <c r="AL18" s="93">
        <f>16.5*11.8*11.8*0.52</f>
        <v>1194.6792000000003</v>
      </c>
      <c r="AM18" s="93">
        <f>17.1*12.2*12.2*0.52</f>
        <v>1323.4852799999999</v>
      </c>
      <c r="AN18" s="93">
        <f>17.1*13.7*13.7*0.52</f>
        <v>1668.93948</v>
      </c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2"/>
      <c r="BR18" s="92">
        <f t="shared" si="8"/>
        <v>0.67041522491349481</v>
      </c>
      <c r="BS18" s="92">
        <f t="shared" si="8"/>
        <v>1.3011555384681108</v>
      </c>
      <c r="BT18" s="92">
        <f t="shared" si="8"/>
        <v>1</v>
      </c>
      <c r="BU18" s="92">
        <f t="shared" si="8"/>
        <v>1.662266649579222</v>
      </c>
      <c r="BV18" s="92">
        <f t="shared" si="8"/>
        <v>1.5792537058396343</v>
      </c>
      <c r="BW18" s="92">
        <f t="shared" si="8"/>
        <v>2.3548635140330645</v>
      </c>
      <c r="BX18" s="92">
        <f t="shared" si="8"/>
        <v>2.0115767439873555</v>
      </c>
      <c r="BY18" s="92">
        <f t="shared" si="8"/>
        <v>2.8512110726643605</v>
      </c>
      <c r="BZ18" s="92">
        <f t="shared" si="8"/>
        <v>3.1016969968815418</v>
      </c>
      <c r="CA18" s="92">
        <f t="shared" si="8"/>
        <v>4.2199154171472522</v>
      </c>
      <c r="CB18" s="92">
        <f t="shared" si="8"/>
        <v>4.755435943440558</v>
      </c>
      <c r="CC18" s="92">
        <f t="shared" si="8"/>
        <v>8.712995001922339</v>
      </c>
      <c r="CD18" s="92">
        <f t="shared" si="8"/>
        <v>10.568558033235082</v>
      </c>
      <c r="CE18" s="92">
        <f t="shared" si="8"/>
        <v>12.268037934127902</v>
      </c>
      <c r="CF18" s="92">
        <f t="shared" si="8"/>
        <v>13.590734332948864</v>
      </c>
      <c r="CG18" s="92">
        <f t="shared" si="8"/>
        <v>17.138168012302962</v>
      </c>
      <c r="CH18" s="92" t="str">
        <f t="shared" si="9"/>
        <v/>
      </c>
      <c r="CI18" s="92" t="str">
        <f t="shared" si="9"/>
        <v/>
      </c>
      <c r="CJ18" s="92" t="str">
        <f t="shared" si="9"/>
        <v/>
      </c>
      <c r="CK18" s="92" t="str">
        <f t="shared" si="9"/>
        <v/>
      </c>
      <c r="CL18" s="92" t="str">
        <f t="shared" si="9"/>
        <v/>
      </c>
      <c r="CM18" s="92" t="str">
        <f t="shared" si="9"/>
        <v/>
      </c>
      <c r="CN18" s="92" t="str">
        <f t="shared" si="9"/>
        <v/>
      </c>
      <c r="CO18" s="92" t="str">
        <f t="shared" si="9"/>
        <v/>
      </c>
      <c r="CP18" s="92" t="str">
        <f t="shared" si="9"/>
        <v/>
      </c>
      <c r="CQ18" s="92" t="str">
        <f t="shared" si="9"/>
        <v/>
      </c>
      <c r="CR18" s="92" t="str">
        <f t="shared" si="9"/>
        <v/>
      </c>
      <c r="CS18" s="92" t="str">
        <f t="shared" si="9"/>
        <v/>
      </c>
      <c r="CT18" s="92" t="str">
        <f t="shared" si="9"/>
        <v/>
      </c>
      <c r="CU18" s="92" t="str">
        <f t="shared" si="9"/>
        <v/>
      </c>
      <c r="CV18" s="92" t="str">
        <f t="shared" si="9"/>
        <v/>
      </c>
      <c r="CW18" s="92" t="str">
        <f t="shared" si="9"/>
        <v/>
      </c>
      <c r="CX18" s="92" t="str">
        <f t="shared" si="10"/>
        <v/>
      </c>
      <c r="CY18" s="92" t="str">
        <f t="shared" si="10"/>
        <v/>
      </c>
      <c r="CZ18" s="92" t="str">
        <f t="shared" si="10"/>
        <v/>
      </c>
      <c r="DA18" s="92" t="str">
        <f t="shared" si="10"/>
        <v/>
      </c>
      <c r="DB18" s="92" t="str">
        <f t="shared" si="10"/>
        <v/>
      </c>
      <c r="DC18" s="92" t="str">
        <f t="shared" si="10"/>
        <v/>
      </c>
      <c r="DD18" s="92" t="str">
        <f t="shared" si="10"/>
        <v/>
      </c>
      <c r="DE18" s="92" t="str">
        <f t="shared" si="10"/>
        <v/>
      </c>
      <c r="DF18" s="92" t="str">
        <f t="shared" si="10"/>
        <v/>
      </c>
      <c r="DG18" s="92" t="str">
        <f t="shared" si="10"/>
        <v/>
      </c>
      <c r="DH18" s="92" t="str">
        <f t="shared" si="10"/>
        <v/>
      </c>
      <c r="DI18" s="92" t="str">
        <f t="shared" si="10"/>
        <v/>
      </c>
    </row>
    <row r="19" spans="1:113">
      <c r="A19" s="41">
        <v>961180</v>
      </c>
      <c r="B19" s="1">
        <v>35</v>
      </c>
      <c r="C19" s="29" t="str">
        <f t="shared" si="4"/>
        <v>961180-35</v>
      </c>
      <c r="D19" s="28" t="s">
        <v>80</v>
      </c>
      <c r="E19" s="37" t="s">
        <v>85</v>
      </c>
      <c r="F19" s="31">
        <v>42458</v>
      </c>
      <c r="G19" s="38"/>
      <c r="H19" s="31">
        <v>42468</v>
      </c>
      <c r="I19" s="38">
        <v>23.1</v>
      </c>
      <c r="J19" s="165"/>
      <c r="K19" s="38">
        <v>6</v>
      </c>
      <c r="L19" s="38">
        <v>5.3</v>
      </c>
      <c r="M19" s="32">
        <f t="shared" si="5"/>
        <v>87.640799999999999</v>
      </c>
      <c r="N19" s="118"/>
      <c r="O19" s="32"/>
      <c r="P19" s="32">
        <f t="shared" si="6"/>
        <v>29.2136</v>
      </c>
      <c r="Q19" s="38"/>
      <c r="R19" s="160"/>
      <c r="S19" s="236">
        <f t="shared" si="7"/>
        <v>0</v>
      </c>
      <c r="T19" s="237">
        <v>411</v>
      </c>
      <c r="U19" s="236">
        <f t="shared" si="12"/>
        <v>44.480519480519476</v>
      </c>
      <c r="V19" s="238">
        <f t="shared" si="11"/>
        <v>11.723991565572199</v>
      </c>
      <c r="W19" s="33"/>
      <c r="X19" s="138"/>
      <c r="Y19" s="87">
        <v>115.45248000000001</v>
      </c>
      <c r="Z19" s="93">
        <f>6.2*5.6*5.6*0.52</f>
        <v>101.10464</v>
      </c>
      <c r="AA19" s="93">
        <v>87.640799999999999</v>
      </c>
      <c r="AB19" s="93">
        <f>7.1*6*6*0.52</f>
        <v>132.91199999999998</v>
      </c>
      <c r="AC19" s="93">
        <f>7.1*5.9*5.9*0.52</f>
        <v>128.51852000000002</v>
      </c>
      <c r="AD19" s="93">
        <f>7*5.9*5.9*0.52</f>
        <v>126.70840000000003</v>
      </c>
      <c r="AE19" s="93">
        <f>7.7*5.9*5.9*0.52</f>
        <v>139.37924000000001</v>
      </c>
      <c r="AF19" s="93">
        <f>7.7*6.2*6.2*0.52</f>
        <v>153.91376</v>
      </c>
      <c r="AG19" s="93">
        <f>8.2*6.7*6.7*0.52</f>
        <v>191.41096000000002</v>
      </c>
      <c r="AH19" s="93">
        <f>9.5*7.3*7.3*0.52</f>
        <v>263.25259999999997</v>
      </c>
      <c r="AI19" s="93">
        <f>10.5*8.3*8.3*0.52</f>
        <v>376.13940000000008</v>
      </c>
      <c r="AJ19" s="93">
        <f>13.5*11*11*0.52</f>
        <v>849.42000000000007</v>
      </c>
      <c r="AK19" s="93">
        <f>14.8*10.9*10.9*0.52</f>
        <v>914.36176000000023</v>
      </c>
      <c r="AL19" s="93">
        <f>15.4*11.9*11.9*0.52</f>
        <v>1134.0128800000002</v>
      </c>
      <c r="AM19" s="93">
        <f>16.5*13.3*13.3*0.52</f>
        <v>1517.7162000000003</v>
      </c>
      <c r="AN19" s="93">
        <f>16.8*15.2*15.2*0.52</f>
        <v>2018.36544</v>
      </c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2"/>
      <c r="BR19" s="92">
        <f t="shared" si="8"/>
        <v>1.3173371306514776</v>
      </c>
      <c r="BS19" s="92">
        <f t="shared" si="8"/>
        <v>1.153625252165658</v>
      </c>
      <c r="BT19" s="92">
        <f t="shared" si="8"/>
        <v>1</v>
      </c>
      <c r="BU19" s="92">
        <f t="shared" si="8"/>
        <v>1.5165539337842646</v>
      </c>
      <c r="BV19" s="92">
        <f t="shared" si="8"/>
        <v>1.466423400973063</v>
      </c>
      <c r="BW19" s="92">
        <f t="shared" si="8"/>
        <v>1.4457695502551327</v>
      </c>
      <c r="BX19" s="92">
        <f t="shared" si="8"/>
        <v>1.5903465052806456</v>
      </c>
      <c r="BY19" s="92">
        <f t="shared" si="8"/>
        <v>1.756188441912899</v>
      </c>
      <c r="BZ19" s="92">
        <f t="shared" si="8"/>
        <v>2.184039397175745</v>
      </c>
      <c r="CA19" s="92">
        <f t="shared" si="8"/>
        <v>3.0037676515960601</v>
      </c>
      <c r="CB19" s="92">
        <f t="shared" si="8"/>
        <v>4.2918298326806701</v>
      </c>
      <c r="CC19" s="92">
        <f t="shared" si="8"/>
        <v>9.6920612317550745</v>
      </c>
      <c r="CD19" s="92">
        <f t="shared" si="8"/>
        <v>10.433060401091732</v>
      </c>
      <c r="CE19" s="92">
        <f t="shared" si="8"/>
        <v>12.939325976029432</v>
      </c>
      <c r="CF19" s="92">
        <f t="shared" si="8"/>
        <v>17.317461730153084</v>
      </c>
      <c r="CG19" s="92">
        <f t="shared" si="8"/>
        <v>23.029975080099682</v>
      </c>
      <c r="CH19" s="92" t="str">
        <f t="shared" si="9"/>
        <v/>
      </c>
      <c r="CI19" s="92" t="str">
        <f t="shared" si="9"/>
        <v/>
      </c>
      <c r="CJ19" s="92" t="str">
        <f t="shared" si="9"/>
        <v/>
      </c>
      <c r="CK19" s="92" t="str">
        <f t="shared" si="9"/>
        <v/>
      </c>
      <c r="CL19" s="92" t="str">
        <f t="shared" si="9"/>
        <v/>
      </c>
      <c r="CM19" s="92" t="str">
        <f t="shared" si="9"/>
        <v/>
      </c>
      <c r="CN19" s="92" t="str">
        <f t="shared" si="9"/>
        <v/>
      </c>
      <c r="CO19" s="92" t="str">
        <f t="shared" si="9"/>
        <v/>
      </c>
      <c r="CP19" s="92" t="str">
        <f t="shared" si="9"/>
        <v/>
      </c>
      <c r="CQ19" s="92" t="str">
        <f t="shared" si="9"/>
        <v/>
      </c>
      <c r="CR19" s="92" t="str">
        <f t="shared" si="9"/>
        <v/>
      </c>
      <c r="CS19" s="92" t="str">
        <f t="shared" si="9"/>
        <v/>
      </c>
      <c r="CT19" s="92" t="str">
        <f t="shared" si="9"/>
        <v/>
      </c>
      <c r="CU19" s="92" t="str">
        <f t="shared" si="9"/>
        <v/>
      </c>
      <c r="CV19" s="92" t="str">
        <f t="shared" si="9"/>
        <v/>
      </c>
      <c r="CW19" s="92" t="str">
        <f t="shared" si="9"/>
        <v/>
      </c>
      <c r="CX19" s="92" t="str">
        <f t="shared" si="10"/>
        <v/>
      </c>
      <c r="CY19" s="92" t="str">
        <f t="shared" si="10"/>
        <v/>
      </c>
      <c r="CZ19" s="92" t="str">
        <f t="shared" si="10"/>
        <v/>
      </c>
      <c r="DA19" s="92" t="str">
        <f t="shared" si="10"/>
        <v/>
      </c>
      <c r="DB19" s="92" t="str">
        <f t="shared" si="10"/>
        <v/>
      </c>
      <c r="DC19" s="92" t="str">
        <f t="shared" si="10"/>
        <v/>
      </c>
      <c r="DD19" s="92" t="str">
        <f t="shared" si="10"/>
        <v/>
      </c>
      <c r="DE19" s="92" t="str">
        <f t="shared" si="10"/>
        <v/>
      </c>
      <c r="DF19" s="92" t="str">
        <f t="shared" si="10"/>
        <v/>
      </c>
      <c r="DG19" s="92" t="str">
        <f t="shared" si="10"/>
        <v/>
      </c>
      <c r="DH19" s="92" t="str">
        <f t="shared" si="10"/>
        <v/>
      </c>
      <c r="DI19" s="92" t="str">
        <f t="shared" si="10"/>
        <v/>
      </c>
    </row>
    <row r="20" spans="1:113">
      <c r="A20" s="41">
        <v>961177</v>
      </c>
      <c r="B20" s="1">
        <v>41</v>
      </c>
      <c r="C20" s="29" t="str">
        <f t="shared" si="4"/>
        <v>961177-41</v>
      </c>
      <c r="D20" s="28" t="s">
        <v>80</v>
      </c>
      <c r="E20" s="37" t="s">
        <v>87</v>
      </c>
      <c r="F20" s="31">
        <v>42458</v>
      </c>
      <c r="G20" s="38"/>
      <c r="H20" s="31">
        <v>42468</v>
      </c>
      <c r="I20" s="38">
        <v>28.2</v>
      </c>
      <c r="J20" s="165"/>
      <c r="K20" s="38">
        <v>7.7</v>
      </c>
      <c r="L20" s="38">
        <v>6.7</v>
      </c>
      <c r="M20" s="32">
        <f t="shared" si="5"/>
        <v>179.73956000000001</v>
      </c>
      <c r="N20" s="118">
        <f>5.71/560*1000</f>
        <v>10.196428571428571</v>
      </c>
      <c r="O20" s="32">
        <f>M20*10/3</f>
        <v>599.13186666666672</v>
      </c>
      <c r="P20" s="32">
        <f t="shared" si="6"/>
        <v>59.913186666666668</v>
      </c>
      <c r="Q20" s="38">
        <v>498</v>
      </c>
      <c r="R20" s="160">
        <f>Q20/O20</f>
        <v>0.83120265789011605</v>
      </c>
      <c r="S20" s="236">
        <f t="shared" si="7"/>
        <v>2.770675526300387</v>
      </c>
      <c r="T20" s="237">
        <v>125.5</v>
      </c>
      <c r="U20" s="236">
        <f t="shared" si="12"/>
        <v>11.125886524822693</v>
      </c>
      <c r="V20" s="238">
        <f t="shared" si="11"/>
        <v>1.7455812176239887</v>
      </c>
      <c r="W20" s="33"/>
      <c r="X20" s="138"/>
      <c r="Y20" s="87">
        <v>78</v>
      </c>
      <c r="Z20" s="93">
        <f>6.7*6.2*6.2*0.52</f>
        <v>133.92496</v>
      </c>
      <c r="AA20" s="93">
        <v>179.73956000000001</v>
      </c>
      <c r="AB20" s="93">
        <f>8.5*7.3*7.3*0.52</f>
        <v>235.54179999999999</v>
      </c>
      <c r="AC20" s="93">
        <f>8.4*7.5*7.5*0.52</f>
        <v>245.70000000000002</v>
      </c>
      <c r="AD20" s="93">
        <f>7.9*7.3*7.3*0.52</f>
        <v>218.91532000000001</v>
      </c>
      <c r="AE20" s="93">
        <f>7.8*6.6*6.6*0.52</f>
        <v>176.67936</v>
      </c>
      <c r="AF20" s="93">
        <f>8.2*7.1*7.1*0.52</f>
        <v>214.94823999999997</v>
      </c>
      <c r="AG20" s="93">
        <f>8.8*7.3*7.3*0.52</f>
        <v>243.85504000000003</v>
      </c>
      <c r="AH20" s="93">
        <f>9.6*7.8*7.8*0.52</f>
        <v>303.71328</v>
      </c>
      <c r="AI20" s="93">
        <f>9.3*7.9*7.9*0.52</f>
        <v>301.81476000000009</v>
      </c>
      <c r="AJ20" s="93">
        <f>10.2*9*9*0.52</f>
        <v>429.62399999999997</v>
      </c>
      <c r="AK20" s="93">
        <f>10.8*9.2*9.2*0.52</f>
        <v>475.33823999999998</v>
      </c>
      <c r="AL20" s="93">
        <f>11.9*9.4*9.4*0.52</f>
        <v>546.77168000000006</v>
      </c>
      <c r="AM20" s="93">
        <f>12.5*10.1*10.1*0.52</f>
        <v>663.06500000000005</v>
      </c>
      <c r="AN20" s="93">
        <f>12.9*10.5*10.5*0.52</f>
        <v>739.55700000000013</v>
      </c>
      <c r="AO20" s="93">
        <f>13.6*11.8*11.8*0.52</f>
        <v>984.70528000000024</v>
      </c>
      <c r="AP20" s="93">
        <f>14.4*11.7*11.7*0.52</f>
        <v>1025.0323199999998</v>
      </c>
      <c r="AQ20" s="93">
        <f>14.8*13.7*13.7*0.52</f>
        <v>1444.4622400000001</v>
      </c>
      <c r="AR20" s="93">
        <f>15.6*13.6*13.6*0.52</f>
        <v>1500.39552</v>
      </c>
      <c r="AS20" s="93">
        <f>15.5*14.7*14.7*0.52</f>
        <v>1741.6853999999998</v>
      </c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2"/>
      <c r="BR20" s="92">
        <f t="shared" si="8"/>
        <v>0.43396122701090395</v>
      </c>
      <c r="BS20" s="92">
        <f t="shared" si="8"/>
        <v>0.74510564062802864</v>
      </c>
      <c r="BT20" s="92">
        <f t="shared" si="8"/>
        <v>1</v>
      </c>
      <c r="BU20" s="92">
        <f t="shared" si="8"/>
        <v>1.310461647953294</v>
      </c>
      <c r="BV20" s="92">
        <f t="shared" si="8"/>
        <v>1.3669778650843476</v>
      </c>
      <c r="BW20" s="92">
        <f t="shared" si="8"/>
        <v>1.2179584728036499</v>
      </c>
      <c r="BX20" s="92">
        <f t="shared" si="8"/>
        <v>0.98297425452693887</v>
      </c>
      <c r="BY20" s="92">
        <f t="shared" si="8"/>
        <v>1.195887204797875</v>
      </c>
      <c r="BZ20" s="92">
        <f t="shared" si="8"/>
        <v>1.3567132355281164</v>
      </c>
      <c r="CA20" s="92">
        <f t="shared" si="8"/>
        <v>1.6897408672859775</v>
      </c>
      <c r="CB20" s="92">
        <f t="shared" si="8"/>
        <v>1.6791782510205326</v>
      </c>
      <c r="CC20" s="92">
        <f t="shared" si="8"/>
        <v>2.3902584383760588</v>
      </c>
      <c r="CD20" s="92">
        <f t="shared" si="8"/>
        <v>2.6445944343026095</v>
      </c>
      <c r="CE20" s="92">
        <f t="shared" si="8"/>
        <v>3.0420219121488894</v>
      </c>
      <c r="CF20" s="92">
        <f t="shared" si="8"/>
        <v>3.6890320639485266</v>
      </c>
      <c r="CG20" s="92">
        <f t="shared" ref="CG20:CV36" si="13">IF(OR(ISERROR(AN20/$M20)=TRUE,ISBLANK(AN20)=TRUE),"",AN20/$M20)</f>
        <v>4.1146033739038863</v>
      </c>
      <c r="CH20" s="92">
        <f t="shared" si="9"/>
        <v>5.4785116865758443</v>
      </c>
      <c r="CI20" s="92">
        <f t="shared" si="9"/>
        <v>5.7028754270901727</v>
      </c>
      <c r="CJ20" s="92">
        <f t="shared" si="9"/>
        <v>8.0364180261707556</v>
      </c>
      <c r="CK20" s="92">
        <f t="shared" si="9"/>
        <v>8.3476087289854277</v>
      </c>
      <c r="CL20" s="92">
        <f t="shared" si="9"/>
        <v>9.6900504262945777</v>
      </c>
      <c r="CM20" s="92" t="str">
        <f t="shared" si="9"/>
        <v/>
      </c>
      <c r="CN20" s="92" t="str">
        <f t="shared" si="9"/>
        <v/>
      </c>
      <c r="CO20" s="92" t="str">
        <f t="shared" si="9"/>
        <v/>
      </c>
      <c r="CP20" s="92" t="str">
        <f t="shared" si="9"/>
        <v/>
      </c>
      <c r="CQ20" s="92" t="str">
        <f t="shared" si="9"/>
        <v/>
      </c>
      <c r="CR20" s="92" t="str">
        <f t="shared" si="9"/>
        <v/>
      </c>
      <c r="CS20" s="92" t="str">
        <f t="shared" si="9"/>
        <v/>
      </c>
      <c r="CT20" s="92" t="str">
        <f t="shared" si="9"/>
        <v/>
      </c>
      <c r="CU20" s="92" t="str">
        <f t="shared" si="9"/>
        <v/>
      </c>
      <c r="CV20" s="92" t="str">
        <f t="shared" si="9"/>
        <v/>
      </c>
      <c r="CW20" s="92" t="str">
        <f t="shared" ref="CW20:CZ51" si="14">IF(OR(ISERROR(BD20/$M20)=TRUE,ISBLANK(BD20)=TRUE),"",BD20/$M20)</f>
        <v/>
      </c>
      <c r="CX20" s="92" t="str">
        <f t="shared" si="10"/>
        <v/>
      </c>
      <c r="CY20" s="92" t="str">
        <f t="shared" si="10"/>
        <v/>
      </c>
      <c r="CZ20" s="92" t="str">
        <f t="shared" si="10"/>
        <v/>
      </c>
      <c r="DA20" s="92" t="str">
        <f t="shared" si="10"/>
        <v/>
      </c>
      <c r="DB20" s="92" t="str">
        <f t="shared" si="10"/>
        <v/>
      </c>
      <c r="DC20" s="92" t="str">
        <f t="shared" si="10"/>
        <v/>
      </c>
      <c r="DD20" s="92" t="str">
        <f t="shared" si="10"/>
        <v/>
      </c>
      <c r="DE20" s="92" t="str">
        <f t="shared" si="10"/>
        <v/>
      </c>
      <c r="DF20" s="92" t="str">
        <f t="shared" si="10"/>
        <v/>
      </c>
      <c r="DG20" s="92" t="str">
        <f t="shared" si="10"/>
        <v/>
      </c>
      <c r="DH20" s="92" t="str">
        <f t="shared" si="10"/>
        <v/>
      </c>
      <c r="DI20" s="92" t="str">
        <f t="shared" si="10"/>
        <v/>
      </c>
    </row>
    <row r="21" spans="1:113">
      <c r="A21" s="41">
        <v>961177</v>
      </c>
      <c r="B21" s="1">
        <v>42</v>
      </c>
      <c r="C21" s="29" t="str">
        <f t="shared" si="4"/>
        <v>961177-42</v>
      </c>
      <c r="D21" s="28" t="s">
        <v>80</v>
      </c>
      <c r="E21" s="37" t="s">
        <v>89</v>
      </c>
      <c r="F21" s="31">
        <v>42458</v>
      </c>
      <c r="G21" s="38"/>
      <c r="H21" s="31">
        <v>42468</v>
      </c>
      <c r="I21" s="38">
        <v>26.8</v>
      </c>
      <c r="J21" s="165"/>
      <c r="K21" s="38">
        <v>6.3</v>
      </c>
      <c r="L21" s="38">
        <v>4.7</v>
      </c>
      <c r="M21" s="32">
        <f t="shared" si="5"/>
        <v>72.366840000000025</v>
      </c>
      <c r="N21" s="118">
        <f>8.76*1000/850</f>
        <v>10.305882352941177</v>
      </c>
      <c r="O21" s="32">
        <f>M21*10/3</f>
        <v>241.22280000000009</v>
      </c>
      <c r="P21" s="32">
        <f t="shared" si="6"/>
        <v>24.122280000000007</v>
      </c>
      <c r="Q21" s="38">
        <v>228</v>
      </c>
      <c r="R21" s="160">
        <f>Q21/O21</f>
        <v>0.94518428606251115</v>
      </c>
      <c r="S21" s="236">
        <f t="shared" si="7"/>
        <v>3.1506142868750371</v>
      </c>
      <c r="T21" s="237">
        <v>477</v>
      </c>
      <c r="U21" s="236">
        <f t="shared" si="12"/>
        <v>44.496268656716417</v>
      </c>
      <c r="V21" s="238">
        <f t="shared" si="11"/>
        <v>16.478541829379303</v>
      </c>
      <c r="W21" s="33"/>
      <c r="X21" s="138"/>
      <c r="Y21" s="87">
        <v>20.554040000000001</v>
      </c>
      <c r="Z21" s="93">
        <f>5.9*3.9*3.9*0.52</f>
        <v>46.664280000000005</v>
      </c>
      <c r="AA21" s="93">
        <v>72.366840000000025</v>
      </c>
      <c r="AB21" s="93">
        <f>6.3*4*4*0.52</f>
        <v>52.415999999999997</v>
      </c>
      <c r="AC21" s="93">
        <f>7.3*5.3*5.3*0.52</f>
        <v>106.62963999999999</v>
      </c>
      <c r="AD21" s="93">
        <f>6*4.4*4.4*0.52</f>
        <v>60.403200000000012</v>
      </c>
      <c r="AE21" s="93">
        <f>5.6*3.7*3.7*0.52</f>
        <v>39.865280000000006</v>
      </c>
      <c r="AF21" s="93">
        <f>5*3.2*3.2*0.52</f>
        <v>26.624000000000002</v>
      </c>
      <c r="AG21" s="93">
        <f>5.9*3.5*3.5*0.52</f>
        <v>37.583000000000006</v>
      </c>
      <c r="AH21" s="93">
        <f>5.9*3.4*3.4*0.52</f>
        <v>35.466080000000005</v>
      </c>
      <c r="AI21" s="93">
        <f>5.5*3.3*3.3*0.52</f>
        <v>31.145399999999995</v>
      </c>
      <c r="AJ21" s="93">
        <f>5.4*3.5*3.5*0.52</f>
        <v>34.398000000000003</v>
      </c>
      <c r="AK21" s="93">
        <f>4.3*2.7*2.7*0.52</f>
        <v>16.300440000000002</v>
      </c>
      <c r="AL21" s="93">
        <f>3.8*2.7*2.7*0.52</f>
        <v>14.405040000000001</v>
      </c>
      <c r="AM21" s="93">
        <f>4.5*3.4*3.4*0.52</f>
        <v>27.0504</v>
      </c>
      <c r="AN21" s="93">
        <f>5*4*4*0.52</f>
        <v>41.6</v>
      </c>
      <c r="AO21" s="93">
        <f>5.8*5.1*5.1*0.52</f>
        <v>78.446159999999992</v>
      </c>
      <c r="AP21" s="93">
        <f>6.3*5.3*5.3*0.52</f>
        <v>92.022840000000002</v>
      </c>
      <c r="AQ21" s="93">
        <f>7.3*6.4*6.4*0.52</f>
        <v>155.48416</v>
      </c>
      <c r="AR21" s="93">
        <f>7.6*6.8*6.8*0.52</f>
        <v>182.74047999999999</v>
      </c>
      <c r="AS21" s="93">
        <f>9.8*8.3*8.3*0.52</f>
        <v>351.06344000000013</v>
      </c>
      <c r="AT21" s="93">
        <f>9*8.1*8.1*0.52</f>
        <v>307.05479999999994</v>
      </c>
      <c r="AU21" s="93">
        <f>10.6*9.9*9.9*0.52</f>
        <v>540.23112000000003</v>
      </c>
      <c r="AV21" s="93">
        <f>10.7*9.4*9.4*0.52</f>
        <v>491.63504</v>
      </c>
      <c r="AW21" s="93">
        <f>11.5*10.2*10.2*0.52</f>
        <v>622.15919999999994</v>
      </c>
      <c r="AX21" s="93">
        <f>11.3*11.2*11.2*0.52</f>
        <v>737.08544000000006</v>
      </c>
      <c r="AY21" s="93">
        <f>13*11.5*11.5*0.52</f>
        <v>894.01</v>
      </c>
      <c r="AZ21" s="93">
        <f>13.3*12.4*12.4*0.52</f>
        <v>1063.4041600000003</v>
      </c>
      <c r="BA21" s="93">
        <f>15.1*13.5*13.5*0.52</f>
        <v>1431.027</v>
      </c>
      <c r="BB21" s="93">
        <f>16.2*15.1*15.1*0.52</f>
        <v>1920.7562399999999</v>
      </c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2"/>
      <c r="BR21" s="92">
        <f t="shared" ref="BR21:CF37" si="15">IF(OR(ISERROR(Y21/$M21)=TRUE,ISBLANK(Y21)=TRUE),"",Y21/$M21)</f>
        <v>0.2840256670043903</v>
      </c>
      <c r="BS21" s="92">
        <f t="shared" si="15"/>
        <v>0.64482959322253108</v>
      </c>
      <c r="BT21" s="92">
        <f t="shared" si="15"/>
        <v>1</v>
      </c>
      <c r="BU21" s="92">
        <f t="shared" si="15"/>
        <v>0.72430964237211382</v>
      </c>
      <c r="BV21" s="92">
        <f t="shared" si="15"/>
        <v>1.4734599438085172</v>
      </c>
      <c r="BW21" s="92">
        <f t="shared" si="15"/>
        <v>0.83468063549548377</v>
      </c>
      <c r="BX21" s="92">
        <f t="shared" si="15"/>
        <v>0.55087772244856892</v>
      </c>
      <c r="BY21" s="92">
        <f t="shared" si="15"/>
        <v>0.36790331041123248</v>
      </c>
      <c r="BZ21" s="92">
        <f t="shared" si="15"/>
        <v>0.51934007343694977</v>
      </c>
      <c r="CA21" s="92">
        <f t="shared" si="15"/>
        <v>0.49008744889233791</v>
      </c>
      <c r="CB21" s="92">
        <f t="shared" si="15"/>
        <v>0.43038220267735866</v>
      </c>
      <c r="CC21" s="92">
        <f t="shared" si="15"/>
        <v>0.47532820280669974</v>
      </c>
      <c r="CD21" s="92">
        <f t="shared" si="15"/>
        <v>0.22524736467697079</v>
      </c>
      <c r="CE21" s="92">
        <f t="shared" si="15"/>
        <v>0.19905581064476488</v>
      </c>
      <c r="CF21" s="92">
        <f t="shared" si="15"/>
        <v>0.3737955118670373</v>
      </c>
      <c r="CG21" s="92">
        <f t="shared" si="13"/>
        <v>0.57484892251755071</v>
      </c>
      <c r="CH21" s="92">
        <f t="shared" si="13"/>
        <v>1.084006984414408</v>
      </c>
      <c r="CI21" s="92">
        <f t="shared" si="13"/>
        <v>1.2716161158895425</v>
      </c>
      <c r="CJ21" s="92">
        <f t="shared" si="13"/>
        <v>2.1485553328015974</v>
      </c>
      <c r="CK21" s="92">
        <f t="shared" si="13"/>
        <v>2.5251963468350964</v>
      </c>
      <c r="CL21" s="92">
        <f t="shared" si="13"/>
        <v>4.8511644283486746</v>
      </c>
      <c r="CM21" s="92">
        <f t="shared" si="13"/>
        <v>4.2430317532173554</v>
      </c>
      <c r="CN21" s="92">
        <f t="shared" si="13"/>
        <v>7.4651749337127313</v>
      </c>
      <c r="CO21" s="92">
        <f t="shared" si="13"/>
        <v>6.7936507936507917</v>
      </c>
      <c r="CP21" s="92">
        <f t="shared" si="13"/>
        <v>8.5972967729418581</v>
      </c>
      <c r="CQ21" s="92">
        <f t="shared" si="13"/>
        <v>10.18540314873497</v>
      </c>
      <c r="CR21" s="92">
        <f t="shared" si="13"/>
        <v>12.353862625478737</v>
      </c>
      <c r="CS21" s="92">
        <f t="shared" si="13"/>
        <v>14.694633066747144</v>
      </c>
      <c r="CT21" s="92">
        <f t="shared" si="13"/>
        <v>19.774623294315457</v>
      </c>
      <c r="CU21" s="92">
        <f t="shared" si="13"/>
        <v>26.541938821703411</v>
      </c>
      <c r="CV21" s="92" t="str">
        <f t="shared" si="13"/>
        <v/>
      </c>
      <c r="CW21" s="92" t="str">
        <f t="shared" si="14"/>
        <v/>
      </c>
      <c r="CX21" s="92" t="str">
        <f t="shared" si="10"/>
        <v/>
      </c>
      <c r="CY21" s="92" t="str">
        <f t="shared" si="10"/>
        <v/>
      </c>
      <c r="CZ21" s="92" t="str">
        <f t="shared" si="10"/>
        <v/>
      </c>
      <c r="DA21" s="92" t="str">
        <f t="shared" si="10"/>
        <v/>
      </c>
      <c r="DB21" s="92" t="str">
        <f t="shared" si="10"/>
        <v/>
      </c>
      <c r="DC21" s="92" t="str">
        <f t="shared" si="10"/>
        <v/>
      </c>
      <c r="DD21" s="92" t="str">
        <f t="shared" si="10"/>
        <v/>
      </c>
      <c r="DE21" s="92" t="str">
        <f t="shared" si="10"/>
        <v/>
      </c>
      <c r="DF21" s="92" t="str">
        <f t="shared" si="10"/>
        <v/>
      </c>
      <c r="DG21" s="92" t="str">
        <f t="shared" si="10"/>
        <v/>
      </c>
      <c r="DH21" s="92" t="str">
        <f t="shared" si="10"/>
        <v/>
      </c>
      <c r="DI21" s="92" t="str">
        <f t="shared" si="10"/>
        <v/>
      </c>
    </row>
    <row r="22" spans="1:113">
      <c r="A22" s="41">
        <v>961177</v>
      </c>
      <c r="B22" s="1">
        <v>43</v>
      </c>
      <c r="C22" s="29" t="str">
        <f t="shared" si="4"/>
        <v>961177-43</v>
      </c>
      <c r="D22" s="28" t="s">
        <v>80</v>
      </c>
      <c r="E22" s="37" t="s">
        <v>89</v>
      </c>
      <c r="F22" s="31">
        <v>42458</v>
      </c>
      <c r="G22" s="38"/>
      <c r="H22" s="31">
        <v>42468</v>
      </c>
      <c r="I22" s="38">
        <v>26.7</v>
      </c>
      <c r="J22" s="165"/>
      <c r="K22" s="38">
        <v>6.9</v>
      </c>
      <c r="L22" s="38">
        <v>6</v>
      </c>
      <c r="M22" s="32">
        <f t="shared" si="5"/>
        <v>129.16800000000001</v>
      </c>
      <c r="N22" s="118">
        <f>8.76*1000/850</f>
        <v>10.305882352941177</v>
      </c>
      <c r="O22" s="32">
        <f>M22*10/3</f>
        <v>430.56</v>
      </c>
      <c r="P22" s="32">
        <f t="shared" si="6"/>
        <v>43.056000000000004</v>
      </c>
      <c r="Q22" s="38">
        <v>397</v>
      </c>
      <c r="R22" s="160">
        <f>Q22/O22</f>
        <v>0.92205499814195468</v>
      </c>
      <c r="S22" s="236">
        <f t="shared" si="7"/>
        <v>3.0735166604731821</v>
      </c>
      <c r="T22" s="237">
        <v>475</v>
      </c>
      <c r="U22" s="236">
        <f t="shared" si="12"/>
        <v>44.475655430711612</v>
      </c>
      <c r="V22" s="238">
        <f t="shared" si="11"/>
        <v>9.1934534869317481</v>
      </c>
      <c r="W22" s="33"/>
      <c r="X22" s="138"/>
      <c r="Y22" s="87">
        <v>94.207360000000023</v>
      </c>
      <c r="Z22" s="93">
        <f>6.7*5.8*5.8*0.52</f>
        <v>117.20175999999999</v>
      </c>
      <c r="AA22" s="93">
        <v>129.16800000000001</v>
      </c>
      <c r="AB22" s="93">
        <f>8.5*6.9*6.9*0.52</f>
        <v>210.43620000000004</v>
      </c>
      <c r="AC22" s="93">
        <f>8.9*7.2*7.2*0.52</f>
        <v>239.91551999999999</v>
      </c>
      <c r="AD22" s="93">
        <f>8.9*7.5*7.5*0.52</f>
        <v>260.32499999999999</v>
      </c>
      <c r="AE22" s="93">
        <f>9.1*7.4*7.4*0.52</f>
        <v>259.12432000000001</v>
      </c>
      <c r="AF22" s="93">
        <f>9.9*7.8*7.8*0.52</f>
        <v>313.20432000000005</v>
      </c>
      <c r="AG22" s="93">
        <f>10.8*8.8*8.8*0.52</f>
        <v>434.90304000000015</v>
      </c>
      <c r="AH22" s="93">
        <f>10*9.3*9.3*0.52</f>
        <v>449.74800000000005</v>
      </c>
      <c r="AI22" s="93">
        <f>10*9.5*9.5*0.52</f>
        <v>469.3</v>
      </c>
      <c r="AJ22" s="93">
        <f>10.9*10.2*10.2*0.52</f>
        <v>589.69871999999998</v>
      </c>
      <c r="AK22" s="93">
        <f>11.4*11*11*0.52</f>
        <v>717.28800000000012</v>
      </c>
      <c r="AL22" s="93">
        <f>12.4*11.8*11.8*0.52</f>
        <v>897.81952000000013</v>
      </c>
      <c r="AM22" s="93">
        <f>12.2*11.3*11.3*0.52</f>
        <v>810.06536000000017</v>
      </c>
      <c r="AN22" s="93">
        <f>13.4*11.9*11.9*0.52</f>
        <v>986.7384800000001</v>
      </c>
      <c r="AO22" s="93">
        <f>15.3*13.1*13.1*0.52</f>
        <v>1365.32916</v>
      </c>
      <c r="AP22" s="93">
        <f>14.4*13.6*13.6*0.52</f>
        <v>1384.9804799999999</v>
      </c>
      <c r="AQ22" s="93">
        <f>16.2*14.1*14.1*0.52</f>
        <v>1674.7754399999999</v>
      </c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2"/>
      <c r="BR22" s="92">
        <f t="shared" si="15"/>
        <v>0.72933977455716603</v>
      </c>
      <c r="BS22" s="92">
        <f t="shared" si="15"/>
        <v>0.90735909822866334</v>
      </c>
      <c r="BT22" s="92">
        <f t="shared" si="15"/>
        <v>1</v>
      </c>
      <c r="BU22" s="92">
        <f t="shared" si="15"/>
        <v>1.6291666666666669</v>
      </c>
      <c r="BV22" s="92">
        <f t="shared" si="15"/>
        <v>1.8573913043478258</v>
      </c>
      <c r="BW22" s="92">
        <f t="shared" si="15"/>
        <v>2.0153985507246377</v>
      </c>
      <c r="BX22" s="92">
        <f t="shared" si="15"/>
        <v>2.0061030595813203</v>
      </c>
      <c r="BY22" s="92">
        <f t="shared" si="15"/>
        <v>2.4247826086956525</v>
      </c>
      <c r="BZ22" s="92">
        <f t="shared" si="15"/>
        <v>3.3669565217391315</v>
      </c>
      <c r="CA22" s="92">
        <f t="shared" si="15"/>
        <v>3.4818840579710146</v>
      </c>
      <c r="CB22" s="92">
        <f t="shared" si="15"/>
        <v>3.6332528180354267</v>
      </c>
      <c r="CC22" s="92">
        <f t="shared" si="15"/>
        <v>4.5653623188405792</v>
      </c>
      <c r="CD22" s="92">
        <f t="shared" si="15"/>
        <v>5.5531400966183586</v>
      </c>
      <c r="CE22" s="92">
        <f t="shared" si="15"/>
        <v>6.9507890499194858</v>
      </c>
      <c r="CF22" s="92">
        <f t="shared" si="15"/>
        <v>6.2714090177133661</v>
      </c>
      <c r="CG22" s="92">
        <f t="shared" si="13"/>
        <v>7.6391867954911437</v>
      </c>
      <c r="CH22" s="92">
        <f t="shared" si="13"/>
        <v>10.57018115942029</v>
      </c>
      <c r="CI22" s="92">
        <f t="shared" si="13"/>
        <v>10.722318840579709</v>
      </c>
      <c r="CJ22" s="92">
        <f t="shared" si="13"/>
        <v>12.965869565217389</v>
      </c>
      <c r="CK22" s="92" t="str">
        <f t="shared" si="13"/>
        <v/>
      </c>
      <c r="CL22" s="92" t="str">
        <f t="shared" si="13"/>
        <v/>
      </c>
      <c r="CM22" s="92" t="str">
        <f t="shared" si="13"/>
        <v/>
      </c>
      <c r="CN22" s="92" t="str">
        <f t="shared" si="13"/>
        <v/>
      </c>
      <c r="CO22" s="92" t="str">
        <f t="shared" si="13"/>
        <v/>
      </c>
      <c r="CP22" s="92" t="str">
        <f t="shared" si="13"/>
        <v/>
      </c>
      <c r="CQ22" s="92" t="str">
        <f t="shared" si="13"/>
        <v/>
      </c>
      <c r="CR22" s="92" t="str">
        <f t="shared" si="13"/>
        <v/>
      </c>
      <c r="CS22" s="92" t="str">
        <f t="shared" si="13"/>
        <v/>
      </c>
      <c r="CT22" s="92" t="str">
        <f t="shared" si="13"/>
        <v/>
      </c>
      <c r="CU22" s="92" t="str">
        <f t="shared" si="13"/>
        <v/>
      </c>
      <c r="CV22" s="92" t="str">
        <f t="shared" si="13"/>
        <v/>
      </c>
      <c r="CW22" s="92" t="str">
        <f t="shared" si="14"/>
        <v/>
      </c>
      <c r="CX22" s="92" t="str">
        <f t="shared" si="10"/>
        <v/>
      </c>
      <c r="CY22" s="92" t="str">
        <f t="shared" si="10"/>
        <v/>
      </c>
      <c r="CZ22" s="92" t="str">
        <f t="shared" si="10"/>
        <v/>
      </c>
      <c r="DA22" s="92" t="str">
        <f t="shared" si="10"/>
        <v/>
      </c>
      <c r="DB22" s="92" t="str">
        <f t="shared" si="10"/>
        <v/>
      </c>
      <c r="DC22" s="92" t="str">
        <f t="shared" si="10"/>
        <v/>
      </c>
      <c r="DD22" s="92" t="str">
        <f t="shared" si="10"/>
        <v/>
      </c>
      <c r="DE22" s="92" t="str">
        <f t="shared" si="10"/>
        <v/>
      </c>
      <c r="DF22" s="92" t="str">
        <f t="shared" si="10"/>
        <v/>
      </c>
      <c r="DG22" s="92" t="str">
        <f t="shared" si="10"/>
        <v/>
      </c>
      <c r="DH22" s="92" t="str">
        <f t="shared" si="10"/>
        <v/>
      </c>
      <c r="DI22" s="92" t="str">
        <f t="shared" si="10"/>
        <v/>
      </c>
    </row>
    <row r="23" spans="1:113">
      <c r="A23" s="41">
        <v>961177</v>
      </c>
      <c r="B23" s="1">
        <v>44</v>
      </c>
      <c r="C23" s="29" t="str">
        <f t="shared" si="4"/>
        <v>961177-44</v>
      </c>
      <c r="D23" s="28" t="s">
        <v>80</v>
      </c>
      <c r="E23" s="37" t="s">
        <v>88</v>
      </c>
      <c r="F23" s="31">
        <v>42458</v>
      </c>
      <c r="G23" s="38"/>
      <c r="H23" s="31">
        <v>42468</v>
      </c>
      <c r="I23" s="38">
        <v>28</v>
      </c>
      <c r="J23" s="165"/>
      <c r="K23" s="38">
        <v>6.6</v>
      </c>
      <c r="L23" s="38">
        <v>5.7</v>
      </c>
      <c r="M23" s="32">
        <f t="shared" si="5"/>
        <v>111.50568</v>
      </c>
      <c r="N23" s="118"/>
      <c r="O23" s="32"/>
      <c r="P23" s="32">
        <f t="shared" si="6"/>
        <v>37.168559999999999</v>
      </c>
      <c r="Q23" s="38"/>
      <c r="R23" s="160"/>
      <c r="S23" s="236">
        <f t="shared" si="7"/>
        <v>0</v>
      </c>
      <c r="T23" s="237">
        <v>249</v>
      </c>
      <c r="U23" s="236">
        <f t="shared" si="12"/>
        <v>22.232142857142861</v>
      </c>
      <c r="V23" s="238">
        <f t="shared" si="11"/>
        <v>5.5826752502652788</v>
      </c>
      <c r="W23" s="33"/>
      <c r="X23" s="138"/>
      <c r="Y23" s="87">
        <v>39.936</v>
      </c>
      <c r="Z23" s="93">
        <f>5.1*5.1*5.1*0.52</f>
        <v>68.978519999999989</v>
      </c>
      <c r="AA23" s="93">
        <v>111.50568</v>
      </c>
      <c r="AB23" s="93">
        <f>6.2*5.3*5.3*0.52</f>
        <v>90.562159999999992</v>
      </c>
      <c r="AC23" s="93">
        <f>6.7*6.2*6.2*0.52</f>
        <v>133.92496</v>
      </c>
      <c r="AD23" s="93">
        <f>7.3*6.7*6.7*0.52</f>
        <v>170.40244000000001</v>
      </c>
      <c r="AE23" s="93">
        <f>8.3*6.9*6.9*0.52</f>
        <v>205.48476000000005</v>
      </c>
      <c r="AF23" s="93">
        <f>10.1*7.8*7.8*0.52</f>
        <v>319.53168000000005</v>
      </c>
      <c r="AG23" s="93">
        <f>10.8*8.6*8.6*0.52</f>
        <v>415.35935999999998</v>
      </c>
      <c r="AH23" s="93">
        <f>12*9.5*9.5*0.52</f>
        <v>563.16</v>
      </c>
      <c r="AI23" s="93">
        <f>12.1*10.4*10.4*0.52</f>
        <v>680.54272000000003</v>
      </c>
      <c r="AJ23" s="93">
        <f>14.9*11.2*11.2*0.52</f>
        <v>971.90911999999992</v>
      </c>
      <c r="AK23" s="93">
        <f>16.2*12.4*12.4*0.52</f>
        <v>1295.27424</v>
      </c>
      <c r="AL23" s="93">
        <f>17.1*12.9*12.9*0.52</f>
        <v>1479.7177200000003</v>
      </c>
      <c r="AM23" s="93">
        <f>17.4*13*13*0.52</f>
        <v>1529.1120000000001</v>
      </c>
      <c r="AN23" s="93">
        <f>17.8*14.1*14.1*0.52</f>
        <v>1840.1853599999999</v>
      </c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2"/>
      <c r="BR23" s="92">
        <f t="shared" si="15"/>
        <v>0.35815215870617534</v>
      </c>
      <c r="BS23" s="92">
        <f t="shared" si="15"/>
        <v>0.61860992193402153</v>
      </c>
      <c r="BT23" s="92">
        <f t="shared" si="15"/>
        <v>1</v>
      </c>
      <c r="BU23" s="92">
        <f t="shared" si="15"/>
        <v>0.81217530802018334</v>
      </c>
      <c r="BV23" s="92">
        <f t="shared" si="15"/>
        <v>1.2010595334695058</v>
      </c>
      <c r="BW23" s="92">
        <f t="shared" si="15"/>
        <v>1.5281951556189786</v>
      </c>
      <c r="BX23" s="92">
        <f t="shared" si="15"/>
        <v>1.8428187694115676</v>
      </c>
      <c r="BY23" s="92">
        <f t="shared" si="15"/>
        <v>2.8656089985729878</v>
      </c>
      <c r="BZ23" s="92">
        <f t="shared" si="15"/>
        <v>3.7250062956434147</v>
      </c>
      <c r="CA23" s="92">
        <f t="shared" si="15"/>
        <v>5.0505050505050502</v>
      </c>
      <c r="CB23" s="92">
        <f t="shared" si="15"/>
        <v>6.1032112444854834</v>
      </c>
      <c r="CC23" s="92">
        <f t="shared" si="15"/>
        <v>8.7162297023792856</v>
      </c>
      <c r="CD23" s="92">
        <f t="shared" si="15"/>
        <v>11.616217577436414</v>
      </c>
      <c r="CE23" s="92">
        <f t="shared" si="15"/>
        <v>13.270334928229667</v>
      </c>
      <c r="CF23" s="92">
        <f t="shared" si="15"/>
        <v>13.713310389210667</v>
      </c>
      <c r="CG23" s="92">
        <f t="shared" si="13"/>
        <v>16.503063879795182</v>
      </c>
      <c r="CH23" s="92" t="str">
        <f t="shared" si="13"/>
        <v/>
      </c>
      <c r="CI23" s="92" t="str">
        <f t="shared" si="13"/>
        <v/>
      </c>
      <c r="CJ23" s="92" t="str">
        <f t="shared" si="13"/>
        <v/>
      </c>
      <c r="CK23" s="92" t="str">
        <f t="shared" si="13"/>
        <v/>
      </c>
      <c r="CL23" s="92" t="str">
        <f t="shared" si="13"/>
        <v/>
      </c>
      <c r="CM23" s="92" t="str">
        <f t="shared" si="13"/>
        <v/>
      </c>
      <c r="CN23" s="92" t="str">
        <f t="shared" si="13"/>
        <v/>
      </c>
      <c r="CO23" s="92" t="str">
        <f t="shared" si="13"/>
        <v/>
      </c>
      <c r="CP23" s="92" t="str">
        <f t="shared" si="13"/>
        <v/>
      </c>
      <c r="CQ23" s="92" t="str">
        <f t="shared" si="13"/>
        <v/>
      </c>
      <c r="CR23" s="92" t="str">
        <f t="shared" si="13"/>
        <v/>
      </c>
      <c r="CS23" s="92" t="str">
        <f t="shared" si="13"/>
        <v/>
      </c>
      <c r="CT23" s="92" t="str">
        <f t="shared" si="13"/>
        <v/>
      </c>
      <c r="CU23" s="92" t="str">
        <f t="shared" si="13"/>
        <v/>
      </c>
      <c r="CV23" s="92" t="str">
        <f t="shared" si="13"/>
        <v/>
      </c>
      <c r="CW23" s="92" t="str">
        <f t="shared" si="14"/>
        <v/>
      </c>
      <c r="CX23" s="92" t="str">
        <f t="shared" si="10"/>
        <v/>
      </c>
      <c r="CY23" s="92" t="str">
        <f t="shared" si="10"/>
        <v/>
      </c>
      <c r="CZ23" s="92" t="str">
        <f t="shared" si="10"/>
        <v/>
      </c>
      <c r="DA23" s="92" t="str">
        <f t="shared" si="10"/>
        <v/>
      </c>
      <c r="DB23" s="92" t="str">
        <f t="shared" si="10"/>
        <v/>
      </c>
      <c r="DC23" s="92" t="str">
        <f t="shared" si="10"/>
        <v/>
      </c>
      <c r="DD23" s="92" t="str">
        <f t="shared" si="10"/>
        <v/>
      </c>
      <c r="DE23" s="92" t="str">
        <f t="shared" si="10"/>
        <v/>
      </c>
      <c r="DF23" s="92" t="str">
        <f t="shared" si="10"/>
        <v/>
      </c>
      <c r="DG23" s="92" t="str">
        <f t="shared" si="10"/>
        <v/>
      </c>
      <c r="DH23" s="92" t="str">
        <f t="shared" si="10"/>
        <v/>
      </c>
      <c r="DI23" s="92" t="str">
        <f t="shared" si="10"/>
        <v/>
      </c>
    </row>
    <row r="24" spans="1:113">
      <c r="A24" s="41">
        <v>961177</v>
      </c>
      <c r="B24" s="1">
        <v>45</v>
      </c>
      <c r="C24" s="29" t="str">
        <f t="shared" si="4"/>
        <v>961177-45</v>
      </c>
      <c r="D24" s="28" t="s">
        <v>80</v>
      </c>
      <c r="E24" s="30" t="s">
        <v>88</v>
      </c>
      <c r="F24" s="31">
        <v>42458</v>
      </c>
      <c r="G24" s="38"/>
      <c r="H24" s="31">
        <v>42468</v>
      </c>
      <c r="I24" s="38">
        <v>31.8</v>
      </c>
      <c r="J24" s="165"/>
      <c r="K24" s="38">
        <v>7.3</v>
      </c>
      <c r="L24" s="38">
        <v>5.7</v>
      </c>
      <c r="M24" s="32">
        <f t="shared" si="5"/>
        <v>123.33204000000002</v>
      </c>
      <c r="N24" s="118"/>
      <c r="O24" s="32"/>
      <c r="P24" s="32">
        <f t="shared" si="6"/>
        <v>41.110680000000009</v>
      </c>
      <c r="Q24" s="38"/>
      <c r="R24" s="160"/>
      <c r="S24" s="236">
        <f t="shared" si="7"/>
        <v>0</v>
      </c>
      <c r="T24" s="237">
        <v>283</v>
      </c>
      <c r="U24" s="236">
        <f t="shared" si="12"/>
        <v>22.24842767295597</v>
      </c>
      <c r="V24" s="238">
        <f t="shared" si="11"/>
        <v>5.7365466427053331</v>
      </c>
      <c r="W24" s="33"/>
      <c r="X24" s="138"/>
      <c r="Y24" s="87">
        <v>85.8</v>
      </c>
      <c r="Z24" s="93">
        <f>6.5*5.6*5.6*0.52</f>
        <v>105.99679999999999</v>
      </c>
      <c r="AA24" s="93">
        <v>123.33204000000002</v>
      </c>
      <c r="AB24" s="93">
        <f>7.4*5.6*5.6*0.52</f>
        <v>120.67327999999999</v>
      </c>
      <c r="AC24" s="93">
        <f>8.5*6.6*6.6*0.52</f>
        <v>192.53519999999997</v>
      </c>
      <c r="AD24" s="93">
        <f>8.9*6.6*6.6*0.52</f>
        <v>201.59567999999999</v>
      </c>
      <c r="AE24" s="93">
        <f>10.6*7*7*0.52</f>
        <v>270.08800000000002</v>
      </c>
      <c r="AF24" s="93">
        <f>11.7*7.7*7.7*0.52</f>
        <v>360.72036000000008</v>
      </c>
      <c r="AG24" s="93">
        <f>12.2*8.1*8.1*0.52</f>
        <v>416.22983999999997</v>
      </c>
      <c r="AH24" s="93">
        <f>13*8.4*8.4*0.52</f>
        <v>476.98560000000003</v>
      </c>
      <c r="AI24" s="93">
        <f>13.2*9.1*9.1*0.52</f>
        <v>568.40783999999996</v>
      </c>
      <c r="AJ24" s="93">
        <f>15.1*10.2*10.2*0.52</f>
        <v>816.92207999999982</v>
      </c>
      <c r="AK24" s="93">
        <f>15.3*12.1*12.1*0.52</f>
        <v>1164.8379600000001</v>
      </c>
      <c r="AL24" s="93">
        <f>15.5*10.7*10.7*0.52</f>
        <v>922.78939999999989</v>
      </c>
      <c r="AM24" s="93">
        <f>16.4*11.5*11.5*0.52</f>
        <v>1127.828</v>
      </c>
      <c r="AN24" s="93">
        <f>16.6*11.7*11.7*0.52</f>
        <v>1181.6344799999999</v>
      </c>
      <c r="AO24" s="93">
        <f>16.2*11.3*11.3*0.52</f>
        <v>1075.66056</v>
      </c>
      <c r="AP24" s="93">
        <f>16.7*14*14*0.52</f>
        <v>1702.0639999999999</v>
      </c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2"/>
      <c r="BR24" s="92">
        <f t="shared" si="15"/>
        <v>0.69568297094574927</v>
      </c>
      <c r="BS24" s="92">
        <f t="shared" si="15"/>
        <v>0.85944252604594862</v>
      </c>
      <c r="BT24" s="92">
        <f t="shared" si="15"/>
        <v>1</v>
      </c>
      <c r="BU24" s="92">
        <f t="shared" si="15"/>
        <v>0.97844226042154148</v>
      </c>
      <c r="BV24" s="92">
        <f t="shared" si="15"/>
        <v>1.5611125868022611</v>
      </c>
      <c r="BW24" s="92">
        <f t="shared" si="15"/>
        <v>1.6345767085341323</v>
      </c>
      <c r="BX24" s="92">
        <f t="shared" si="15"/>
        <v>2.1899256673286192</v>
      </c>
      <c r="BY24" s="92">
        <f t="shared" si="15"/>
        <v>2.9247903464501199</v>
      </c>
      <c r="BZ24" s="92">
        <f t="shared" si="15"/>
        <v>3.3748719310894386</v>
      </c>
      <c r="CA24" s="92">
        <f t="shared" si="15"/>
        <v>3.8674913672067692</v>
      </c>
      <c r="CB24" s="92">
        <f t="shared" si="15"/>
        <v>4.6087605459213998</v>
      </c>
      <c r="CC24" s="92">
        <f t="shared" si="15"/>
        <v>6.6237620005312463</v>
      </c>
      <c r="CD24" s="92">
        <f t="shared" si="15"/>
        <v>9.4447311501536824</v>
      </c>
      <c r="CE24" s="92">
        <f t="shared" si="15"/>
        <v>7.482154677730132</v>
      </c>
      <c r="CF24" s="92">
        <f t="shared" si="15"/>
        <v>9.1446472465711253</v>
      </c>
      <c r="CG24" s="92">
        <f t="shared" si="13"/>
        <v>9.5809205783022779</v>
      </c>
      <c r="CH24" s="92">
        <f t="shared" si="13"/>
        <v>8.7216635677152503</v>
      </c>
      <c r="CI24" s="92">
        <f t="shared" si="13"/>
        <v>13.800663639391674</v>
      </c>
      <c r="CJ24" s="92" t="str">
        <f t="shared" si="13"/>
        <v/>
      </c>
      <c r="CK24" s="92" t="str">
        <f t="shared" si="13"/>
        <v/>
      </c>
      <c r="CL24" s="92" t="str">
        <f t="shared" si="13"/>
        <v/>
      </c>
      <c r="CM24" s="92" t="str">
        <f t="shared" si="13"/>
        <v/>
      </c>
      <c r="CN24" s="92" t="str">
        <f t="shared" si="13"/>
        <v/>
      </c>
      <c r="CO24" s="92" t="str">
        <f t="shared" si="13"/>
        <v/>
      </c>
      <c r="CP24" s="92" t="str">
        <f t="shared" si="13"/>
        <v/>
      </c>
      <c r="CQ24" s="92" t="str">
        <f t="shared" si="13"/>
        <v/>
      </c>
      <c r="CR24" s="92" t="str">
        <f t="shared" si="13"/>
        <v/>
      </c>
      <c r="CS24" s="92" t="str">
        <f t="shared" si="13"/>
        <v/>
      </c>
      <c r="CT24" s="92" t="str">
        <f t="shared" si="13"/>
        <v/>
      </c>
      <c r="CU24" s="92" t="str">
        <f t="shared" si="13"/>
        <v/>
      </c>
      <c r="CV24" s="92" t="str">
        <f t="shared" si="13"/>
        <v/>
      </c>
      <c r="CW24" s="92" t="str">
        <f t="shared" si="14"/>
        <v/>
      </c>
      <c r="CX24" s="92" t="str">
        <f t="shared" si="10"/>
        <v/>
      </c>
      <c r="CY24" s="92" t="str">
        <f t="shared" si="10"/>
        <v/>
      </c>
      <c r="CZ24" s="92" t="str">
        <f t="shared" si="10"/>
        <v/>
      </c>
      <c r="DA24" s="92" t="str">
        <f t="shared" si="10"/>
        <v/>
      </c>
      <c r="DB24" s="92" t="str">
        <f t="shared" si="10"/>
        <v/>
      </c>
      <c r="DC24" s="92" t="str">
        <f t="shared" si="10"/>
        <v/>
      </c>
      <c r="DD24" s="92" t="str">
        <f t="shared" si="10"/>
        <v/>
      </c>
      <c r="DE24" s="92" t="str">
        <f t="shared" si="10"/>
        <v/>
      </c>
      <c r="DF24" s="92" t="str">
        <f t="shared" si="10"/>
        <v/>
      </c>
      <c r="DG24" s="92" t="str">
        <f t="shared" si="10"/>
        <v/>
      </c>
      <c r="DH24" s="92" t="str">
        <f t="shared" si="10"/>
        <v/>
      </c>
      <c r="DI24" s="92" t="str">
        <f t="shared" si="10"/>
        <v/>
      </c>
    </row>
    <row r="25" spans="1:113">
      <c r="A25" s="41">
        <v>961179</v>
      </c>
      <c r="B25" s="1">
        <v>51</v>
      </c>
      <c r="C25" s="29" t="str">
        <f t="shared" si="4"/>
        <v>961179-51</v>
      </c>
      <c r="D25" s="28" t="s">
        <v>80</v>
      </c>
      <c r="E25" s="30" t="s">
        <v>89</v>
      </c>
      <c r="F25" s="31">
        <v>42458</v>
      </c>
      <c r="G25" s="38"/>
      <c r="H25" s="31">
        <v>42468</v>
      </c>
      <c r="I25" s="38">
        <v>28.2</v>
      </c>
      <c r="J25" s="165"/>
      <c r="K25" s="38">
        <v>6.8</v>
      </c>
      <c r="L25" s="38">
        <v>5.3</v>
      </c>
      <c r="M25" s="32">
        <f t="shared" si="5"/>
        <v>99.326239999999999</v>
      </c>
      <c r="N25" s="118">
        <f>8.76*1000/850</f>
        <v>10.305882352941177</v>
      </c>
      <c r="O25" s="32">
        <f>M25*10/3</f>
        <v>331.08746666666667</v>
      </c>
      <c r="P25" s="32">
        <f t="shared" si="6"/>
        <v>33.108746666666669</v>
      </c>
      <c r="Q25" s="38">
        <v>254</v>
      </c>
      <c r="R25" s="160">
        <f>Q25/O25</f>
        <v>0.76716887702584935</v>
      </c>
      <c r="S25" s="236">
        <f t="shared" si="7"/>
        <v>2.5572295900861648</v>
      </c>
      <c r="T25" s="237">
        <v>502</v>
      </c>
      <c r="U25" s="236">
        <f t="shared" si="12"/>
        <v>44.503546099290773</v>
      </c>
      <c r="V25" s="238">
        <f t="shared" si="11"/>
        <v>12.635130454953291</v>
      </c>
      <c r="W25" s="33"/>
      <c r="X25" s="138"/>
      <c r="Y25" s="87">
        <v>36.608000000000004</v>
      </c>
      <c r="Z25" s="93">
        <f>5.3*4.7*4.7*0.52</f>
        <v>60.880040000000001</v>
      </c>
      <c r="AA25" s="93">
        <v>99.326239999999999</v>
      </c>
      <c r="AB25" s="93">
        <f>6.5*6.4*6.4*0.52</f>
        <v>138.44480000000001</v>
      </c>
      <c r="AC25" s="93">
        <f>6.9*6*6*0.52</f>
        <v>129.16800000000003</v>
      </c>
      <c r="AD25" s="93">
        <f>7.1*6.9*6.9*0.52</f>
        <v>175.77612000000002</v>
      </c>
      <c r="AE25" s="93">
        <f>6.7*5.8*5.8*0.52</f>
        <v>117.20175999999999</v>
      </c>
      <c r="AF25" s="93">
        <f>7.2*6.7*6.7*0.52</f>
        <v>168.06816000000001</v>
      </c>
      <c r="AG25" s="93">
        <f>6.7*6.3*6.3*0.52</f>
        <v>138.27996000000002</v>
      </c>
      <c r="AH25" s="93">
        <f>7.2*6.4*6.4*0.52</f>
        <v>153.35424000000003</v>
      </c>
      <c r="AI25" s="93">
        <f>7.2*6.4*6.4*0.52</f>
        <v>153.35424000000003</v>
      </c>
      <c r="AJ25" s="93">
        <f>8.1*7.3*7.3*0.52</f>
        <v>224.45747999999998</v>
      </c>
      <c r="AK25" s="93">
        <f>9.2*8.1*8.1*0.52</f>
        <v>313.87824000000001</v>
      </c>
      <c r="AL25" s="93">
        <f>9.5*8.6*8.6*0.52</f>
        <v>365.36240000000004</v>
      </c>
      <c r="AM25" s="93">
        <f>10.2*9.3*9.3*0.52</f>
        <v>458.74296000000004</v>
      </c>
      <c r="AN25" s="93">
        <f>11.2*9.9*9.9*0.52</f>
        <v>570.81024000000002</v>
      </c>
      <c r="AO25" s="93">
        <f>12*11*11*0.52</f>
        <v>755.04000000000008</v>
      </c>
      <c r="AP25" s="93">
        <f>12.1*11.3*11.3*0.52</f>
        <v>803.42548000000011</v>
      </c>
      <c r="AQ25" s="93">
        <f>12.6*11.8*11.8*0.52</f>
        <v>912.30048000000011</v>
      </c>
      <c r="AR25" s="93">
        <f>12.6*11.8*11.8*0.52</f>
        <v>912.30048000000011</v>
      </c>
      <c r="AS25" s="93">
        <f>13.3*12.9*12.9*0.52</f>
        <v>1150.89156</v>
      </c>
      <c r="AT25" s="93">
        <f>14.1*13.7*13.7*0.52</f>
        <v>1376.1430799999998</v>
      </c>
      <c r="AU25" s="93">
        <f>15.7*15.6*15.6*0.52</f>
        <v>1986.7910399999998</v>
      </c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2"/>
      <c r="BR25" s="92">
        <f t="shared" si="15"/>
        <v>0.36856323162942645</v>
      </c>
      <c r="BS25" s="92">
        <f t="shared" si="15"/>
        <v>0.61293007769145391</v>
      </c>
      <c r="BT25" s="92">
        <f t="shared" si="15"/>
        <v>1</v>
      </c>
      <c r="BU25" s="92">
        <f t="shared" si="15"/>
        <v>1.3938391305258311</v>
      </c>
      <c r="BV25" s="92">
        <f t="shared" si="15"/>
        <v>1.3004418570561016</v>
      </c>
      <c r="BW25" s="92">
        <f t="shared" si="15"/>
        <v>1.7696846271438447</v>
      </c>
      <c r="BX25" s="92">
        <f t="shared" si="15"/>
        <v>1.1799677507172324</v>
      </c>
      <c r="BY25" s="92">
        <f t="shared" si="15"/>
        <v>1.6920821728477793</v>
      </c>
      <c r="BZ25" s="92">
        <f t="shared" si="15"/>
        <v>1.3921795489288633</v>
      </c>
      <c r="CA25" s="92">
        <f t="shared" si="15"/>
        <v>1.5439448830439977</v>
      </c>
      <c r="CB25" s="92">
        <f t="shared" si="15"/>
        <v>1.5439448830439977</v>
      </c>
      <c r="CC25" s="92">
        <f t="shared" si="15"/>
        <v>2.2598004313865094</v>
      </c>
      <c r="CD25" s="92">
        <f t="shared" si="15"/>
        <v>3.1600737126463261</v>
      </c>
      <c r="CE25" s="92">
        <f t="shared" si="15"/>
        <v>3.6784076393106195</v>
      </c>
      <c r="CF25" s="92">
        <f t="shared" si="15"/>
        <v>4.6185475258098974</v>
      </c>
      <c r="CG25" s="92">
        <f t="shared" si="13"/>
        <v>5.7468221891818319</v>
      </c>
      <c r="CH25" s="92">
        <f t="shared" si="13"/>
        <v>7.6016166523569213</v>
      </c>
      <c r="CI25" s="92">
        <f t="shared" si="13"/>
        <v>8.0887535861621274</v>
      </c>
      <c r="CJ25" s="92">
        <f t="shared" si="13"/>
        <v>9.1848889075031952</v>
      </c>
      <c r="CK25" s="92">
        <f t="shared" si="13"/>
        <v>9.1848889075031952</v>
      </c>
      <c r="CL25" s="92">
        <f t="shared" si="13"/>
        <v>11.586984063828451</v>
      </c>
      <c r="CM25" s="92">
        <f t="shared" si="13"/>
        <v>13.854778757355557</v>
      </c>
      <c r="CN25" s="92">
        <f t="shared" si="13"/>
        <v>20.002680459866394</v>
      </c>
      <c r="CO25" s="92" t="str">
        <f t="shared" si="13"/>
        <v/>
      </c>
      <c r="CP25" s="92" t="str">
        <f t="shared" si="13"/>
        <v/>
      </c>
      <c r="CQ25" s="92" t="str">
        <f t="shared" si="13"/>
        <v/>
      </c>
      <c r="CR25" s="92" t="str">
        <f t="shared" si="13"/>
        <v/>
      </c>
      <c r="CS25" s="92" t="str">
        <f t="shared" si="13"/>
        <v/>
      </c>
      <c r="CT25" s="92" t="str">
        <f t="shared" si="13"/>
        <v/>
      </c>
      <c r="CU25" s="92" t="str">
        <f t="shared" si="13"/>
        <v/>
      </c>
      <c r="CV25" s="92" t="str">
        <f t="shared" si="13"/>
        <v/>
      </c>
      <c r="CW25" s="92" t="str">
        <f t="shared" si="14"/>
        <v/>
      </c>
      <c r="CX25" s="92" t="str">
        <f t="shared" si="10"/>
        <v/>
      </c>
      <c r="CY25" s="92" t="str">
        <f t="shared" si="10"/>
        <v/>
      </c>
      <c r="CZ25" s="92" t="str">
        <f t="shared" si="10"/>
        <v/>
      </c>
      <c r="DA25" s="92" t="str">
        <f t="shared" si="10"/>
        <v/>
      </c>
      <c r="DB25" s="92" t="str">
        <f t="shared" si="10"/>
        <v/>
      </c>
      <c r="DC25" s="92" t="str">
        <f t="shared" si="10"/>
        <v/>
      </c>
      <c r="DD25" s="92" t="str">
        <f t="shared" si="10"/>
        <v/>
      </c>
      <c r="DE25" s="92" t="str">
        <f t="shared" si="10"/>
        <v/>
      </c>
      <c r="DF25" s="92" t="str">
        <f t="shared" si="10"/>
        <v/>
      </c>
      <c r="DG25" s="92" t="str">
        <f t="shared" si="10"/>
        <v/>
      </c>
      <c r="DH25" s="92" t="str">
        <f t="shared" si="10"/>
        <v/>
      </c>
      <c r="DI25" s="92" t="str">
        <f t="shared" si="10"/>
        <v/>
      </c>
    </row>
    <row r="26" spans="1:113">
      <c r="A26" s="41">
        <v>961179</v>
      </c>
      <c r="B26" s="1">
        <v>52</v>
      </c>
      <c r="C26" s="29" t="str">
        <f t="shared" si="4"/>
        <v>961179-52</v>
      </c>
      <c r="D26" s="28" t="s">
        <v>80</v>
      </c>
      <c r="E26" s="37" t="s">
        <v>90</v>
      </c>
      <c r="F26" s="31">
        <v>42458</v>
      </c>
      <c r="G26" s="38"/>
      <c r="H26" s="31">
        <v>42468</v>
      </c>
      <c r="I26" s="38">
        <v>25.4</v>
      </c>
      <c r="J26" s="165"/>
      <c r="K26" s="38">
        <v>7.1</v>
      </c>
      <c r="L26" s="38">
        <v>5.7</v>
      </c>
      <c r="M26" s="32">
        <f t="shared" si="5"/>
        <v>119.95308</v>
      </c>
      <c r="N26" s="118">
        <f>8.76*1000/850</f>
        <v>10.305882352941177</v>
      </c>
      <c r="O26" s="32">
        <f>M26*10/3</f>
        <v>399.84359999999998</v>
      </c>
      <c r="P26" s="32">
        <f t="shared" si="6"/>
        <v>39.984360000000002</v>
      </c>
      <c r="Q26" s="38">
        <v>362</v>
      </c>
      <c r="R26" s="160">
        <f>Q26/O26</f>
        <v>0.90535399341142386</v>
      </c>
      <c r="S26" s="236">
        <f t="shared" si="7"/>
        <v>3.0178466447047461</v>
      </c>
      <c r="T26" s="237">
        <v>0</v>
      </c>
      <c r="U26" s="236">
        <f t="shared" si="12"/>
        <v>0</v>
      </c>
      <c r="V26" s="238">
        <f t="shared" si="11"/>
        <v>0</v>
      </c>
      <c r="W26" s="33"/>
      <c r="X26" s="138"/>
      <c r="Y26" s="87">
        <v>70.686720000000008</v>
      </c>
      <c r="Z26" s="93">
        <f>7.2*5.6*5.6*0.52</f>
        <v>117.41183999999998</v>
      </c>
      <c r="AA26" s="93">
        <v>119.95308</v>
      </c>
      <c r="AB26" s="93">
        <f>9.5*6.2*6.2*0.52</f>
        <v>189.89360000000002</v>
      </c>
      <c r="AC26" s="93">
        <f>10.7*7.8*7.8*0.52</f>
        <v>338.51375999999999</v>
      </c>
      <c r="AD26" s="93">
        <f>10.3*7.8*7.8*0.52</f>
        <v>325.85904000000005</v>
      </c>
      <c r="AE26" s="93">
        <f>11.5*8.7*8.7*0.52</f>
        <v>452.62619999999998</v>
      </c>
      <c r="AF26" s="93">
        <f>11.1*8.9*8.9*0.52</f>
        <v>457.20012000000008</v>
      </c>
      <c r="AG26" s="93">
        <f>12.3*9.2*9.2*0.52</f>
        <v>541.35744</v>
      </c>
      <c r="AH26" s="93">
        <f>12.8*9.7*9.7*0.52</f>
        <v>626.26303999999993</v>
      </c>
      <c r="AI26" s="93">
        <f>13.9*10.6*10.6*0.52</f>
        <v>812.13808000000006</v>
      </c>
      <c r="AJ26" s="93">
        <f>13.3*12*12*0.52</f>
        <v>995.90400000000022</v>
      </c>
      <c r="AK26" s="93">
        <f>15.6*11.5*11.5*0.52</f>
        <v>1072.8119999999999</v>
      </c>
      <c r="AL26" s="93">
        <f>15.2*12.5*12.5*0.52</f>
        <v>1235</v>
      </c>
      <c r="AM26" s="93">
        <f>18.4*12.6*12.6*0.52</f>
        <v>1519.01568</v>
      </c>
      <c r="AN26" s="93">
        <f>18.7*14.9*14.9*0.52</f>
        <v>2158.8252400000001</v>
      </c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2"/>
      <c r="BR26" s="92">
        <f t="shared" si="15"/>
        <v>0.58928641098669587</v>
      </c>
      <c r="BS26" s="92">
        <f t="shared" si="15"/>
        <v>0.97881471655417251</v>
      </c>
      <c r="BT26" s="92">
        <f t="shared" si="15"/>
        <v>1</v>
      </c>
      <c r="BU26" s="92">
        <f t="shared" si="15"/>
        <v>1.5830656453339924</v>
      </c>
      <c r="BV26" s="92">
        <f t="shared" si="15"/>
        <v>2.8220514221060435</v>
      </c>
      <c r="BW26" s="92">
        <f t="shared" si="15"/>
        <v>2.7165541726815188</v>
      </c>
      <c r="BX26" s="92">
        <f t="shared" si="15"/>
        <v>3.7733603839101089</v>
      </c>
      <c r="BY26" s="92">
        <f t="shared" si="15"/>
        <v>3.8114912930956009</v>
      </c>
      <c r="BZ26" s="92">
        <f t="shared" si="15"/>
        <v>4.5130766129556656</v>
      </c>
      <c r="CA26" s="92">
        <f t="shared" si="15"/>
        <v>5.2209000385817514</v>
      </c>
      <c r="CB26" s="92">
        <f t="shared" si="15"/>
        <v>6.7704645849860636</v>
      </c>
      <c r="CC26" s="92">
        <f t="shared" si="15"/>
        <v>8.302446256486288</v>
      </c>
      <c r="CD26" s="92">
        <f t="shared" si="15"/>
        <v>8.9435969464060445</v>
      </c>
      <c r="CE26" s="92">
        <f t="shared" si="15"/>
        <v>10.295692282349066</v>
      </c>
      <c r="CF26" s="92">
        <f t="shared" si="15"/>
        <v>12.663415395419609</v>
      </c>
      <c r="CG26" s="92">
        <f t="shared" si="13"/>
        <v>17.997247257010827</v>
      </c>
      <c r="CH26" s="92" t="str">
        <f t="shared" si="13"/>
        <v/>
      </c>
      <c r="CI26" s="92" t="str">
        <f t="shared" si="13"/>
        <v/>
      </c>
      <c r="CJ26" s="92" t="str">
        <f t="shared" si="13"/>
        <v/>
      </c>
      <c r="CK26" s="92" t="str">
        <f t="shared" si="13"/>
        <v/>
      </c>
      <c r="CL26" s="92" t="str">
        <f t="shared" si="13"/>
        <v/>
      </c>
      <c r="CM26" s="92" t="str">
        <f t="shared" si="13"/>
        <v/>
      </c>
      <c r="CN26" s="92" t="str">
        <f t="shared" si="13"/>
        <v/>
      </c>
      <c r="CO26" s="92" t="str">
        <f t="shared" si="13"/>
        <v/>
      </c>
      <c r="CP26" s="92" t="str">
        <f t="shared" si="13"/>
        <v/>
      </c>
      <c r="CQ26" s="92" t="str">
        <f t="shared" si="13"/>
        <v/>
      </c>
      <c r="CR26" s="92" t="str">
        <f t="shared" si="13"/>
        <v/>
      </c>
      <c r="CS26" s="92" t="str">
        <f t="shared" si="13"/>
        <v/>
      </c>
      <c r="CT26" s="92" t="str">
        <f t="shared" si="13"/>
        <v/>
      </c>
      <c r="CU26" s="92" t="str">
        <f t="shared" si="13"/>
        <v/>
      </c>
      <c r="CV26" s="92" t="str">
        <f t="shared" si="13"/>
        <v/>
      </c>
      <c r="CW26" s="92" t="str">
        <f t="shared" si="14"/>
        <v/>
      </c>
      <c r="CX26" s="92" t="str">
        <f t="shared" si="10"/>
        <v/>
      </c>
      <c r="CY26" s="92" t="str">
        <f t="shared" si="10"/>
        <v/>
      </c>
      <c r="CZ26" s="92" t="str">
        <f t="shared" si="10"/>
        <v/>
      </c>
      <c r="DA26" s="92" t="str">
        <f t="shared" ref="DA26:DI53" si="16">IF(OR(ISERROR(BH26/$M26)=TRUE,ISBLANK(BH26)=TRUE),"",BH26/$M26)</f>
        <v/>
      </c>
      <c r="DB26" s="92" t="str">
        <f t="shared" si="16"/>
        <v/>
      </c>
      <c r="DC26" s="92" t="str">
        <f t="shared" si="16"/>
        <v/>
      </c>
      <c r="DD26" s="92" t="str">
        <f t="shared" si="16"/>
        <v/>
      </c>
      <c r="DE26" s="92" t="str">
        <f t="shared" si="16"/>
        <v/>
      </c>
      <c r="DF26" s="92" t="str">
        <f t="shared" si="16"/>
        <v/>
      </c>
      <c r="DG26" s="92" t="str">
        <f t="shared" si="16"/>
        <v/>
      </c>
      <c r="DH26" s="92" t="str">
        <f t="shared" si="16"/>
        <v/>
      </c>
      <c r="DI26" s="92" t="str">
        <f t="shared" si="16"/>
        <v/>
      </c>
    </row>
    <row r="27" spans="1:113">
      <c r="A27" s="41">
        <v>961179</v>
      </c>
      <c r="B27" s="1">
        <v>53</v>
      </c>
      <c r="C27" s="29" t="str">
        <f t="shared" si="4"/>
        <v>961179-53</v>
      </c>
      <c r="D27" s="28" t="s">
        <v>80</v>
      </c>
      <c r="E27" s="37" t="s">
        <v>34</v>
      </c>
      <c r="F27" s="31">
        <v>42458</v>
      </c>
      <c r="G27" s="38"/>
      <c r="H27" s="31">
        <v>42468</v>
      </c>
      <c r="I27" s="38">
        <v>28.3</v>
      </c>
      <c r="J27" s="165"/>
      <c r="K27" s="38">
        <v>7.3</v>
      </c>
      <c r="L27" s="38">
        <v>5.7</v>
      </c>
      <c r="M27" s="38">
        <f t="shared" si="5"/>
        <v>123.33204000000002</v>
      </c>
      <c r="N27" s="118"/>
      <c r="O27" s="38"/>
      <c r="P27" s="32">
        <f t="shared" si="6"/>
        <v>41.110680000000009</v>
      </c>
      <c r="Q27" s="38"/>
      <c r="R27" s="160"/>
      <c r="S27" s="236">
        <f t="shared" si="7"/>
        <v>0</v>
      </c>
      <c r="T27" s="237">
        <v>0</v>
      </c>
      <c r="U27" s="236">
        <f t="shared" si="12"/>
        <v>0</v>
      </c>
      <c r="V27" s="238">
        <f t="shared" si="11"/>
        <v>0</v>
      </c>
      <c r="W27" s="33"/>
      <c r="X27" s="138"/>
      <c r="Y27" s="87">
        <v>68.920800000000014</v>
      </c>
      <c r="Z27" s="93">
        <f>6.7*4.4*4.4*0.52</f>
        <v>67.450240000000008</v>
      </c>
      <c r="AA27" s="93">
        <v>123.33204000000002</v>
      </c>
      <c r="AB27" s="93">
        <f>7*5.5*5.5*0.52</f>
        <v>110.11</v>
      </c>
      <c r="AC27" s="93">
        <f>7.6*5.8*5.8*0.52</f>
        <v>132.94528</v>
      </c>
      <c r="AD27" s="93">
        <f>7.9*6.2*6.2*0.52</f>
        <v>157.91152000000002</v>
      </c>
      <c r="AE27" s="93">
        <f>8.5*7*7*0.52</f>
        <v>216.58</v>
      </c>
      <c r="AF27" s="93">
        <f>10.1*7.8*7.8*0.52</f>
        <v>319.53168000000005</v>
      </c>
      <c r="AG27" s="93">
        <f>10.7*8.3*8.3*0.52</f>
        <v>383.30396000000002</v>
      </c>
      <c r="AH27" s="93">
        <f>11.7*10.6*10.6*0.52</f>
        <v>683.59823999999992</v>
      </c>
      <c r="AI27" s="93">
        <f>12.7*12.1*12.1*0.52</f>
        <v>966.89163999999982</v>
      </c>
      <c r="AJ27" s="93">
        <f>14.3*14.1*14.1*0.52</f>
        <v>1478.3511599999999</v>
      </c>
      <c r="AK27" s="93">
        <f>14.5*14.4*14.4*0.52</f>
        <v>1563.4944000000003</v>
      </c>
      <c r="AL27" s="93">
        <f>16.6*16.4*16.4*0.52</f>
        <v>2321.6627199999998</v>
      </c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2"/>
      <c r="BR27" s="92">
        <f t="shared" si="15"/>
        <v>0.55882315738878563</v>
      </c>
      <c r="BS27" s="92">
        <f t="shared" si="15"/>
        <v>0.54689957289281843</v>
      </c>
      <c r="BT27" s="92">
        <f t="shared" si="15"/>
        <v>1</v>
      </c>
      <c r="BU27" s="92">
        <f t="shared" si="15"/>
        <v>0.89279314604704485</v>
      </c>
      <c r="BV27" s="92">
        <f t="shared" si="15"/>
        <v>1.0779460065689335</v>
      </c>
      <c r="BW27" s="92">
        <f t="shared" si="15"/>
        <v>1.280377102332857</v>
      </c>
      <c r="BX27" s="92">
        <f t="shared" si="15"/>
        <v>1.7560724690842702</v>
      </c>
      <c r="BY27" s="92">
        <f t="shared" si="15"/>
        <v>2.5908245740522902</v>
      </c>
      <c r="BZ27" s="92">
        <f t="shared" si="15"/>
        <v>3.1079025369239002</v>
      </c>
      <c r="CA27" s="92">
        <f t="shared" si="15"/>
        <v>5.5427465563692921</v>
      </c>
      <c r="CB27" s="92">
        <f t="shared" si="15"/>
        <v>7.8397441573171065</v>
      </c>
      <c r="CC27" s="92">
        <f t="shared" si="15"/>
        <v>11.986756725989448</v>
      </c>
      <c r="CD27" s="92">
        <f t="shared" si="15"/>
        <v>12.677114560012143</v>
      </c>
      <c r="CE27" s="92">
        <f t="shared" si="15"/>
        <v>18.824489727081456</v>
      </c>
      <c r="CF27" s="92" t="str">
        <f t="shared" si="15"/>
        <v/>
      </c>
      <c r="CG27" s="92" t="str">
        <f t="shared" si="13"/>
        <v/>
      </c>
      <c r="CH27" s="92" t="str">
        <f t="shared" si="13"/>
        <v/>
      </c>
      <c r="CI27" s="92" t="str">
        <f t="shared" si="13"/>
        <v/>
      </c>
      <c r="CJ27" s="92" t="str">
        <f t="shared" si="13"/>
        <v/>
      </c>
      <c r="CK27" s="92" t="str">
        <f t="shared" si="13"/>
        <v/>
      </c>
      <c r="CL27" s="92" t="str">
        <f t="shared" si="13"/>
        <v/>
      </c>
      <c r="CM27" s="92" t="str">
        <f t="shared" si="13"/>
        <v/>
      </c>
      <c r="CN27" s="92" t="str">
        <f t="shared" si="13"/>
        <v/>
      </c>
      <c r="CO27" s="92" t="str">
        <f t="shared" si="13"/>
        <v/>
      </c>
      <c r="CP27" s="92" t="str">
        <f t="shared" si="13"/>
        <v/>
      </c>
      <c r="CQ27" s="92" t="str">
        <f t="shared" si="13"/>
        <v/>
      </c>
      <c r="CR27" s="92" t="str">
        <f t="shared" si="13"/>
        <v/>
      </c>
      <c r="CS27" s="92" t="str">
        <f t="shared" si="13"/>
        <v/>
      </c>
      <c r="CT27" s="92" t="str">
        <f t="shared" si="13"/>
        <v/>
      </c>
      <c r="CU27" s="92" t="str">
        <f t="shared" si="13"/>
        <v/>
      </c>
      <c r="CV27" s="92" t="str">
        <f t="shared" si="13"/>
        <v/>
      </c>
      <c r="CW27" s="92" t="str">
        <f t="shared" si="14"/>
        <v/>
      </c>
      <c r="CX27" s="92" t="str">
        <f t="shared" si="14"/>
        <v/>
      </c>
      <c r="CY27" s="92" t="str">
        <f t="shared" si="14"/>
        <v/>
      </c>
      <c r="CZ27" s="92" t="str">
        <f t="shared" si="14"/>
        <v/>
      </c>
      <c r="DA27" s="92" t="str">
        <f t="shared" si="16"/>
        <v/>
      </c>
      <c r="DB27" s="92" t="str">
        <f t="shared" si="16"/>
        <v/>
      </c>
      <c r="DC27" s="92" t="str">
        <f t="shared" si="16"/>
        <v/>
      </c>
      <c r="DD27" s="92" t="str">
        <f t="shared" si="16"/>
        <v/>
      </c>
      <c r="DE27" s="92" t="str">
        <f t="shared" si="16"/>
        <v/>
      </c>
      <c r="DF27" s="92" t="str">
        <f t="shared" si="16"/>
        <v/>
      </c>
      <c r="DG27" s="92" t="str">
        <f t="shared" si="16"/>
        <v/>
      </c>
      <c r="DH27" s="92" t="str">
        <f t="shared" si="16"/>
        <v/>
      </c>
      <c r="DI27" s="92" t="str">
        <f t="shared" si="16"/>
        <v/>
      </c>
    </row>
    <row r="28" spans="1:113">
      <c r="A28" s="41">
        <v>961179</v>
      </c>
      <c r="B28" s="1">
        <v>54</v>
      </c>
      <c r="C28" s="29" t="str">
        <f t="shared" si="4"/>
        <v>961179-54</v>
      </c>
      <c r="D28" s="28" t="s">
        <v>80</v>
      </c>
      <c r="E28" s="37" t="s">
        <v>85</v>
      </c>
      <c r="F28" s="31">
        <v>42458</v>
      </c>
      <c r="G28" s="38"/>
      <c r="H28" s="31">
        <v>42468</v>
      </c>
      <c r="I28" s="38">
        <v>28</v>
      </c>
      <c r="J28" s="165"/>
      <c r="K28" s="38">
        <v>5.8</v>
      </c>
      <c r="L28" s="38">
        <v>4.5999999999999996</v>
      </c>
      <c r="M28" s="38">
        <f t="shared" si="5"/>
        <v>63.818559999999991</v>
      </c>
      <c r="N28" s="118"/>
      <c r="O28" s="38"/>
      <c r="P28" s="32">
        <f t="shared" si="6"/>
        <v>21.27285333333333</v>
      </c>
      <c r="Q28" s="38"/>
      <c r="R28" s="160"/>
      <c r="S28" s="236">
        <f t="shared" si="7"/>
        <v>0</v>
      </c>
      <c r="T28" s="237">
        <v>498</v>
      </c>
      <c r="U28" s="236">
        <f t="shared" si="12"/>
        <v>44.464285714285722</v>
      </c>
      <c r="V28" s="238">
        <f t="shared" si="11"/>
        <v>19.508431403027586</v>
      </c>
      <c r="W28" s="33"/>
      <c r="X28" s="138"/>
      <c r="Y28" s="87">
        <v>49.088000000000008</v>
      </c>
      <c r="Z28" s="93">
        <f>6.1*4.3*4.3*0.52</f>
        <v>58.650279999999995</v>
      </c>
      <c r="AA28" s="93">
        <v>63.818559999999991</v>
      </c>
      <c r="AB28" s="93">
        <f>6.8*5.9*5.9*0.52</f>
        <v>123.08816000000003</v>
      </c>
      <c r="AC28" s="93">
        <f>7.5*6*6*0.52</f>
        <v>140.4</v>
      </c>
      <c r="AD28" s="93">
        <f>12.4*7.2*7.2*0.52</f>
        <v>334.26432000000005</v>
      </c>
      <c r="AE28" s="93">
        <f>13*6.1*6.1*0.52</f>
        <v>251.53959999999998</v>
      </c>
      <c r="AF28" s="93">
        <f>12.7*7*7*0.52</f>
        <v>323.596</v>
      </c>
      <c r="AG28" s="93">
        <f>13.2*8.1*8.1*0.52</f>
        <v>450.34703999999999</v>
      </c>
      <c r="AH28" s="93">
        <f>14.1*9.3*9.3*0.52</f>
        <v>634.14467999999999</v>
      </c>
      <c r="AI28" s="93">
        <f>13.1*9.8*9.8*0.52</f>
        <v>654.22448000000009</v>
      </c>
      <c r="AJ28" s="93">
        <f>15.8*10.9*10.9*0.52</f>
        <v>976.14296000000024</v>
      </c>
      <c r="AK28" s="93">
        <f>17*11.4*11.4*0.52</f>
        <v>1148.8464000000001</v>
      </c>
      <c r="AL28" s="93">
        <f>17.7*12.1*12.1*0.52</f>
        <v>1347.55764</v>
      </c>
      <c r="AM28" s="93">
        <f>19.1*12.6*12.6*0.52</f>
        <v>1576.8043200000002</v>
      </c>
      <c r="AN28" s="93">
        <f>19.9*13.2*13.2*0.52</f>
        <v>1803.0355199999997</v>
      </c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2"/>
      <c r="BR28" s="92">
        <f t="shared" si="15"/>
        <v>0.76918062707776569</v>
      </c>
      <c r="BS28" s="92">
        <f t="shared" si="15"/>
        <v>0.91901603546053068</v>
      </c>
      <c r="BT28" s="92">
        <f t="shared" si="15"/>
        <v>1</v>
      </c>
      <c r="BU28" s="92">
        <f t="shared" si="15"/>
        <v>1.9287204223974976</v>
      </c>
      <c r="BV28" s="92">
        <f t="shared" si="15"/>
        <v>2.1999869630402196</v>
      </c>
      <c r="BW28" s="92">
        <f t="shared" si="15"/>
        <v>5.2377289616061553</v>
      </c>
      <c r="BX28" s="92">
        <f t="shared" si="15"/>
        <v>3.9414803467831305</v>
      </c>
      <c r="BY28" s="92">
        <f t="shared" si="15"/>
        <v>5.0705625448145497</v>
      </c>
      <c r="BZ28" s="92">
        <f t="shared" si="15"/>
        <v>7.0566781826478078</v>
      </c>
      <c r="CA28" s="92">
        <f t="shared" si="15"/>
        <v>9.9366811159637578</v>
      </c>
      <c r="CB28" s="92">
        <f t="shared" si="15"/>
        <v>10.251319992177827</v>
      </c>
      <c r="CC28" s="92">
        <f t="shared" si="15"/>
        <v>15.295596766833981</v>
      </c>
      <c r="CD28" s="92">
        <f t="shared" si="15"/>
        <v>18.001759989570438</v>
      </c>
      <c r="CE28" s="92">
        <f t="shared" si="15"/>
        <v>21.115450426960436</v>
      </c>
      <c r="CF28" s="92">
        <f t="shared" si="15"/>
        <v>24.707613584512099</v>
      </c>
      <c r="CG28" s="92">
        <f t="shared" si="13"/>
        <v>28.252525910957562</v>
      </c>
      <c r="CH28" s="92" t="str">
        <f t="shared" si="13"/>
        <v/>
      </c>
      <c r="CI28" s="92" t="str">
        <f t="shared" si="13"/>
        <v/>
      </c>
      <c r="CJ28" s="92" t="str">
        <f t="shared" si="13"/>
        <v/>
      </c>
      <c r="CK28" s="92" t="str">
        <f t="shared" si="13"/>
        <v/>
      </c>
      <c r="CL28" s="92" t="str">
        <f t="shared" si="13"/>
        <v/>
      </c>
      <c r="CM28" s="92" t="str">
        <f t="shared" si="13"/>
        <v/>
      </c>
      <c r="CN28" s="92" t="str">
        <f t="shared" si="13"/>
        <v/>
      </c>
      <c r="CO28" s="92" t="str">
        <f t="shared" si="13"/>
        <v/>
      </c>
      <c r="CP28" s="92" t="str">
        <f t="shared" si="13"/>
        <v/>
      </c>
      <c r="CQ28" s="92" t="str">
        <f t="shared" si="13"/>
        <v/>
      </c>
      <c r="CR28" s="92" t="str">
        <f t="shared" si="13"/>
        <v/>
      </c>
      <c r="CS28" s="92" t="str">
        <f t="shared" si="13"/>
        <v/>
      </c>
      <c r="CT28" s="92" t="str">
        <f t="shared" si="13"/>
        <v/>
      </c>
      <c r="CU28" s="92" t="str">
        <f t="shared" si="13"/>
        <v/>
      </c>
      <c r="CV28" s="92" t="str">
        <f t="shared" si="13"/>
        <v/>
      </c>
      <c r="CW28" s="92" t="str">
        <f t="shared" si="14"/>
        <v/>
      </c>
      <c r="CX28" s="92" t="str">
        <f t="shared" si="14"/>
        <v/>
      </c>
      <c r="CY28" s="92" t="str">
        <f t="shared" si="14"/>
        <v/>
      </c>
      <c r="CZ28" s="92" t="str">
        <f t="shared" si="14"/>
        <v/>
      </c>
      <c r="DA28" s="92" t="str">
        <f t="shared" si="16"/>
        <v/>
      </c>
      <c r="DB28" s="92" t="str">
        <f t="shared" si="16"/>
        <v/>
      </c>
      <c r="DC28" s="92" t="str">
        <f t="shared" si="16"/>
        <v/>
      </c>
      <c r="DD28" s="92" t="str">
        <f t="shared" si="16"/>
        <v/>
      </c>
      <c r="DE28" s="92" t="str">
        <f t="shared" si="16"/>
        <v/>
      </c>
      <c r="DF28" s="92" t="str">
        <f t="shared" si="16"/>
        <v/>
      </c>
      <c r="DG28" s="92" t="str">
        <f t="shared" si="16"/>
        <v/>
      </c>
      <c r="DH28" s="92" t="str">
        <f t="shared" si="16"/>
        <v/>
      </c>
      <c r="DI28" s="92" t="str">
        <f t="shared" si="16"/>
        <v/>
      </c>
    </row>
    <row r="29" spans="1:113">
      <c r="A29" s="41">
        <v>961179</v>
      </c>
      <c r="B29" s="1">
        <v>55</v>
      </c>
      <c r="C29" s="29" t="str">
        <f t="shared" si="4"/>
        <v>961179-55</v>
      </c>
      <c r="D29" s="28" t="s">
        <v>80</v>
      </c>
      <c r="E29" s="37" t="s">
        <v>85</v>
      </c>
      <c r="F29" s="31">
        <v>42458</v>
      </c>
      <c r="G29" s="38"/>
      <c r="H29" s="31">
        <v>42468</v>
      </c>
      <c r="I29" s="38">
        <v>26</v>
      </c>
      <c r="J29" s="165"/>
      <c r="K29" s="38">
        <v>5.8</v>
      </c>
      <c r="L29" s="38">
        <v>4.8</v>
      </c>
      <c r="M29" s="38">
        <f t="shared" si="5"/>
        <v>69.488640000000004</v>
      </c>
      <c r="N29" s="118"/>
      <c r="O29" s="38"/>
      <c r="P29" s="32">
        <f t="shared" si="6"/>
        <v>23.162880000000001</v>
      </c>
      <c r="Q29" s="38"/>
      <c r="R29" s="160"/>
      <c r="S29" s="236">
        <f t="shared" si="7"/>
        <v>0</v>
      </c>
      <c r="T29" s="237">
        <v>463</v>
      </c>
      <c r="U29" s="236">
        <f t="shared" si="12"/>
        <v>44.519230769230766</v>
      </c>
      <c r="V29" s="238">
        <f t="shared" si="11"/>
        <v>16.65739896478043</v>
      </c>
      <c r="W29" s="33"/>
      <c r="X29" s="138"/>
      <c r="Y29" s="87">
        <v>62.718239999999994</v>
      </c>
      <c r="Z29" s="93">
        <f>5.7*5.5*5.5*0.52</f>
        <v>89.661000000000016</v>
      </c>
      <c r="AA29" s="93">
        <v>69.488640000000004</v>
      </c>
      <c r="AB29" s="93">
        <f>6.8*5.8*5.8*0.52</f>
        <v>118.95103999999999</v>
      </c>
      <c r="AC29" s="93">
        <f>6.8*5.6*5.6*0.52</f>
        <v>110.88896</v>
      </c>
      <c r="AD29" s="93">
        <f>6.9*5.7*5.7*0.52</f>
        <v>116.57412000000002</v>
      </c>
      <c r="AE29" s="93">
        <f>7.1*5.5*5.5*0.52</f>
        <v>111.68299999999999</v>
      </c>
      <c r="AF29" s="93">
        <f>6.9*4.9*4.9*0.52</f>
        <v>86.147880000000015</v>
      </c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2"/>
      <c r="BR29" s="92">
        <f t="shared" si="15"/>
        <v>0.90256824712643668</v>
      </c>
      <c r="BS29" s="92">
        <f t="shared" si="15"/>
        <v>1.2902972341954024</v>
      </c>
      <c r="BT29" s="92">
        <f t="shared" si="15"/>
        <v>1</v>
      </c>
      <c r="BU29" s="92">
        <f t="shared" si="15"/>
        <v>1.7118055555555554</v>
      </c>
      <c r="BV29" s="92">
        <f t="shared" si="15"/>
        <v>1.5957854406130267</v>
      </c>
      <c r="BW29" s="92">
        <f t="shared" si="15"/>
        <v>1.6775996767241381</v>
      </c>
      <c r="BX29" s="92">
        <f t="shared" si="15"/>
        <v>1.6072123443486588</v>
      </c>
      <c r="BY29" s="92">
        <f t="shared" si="15"/>
        <v>1.2397404813218393</v>
      </c>
      <c r="BZ29" s="92" t="str">
        <f t="shared" si="15"/>
        <v/>
      </c>
      <c r="CA29" s="92" t="str">
        <f t="shared" si="15"/>
        <v/>
      </c>
      <c r="CB29" s="92" t="str">
        <f t="shared" si="15"/>
        <v/>
      </c>
      <c r="CC29" s="92" t="str">
        <f t="shared" si="15"/>
        <v/>
      </c>
      <c r="CD29" s="92" t="str">
        <f t="shared" si="15"/>
        <v/>
      </c>
      <c r="CE29" s="92" t="str">
        <f t="shared" si="15"/>
        <v/>
      </c>
      <c r="CF29" s="92" t="str">
        <f t="shared" si="15"/>
        <v/>
      </c>
      <c r="CG29" s="92" t="str">
        <f t="shared" si="13"/>
        <v/>
      </c>
      <c r="CH29" s="92" t="str">
        <f t="shared" si="13"/>
        <v/>
      </c>
      <c r="CI29" s="92" t="str">
        <f t="shared" si="13"/>
        <v/>
      </c>
      <c r="CJ29" s="92" t="str">
        <f t="shared" si="13"/>
        <v/>
      </c>
      <c r="CK29" s="92" t="str">
        <f t="shared" si="13"/>
        <v/>
      </c>
      <c r="CL29" s="92" t="str">
        <f t="shared" si="13"/>
        <v/>
      </c>
      <c r="CM29" s="92" t="str">
        <f t="shared" si="13"/>
        <v/>
      </c>
      <c r="CN29" s="92" t="str">
        <f t="shared" si="13"/>
        <v/>
      </c>
      <c r="CO29" s="92" t="str">
        <f t="shared" si="13"/>
        <v/>
      </c>
      <c r="CP29" s="92" t="str">
        <f t="shared" si="13"/>
        <v/>
      </c>
      <c r="CQ29" s="92" t="str">
        <f t="shared" si="13"/>
        <v/>
      </c>
      <c r="CR29" s="92" t="str">
        <f t="shared" si="13"/>
        <v/>
      </c>
      <c r="CS29" s="92" t="str">
        <f t="shared" si="13"/>
        <v/>
      </c>
      <c r="CT29" s="92" t="str">
        <f t="shared" si="13"/>
        <v/>
      </c>
      <c r="CU29" s="92" t="str">
        <f t="shared" si="13"/>
        <v/>
      </c>
      <c r="CV29" s="92" t="str">
        <f t="shared" si="13"/>
        <v/>
      </c>
      <c r="CW29" s="92" t="str">
        <f t="shared" si="14"/>
        <v/>
      </c>
      <c r="CX29" s="92" t="str">
        <f t="shared" si="14"/>
        <v/>
      </c>
      <c r="CY29" s="92" t="str">
        <f t="shared" si="14"/>
        <v/>
      </c>
      <c r="CZ29" s="92" t="str">
        <f t="shared" si="14"/>
        <v/>
      </c>
      <c r="DA29" s="92" t="str">
        <f t="shared" si="16"/>
        <v/>
      </c>
      <c r="DB29" s="92" t="str">
        <f t="shared" si="16"/>
        <v/>
      </c>
      <c r="DC29" s="92" t="str">
        <f t="shared" si="16"/>
        <v/>
      </c>
      <c r="DD29" s="92" t="str">
        <f t="shared" si="16"/>
        <v/>
      </c>
      <c r="DE29" s="92" t="str">
        <f t="shared" si="16"/>
        <v/>
      </c>
      <c r="DF29" s="92" t="str">
        <f t="shared" si="16"/>
        <v/>
      </c>
      <c r="DG29" s="92" t="str">
        <f t="shared" si="16"/>
        <v/>
      </c>
      <c r="DH29" s="92" t="str">
        <f t="shared" si="16"/>
        <v/>
      </c>
      <c r="DI29" s="92" t="str">
        <f t="shared" si="16"/>
        <v/>
      </c>
    </row>
    <row r="30" spans="1:113">
      <c r="A30" s="41">
        <v>961178</v>
      </c>
      <c r="B30" s="1">
        <v>61</v>
      </c>
      <c r="C30" s="29" t="str">
        <f t="shared" si="4"/>
        <v>961178-61</v>
      </c>
      <c r="D30" s="28" t="s">
        <v>80</v>
      </c>
      <c r="E30" s="37" t="s">
        <v>86</v>
      </c>
      <c r="F30" s="31">
        <v>42458</v>
      </c>
      <c r="G30" s="38"/>
      <c r="H30" s="31">
        <v>42468</v>
      </c>
      <c r="I30" s="38">
        <v>28.6</v>
      </c>
      <c r="J30" s="165"/>
      <c r="K30" s="38">
        <v>7.4</v>
      </c>
      <c r="L30" s="38">
        <v>5.3</v>
      </c>
      <c r="M30" s="38">
        <f t="shared" si="5"/>
        <v>108.09032000000001</v>
      </c>
      <c r="N30" s="118">
        <f>5.71/560*1000</f>
        <v>10.196428571428571</v>
      </c>
      <c r="O30" s="38">
        <f>M30*10/3</f>
        <v>360.30106666666666</v>
      </c>
      <c r="P30" s="32">
        <f t="shared" si="6"/>
        <v>36.030106666666669</v>
      </c>
      <c r="Q30" s="38">
        <v>323</v>
      </c>
      <c r="R30" s="160">
        <f>Q30/O30</f>
        <v>0.89647250558606917</v>
      </c>
      <c r="S30" s="236">
        <f t="shared" si="7"/>
        <v>2.9882416852868969</v>
      </c>
      <c r="T30" s="237">
        <v>254.5</v>
      </c>
      <c r="U30" s="236">
        <f t="shared" si="12"/>
        <v>22.246503496503497</v>
      </c>
      <c r="V30" s="238">
        <f t="shared" si="11"/>
        <v>5.8862810286804583</v>
      </c>
      <c r="W30" s="33"/>
      <c r="X30" s="138"/>
      <c r="Y30" s="87">
        <v>66.623440000000016</v>
      </c>
      <c r="Z30" s="93">
        <f>6.3*5.8*5.8*0.52</f>
        <v>110.20464</v>
      </c>
      <c r="AA30" s="93">
        <v>108.09032000000001</v>
      </c>
      <c r="AB30" s="93">
        <f>7.2*6.3*6.3*0.52</f>
        <v>148.59935999999999</v>
      </c>
      <c r="AC30" s="93">
        <f>7.3*6.9*6.9*0.52</f>
        <v>180.72756000000004</v>
      </c>
      <c r="AD30" s="93">
        <f>7.1*6.2*6.2*0.52</f>
        <v>141.92048</v>
      </c>
      <c r="AE30" s="93">
        <f>6.5*6.2*6.2*0.52</f>
        <v>129.92720000000003</v>
      </c>
      <c r="AF30" s="93">
        <f>7.1*6.7*6.7*0.52</f>
        <v>165.73388</v>
      </c>
      <c r="AG30" s="93">
        <f>7.5*5.5*5.5*0.52</f>
        <v>117.97500000000001</v>
      </c>
      <c r="AH30" s="93">
        <f>7.7*5.3*5.3*0.52</f>
        <v>112.47236000000001</v>
      </c>
      <c r="AI30" s="93">
        <f>7.1*5.8*5.8*0.52</f>
        <v>124.19888</v>
      </c>
      <c r="AJ30" s="93">
        <f>7.3*6.4*6.4*0.52</f>
        <v>155.48416</v>
      </c>
      <c r="AK30" s="93">
        <f>7.4*6*6*0.52</f>
        <v>138.52800000000002</v>
      </c>
      <c r="AL30" s="93">
        <f>8.8*6.6*6.6*0.52</f>
        <v>199.33055999999999</v>
      </c>
      <c r="AM30" s="93">
        <f>9.8*7.3*7.3*0.52</f>
        <v>271.56584000000004</v>
      </c>
      <c r="AN30" s="93">
        <f>10.6*8.1*8.1*0.52</f>
        <v>361.64232000000004</v>
      </c>
      <c r="AO30" s="93">
        <f>8.9*8.2*8.2*0.52</f>
        <v>311.18671999999992</v>
      </c>
      <c r="AP30" s="93">
        <f>11.3*10.5*10.5*0.52</f>
        <v>647.82900000000006</v>
      </c>
      <c r="AQ30" s="93">
        <f>11.7*10.8*10.8*0.52</f>
        <v>709.63776000000007</v>
      </c>
      <c r="AR30" s="93">
        <f>11.9*11.1*11.1*0.52</f>
        <v>762.42348000000004</v>
      </c>
      <c r="AS30" s="93">
        <f>13.1*12.5*12.5*0.52</f>
        <v>1064.375</v>
      </c>
      <c r="AT30" s="93">
        <f>14.6*13.7*13.7*0.52</f>
        <v>1424.9424799999997</v>
      </c>
      <c r="AU30" s="93">
        <f>15.9*14.8*14.8*0.52</f>
        <v>1811.0227200000002</v>
      </c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2"/>
      <c r="BR30" s="92">
        <f t="shared" si="15"/>
        <v>0.61636823722975387</v>
      </c>
      <c r="BS30" s="92">
        <f t="shared" si="15"/>
        <v>1.0195606785140425</v>
      </c>
      <c r="BT30" s="92">
        <f t="shared" si="15"/>
        <v>1</v>
      </c>
      <c r="BU30" s="92">
        <f t="shared" si="15"/>
        <v>1.3747702847026448</v>
      </c>
      <c r="BV30" s="92">
        <f t="shared" si="15"/>
        <v>1.6720050417095631</v>
      </c>
      <c r="BW30" s="92">
        <f t="shared" si="15"/>
        <v>1.3129804778078185</v>
      </c>
      <c r="BX30" s="92">
        <f t="shared" si="15"/>
        <v>1.2020243810916651</v>
      </c>
      <c r="BY30" s="92">
        <f t="shared" si="15"/>
        <v>1.5332906776481001</v>
      </c>
      <c r="BZ30" s="92">
        <f t="shared" si="15"/>
        <v>1.0914483369093551</v>
      </c>
      <c r="CA30" s="92">
        <f t="shared" si="15"/>
        <v>1.0405405405405406</v>
      </c>
      <c r="CB30" s="92">
        <f t="shared" si="15"/>
        <v>1.1490287011824925</v>
      </c>
      <c r="CC30" s="92">
        <f t="shared" si="15"/>
        <v>1.4384651650582587</v>
      </c>
      <c r="CD30" s="92">
        <f t="shared" si="15"/>
        <v>1.2815948736205056</v>
      </c>
      <c r="CE30" s="92">
        <f t="shared" si="15"/>
        <v>1.8441111100420462</v>
      </c>
      <c r="CF30" s="92">
        <f t="shared" si="15"/>
        <v>2.5123974098698203</v>
      </c>
      <c r="CG30" s="92">
        <f t="shared" si="13"/>
        <v>3.3457419683834781</v>
      </c>
      <c r="CH30" s="92">
        <f t="shared" si="13"/>
        <v>2.8789508625749272</v>
      </c>
      <c r="CI30" s="92">
        <f t="shared" si="13"/>
        <v>5.99340440476076</v>
      </c>
      <c r="CJ30" s="92">
        <f t="shared" si="13"/>
        <v>6.5652295228656925</v>
      </c>
      <c r="CK30" s="92">
        <f t="shared" si="13"/>
        <v>7.0535777856888568</v>
      </c>
      <c r="CL30" s="92">
        <f t="shared" si="13"/>
        <v>9.8470889900224172</v>
      </c>
      <c r="CM30" s="92">
        <f t="shared" si="13"/>
        <v>13.182887052235571</v>
      </c>
      <c r="CN30" s="92">
        <f t="shared" si="13"/>
        <v>16.754716981132077</v>
      </c>
      <c r="CO30" s="92" t="str">
        <f t="shared" si="13"/>
        <v/>
      </c>
      <c r="CP30" s="92" t="str">
        <f t="shared" si="13"/>
        <v/>
      </c>
      <c r="CQ30" s="92" t="str">
        <f t="shared" si="13"/>
        <v/>
      </c>
      <c r="CR30" s="92" t="str">
        <f t="shared" si="13"/>
        <v/>
      </c>
      <c r="CS30" s="92" t="str">
        <f t="shared" si="13"/>
        <v/>
      </c>
      <c r="CT30" s="92" t="str">
        <f t="shared" si="13"/>
        <v/>
      </c>
      <c r="CU30" s="92" t="str">
        <f t="shared" si="13"/>
        <v/>
      </c>
      <c r="CV30" s="92" t="str">
        <f t="shared" si="13"/>
        <v/>
      </c>
      <c r="CW30" s="92" t="str">
        <f t="shared" si="14"/>
        <v/>
      </c>
      <c r="CX30" s="92" t="str">
        <f t="shared" si="14"/>
        <v/>
      </c>
      <c r="CY30" s="92" t="str">
        <f t="shared" si="14"/>
        <v/>
      </c>
      <c r="CZ30" s="92" t="str">
        <f t="shared" si="14"/>
        <v/>
      </c>
      <c r="DA30" s="92" t="str">
        <f t="shared" si="16"/>
        <v/>
      </c>
      <c r="DB30" s="92" t="str">
        <f t="shared" si="16"/>
        <v/>
      </c>
      <c r="DC30" s="92" t="str">
        <f t="shared" si="16"/>
        <v/>
      </c>
      <c r="DD30" s="92" t="str">
        <f t="shared" si="16"/>
        <v/>
      </c>
      <c r="DE30" s="92" t="str">
        <f t="shared" si="16"/>
        <v/>
      </c>
      <c r="DF30" s="92" t="str">
        <f t="shared" si="16"/>
        <v/>
      </c>
      <c r="DG30" s="92" t="str">
        <f t="shared" si="16"/>
        <v/>
      </c>
      <c r="DH30" s="92" t="str">
        <f t="shared" si="16"/>
        <v/>
      </c>
      <c r="DI30" s="92" t="str">
        <f t="shared" si="16"/>
        <v/>
      </c>
    </row>
    <row r="31" spans="1:113">
      <c r="A31" s="41">
        <v>961178</v>
      </c>
      <c r="B31" s="1">
        <v>62</v>
      </c>
      <c r="C31" s="29" t="str">
        <f t="shared" si="4"/>
        <v>961178-62</v>
      </c>
      <c r="D31" s="28" t="s">
        <v>80</v>
      </c>
      <c r="E31" s="37" t="s">
        <v>83</v>
      </c>
      <c r="F31" s="31">
        <v>42458</v>
      </c>
      <c r="G31" s="38"/>
      <c r="H31" s="31">
        <v>42468</v>
      </c>
      <c r="I31" s="38">
        <v>30.9</v>
      </c>
      <c r="J31" s="165"/>
      <c r="K31" s="38">
        <v>6.9</v>
      </c>
      <c r="L31" s="38">
        <v>6.1</v>
      </c>
      <c r="M31" s="38">
        <f t="shared" si="5"/>
        <v>133.50948</v>
      </c>
      <c r="N31" s="118"/>
      <c r="O31" s="38"/>
      <c r="P31" s="32">
        <f t="shared" si="6"/>
        <v>44.503160000000001</v>
      </c>
      <c r="Q31" s="38"/>
      <c r="R31" s="160"/>
      <c r="S31" s="236">
        <f t="shared" si="7"/>
        <v>0</v>
      </c>
      <c r="T31" s="237">
        <v>137</v>
      </c>
      <c r="U31" s="236">
        <f t="shared" si="12"/>
        <v>11.084142394822008</v>
      </c>
      <c r="V31" s="238">
        <f t="shared" si="11"/>
        <v>2.5653609017127477</v>
      </c>
      <c r="W31" s="33"/>
      <c r="X31" s="138"/>
      <c r="Y31" s="87">
        <v>62.028720000000014</v>
      </c>
      <c r="Z31" s="93">
        <f>5*4.5*4.5*0.52</f>
        <v>52.65</v>
      </c>
      <c r="AA31" s="93">
        <v>133.50948</v>
      </c>
      <c r="AB31" s="93">
        <f>6.4*6.2*6.2*0.52</f>
        <v>127.92832000000003</v>
      </c>
      <c r="AC31" s="93">
        <f>7*6.4*6.4*0.52</f>
        <v>149.09440000000001</v>
      </c>
      <c r="AD31" s="93">
        <f>7.3*6.9*6.9*0.52</f>
        <v>180.72756000000004</v>
      </c>
      <c r="AE31" s="93">
        <f>8.4*6.8*6.8*0.52</f>
        <v>201.97632000000002</v>
      </c>
      <c r="AF31" s="93">
        <f>9.3*8.4*8.4*0.52</f>
        <v>341.22816000000006</v>
      </c>
      <c r="AG31" s="93">
        <f>11.3*9.5*9.5*0.52</f>
        <v>530.30900000000008</v>
      </c>
      <c r="AH31" s="93">
        <f>12.4*10.7*10.7*0.52</f>
        <v>738.23152000000005</v>
      </c>
      <c r="AI31" s="93">
        <f>13.3*11.4*11.4*0.52</f>
        <v>898.80336000000011</v>
      </c>
      <c r="AJ31" s="93">
        <f>14.9*12.2*12.2*0.52</f>
        <v>1153.2123200000001</v>
      </c>
      <c r="AK31" s="93">
        <f>15.8*13.7*13.7*0.52</f>
        <v>1542.06104</v>
      </c>
      <c r="AL31" s="93">
        <f>16.7*14.4*14.4*0.52</f>
        <v>1800.71424</v>
      </c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2"/>
      <c r="BR31" s="92">
        <f t="shared" si="15"/>
        <v>0.464601614806679</v>
      </c>
      <c r="BS31" s="92">
        <f t="shared" si="15"/>
        <v>0.39435401890562377</v>
      </c>
      <c r="BT31" s="92">
        <f t="shared" si="15"/>
        <v>1</v>
      </c>
      <c r="BU31" s="92">
        <f t="shared" si="15"/>
        <v>0.95819652656875021</v>
      </c>
      <c r="BV31" s="92">
        <f t="shared" si="15"/>
        <v>1.1167326844505725</v>
      </c>
      <c r="BW31" s="92">
        <f t="shared" si="15"/>
        <v>1.3536683687180868</v>
      </c>
      <c r="BX31" s="92">
        <f t="shared" si="15"/>
        <v>1.5128238084666348</v>
      </c>
      <c r="BY31" s="92">
        <f t="shared" si="15"/>
        <v>2.5558346867952753</v>
      </c>
      <c r="BZ31" s="92">
        <f t="shared" si="15"/>
        <v>3.9720699983252135</v>
      </c>
      <c r="CA31" s="92">
        <f t="shared" si="15"/>
        <v>5.5294314680875098</v>
      </c>
      <c r="CB31" s="92">
        <f t="shared" si="15"/>
        <v>6.7321313812322554</v>
      </c>
      <c r="CC31" s="92">
        <f t="shared" si="15"/>
        <v>8.6376811594202909</v>
      </c>
      <c r="CD31" s="92">
        <f t="shared" si="15"/>
        <v>11.55019883232262</v>
      </c>
      <c r="CE31" s="92">
        <f t="shared" si="15"/>
        <v>13.487538413002582</v>
      </c>
      <c r="CF31" s="92" t="str">
        <f t="shared" si="15"/>
        <v/>
      </c>
      <c r="CG31" s="92" t="str">
        <f t="shared" si="13"/>
        <v/>
      </c>
      <c r="CH31" s="92" t="str">
        <f t="shared" si="13"/>
        <v/>
      </c>
      <c r="CI31" s="92" t="str">
        <f t="shared" si="13"/>
        <v/>
      </c>
      <c r="CJ31" s="92" t="str">
        <f t="shared" si="13"/>
        <v/>
      </c>
      <c r="CK31" s="92" t="str">
        <f t="shared" si="13"/>
        <v/>
      </c>
      <c r="CL31" s="92" t="str">
        <f t="shared" si="13"/>
        <v/>
      </c>
      <c r="CM31" s="92" t="str">
        <f t="shared" si="13"/>
        <v/>
      </c>
      <c r="CN31" s="92" t="str">
        <f t="shared" si="13"/>
        <v/>
      </c>
      <c r="CO31" s="92" t="str">
        <f t="shared" si="13"/>
        <v/>
      </c>
      <c r="CP31" s="92" t="str">
        <f t="shared" si="13"/>
        <v/>
      </c>
      <c r="CQ31" s="92" t="str">
        <f t="shared" si="13"/>
        <v/>
      </c>
      <c r="CR31" s="92" t="str">
        <f t="shared" si="13"/>
        <v/>
      </c>
      <c r="CS31" s="92" t="str">
        <f t="shared" si="13"/>
        <v/>
      </c>
      <c r="CT31" s="92" t="str">
        <f t="shared" si="13"/>
        <v/>
      </c>
      <c r="CU31" s="92" t="str">
        <f t="shared" si="13"/>
        <v/>
      </c>
      <c r="CV31" s="92" t="str">
        <f t="shared" si="13"/>
        <v/>
      </c>
      <c r="CW31" s="92" t="str">
        <f t="shared" si="14"/>
        <v/>
      </c>
      <c r="CX31" s="92" t="str">
        <f t="shared" si="14"/>
        <v/>
      </c>
      <c r="CY31" s="92" t="str">
        <f t="shared" si="14"/>
        <v/>
      </c>
      <c r="CZ31" s="92" t="str">
        <f t="shared" si="14"/>
        <v/>
      </c>
      <c r="DA31" s="92" t="str">
        <f t="shared" si="16"/>
        <v/>
      </c>
      <c r="DB31" s="92" t="str">
        <f t="shared" si="16"/>
        <v/>
      </c>
      <c r="DC31" s="92" t="str">
        <f t="shared" si="16"/>
        <v/>
      </c>
      <c r="DD31" s="92" t="str">
        <f t="shared" si="16"/>
        <v/>
      </c>
      <c r="DE31" s="92" t="str">
        <f t="shared" si="16"/>
        <v/>
      </c>
      <c r="DF31" s="92" t="str">
        <f t="shared" si="16"/>
        <v/>
      </c>
      <c r="DG31" s="92" t="str">
        <f t="shared" si="16"/>
        <v/>
      </c>
      <c r="DH31" s="92" t="str">
        <f t="shared" si="16"/>
        <v/>
      </c>
      <c r="DI31" s="92" t="str">
        <f t="shared" si="16"/>
        <v/>
      </c>
    </row>
    <row r="32" spans="1:113">
      <c r="A32" s="41">
        <v>961178</v>
      </c>
      <c r="B32" s="1">
        <v>63</v>
      </c>
      <c r="C32" s="29" t="str">
        <f t="shared" si="4"/>
        <v>961178-63</v>
      </c>
      <c r="D32" s="28" t="s">
        <v>80</v>
      </c>
      <c r="E32" s="37" t="s">
        <v>90</v>
      </c>
      <c r="F32" s="31">
        <v>42458</v>
      </c>
      <c r="G32" s="38"/>
      <c r="H32" s="31">
        <v>42468</v>
      </c>
      <c r="I32" s="38">
        <v>26.8</v>
      </c>
      <c r="J32" s="165"/>
      <c r="K32" s="38">
        <v>6.2</v>
      </c>
      <c r="L32" s="38">
        <v>5.0999999999999996</v>
      </c>
      <c r="M32" s="38">
        <f t="shared" si="5"/>
        <v>83.85624</v>
      </c>
      <c r="N32" s="118">
        <f>8.76*1000/850</f>
        <v>10.305882352941177</v>
      </c>
      <c r="O32" s="38">
        <f>M32*10/3</f>
        <v>279.52080000000001</v>
      </c>
      <c r="P32" s="32">
        <f t="shared" si="6"/>
        <v>27.952079999999999</v>
      </c>
      <c r="Q32" s="38">
        <v>245</v>
      </c>
      <c r="R32" s="160">
        <f>Q32/O32</f>
        <v>0.87650006725796437</v>
      </c>
      <c r="S32" s="236">
        <f t="shared" si="7"/>
        <v>2.9216668908598811</v>
      </c>
      <c r="T32" s="237">
        <v>0</v>
      </c>
      <c r="U32" s="236">
        <f t="shared" si="12"/>
        <v>0</v>
      </c>
      <c r="V32" s="238">
        <f t="shared" si="11"/>
        <v>0</v>
      </c>
      <c r="W32" s="33"/>
      <c r="X32" s="138"/>
      <c r="Y32" s="87">
        <v>43.500599999999999</v>
      </c>
      <c r="Z32" s="93">
        <f>4.1*3.5*3.5*0.52</f>
        <v>26.116999999999997</v>
      </c>
      <c r="AA32" s="93">
        <v>83.85624</v>
      </c>
      <c r="AB32" s="93">
        <f>6*5.7*5.7*0.52</f>
        <v>101.36880000000002</v>
      </c>
      <c r="AC32" s="93">
        <f>7.2*6*6*0.52</f>
        <v>134.78400000000002</v>
      </c>
      <c r="AD32" s="93">
        <f>7.7*6*6*0.52</f>
        <v>144.14400000000003</v>
      </c>
      <c r="AE32" s="93">
        <f>7.9*5.7*5.7*0.52</f>
        <v>133.46892</v>
      </c>
      <c r="AF32" s="93">
        <f>8.5*6.8*6.8*0.52</f>
        <v>204.38079999999999</v>
      </c>
      <c r="AG32" s="93">
        <f>8.8*7*7*0.52</f>
        <v>224.22400000000002</v>
      </c>
      <c r="AH32" s="93">
        <f>10.1*7.1*7.1*0.52</f>
        <v>264.75331999999997</v>
      </c>
      <c r="AI32" s="93">
        <f>11*8.1*8.1*0.52</f>
        <v>375.28919999999999</v>
      </c>
      <c r="AJ32" s="93">
        <f>12*9.3*9.3*0.52</f>
        <v>539.69760000000008</v>
      </c>
      <c r="AK32" s="93">
        <f>12.3*10.4*10.4*0.52</f>
        <v>691.79136000000005</v>
      </c>
      <c r="AL32" s="93">
        <f>13*10.8*10.8*0.52</f>
        <v>788.48640000000012</v>
      </c>
      <c r="AM32" s="93">
        <f>14.7*11.9*11.9*0.52</f>
        <v>1082.46684</v>
      </c>
      <c r="AN32" s="93">
        <f>15.5*12.5*12.5*0.52</f>
        <v>1259.375</v>
      </c>
      <c r="AO32" s="93">
        <f>15.7*13*13*0.52</f>
        <v>1379.7159999999999</v>
      </c>
      <c r="AP32" s="93">
        <f>16.4*14*14*0.52</f>
        <v>1671.4879999999998</v>
      </c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2"/>
      <c r="BR32" s="92">
        <f t="shared" si="15"/>
        <v>0.51875209286750756</v>
      </c>
      <c r="BS32" s="92">
        <f t="shared" si="15"/>
        <v>0.3114496905656633</v>
      </c>
      <c r="BT32" s="92">
        <f t="shared" si="15"/>
        <v>1</v>
      </c>
      <c r="BU32" s="92">
        <f t="shared" si="15"/>
        <v>1.2088402723518252</v>
      </c>
      <c r="BV32" s="92">
        <f t="shared" si="15"/>
        <v>1.6073222457863603</v>
      </c>
      <c r="BW32" s="92">
        <f t="shared" si="15"/>
        <v>1.7189418461881911</v>
      </c>
      <c r="BX32" s="92">
        <f t="shared" si="15"/>
        <v>1.591639691929903</v>
      </c>
      <c r="BY32" s="92">
        <f t="shared" si="15"/>
        <v>2.4372759856630823</v>
      </c>
      <c r="BZ32" s="92">
        <f t="shared" si="15"/>
        <v>2.6739095385149634</v>
      </c>
      <c r="CA32" s="92">
        <f t="shared" si="15"/>
        <v>3.1572286093438007</v>
      </c>
      <c r="CB32" s="92">
        <f t="shared" si="15"/>
        <v>4.4753878781113965</v>
      </c>
      <c r="CC32" s="92">
        <f t="shared" si="15"/>
        <v>6.4359861591695511</v>
      </c>
      <c r="CD32" s="92">
        <f t="shared" si="15"/>
        <v>8.2497302526323626</v>
      </c>
      <c r="CE32" s="92">
        <f t="shared" si="15"/>
        <v>9.4028351378502073</v>
      </c>
      <c r="CF32" s="92">
        <f t="shared" si="15"/>
        <v>12.908602150537636</v>
      </c>
      <c r="CG32" s="92">
        <f t="shared" si="13"/>
        <v>15.018262206843522</v>
      </c>
      <c r="CH32" s="92">
        <f t="shared" si="13"/>
        <v>16.453349208120944</v>
      </c>
      <c r="CI32" s="92">
        <f t="shared" si="13"/>
        <v>19.932780196202451</v>
      </c>
      <c r="CJ32" s="92" t="str">
        <f t="shared" si="13"/>
        <v/>
      </c>
      <c r="CK32" s="92" t="str">
        <f t="shared" si="13"/>
        <v/>
      </c>
      <c r="CL32" s="92" t="str">
        <f t="shared" si="13"/>
        <v/>
      </c>
      <c r="CM32" s="92" t="str">
        <f t="shared" si="13"/>
        <v/>
      </c>
      <c r="CN32" s="92" t="str">
        <f t="shared" si="13"/>
        <v/>
      </c>
      <c r="CO32" s="92" t="str">
        <f t="shared" si="13"/>
        <v/>
      </c>
      <c r="CP32" s="92" t="str">
        <f t="shared" si="13"/>
        <v/>
      </c>
      <c r="CQ32" s="92" t="str">
        <f t="shared" si="13"/>
        <v/>
      </c>
      <c r="CR32" s="92" t="str">
        <f t="shared" si="13"/>
        <v/>
      </c>
      <c r="CS32" s="92" t="str">
        <f t="shared" si="13"/>
        <v/>
      </c>
      <c r="CT32" s="92" t="str">
        <f t="shared" si="13"/>
        <v/>
      </c>
      <c r="CU32" s="92" t="str">
        <f t="shared" si="13"/>
        <v/>
      </c>
      <c r="CV32" s="92" t="str">
        <f t="shared" si="13"/>
        <v/>
      </c>
      <c r="CW32" s="92" t="str">
        <f t="shared" si="14"/>
        <v/>
      </c>
      <c r="CX32" s="92" t="str">
        <f t="shared" si="14"/>
        <v/>
      </c>
      <c r="CY32" s="92" t="str">
        <f t="shared" si="14"/>
        <v/>
      </c>
      <c r="CZ32" s="92" t="str">
        <f t="shared" si="14"/>
        <v/>
      </c>
      <c r="DA32" s="92" t="str">
        <f t="shared" si="16"/>
        <v/>
      </c>
      <c r="DB32" s="92" t="str">
        <f t="shared" si="16"/>
        <v/>
      </c>
      <c r="DC32" s="92" t="str">
        <f t="shared" si="16"/>
        <v/>
      </c>
      <c r="DD32" s="92" t="str">
        <f t="shared" si="16"/>
        <v/>
      </c>
      <c r="DE32" s="92" t="str">
        <f t="shared" si="16"/>
        <v/>
      </c>
      <c r="DF32" s="92" t="str">
        <f t="shared" si="16"/>
        <v/>
      </c>
      <c r="DG32" s="92" t="str">
        <f t="shared" si="16"/>
        <v/>
      </c>
      <c r="DH32" s="92" t="str">
        <f t="shared" si="16"/>
        <v/>
      </c>
      <c r="DI32" s="92" t="str">
        <f t="shared" si="16"/>
        <v/>
      </c>
    </row>
    <row r="33" spans="1:113">
      <c r="A33" s="41">
        <v>961178</v>
      </c>
      <c r="B33" s="1">
        <v>64</v>
      </c>
      <c r="C33" s="29" t="str">
        <f t="shared" si="4"/>
        <v>961178-64</v>
      </c>
      <c r="D33" s="28" t="s">
        <v>80</v>
      </c>
      <c r="E33" s="37" t="s">
        <v>89</v>
      </c>
      <c r="F33" s="31">
        <v>42458</v>
      </c>
      <c r="G33" s="38"/>
      <c r="H33" s="31">
        <v>42468</v>
      </c>
      <c r="I33" s="38">
        <v>30.5</v>
      </c>
      <c r="J33" s="165"/>
      <c r="K33" s="38">
        <v>6.9</v>
      </c>
      <c r="L33" s="38">
        <v>6.6</v>
      </c>
      <c r="M33" s="38">
        <f t="shared" si="5"/>
        <v>156.29327999999998</v>
      </c>
      <c r="N33" s="118">
        <f>8.76*1000/850</f>
        <v>10.305882352941177</v>
      </c>
      <c r="O33" s="38">
        <f>M33*10/3</f>
        <v>520.97759999999994</v>
      </c>
      <c r="P33" s="32">
        <f t="shared" si="6"/>
        <v>52.097759999999994</v>
      </c>
      <c r="Q33" s="38">
        <v>529</v>
      </c>
      <c r="R33" s="160">
        <f>Q33/O33</f>
        <v>1.0153987426714701</v>
      </c>
      <c r="S33" s="236">
        <f t="shared" si="7"/>
        <v>3.3846624755715671</v>
      </c>
      <c r="T33" s="237">
        <v>543</v>
      </c>
      <c r="U33" s="236">
        <f t="shared" si="12"/>
        <v>44.508196721311485</v>
      </c>
      <c r="V33" s="238">
        <f t="shared" si="11"/>
        <v>8.6855941599024629</v>
      </c>
      <c r="W33" s="33"/>
      <c r="X33" s="138"/>
      <c r="Y33" s="87">
        <v>98.560800000000015</v>
      </c>
      <c r="Z33" s="93">
        <f>6.7*5.7*5.7*0.52</f>
        <v>113.19516000000002</v>
      </c>
      <c r="AA33" s="93">
        <v>156.29327999999998</v>
      </c>
      <c r="AB33" s="93">
        <f>7.4*6.6*6.6*0.52</f>
        <v>167.61887999999996</v>
      </c>
      <c r="AC33" s="93">
        <f>7.7*6.7*6.7*0.52</f>
        <v>179.73956000000001</v>
      </c>
      <c r="AD33" s="93">
        <f>8*6.6*6.6*0.52</f>
        <v>181.20959999999999</v>
      </c>
      <c r="AE33" s="93">
        <f>7.3*6.1*6.1*0.52</f>
        <v>141.24915999999996</v>
      </c>
      <c r="AF33" s="93">
        <f>6.6*5.8*5.8*0.52</f>
        <v>115.45247999999999</v>
      </c>
      <c r="AG33" s="93">
        <f>6.1*5.8*5.8*0.52</f>
        <v>106.70607999999999</v>
      </c>
      <c r="AH33" s="93">
        <f>6.6*5.2*5.2*0.52</f>
        <v>92.801280000000006</v>
      </c>
      <c r="AI33" s="93">
        <f>6.7*5.5*5.5*0.52</f>
        <v>105.39100000000001</v>
      </c>
      <c r="AJ33" s="93">
        <f>6*5.4*5.4*0.52</f>
        <v>90.97920000000002</v>
      </c>
      <c r="AK33" s="93">
        <f>5.4*5.1*5.1*0.52</f>
        <v>73.036079999999998</v>
      </c>
      <c r="AL33" s="93">
        <f>5.7*5*5*0.52</f>
        <v>74.100000000000009</v>
      </c>
      <c r="AM33" s="93">
        <f>6.1*5.7*5.7*0.52</f>
        <v>103.05828</v>
      </c>
      <c r="AN33" s="93">
        <f>6.4*5.5*5.5*0.52</f>
        <v>100.67200000000001</v>
      </c>
      <c r="AO33" s="93">
        <f>6.9*5.9*5.9*0.52</f>
        <v>124.89828000000003</v>
      </c>
      <c r="AP33" s="93">
        <f>7.8*6.3*6.3*0.52</f>
        <v>160.98264</v>
      </c>
      <c r="AQ33" s="93">
        <f>8.9*7.3*7.3*0.52</f>
        <v>246.62612000000001</v>
      </c>
      <c r="AR33" s="93">
        <f>8.3*7.2*7.2*0.52</f>
        <v>223.74144000000004</v>
      </c>
      <c r="AS33" s="93">
        <f>9.1*8.1*8.1*0.52</f>
        <v>310.46652</v>
      </c>
      <c r="AT33" s="93">
        <f>10.1*8.5*8.5*0.52</f>
        <v>379.45699999999999</v>
      </c>
      <c r="AU33" s="93">
        <f>11.8*9.4*9.4*0.52</f>
        <v>542.17696000000012</v>
      </c>
      <c r="AV33" s="93">
        <f>11.3*10.1*10.1*0.52</f>
        <v>599.41075999999998</v>
      </c>
      <c r="AW33" s="93">
        <f>12.3*10.8*10.8*0.52</f>
        <v>746.02944000000002</v>
      </c>
      <c r="AX33" s="93">
        <f>12.1*11.3*11.3*0.52</f>
        <v>803.42548000000011</v>
      </c>
      <c r="AY33" s="93">
        <f>13.5*12.3*12.3*0.52</f>
        <v>1062.0558000000001</v>
      </c>
      <c r="AZ33" s="93">
        <f>14.5*13.4*13.4*0.52</f>
        <v>1353.8824000000002</v>
      </c>
      <c r="BA33" s="93">
        <f>15.4*14.6*14.6*0.52</f>
        <v>1706.9852799999999</v>
      </c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2"/>
      <c r="BR33" s="92">
        <f t="shared" si="15"/>
        <v>0.630614444843694</v>
      </c>
      <c r="BS33" s="92">
        <f t="shared" si="15"/>
        <v>0.72424841298359099</v>
      </c>
      <c r="BT33" s="92">
        <f t="shared" si="15"/>
        <v>1</v>
      </c>
      <c r="BU33" s="92">
        <f t="shared" si="15"/>
        <v>1.0724637681159419</v>
      </c>
      <c r="BV33" s="92">
        <f t="shared" si="15"/>
        <v>1.1500146391450741</v>
      </c>
      <c r="BW33" s="92">
        <f t="shared" si="15"/>
        <v>1.1594202898550725</v>
      </c>
      <c r="BX33" s="92">
        <f t="shared" si="15"/>
        <v>0.9037442940604995</v>
      </c>
      <c r="BY33" s="92">
        <f t="shared" si="15"/>
        <v>0.73869126043039091</v>
      </c>
      <c r="BZ33" s="92">
        <f t="shared" si="15"/>
        <v>0.68272980130687644</v>
      </c>
      <c r="CA33" s="92">
        <f t="shared" si="15"/>
        <v>0.59376372419850687</v>
      </c>
      <c r="CB33" s="92">
        <f t="shared" si="15"/>
        <v>0.67431561996779399</v>
      </c>
      <c r="CC33" s="92">
        <f t="shared" si="15"/>
        <v>0.58210564139417909</v>
      </c>
      <c r="CD33" s="92">
        <f t="shared" si="15"/>
        <v>0.467301473230327</v>
      </c>
      <c r="CE33" s="92">
        <f t="shared" si="15"/>
        <v>0.4741086756897035</v>
      </c>
      <c r="CF33" s="92">
        <f t="shared" si="15"/>
        <v>0.65939034614923953</v>
      </c>
      <c r="CG33" s="92">
        <f t="shared" si="13"/>
        <v>0.64412238325281823</v>
      </c>
      <c r="CH33" s="92">
        <f t="shared" si="13"/>
        <v>0.7991276400367312</v>
      </c>
      <c r="CI33" s="92">
        <f t="shared" si="13"/>
        <v>1.0300035932447</v>
      </c>
      <c r="CJ33" s="92">
        <f t="shared" si="13"/>
        <v>1.5779700829107945</v>
      </c>
      <c r="CK33" s="92">
        <f t="shared" si="13"/>
        <v>1.4315486884656849</v>
      </c>
      <c r="CL33" s="92">
        <f t="shared" si="13"/>
        <v>1.9864355012576358</v>
      </c>
      <c r="CM33" s="92">
        <f t="shared" si="13"/>
        <v>2.4278523043345182</v>
      </c>
      <c r="CN33" s="92">
        <f t="shared" si="13"/>
        <v>3.4689716666001265</v>
      </c>
      <c r="CO33" s="92">
        <f t="shared" si="13"/>
        <v>3.8351665535460007</v>
      </c>
      <c r="CP33" s="92">
        <f t="shared" si="13"/>
        <v>4.7732662594322681</v>
      </c>
      <c r="CQ33" s="92">
        <f t="shared" si="13"/>
        <v>5.1404991948470222</v>
      </c>
      <c r="CR33" s="92">
        <f t="shared" si="13"/>
        <v>6.7952748832195482</v>
      </c>
      <c r="CS33" s="92">
        <f t="shared" si="13"/>
        <v>8.662447931222637</v>
      </c>
      <c r="CT33" s="92">
        <f t="shared" si="13"/>
        <v>10.921680573854488</v>
      </c>
      <c r="CU33" s="92" t="str">
        <f t="shared" si="13"/>
        <v/>
      </c>
      <c r="CV33" s="92" t="str">
        <f t="shared" si="13"/>
        <v/>
      </c>
      <c r="CW33" s="92" t="str">
        <f t="shared" si="14"/>
        <v/>
      </c>
      <c r="CX33" s="92" t="str">
        <f t="shared" si="14"/>
        <v/>
      </c>
      <c r="CY33" s="92" t="str">
        <f t="shared" si="14"/>
        <v/>
      </c>
      <c r="CZ33" s="92" t="str">
        <f t="shared" si="14"/>
        <v/>
      </c>
      <c r="DA33" s="92" t="str">
        <f t="shared" si="16"/>
        <v/>
      </c>
      <c r="DB33" s="92" t="str">
        <f t="shared" si="16"/>
        <v/>
      </c>
      <c r="DC33" s="92" t="str">
        <f t="shared" si="16"/>
        <v/>
      </c>
      <c r="DD33" s="92" t="str">
        <f t="shared" si="16"/>
        <v/>
      </c>
      <c r="DE33" s="92" t="str">
        <f t="shared" si="16"/>
        <v/>
      </c>
      <c r="DF33" s="92" t="str">
        <f t="shared" si="16"/>
        <v/>
      </c>
      <c r="DG33" s="92" t="str">
        <f t="shared" si="16"/>
        <v/>
      </c>
      <c r="DH33" s="92" t="str">
        <f t="shared" si="16"/>
        <v/>
      </c>
      <c r="DI33" s="92" t="str">
        <f t="shared" si="16"/>
        <v/>
      </c>
    </row>
    <row r="34" spans="1:113">
      <c r="A34" s="41">
        <v>961178</v>
      </c>
      <c r="B34" s="1">
        <v>65</v>
      </c>
      <c r="C34" s="29" t="str">
        <f t="shared" si="4"/>
        <v>961178-65</v>
      </c>
      <c r="D34" s="28" t="s">
        <v>80</v>
      </c>
      <c r="E34" s="37" t="s">
        <v>83</v>
      </c>
      <c r="F34" s="31">
        <v>42458</v>
      </c>
      <c r="G34" s="38"/>
      <c r="H34" s="31">
        <v>42468</v>
      </c>
      <c r="I34" s="38">
        <v>32.200000000000003</v>
      </c>
      <c r="J34" s="165"/>
      <c r="K34" s="38">
        <v>6.4</v>
      </c>
      <c r="L34" s="38">
        <v>5.7</v>
      </c>
      <c r="M34" s="38">
        <f t="shared" si="5"/>
        <v>108.12672000000002</v>
      </c>
      <c r="N34" s="118"/>
      <c r="O34" s="38"/>
      <c r="P34" s="32">
        <f t="shared" si="6"/>
        <v>36.042240000000007</v>
      </c>
      <c r="Q34" s="38"/>
      <c r="R34" s="160"/>
      <c r="S34" s="236">
        <f t="shared" si="7"/>
        <v>0</v>
      </c>
      <c r="T34" s="237">
        <v>143</v>
      </c>
      <c r="U34" s="236">
        <f t="shared" si="12"/>
        <v>11.102484472049689</v>
      </c>
      <c r="V34" s="238">
        <f t="shared" si="11"/>
        <v>3.3063057863958134</v>
      </c>
      <c r="W34" s="33"/>
      <c r="X34" s="138"/>
      <c r="Y34" s="87">
        <v>34.800480000000007</v>
      </c>
      <c r="Z34" s="93">
        <f>6.1*4.6*4.6*0.52</f>
        <v>67.11951999999998</v>
      </c>
      <c r="AA34" s="93">
        <v>108.12672000000002</v>
      </c>
      <c r="AB34" s="93">
        <f>6.2*5.7*5.7*0.52</f>
        <v>104.74776000000001</v>
      </c>
      <c r="AC34" s="93">
        <f>6.7*5.2*5.2*0.52</f>
        <v>94.207360000000023</v>
      </c>
      <c r="AD34" s="93">
        <f>7.6*5.9*5.9*0.52</f>
        <v>137.56912000000003</v>
      </c>
      <c r="AE34" s="93">
        <f>8.1*6.3*6.3*0.52</f>
        <v>167.17427999999998</v>
      </c>
      <c r="AF34" s="93">
        <f>9.1*6.6*6.6*0.52</f>
        <v>206.12591999999998</v>
      </c>
      <c r="AG34" s="93">
        <f>10.3*8.1*8.1*0.52</f>
        <v>351.40716000000003</v>
      </c>
      <c r="AH34" s="93">
        <f>10.8*9.2*9.2*0.52</f>
        <v>475.33823999999998</v>
      </c>
      <c r="AI34" s="93">
        <f>12.6*10.6*10.6*0.52</f>
        <v>736.18272000000002</v>
      </c>
      <c r="AJ34" s="93">
        <f>13.3*11.1*11.1*0.52</f>
        <v>852.12036000000001</v>
      </c>
      <c r="AK34" s="93">
        <f>14.4*14.3*14.3*0.52</f>
        <v>1531.2211200000002</v>
      </c>
      <c r="AL34" s="93">
        <f>16.4*14.4*14.4*0.52</f>
        <v>1768.3660800000002</v>
      </c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2"/>
      <c r="BR34" s="92">
        <f t="shared" si="15"/>
        <v>0.32184903047091412</v>
      </c>
      <c r="BS34" s="92">
        <f t="shared" si="15"/>
        <v>0.62074869190520132</v>
      </c>
      <c r="BT34" s="92">
        <f t="shared" si="15"/>
        <v>1</v>
      </c>
      <c r="BU34" s="92">
        <f t="shared" si="15"/>
        <v>0.96875</v>
      </c>
      <c r="BV34" s="92">
        <f t="shared" si="15"/>
        <v>0.87126808248691912</v>
      </c>
      <c r="BW34" s="92">
        <f t="shared" si="15"/>
        <v>1.2722953216374269</v>
      </c>
      <c r="BX34" s="92">
        <f t="shared" si="15"/>
        <v>1.5460959141274233</v>
      </c>
      <c r="BY34" s="92">
        <f t="shared" si="15"/>
        <v>1.9063365650969524</v>
      </c>
      <c r="BZ34" s="92">
        <f t="shared" si="15"/>
        <v>3.2499567174515231</v>
      </c>
      <c r="CA34" s="92">
        <f t="shared" si="15"/>
        <v>4.3961218836565088</v>
      </c>
      <c r="CB34" s="92">
        <f t="shared" si="15"/>
        <v>6.8085180055401651</v>
      </c>
      <c r="CC34" s="92">
        <f t="shared" si="15"/>
        <v>7.8807565789473673</v>
      </c>
      <c r="CD34" s="92">
        <f t="shared" si="15"/>
        <v>14.161357340720221</v>
      </c>
      <c r="CE34" s="92">
        <f t="shared" si="15"/>
        <v>16.354570637119114</v>
      </c>
      <c r="CF34" s="92" t="str">
        <f t="shared" si="15"/>
        <v/>
      </c>
      <c r="CG34" s="92" t="str">
        <f t="shared" si="13"/>
        <v/>
      </c>
      <c r="CH34" s="92" t="str">
        <f t="shared" si="13"/>
        <v/>
      </c>
      <c r="CI34" s="92" t="str">
        <f t="shared" si="13"/>
        <v/>
      </c>
      <c r="CJ34" s="92" t="str">
        <f t="shared" si="13"/>
        <v/>
      </c>
      <c r="CK34" s="92" t="str">
        <f t="shared" si="13"/>
        <v/>
      </c>
      <c r="CL34" s="92" t="str">
        <f t="shared" si="13"/>
        <v/>
      </c>
      <c r="CM34" s="92" t="str">
        <f t="shared" si="13"/>
        <v/>
      </c>
      <c r="CN34" s="92" t="str">
        <f t="shared" si="13"/>
        <v/>
      </c>
      <c r="CO34" s="92" t="str">
        <f t="shared" si="13"/>
        <v/>
      </c>
      <c r="CP34" s="92" t="str">
        <f t="shared" si="13"/>
        <v/>
      </c>
      <c r="CQ34" s="92" t="str">
        <f t="shared" si="13"/>
        <v/>
      </c>
      <c r="CR34" s="92" t="str">
        <f t="shared" si="13"/>
        <v/>
      </c>
      <c r="CS34" s="92" t="str">
        <f t="shared" si="13"/>
        <v/>
      </c>
      <c r="CT34" s="92" t="str">
        <f t="shared" si="13"/>
        <v/>
      </c>
      <c r="CU34" s="92" t="str">
        <f t="shared" si="13"/>
        <v/>
      </c>
      <c r="CV34" s="92" t="str">
        <f t="shared" si="13"/>
        <v/>
      </c>
      <c r="CW34" s="92" t="str">
        <f t="shared" si="14"/>
        <v/>
      </c>
      <c r="CX34" s="92" t="str">
        <f t="shared" si="14"/>
        <v/>
      </c>
      <c r="CY34" s="92" t="str">
        <f t="shared" si="14"/>
        <v/>
      </c>
      <c r="CZ34" s="92" t="str">
        <f t="shared" si="14"/>
        <v/>
      </c>
      <c r="DA34" s="92" t="str">
        <f t="shared" si="16"/>
        <v/>
      </c>
      <c r="DB34" s="92" t="str">
        <f t="shared" si="16"/>
        <v/>
      </c>
      <c r="DC34" s="92" t="str">
        <f t="shared" si="16"/>
        <v/>
      </c>
      <c r="DD34" s="92" t="str">
        <f t="shared" si="16"/>
        <v/>
      </c>
      <c r="DE34" s="92" t="str">
        <f t="shared" si="16"/>
        <v/>
      </c>
      <c r="DF34" s="92" t="str">
        <f t="shared" si="16"/>
        <v/>
      </c>
      <c r="DG34" s="92" t="str">
        <f t="shared" si="16"/>
        <v/>
      </c>
      <c r="DH34" s="92" t="str">
        <f t="shared" si="16"/>
        <v/>
      </c>
      <c r="DI34" s="92" t="str">
        <f t="shared" si="16"/>
        <v/>
      </c>
    </row>
    <row r="35" spans="1:113">
      <c r="A35" s="41">
        <v>975075</v>
      </c>
      <c r="B35" s="1">
        <v>71</v>
      </c>
      <c r="C35" s="29" t="str">
        <f t="shared" si="4"/>
        <v>975075-71</v>
      </c>
      <c r="D35" s="28" t="s">
        <v>80</v>
      </c>
      <c r="E35" s="37" t="s">
        <v>87</v>
      </c>
      <c r="F35" s="31">
        <v>42458</v>
      </c>
      <c r="G35" s="38"/>
      <c r="H35" s="31">
        <v>42468</v>
      </c>
      <c r="I35" s="38">
        <v>29.7</v>
      </c>
      <c r="J35" s="165"/>
      <c r="K35" s="38">
        <v>6.8</v>
      </c>
      <c r="L35" s="38">
        <v>6.4</v>
      </c>
      <c r="M35" s="38">
        <f t="shared" si="5"/>
        <v>144.83456000000001</v>
      </c>
      <c r="N35" s="118">
        <f>5.71/560*1000</f>
        <v>10.196428571428571</v>
      </c>
      <c r="O35" s="38">
        <f>M35*10/3</f>
        <v>482.7818666666667</v>
      </c>
      <c r="P35" s="32">
        <f t="shared" si="6"/>
        <v>48.27818666666667</v>
      </c>
      <c r="Q35" s="38">
        <v>577</v>
      </c>
      <c r="R35" s="160">
        <f>Q35/O35</f>
        <v>1.1951567360718325</v>
      </c>
      <c r="S35" s="236">
        <f t="shared" si="7"/>
        <v>3.9838557869061084</v>
      </c>
      <c r="T35" s="237">
        <v>132</v>
      </c>
      <c r="U35" s="236">
        <f t="shared" si="12"/>
        <v>11.111111111111111</v>
      </c>
      <c r="V35" s="238">
        <f t="shared" si="11"/>
        <v>2.2784617152149322</v>
      </c>
      <c r="W35" s="33"/>
      <c r="X35" s="138"/>
      <c r="Y35" s="87">
        <v>44.095999999999997</v>
      </c>
      <c r="Z35" s="93">
        <f>5.7*4.8*4.8*0.52</f>
        <v>68.290559999999999</v>
      </c>
      <c r="AA35" s="93">
        <v>144.83456000000001</v>
      </c>
      <c r="AB35" s="93">
        <f>7.2*6.2*6.2*0.52</f>
        <v>143.91936000000001</v>
      </c>
      <c r="AC35" s="93">
        <f>7.2*6.4*6.4*0.52</f>
        <v>153.35424000000003</v>
      </c>
      <c r="AD35" s="93">
        <f>6.8*5.7*5.7*0.52</f>
        <v>114.88464</v>
      </c>
      <c r="AE35" s="93">
        <f>6.7*5*5*0.52</f>
        <v>87.100000000000009</v>
      </c>
      <c r="AF35" s="93">
        <f>6.6*4.9*4.9*0.52</f>
        <v>82.402320000000017</v>
      </c>
      <c r="AG35" s="93">
        <f>5.1*3.6*3.6*0.52</f>
        <v>34.36992</v>
      </c>
      <c r="AH35" s="93">
        <f>4.9*4.2*4.2*0.52</f>
        <v>44.946720000000006</v>
      </c>
      <c r="AI35" s="93">
        <f>5*4.1*4.1*0.52</f>
        <v>43.706000000000003</v>
      </c>
      <c r="AJ35" s="93">
        <f>3.9*3.5*3.5*0.52</f>
        <v>24.843</v>
      </c>
      <c r="AK35" s="93">
        <f>3.5*3.3*3.3*0.52</f>
        <v>19.819799999999997</v>
      </c>
      <c r="AL35" s="93">
        <f>4.4*3*3*0.52</f>
        <v>20.592000000000002</v>
      </c>
      <c r="AM35" s="93">
        <f>3.7*3.2*3.2*0.52</f>
        <v>19.701760000000004</v>
      </c>
      <c r="AN35" s="93">
        <f>4.1*3.1*3.1*0.52</f>
        <v>20.488519999999998</v>
      </c>
      <c r="AO35" s="93">
        <f>4.6*3.7*3.7*0.52</f>
        <v>32.746480000000005</v>
      </c>
      <c r="AP35" s="93">
        <f>3.5*3*3*0.52</f>
        <v>16.38</v>
      </c>
      <c r="AQ35" s="93">
        <f>4.8*3.1*3.1*0.52</f>
        <v>23.986560000000001</v>
      </c>
      <c r="AR35" s="93">
        <f>3.3*3.3*3.3*0.52</f>
        <v>18.687239999999999</v>
      </c>
      <c r="AS35" s="93">
        <f>3.5*3.3*3.3*0.52</f>
        <v>19.819799999999997</v>
      </c>
      <c r="AT35" s="93">
        <f>4.3*3.4*3.4*0.52</f>
        <v>25.84816</v>
      </c>
      <c r="AU35" s="93">
        <f>4.5*3.3*3.3*0.52</f>
        <v>25.482599999999998</v>
      </c>
      <c r="AV35" s="93">
        <f>4.2*3.4*3.4*0.52</f>
        <v>25.247040000000002</v>
      </c>
      <c r="AW35" s="93">
        <f>4.5*3.8*3.8*0.52</f>
        <v>33.789599999999993</v>
      </c>
      <c r="AX35" s="93">
        <f>4.2*3.6*3.6*0.52</f>
        <v>28.304640000000003</v>
      </c>
      <c r="AY35" s="93">
        <f>5.5*4.9*4.9*0.52</f>
        <v>68.668600000000026</v>
      </c>
      <c r="AZ35" s="93">
        <f>6.1*5.9*5.9*0.52</f>
        <v>110.41732000000002</v>
      </c>
      <c r="BA35" s="93">
        <f>6.5*6.4*6.4*0.52</f>
        <v>138.44480000000001</v>
      </c>
      <c r="BB35" s="93">
        <f>7.3*7.2*7.2*0.52</f>
        <v>196.78464000000002</v>
      </c>
      <c r="BC35" s="93">
        <f>7.9*7.2*7.2*0.52</f>
        <v>212.95872</v>
      </c>
      <c r="BD35" s="93">
        <f>9*7.8*7.8*0.52</f>
        <v>284.73120000000006</v>
      </c>
      <c r="BE35" s="93">
        <f>9.8*9*9*0.52</f>
        <v>412.77600000000007</v>
      </c>
      <c r="BF35" s="93">
        <f>10.4*9.2*9.2*0.52</f>
        <v>457.73311999999993</v>
      </c>
      <c r="BG35" s="93">
        <f>10.7*10.3*10.3*0.52</f>
        <v>590.28476000000001</v>
      </c>
      <c r="BH35" s="93">
        <f>11.9*11.7*11.7*0.52</f>
        <v>847.07531999999992</v>
      </c>
      <c r="BI35" s="93">
        <f>12.4*11.8*11.8*0.52</f>
        <v>897.81952000000013</v>
      </c>
      <c r="BJ35" s="93">
        <f>14.5*13*13*0.52</f>
        <v>1274.26</v>
      </c>
      <c r="BK35" s="93">
        <f>14.8*13.7*13.7*0.52</f>
        <v>1444.4622400000001</v>
      </c>
      <c r="BL35" s="93">
        <f>17.3*15.3*15.3*0.52</f>
        <v>2105.8736400000003</v>
      </c>
      <c r="BM35" s="93"/>
      <c r="BN35" s="93"/>
      <c r="BO35" s="93"/>
      <c r="BP35" s="93"/>
      <c r="BQ35" s="2"/>
      <c r="BR35" s="92">
        <f t="shared" si="15"/>
        <v>0.30445772058823523</v>
      </c>
      <c r="BS35" s="92">
        <f t="shared" si="15"/>
        <v>0.47150735294117641</v>
      </c>
      <c r="BT35" s="92">
        <f t="shared" si="15"/>
        <v>1</v>
      </c>
      <c r="BU35" s="92">
        <f t="shared" si="15"/>
        <v>0.99368106617647056</v>
      </c>
      <c r="BV35" s="92">
        <f t="shared" si="15"/>
        <v>1.0588235294117649</v>
      </c>
      <c r="BW35" s="92">
        <f t="shared" si="15"/>
        <v>0.793212890625</v>
      </c>
      <c r="BX35" s="92">
        <f t="shared" si="15"/>
        <v>0.60137580422794124</v>
      </c>
      <c r="BY35" s="92">
        <f t="shared" si="15"/>
        <v>0.56894100413602944</v>
      </c>
      <c r="BZ35" s="92">
        <f t="shared" si="15"/>
        <v>0.2373046875</v>
      </c>
      <c r="CA35" s="92">
        <f t="shared" si="15"/>
        <v>0.31033145680147062</v>
      </c>
      <c r="CB35" s="92">
        <f t="shared" si="15"/>
        <v>0.30176499310661764</v>
      </c>
      <c r="CC35" s="92">
        <f t="shared" si="15"/>
        <v>0.1715267405790441</v>
      </c>
      <c r="CD35" s="92">
        <f t="shared" si="15"/>
        <v>0.13684441061580879</v>
      </c>
      <c r="CE35" s="92">
        <f t="shared" si="15"/>
        <v>0.14217601102941177</v>
      </c>
      <c r="CF35" s="92">
        <f t="shared" si="15"/>
        <v>0.1360294117647059</v>
      </c>
      <c r="CG35" s="92">
        <f t="shared" si="13"/>
        <v>0.14146154067095584</v>
      </c>
      <c r="CH35" s="92">
        <f t="shared" si="13"/>
        <v>0.22609576056985295</v>
      </c>
      <c r="CI35" s="92">
        <f t="shared" si="13"/>
        <v>0.11309455422794117</v>
      </c>
      <c r="CJ35" s="92">
        <f t="shared" si="13"/>
        <v>0.16561351102941177</v>
      </c>
      <c r="CK35" s="92">
        <f t="shared" si="13"/>
        <v>0.12902473000919115</v>
      </c>
      <c r="CL35" s="92">
        <f t="shared" si="13"/>
        <v>0.13684441061580879</v>
      </c>
      <c r="CM35" s="92">
        <f t="shared" si="13"/>
        <v>0.178466796875</v>
      </c>
      <c r="CN35" s="92">
        <f t="shared" si="13"/>
        <v>0.17594281364889702</v>
      </c>
      <c r="CO35" s="92">
        <f t="shared" si="13"/>
        <v>0.17431640625</v>
      </c>
      <c r="CP35" s="92">
        <f t="shared" si="13"/>
        <v>0.23329790900735287</v>
      </c>
      <c r="CQ35" s="92">
        <f t="shared" si="13"/>
        <v>0.19542738970588236</v>
      </c>
      <c r="CR35" s="92">
        <f t="shared" si="13"/>
        <v>0.47411750344669135</v>
      </c>
      <c r="CS35" s="92">
        <f t="shared" si="13"/>
        <v>0.76236859489889708</v>
      </c>
      <c r="CT35" s="92">
        <f t="shared" si="13"/>
        <v>0.95588235294117652</v>
      </c>
      <c r="CU35" s="92">
        <f t="shared" si="13"/>
        <v>1.3586856617647058</v>
      </c>
      <c r="CV35" s="92">
        <f t="shared" si="13"/>
        <v>1.4703584558823528</v>
      </c>
      <c r="CW35" s="92">
        <f t="shared" si="14"/>
        <v>1.9659064797794121</v>
      </c>
      <c r="CX35" s="92">
        <f t="shared" si="14"/>
        <v>2.8499827665441178</v>
      </c>
      <c r="CY35" s="92">
        <f t="shared" si="14"/>
        <v>3.1603860294117641</v>
      </c>
      <c r="CZ35" s="92">
        <f t="shared" si="14"/>
        <v>4.0755794749540435</v>
      </c>
      <c r="DA35" s="92">
        <f t="shared" si="16"/>
        <v>5.8485717773437491</v>
      </c>
      <c r="DB35" s="92">
        <f t="shared" si="16"/>
        <v>6.1989315257352944</v>
      </c>
      <c r="DC35" s="92">
        <f t="shared" si="16"/>
        <v>8.798038258272058</v>
      </c>
      <c r="DD35" s="92">
        <f t="shared" si="16"/>
        <v>9.9731876148897047</v>
      </c>
      <c r="DE35" s="92">
        <f t="shared" si="16"/>
        <v>14.53985595703125</v>
      </c>
      <c r="DF35" s="92" t="str">
        <f t="shared" si="16"/>
        <v/>
      </c>
      <c r="DG35" s="92" t="str">
        <f t="shared" si="16"/>
        <v/>
      </c>
      <c r="DH35" s="92" t="str">
        <f t="shared" si="16"/>
        <v/>
      </c>
      <c r="DI35" s="92" t="str">
        <f t="shared" si="16"/>
        <v/>
      </c>
    </row>
    <row r="36" spans="1:113">
      <c r="A36" s="41">
        <v>975075</v>
      </c>
      <c r="B36" s="1">
        <v>72</v>
      </c>
      <c r="C36" s="29" t="str">
        <f t="shared" si="4"/>
        <v>975075-72</v>
      </c>
      <c r="D36" s="28" t="s">
        <v>80</v>
      </c>
      <c r="E36" s="37" t="s">
        <v>90</v>
      </c>
      <c r="F36" s="31">
        <v>42458</v>
      </c>
      <c r="G36" s="38"/>
      <c r="H36" s="31">
        <v>42468</v>
      </c>
      <c r="I36" s="38">
        <v>27.6</v>
      </c>
      <c r="J36" s="165"/>
      <c r="K36" s="38">
        <v>6.9</v>
      </c>
      <c r="L36" s="38">
        <v>5.7</v>
      </c>
      <c r="M36" s="38">
        <f t="shared" si="5"/>
        <v>116.57412000000001</v>
      </c>
      <c r="N36" s="118">
        <f>8.76*1000/850</f>
        <v>10.305882352941177</v>
      </c>
      <c r="O36" s="38">
        <f>M36*10/3</f>
        <v>388.58040000000005</v>
      </c>
      <c r="P36" s="32">
        <f t="shared" si="6"/>
        <v>38.858040000000003</v>
      </c>
      <c r="Q36" s="38">
        <v>313</v>
      </c>
      <c r="R36" s="160">
        <f>Q36/O36</f>
        <v>0.80549610839867358</v>
      </c>
      <c r="S36" s="236">
        <f t="shared" si="7"/>
        <v>2.6849870279955788</v>
      </c>
      <c r="T36" s="237">
        <v>0</v>
      </c>
      <c r="U36" s="236">
        <f t="shared" si="12"/>
        <v>0</v>
      </c>
      <c r="V36" s="238">
        <f t="shared" si="11"/>
        <v>0</v>
      </c>
      <c r="W36" s="33"/>
      <c r="X36" s="138"/>
      <c r="Y36" s="87">
        <v>40.336919999999992</v>
      </c>
      <c r="Z36" s="93">
        <f>5.6*4.2*4.2*0.52</f>
        <v>51.367680000000007</v>
      </c>
      <c r="AA36" s="93">
        <v>116.57412000000001</v>
      </c>
      <c r="AB36" s="93">
        <f>7.3*5.4*5.4*0.52</f>
        <v>110.69136000000002</v>
      </c>
      <c r="AC36" s="93">
        <f>7*5.9*5.9*0.52</f>
        <v>126.70840000000003</v>
      </c>
      <c r="AD36" s="93">
        <f>7.4*5.5*5.5*0.52</f>
        <v>116.40200000000002</v>
      </c>
      <c r="AE36" s="93">
        <f>7.2*4.6*4.6*0.52</f>
        <v>79.223039999999983</v>
      </c>
      <c r="AF36" s="93">
        <f>7.6*5.7*5.7*0.52</f>
        <v>128.40048000000002</v>
      </c>
      <c r="AG36" s="93">
        <f>8*6.8*6.8*0.52</f>
        <v>192.35839999999999</v>
      </c>
      <c r="AH36" s="93">
        <f>7.7*6.4*6.4*0.52</f>
        <v>164.00384000000003</v>
      </c>
      <c r="AI36" s="93">
        <f>8.9*6.7*6.7*0.52</f>
        <v>207.75092000000001</v>
      </c>
      <c r="AJ36" s="93">
        <f>9.4*8*8*0.52</f>
        <v>312.83200000000005</v>
      </c>
      <c r="AK36" s="93">
        <f>9.6*8.6*8.6*0.52</f>
        <v>369.20831999999996</v>
      </c>
      <c r="AL36" s="93">
        <f>10.4*9.3*9.3*0.52</f>
        <v>467.73792000000014</v>
      </c>
      <c r="AM36" s="93">
        <f>11.8*10.6*10.6*0.52</f>
        <v>689.44096000000002</v>
      </c>
      <c r="AN36" s="93">
        <f>12.5*11.7*11.7*0.52</f>
        <v>889.78500000000008</v>
      </c>
      <c r="AO36" s="93">
        <f>12.1*11.7*11.7*0.52</f>
        <v>861.31187999999997</v>
      </c>
      <c r="AP36" s="93">
        <f>12.6*12.4*12.4*0.52</f>
        <v>1007.4355200000001</v>
      </c>
      <c r="AQ36" s="93">
        <f>14.1*13.6*13.6*0.52</f>
        <v>1356.12672</v>
      </c>
      <c r="AR36" s="93">
        <f>14.6*14*14*0.52</f>
        <v>1488.0319999999999</v>
      </c>
      <c r="AS36" s="93">
        <f>15.9*15.7*15.7*0.52</f>
        <v>2037.9793199999999</v>
      </c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2"/>
      <c r="BR36" s="92">
        <f t="shared" si="15"/>
        <v>0.34601951102011314</v>
      </c>
      <c r="BS36" s="92">
        <f t="shared" si="15"/>
        <v>0.44064394395599987</v>
      </c>
      <c r="BT36" s="92">
        <f t="shared" si="15"/>
        <v>1</v>
      </c>
      <c r="BU36" s="92">
        <f t="shared" si="15"/>
        <v>0.94953631217632195</v>
      </c>
      <c r="BV36" s="92">
        <f t="shared" si="15"/>
        <v>1.0869342183325084</v>
      </c>
      <c r="BW36" s="92">
        <f t="shared" si="15"/>
        <v>0.99852351448160204</v>
      </c>
      <c r="BX36" s="92">
        <f t="shared" si="15"/>
        <v>0.67959372114496752</v>
      </c>
      <c r="BY36" s="92">
        <f t="shared" si="15"/>
        <v>1.1014492753623188</v>
      </c>
      <c r="BZ36" s="92">
        <f t="shared" si="15"/>
        <v>1.6500952355462772</v>
      </c>
      <c r="CA36" s="92">
        <f t="shared" si="15"/>
        <v>1.4068632042858227</v>
      </c>
      <c r="CB36" s="92">
        <f t="shared" si="15"/>
        <v>1.7821358634317805</v>
      </c>
      <c r="CC36" s="92">
        <f t="shared" si="15"/>
        <v>2.6835458847984444</v>
      </c>
      <c r="CD36" s="92">
        <f t="shared" si="15"/>
        <v>3.1671551112716951</v>
      </c>
      <c r="CE36" s="92">
        <f t="shared" si="15"/>
        <v>4.0123650086314191</v>
      </c>
      <c r="CF36" s="92">
        <f t="shared" si="15"/>
        <v>5.9141854126799327</v>
      </c>
      <c r="CG36" s="92">
        <f t="shared" si="13"/>
        <v>7.6327833313260269</v>
      </c>
      <c r="CH36" s="92">
        <f t="shared" si="13"/>
        <v>7.3885342647235932</v>
      </c>
      <c r="CI36" s="92">
        <f t="shared" si="13"/>
        <v>8.64201694166767</v>
      </c>
      <c r="CJ36" s="92">
        <f t="shared" si="13"/>
        <v>11.633171410601255</v>
      </c>
      <c r="CK36" s="92">
        <f t="shared" si="13"/>
        <v>12.764685678090469</v>
      </c>
      <c r="CL36" s="92">
        <f t="shared" si="13"/>
        <v>17.48226210071326</v>
      </c>
      <c r="CM36" s="92" t="str">
        <f t="shared" si="13"/>
        <v/>
      </c>
      <c r="CN36" s="92" t="str">
        <f t="shared" si="13"/>
        <v/>
      </c>
      <c r="CO36" s="92" t="str">
        <f t="shared" si="13"/>
        <v/>
      </c>
      <c r="CP36" s="92" t="str">
        <f t="shared" si="13"/>
        <v/>
      </c>
      <c r="CQ36" s="92" t="str">
        <f t="shared" si="13"/>
        <v/>
      </c>
      <c r="CR36" s="92" t="str">
        <f t="shared" si="13"/>
        <v/>
      </c>
      <c r="CS36" s="92" t="str">
        <f t="shared" si="13"/>
        <v/>
      </c>
      <c r="CT36" s="92" t="str">
        <f t="shared" si="13"/>
        <v/>
      </c>
      <c r="CU36" s="92" t="str">
        <f t="shared" ref="CU36:CZ53" si="17">IF(OR(ISERROR(BB36/$M36)=TRUE,ISBLANK(BB36)=TRUE),"",BB36/$M36)</f>
        <v/>
      </c>
      <c r="CV36" s="92" t="str">
        <f t="shared" si="17"/>
        <v/>
      </c>
      <c r="CW36" s="92" t="str">
        <f t="shared" si="14"/>
        <v/>
      </c>
      <c r="CX36" s="92" t="str">
        <f t="shared" si="14"/>
        <v/>
      </c>
      <c r="CY36" s="92" t="str">
        <f t="shared" si="14"/>
        <v/>
      </c>
      <c r="CZ36" s="92" t="str">
        <f t="shared" si="14"/>
        <v/>
      </c>
      <c r="DA36" s="92" t="str">
        <f t="shared" si="16"/>
        <v/>
      </c>
      <c r="DB36" s="92" t="str">
        <f t="shared" si="16"/>
        <v/>
      </c>
      <c r="DC36" s="92" t="str">
        <f t="shared" si="16"/>
        <v/>
      </c>
      <c r="DD36" s="92" t="str">
        <f t="shared" si="16"/>
        <v/>
      </c>
      <c r="DE36" s="92" t="str">
        <f t="shared" si="16"/>
        <v/>
      </c>
      <c r="DF36" s="92" t="str">
        <f t="shared" si="16"/>
        <v/>
      </c>
      <c r="DG36" s="92" t="str">
        <f t="shared" si="16"/>
        <v/>
      </c>
      <c r="DH36" s="92" t="str">
        <f t="shared" si="16"/>
        <v/>
      </c>
      <c r="DI36" s="92" t="str">
        <f t="shared" si="16"/>
        <v/>
      </c>
    </row>
    <row r="37" spans="1:113">
      <c r="A37" s="41">
        <v>975075</v>
      </c>
      <c r="B37" s="1">
        <v>73</v>
      </c>
      <c r="C37" s="29" t="str">
        <f t="shared" si="4"/>
        <v>975075-73</v>
      </c>
      <c r="D37" s="28" t="s">
        <v>80</v>
      </c>
      <c r="E37" s="37" t="s">
        <v>87</v>
      </c>
      <c r="F37" s="31">
        <v>42458</v>
      </c>
      <c r="G37" s="38"/>
      <c r="H37" s="31">
        <v>42468</v>
      </c>
      <c r="I37" s="38">
        <v>28.4</v>
      </c>
      <c r="J37" s="165"/>
      <c r="K37" s="38">
        <v>4.5</v>
      </c>
      <c r="L37" s="38">
        <v>4.2</v>
      </c>
      <c r="M37" s="38">
        <f t="shared" si="5"/>
        <v>41.2776</v>
      </c>
      <c r="N37" s="118">
        <f>5.71/560*1000</f>
        <v>10.196428571428571</v>
      </c>
      <c r="O37" s="38">
        <f>M37*10/3</f>
        <v>137.59200000000001</v>
      </c>
      <c r="P37" s="32">
        <f t="shared" si="6"/>
        <v>13.7592</v>
      </c>
      <c r="Q37" s="38">
        <v>93</v>
      </c>
      <c r="R37" s="160">
        <f>Q37/O37</f>
        <v>0.67591139019710444</v>
      </c>
      <c r="S37" s="236">
        <f t="shared" si="7"/>
        <v>2.2530379673236816</v>
      </c>
      <c r="T37" s="237">
        <v>126</v>
      </c>
      <c r="U37" s="236">
        <f t="shared" si="12"/>
        <v>11.091549295774648</v>
      </c>
      <c r="V37" s="238">
        <f t="shared" si="11"/>
        <v>7.6312576312576308</v>
      </c>
      <c r="W37" s="33"/>
      <c r="X37" s="138"/>
      <c r="Y37" s="87">
        <v>22.295000000000002</v>
      </c>
      <c r="Z37" s="93">
        <f>4.4*3.2*3.2*0.52</f>
        <v>23.429120000000008</v>
      </c>
      <c r="AA37" s="93">
        <v>41.2776</v>
      </c>
      <c r="AB37" s="93">
        <f>8.1*6.6*6.6*0.52</f>
        <v>183.47471999999999</v>
      </c>
      <c r="AC37" s="93">
        <f>6.5*5.7*5.7*0.52</f>
        <v>109.81620000000002</v>
      </c>
      <c r="AD37" s="93">
        <f>6.5*6*6*0.52</f>
        <v>121.68</v>
      </c>
      <c r="AE37" s="93">
        <f>6.4*5.1*5.1*0.52</f>
        <v>86.561279999999996</v>
      </c>
      <c r="AF37" s="93">
        <f>6.3*5.4*5.4*0.52</f>
        <v>95.528160000000014</v>
      </c>
      <c r="AG37" s="93">
        <f>6.9*5.3*5.3*0.52</f>
        <v>100.78692000000001</v>
      </c>
      <c r="AH37" s="93">
        <f>5.8*5.1*5.1*0.52</f>
        <v>78.446159999999992</v>
      </c>
      <c r="AI37" s="93">
        <f>6.2*5.5*5.5*0.52</f>
        <v>97.52600000000001</v>
      </c>
      <c r="AJ37" s="93">
        <f>6.9*6.1*6.1*0.52</f>
        <v>133.50948</v>
      </c>
      <c r="AK37" s="93">
        <f>6.4*6.1*6.1*0.52</f>
        <v>123.83488</v>
      </c>
      <c r="AL37" s="93">
        <f>6.8*6.1*6.1*0.52</f>
        <v>131.57455999999999</v>
      </c>
      <c r="AM37" s="93">
        <f>7.9*6.5*6.5*0.52</f>
        <v>173.56300000000002</v>
      </c>
      <c r="AN37" s="93">
        <f>8.8*8.2*8.2*0.52</f>
        <v>307.69023999999996</v>
      </c>
      <c r="AO37" s="93">
        <f>8*6.9*6.9*0.52</f>
        <v>198.05760000000004</v>
      </c>
      <c r="AP37" s="93">
        <f>8.2*7.3*7.3*0.52</f>
        <v>227.22855999999999</v>
      </c>
      <c r="AQ37" s="93">
        <f>8.9*7.9*7.9*0.52</f>
        <v>288.83348000000007</v>
      </c>
      <c r="AR37" s="93">
        <f>9.4*7.5*7.5*0.52</f>
        <v>274.95</v>
      </c>
      <c r="AS37" s="93">
        <f>8.7*8.1*8.1*0.52</f>
        <v>296.81963999999994</v>
      </c>
      <c r="AT37" s="93">
        <f>8.8*8*8*0.52</f>
        <v>292.86400000000003</v>
      </c>
      <c r="AU37" s="93">
        <f>10.7*8.2*8.2*0.52</f>
        <v>374.12335999999988</v>
      </c>
      <c r="AV37" s="93">
        <f>10.1*8.1*8.1*0.52</f>
        <v>344.58371999999991</v>
      </c>
      <c r="AW37" s="93">
        <f>10.3*8*8*0.52</f>
        <v>342.78400000000005</v>
      </c>
      <c r="AX37" s="93">
        <f>10.3*8.2*8.2*0.52</f>
        <v>360.13743999999997</v>
      </c>
      <c r="AY37" s="93">
        <f>9.6*8.8*8.8*0.52</f>
        <v>386.58048000000008</v>
      </c>
      <c r="AZ37" s="93">
        <f>9.8*8.1*8.1*0.52</f>
        <v>334.34855999999996</v>
      </c>
      <c r="BA37" s="93">
        <f>10.1*9.2*9.2*0.52</f>
        <v>444.52927999999991</v>
      </c>
      <c r="BB37" s="93">
        <f>10*8.1*8.1*0.52</f>
        <v>341.17200000000003</v>
      </c>
      <c r="BC37" s="93">
        <f>10.4*9.1*9.1*0.52</f>
        <v>447.83647999999999</v>
      </c>
      <c r="BD37" s="93">
        <f>10.6*9.3*9.3*0.52</f>
        <v>476.73288000000008</v>
      </c>
      <c r="BE37" s="93">
        <f>10.4*9*9*0.52</f>
        <v>438.04800000000006</v>
      </c>
      <c r="BF37" s="93">
        <f>10.5*9.1*9.1*0.52</f>
        <v>452.14260000000002</v>
      </c>
      <c r="BG37" s="93">
        <f>10.2*9.3*9.3*0.52</f>
        <v>458.74296000000004</v>
      </c>
      <c r="BH37" s="93">
        <f>11.2*10.3*10.3*0.52</f>
        <v>617.8681600000001</v>
      </c>
      <c r="BI37" s="93">
        <f>11.3*10*10*0.52</f>
        <v>587.6</v>
      </c>
      <c r="BJ37" s="93">
        <f>13*11.7*11.7*0.52</f>
        <v>925.37639999999999</v>
      </c>
      <c r="BK37" s="93">
        <f>15.1*12.2*12.2*0.52</f>
        <v>1168.6916799999999</v>
      </c>
      <c r="BL37" s="93">
        <f>16.2*13.3*13.3*0.52</f>
        <v>1490.1213600000003</v>
      </c>
      <c r="BM37" s="93">
        <f>15.7*14.7*14.7*0.52</f>
        <v>1764.15876</v>
      </c>
      <c r="BN37" s="93"/>
      <c r="BO37" s="93"/>
      <c r="BP37" s="93"/>
      <c r="BQ37" s="2"/>
      <c r="BR37" s="92">
        <f t="shared" si="15"/>
        <v>0.54012345679012352</v>
      </c>
      <c r="BS37" s="92">
        <f t="shared" si="15"/>
        <v>0.56759889140841546</v>
      </c>
      <c r="BT37" s="92">
        <f t="shared" si="15"/>
        <v>1</v>
      </c>
      <c r="BU37" s="92">
        <f t="shared" si="15"/>
        <v>4.444897959183673</v>
      </c>
      <c r="BV37" s="92">
        <f t="shared" si="15"/>
        <v>2.660430839002268</v>
      </c>
      <c r="BW37" s="92">
        <f t="shared" si="15"/>
        <v>2.9478458049886624</v>
      </c>
      <c r="BX37" s="92">
        <f t="shared" si="15"/>
        <v>2.0970521541950111</v>
      </c>
      <c r="BY37" s="92">
        <f t="shared" si="15"/>
        <v>2.3142857142857145</v>
      </c>
      <c r="BZ37" s="92">
        <f t="shared" si="15"/>
        <v>2.441685563114135</v>
      </c>
      <c r="CA37" s="92">
        <f t="shared" si="15"/>
        <v>1.9004535147392287</v>
      </c>
      <c r="CB37" s="92">
        <f t="shared" si="15"/>
        <v>2.3626858150667678</v>
      </c>
      <c r="CC37" s="92">
        <f t="shared" si="15"/>
        <v>3.2344293272864699</v>
      </c>
      <c r="CD37" s="92">
        <f t="shared" si="15"/>
        <v>3.0000503905265812</v>
      </c>
      <c r="CE37" s="92">
        <f t="shared" si="15"/>
        <v>3.1875535399344921</v>
      </c>
      <c r="CF37" s="92">
        <f t="shared" si="15"/>
        <v>4.2047745023935503</v>
      </c>
      <c r="CG37" s="92">
        <f t="shared" ref="CG37:CT53" si="18">IF(OR(ISERROR(AN37/$M37)=TRUE,ISBLANK(AN37)=TRUE),"",AN37/$M37)</f>
        <v>7.4541698160745771</v>
      </c>
      <c r="CH37" s="92">
        <f t="shared" si="18"/>
        <v>4.7981859410430845</v>
      </c>
      <c r="CI37" s="92">
        <f t="shared" si="18"/>
        <v>5.504887881078357</v>
      </c>
      <c r="CJ37" s="92">
        <f t="shared" si="18"/>
        <v>6.997341899722854</v>
      </c>
      <c r="CK37" s="92">
        <f t="shared" si="18"/>
        <v>6.6609977324263037</v>
      </c>
      <c r="CL37" s="92">
        <f t="shared" si="18"/>
        <v>7.1908163265306104</v>
      </c>
      <c r="CM37" s="92">
        <f t="shared" si="18"/>
        <v>7.0949861426051912</v>
      </c>
      <c r="CN37" s="92">
        <f t="shared" si="18"/>
        <v>9.063592844545223</v>
      </c>
      <c r="CO37" s="92">
        <f t="shared" si="18"/>
        <v>8.347959183673467</v>
      </c>
      <c r="CP37" s="92">
        <f t="shared" si="18"/>
        <v>8.3043587805492578</v>
      </c>
      <c r="CQ37" s="92">
        <f t="shared" si="18"/>
        <v>8.7247669438145614</v>
      </c>
      <c r="CR37" s="92">
        <f t="shared" si="18"/>
        <v>9.3653817082388535</v>
      </c>
      <c r="CS37" s="92">
        <f t="shared" si="18"/>
        <v>8.1</v>
      </c>
      <c r="CT37" s="92">
        <f t="shared" si="18"/>
        <v>10.769261778785586</v>
      </c>
      <c r="CU37" s="92">
        <f t="shared" si="17"/>
        <v>8.2653061224489797</v>
      </c>
      <c r="CV37" s="92">
        <f t="shared" si="17"/>
        <v>10.849382716049382</v>
      </c>
      <c r="CW37" s="92">
        <f t="shared" si="14"/>
        <v>11.549433106575966</v>
      </c>
      <c r="CX37" s="92">
        <f t="shared" si="14"/>
        <v>10.612244897959185</v>
      </c>
      <c r="CY37" s="92">
        <f t="shared" si="14"/>
        <v>10.953703703703704</v>
      </c>
      <c r="CZ37" s="92">
        <f t="shared" si="14"/>
        <v>11.113605442176873</v>
      </c>
      <c r="DA37" s="92">
        <f t="shared" si="16"/>
        <v>14.968606701940038</v>
      </c>
      <c r="DB37" s="92">
        <f t="shared" si="16"/>
        <v>14.235323759133284</v>
      </c>
      <c r="DC37" s="92">
        <f t="shared" si="16"/>
        <v>22.418367346938776</v>
      </c>
      <c r="DD37" s="92">
        <f t="shared" si="16"/>
        <v>28.312975560594605</v>
      </c>
      <c r="DE37" s="92">
        <f t="shared" si="16"/>
        <v>36.100000000000009</v>
      </c>
      <c r="DF37" s="92">
        <f t="shared" si="16"/>
        <v>42.738888888888887</v>
      </c>
      <c r="DG37" s="92" t="str">
        <f t="shared" si="16"/>
        <v/>
      </c>
      <c r="DH37" s="92" t="str">
        <f t="shared" si="16"/>
        <v/>
      </c>
      <c r="DI37" s="92" t="str">
        <f t="shared" si="16"/>
        <v/>
      </c>
    </row>
    <row r="38" spans="1:113">
      <c r="A38" s="41">
        <v>975075</v>
      </c>
      <c r="B38" s="1">
        <v>74</v>
      </c>
      <c r="C38" s="29" t="str">
        <f t="shared" si="4"/>
        <v>975075-74</v>
      </c>
      <c r="D38" s="28" t="s">
        <v>80</v>
      </c>
      <c r="E38" s="37" t="s">
        <v>83</v>
      </c>
      <c r="F38" s="31">
        <v>42458</v>
      </c>
      <c r="G38" s="38"/>
      <c r="H38" s="31">
        <v>42468</v>
      </c>
      <c r="I38" s="38">
        <v>25.4</v>
      </c>
      <c r="J38" s="165"/>
      <c r="K38" s="38">
        <v>7.6</v>
      </c>
      <c r="L38" s="38">
        <v>5.7</v>
      </c>
      <c r="M38" s="38">
        <f t="shared" si="5"/>
        <v>128.40048000000002</v>
      </c>
      <c r="N38" s="118"/>
      <c r="O38" s="38"/>
      <c r="P38" s="32">
        <f t="shared" si="6"/>
        <v>42.800160000000005</v>
      </c>
      <c r="Q38" s="38"/>
      <c r="R38" s="160"/>
      <c r="S38" s="236">
        <f t="shared" si="7"/>
        <v>0</v>
      </c>
      <c r="T38" s="237">
        <v>113</v>
      </c>
      <c r="U38" s="236">
        <f t="shared" si="12"/>
        <v>11.122047244094491</v>
      </c>
      <c r="V38" s="238">
        <f t="shared" si="11"/>
        <v>2.2001475383892646</v>
      </c>
      <c r="W38" s="33"/>
      <c r="X38" s="138"/>
      <c r="Y38" s="87">
        <v>105.99679999999999</v>
      </c>
      <c r="Z38" s="93">
        <f>6.9*5.2*5.2*0.52</f>
        <v>97.019520000000014</v>
      </c>
      <c r="AA38" s="93">
        <v>128.40048000000002</v>
      </c>
      <c r="AB38" s="93">
        <f>8.9*6.4*6.4*0.52</f>
        <v>189.56288000000006</v>
      </c>
      <c r="AC38" s="93">
        <f>9.5*6.4*6.4*0.52</f>
        <v>202.34240000000003</v>
      </c>
      <c r="AD38" s="93">
        <f>11.3*7.8*7.8*0.52</f>
        <v>357.49583999999999</v>
      </c>
      <c r="AE38" s="93">
        <f>11.7*8.3*8.3*0.52</f>
        <v>419.12676000000005</v>
      </c>
      <c r="AF38" s="93">
        <f>13.2*9.4*9.4*0.52</f>
        <v>606.50304000000006</v>
      </c>
      <c r="AG38" s="93">
        <f>13.2*10.4*10.4*0.52</f>
        <v>742.41024000000004</v>
      </c>
      <c r="AH38" s="93">
        <f>15.2*11.5*11.5*0.52</f>
        <v>1045.3039999999999</v>
      </c>
      <c r="AI38" s="93">
        <f>15.8*11.8*11.8*0.52</f>
        <v>1143.9958400000003</v>
      </c>
      <c r="AJ38" s="93">
        <f>16.7*13.3*13.3*0.52</f>
        <v>1536.1127600000004</v>
      </c>
      <c r="AK38" s="93">
        <f>17.4*13.9*13.9*0.52</f>
        <v>1748.16408</v>
      </c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2"/>
      <c r="BR38" s="92">
        <f t="shared" ref="BR38:CF53" si="19">IF(OR(ISERROR(Y38/$M38)=TRUE,ISBLANK(Y38)=TRUE),"",Y38/$M38)</f>
        <v>0.82551716317571378</v>
      </c>
      <c r="BS38" s="92">
        <f t="shared" si="19"/>
        <v>0.75560091364144433</v>
      </c>
      <c r="BT38" s="92">
        <f t="shared" si="19"/>
        <v>1</v>
      </c>
      <c r="BU38" s="92">
        <f t="shared" si="19"/>
        <v>1.4763408984140873</v>
      </c>
      <c r="BV38" s="92">
        <f t="shared" si="19"/>
        <v>1.5758694983071715</v>
      </c>
      <c r="BW38" s="92">
        <f t="shared" si="19"/>
        <v>2.7842251057005392</v>
      </c>
      <c r="BX38" s="92">
        <f t="shared" si="19"/>
        <v>3.2642149001312144</v>
      </c>
      <c r="BY38" s="92">
        <f t="shared" si="19"/>
        <v>4.7235262671915246</v>
      </c>
      <c r="BZ38" s="92">
        <f t="shared" si="19"/>
        <v>5.7819896000388784</v>
      </c>
      <c r="CA38" s="92">
        <f t="shared" si="19"/>
        <v>8.1409664512157569</v>
      </c>
      <c r="CB38" s="92">
        <f t="shared" si="19"/>
        <v>8.9095916152338379</v>
      </c>
      <c r="CC38" s="92">
        <f t="shared" si="19"/>
        <v>11.963450292397663</v>
      </c>
      <c r="CD38" s="92">
        <f t="shared" si="19"/>
        <v>13.614934149778877</v>
      </c>
      <c r="CE38" s="92" t="str">
        <f t="shared" si="19"/>
        <v/>
      </c>
      <c r="CF38" s="92" t="str">
        <f t="shared" si="19"/>
        <v/>
      </c>
      <c r="CG38" s="92" t="str">
        <f t="shared" si="18"/>
        <v/>
      </c>
      <c r="CH38" s="92" t="str">
        <f t="shared" si="18"/>
        <v/>
      </c>
      <c r="CI38" s="92" t="str">
        <f t="shared" si="18"/>
        <v/>
      </c>
      <c r="CJ38" s="92" t="str">
        <f t="shared" si="18"/>
        <v/>
      </c>
      <c r="CK38" s="92" t="str">
        <f t="shared" si="18"/>
        <v/>
      </c>
      <c r="CL38" s="92" t="str">
        <f t="shared" si="18"/>
        <v/>
      </c>
      <c r="CM38" s="92" t="str">
        <f t="shared" si="18"/>
        <v/>
      </c>
      <c r="CN38" s="92" t="str">
        <f t="shared" si="18"/>
        <v/>
      </c>
      <c r="CO38" s="92" t="str">
        <f t="shared" si="18"/>
        <v/>
      </c>
      <c r="CP38" s="92" t="str">
        <f t="shared" si="18"/>
        <v/>
      </c>
      <c r="CQ38" s="92" t="str">
        <f t="shared" si="18"/>
        <v/>
      </c>
      <c r="CR38" s="92" t="str">
        <f t="shared" si="18"/>
        <v/>
      </c>
      <c r="CS38" s="92" t="str">
        <f t="shared" si="18"/>
        <v/>
      </c>
      <c r="CT38" s="92" t="str">
        <f t="shared" si="18"/>
        <v/>
      </c>
      <c r="CU38" s="92" t="str">
        <f t="shared" si="17"/>
        <v/>
      </c>
      <c r="CV38" s="92" t="str">
        <f t="shared" si="17"/>
        <v/>
      </c>
      <c r="CW38" s="92" t="str">
        <f t="shared" si="14"/>
        <v/>
      </c>
      <c r="CX38" s="92" t="str">
        <f t="shared" si="14"/>
        <v/>
      </c>
      <c r="CY38" s="92" t="str">
        <f t="shared" si="14"/>
        <v/>
      </c>
      <c r="CZ38" s="92" t="str">
        <f t="shared" si="14"/>
        <v/>
      </c>
      <c r="DA38" s="92" t="str">
        <f t="shared" si="16"/>
        <v/>
      </c>
      <c r="DB38" s="92" t="str">
        <f t="shared" si="16"/>
        <v/>
      </c>
      <c r="DC38" s="92" t="str">
        <f t="shared" si="16"/>
        <v/>
      </c>
      <c r="DD38" s="92" t="str">
        <f t="shared" si="16"/>
        <v/>
      </c>
      <c r="DE38" s="92" t="str">
        <f t="shared" si="16"/>
        <v/>
      </c>
      <c r="DF38" s="92" t="str">
        <f t="shared" si="16"/>
        <v/>
      </c>
      <c r="DG38" s="92" t="str">
        <f t="shared" si="16"/>
        <v/>
      </c>
      <c r="DH38" s="92" t="str">
        <f t="shared" si="16"/>
        <v/>
      </c>
      <c r="DI38" s="92" t="str">
        <f t="shared" si="16"/>
        <v/>
      </c>
    </row>
    <row r="39" spans="1:113">
      <c r="A39" s="41">
        <v>975075</v>
      </c>
      <c r="B39" s="1">
        <v>75</v>
      </c>
      <c r="C39" s="29" t="str">
        <f t="shared" si="4"/>
        <v>975075-75</v>
      </c>
      <c r="D39" s="28" t="s">
        <v>80</v>
      </c>
      <c r="E39" s="37" t="s">
        <v>83</v>
      </c>
      <c r="F39" s="31">
        <v>42458</v>
      </c>
      <c r="G39" s="38"/>
      <c r="H39" s="31">
        <v>42468</v>
      </c>
      <c r="I39" s="38">
        <v>25.2</v>
      </c>
      <c r="J39" s="165"/>
      <c r="K39" s="38">
        <v>7.5</v>
      </c>
      <c r="L39" s="38">
        <v>5.8</v>
      </c>
      <c r="M39" s="38">
        <f t="shared" si="5"/>
        <v>131.196</v>
      </c>
      <c r="N39" s="118"/>
      <c r="O39" s="38"/>
      <c r="P39" s="32">
        <f t="shared" si="6"/>
        <v>43.731999999999999</v>
      </c>
      <c r="Q39" s="38"/>
      <c r="R39" s="160"/>
      <c r="S39" s="236">
        <f t="shared" si="7"/>
        <v>0</v>
      </c>
      <c r="T39" s="237">
        <v>112</v>
      </c>
      <c r="U39" s="236">
        <f t="shared" si="12"/>
        <v>11.111111111111112</v>
      </c>
      <c r="V39" s="238">
        <f t="shared" si="11"/>
        <v>2.1342114088844175</v>
      </c>
      <c r="W39" s="33"/>
      <c r="X39" s="138"/>
      <c r="Y39" s="87">
        <v>75.812880000000007</v>
      </c>
      <c r="Z39" s="93">
        <f>7.2*5.2*5.2*0.52</f>
        <v>101.23776000000002</v>
      </c>
      <c r="AA39" s="93">
        <v>131.196</v>
      </c>
      <c r="AB39" s="93">
        <f>6.9*5.1*5.1*0.52</f>
        <v>93.323879999999988</v>
      </c>
      <c r="AC39" s="93">
        <f>7.5*5.9*5.9*0.52</f>
        <v>135.75899999999999</v>
      </c>
      <c r="AD39" s="93">
        <f>7.7*5.8*5.8*0.52</f>
        <v>134.69456</v>
      </c>
      <c r="AE39" s="93">
        <f>8*6.2*6.2*0.52</f>
        <v>159.91040000000004</v>
      </c>
      <c r="AF39" s="93">
        <f>9.8*7.8*7.8*0.52</f>
        <v>310.04064</v>
      </c>
      <c r="AG39" s="93">
        <f>10.7*7.9*7.9*0.52</f>
        <v>347.24924000000004</v>
      </c>
      <c r="AH39" s="93">
        <f>11.9*9.9*9.9*0.52</f>
        <v>606.48587999999995</v>
      </c>
      <c r="AI39" s="93">
        <f>13.4*10.7*10.7*0.52</f>
        <v>797.76631999999995</v>
      </c>
      <c r="AJ39" s="93">
        <f>15.9*12.8*12.8*0.52</f>
        <v>1354.6291200000003</v>
      </c>
      <c r="AK39" s="93">
        <f>15.7*14.1*14.1*0.52</f>
        <v>1623.0848399999998</v>
      </c>
      <c r="AL39" s="93">
        <f>16.9*14.3*14.3*0.52</f>
        <v>1797.0581199999999</v>
      </c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2"/>
      <c r="BR39" s="92">
        <f t="shared" si="19"/>
        <v>0.57785969084423316</v>
      </c>
      <c r="BS39" s="92">
        <f t="shared" si="19"/>
        <v>0.7716527942925091</v>
      </c>
      <c r="BT39" s="92">
        <f t="shared" si="19"/>
        <v>1</v>
      </c>
      <c r="BU39" s="92">
        <f t="shared" si="19"/>
        <v>0.71133174791914378</v>
      </c>
      <c r="BV39" s="92">
        <f t="shared" si="19"/>
        <v>1.0347800237812128</v>
      </c>
      <c r="BW39" s="92">
        <f t="shared" si="19"/>
        <v>1.0266666666666666</v>
      </c>
      <c r="BX39" s="92">
        <f t="shared" si="19"/>
        <v>1.2188664288545386</v>
      </c>
      <c r="BY39" s="92">
        <f t="shared" si="19"/>
        <v>2.3631866825208085</v>
      </c>
      <c r="BZ39" s="92">
        <f t="shared" si="19"/>
        <v>2.6467974633372973</v>
      </c>
      <c r="CA39" s="92">
        <f t="shared" si="19"/>
        <v>4.6227467300832341</v>
      </c>
      <c r="CB39" s="92">
        <f t="shared" si="19"/>
        <v>6.0807213634562025</v>
      </c>
      <c r="CC39" s="92">
        <f t="shared" si="19"/>
        <v>10.325231866825211</v>
      </c>
      <c r="CD39" s="92">
        <f t="shared" si="19"/>
        <v>12.371450653983352</v>
      </c>
      <c r="CE39" s="92">
        <f t="shared" si="19"/>
        <v>13.697506936187079</v>
      </c>
      <c r="CF39" s="92" t="str">
        <f t="shared" si="19"/>
        <v/>
      </c>
      <c r="CG39" s="92" t="str">
        <f t="shared" si="18"/>
        <v/>
      </c>
      <c r="CH39" s="92" t="str">
        <f t="shared" si="18"/>
        <v/>
      </c>
      <c r="CI39" s="92" t="str">
        <f t="shared" si="18"/>
        <v/>
      </c>
      <c r="CJ39" s="92" t="str">
        <f t="shared" si="18"/>
        <v/>
      </c>
      <c r="CK39" s="92" t="str">
        <f t="shared" si="18"/>
        <v/>
      </c>
      <c r="CL39" s="92" t="str">
        <f t="shared" si="18"/>
        <v/>
      </c>
      <c r="CM39" s="92" t="str">
        <f t="shared" si="18"/>
        <v/>
      </c>
      <c r="CN39" s="92" t="str">
        <f t="shared" si="18"/>
        <v/>
      </c>
      <c r="CO39" s="92" t="str">
        <f t="shared" si="18"/>
        <v/>
      </c>
      <c r="CP39" s="92" t="str">
        <f t="shared" si="18"/>
        <v/>
      </c>
      <c r="CQ39" s="92" t="str">
        <f t="shared" si="18"/>
        <v/>
      </c>
      <c r="CR39" s="92" t="str">
        <f t="shared" si="18"/>
        <v/>
      </c>
      <c r="CS39" s="92" t="str">
        <f t="shared" si="18"/>
        <v/>
      </c>
      <c r="CT39" s="92" t="str">
        <f t="shared" si="18"/>
        <v/>
      </c>
      <c r="CU39" s="92" t="str">
        <f t="shared" si="17"/>
        <v/>
      </c>
      <c r="CV39" s="92" t="str">
        <f t="shared" si="17"/>
        <v/>
      </c>
      <c r="CW39" s="92" t="str">
        <f t="shared" si="14"/>
        <v/>
      </c>
      <c r="CX39" s="92" t="str">
        <f t="shared" si="14"/>
        <v/>
      </c>
      <c r="CY39" s="92" t="str">
        <f t="shared" si="14"/>
        <v/>
      </c>
      <c r="CZ39" s="92" t="str">
        <f t="shared" si="14"/>
        <v/>
      </c>
      <c r="DA39" s="92" t="str">
        <f t="shared" si="16"/>
        <v/>
      </c>
      <c r="DB39" s="92" t="str">
        <f t="shared" si="16"/>
        <v/>
      </c>
      <c r="DC39" s="92" t="str">
        <f t="shared" si="16"/>
        <v/>
      </c>
      <c r="DD39" s="92" t="str">
        <f t="shared" si="16"/>
        <v/>
      </c>
      <c r="DE39" s="92" t="str">
        <f t="shared" si="16"/>
        <v/>
      </c>
      <c r="DF39" s="92" t="str">
        <f t="shared" si="16"/>
        <v/>
      </c>
      <c r="DG39" s="92" t="str">
        <f t="shared" si="16"/>
        <v/>
      </c>
      <c r="DH39" s="92" t="str">
        <f t="shared" si="16"/>
        <v/>
      </c>
      <c r="DI39" s="92" t="str">
        <f t="shared" si="16"/>
        <v/>
      </c>
    </row>
    <row r="40" spans="1:113">
      <c r="A40" s="41">
        <v>975074</v>
      </c>
      <c r="B40" s="1">
        <v>81</v>
      </c>
      <c r="C40" s="29" t="str">
        <f t="shared" si="4"/>
        <v>975074-81</v>
      </c>
      <c r="D40" s="28" t="s">
        <v>80</v>
      </c>
      <c r="E40" s="37" t="s">
        <v>84</v>
      </c>
      <c r="F40" s="31">
        <v>42458</v>
      </c>
      <c r="G40" s="38"/>
      <c r="H40" s="31">
        <v>42468</v>
      </c>
      <c r="I40" s="38">
        <v>24.9</v>
      </c>
      <c r="J40" s="165"/>
      <c r="K40" s="38">
        <v>7.5</v>
      </c>
      <c r="L40" s="38">
        <v>6.1</v>
      </c>
      <c r="M40" s="38">
        <f t="shared" si="5"/>
        <v>145.11899999999997</v>
      </c>
      <c r="N40" s="118"/>
      <c r="O40" s="38"/>
      <c r="P40" s="32">
        <f t="shared" si="6"/>
        <v>48.37299999999999</v>
      </c>
      <c r="Q40" s="38"/>
      <c r="R40" s="160"/>
      <c r="S40" s="236">
        <f t="shared" si="7"/>
        <v>0</v>
      </c>
      <c r="T40" s="237">
        <v>221</v>
      </c>
      <c r="U40" s="236">
        <f t="shared" si="12"/>
        <v>22.188755020080325</v>
      </c>
      <c r="V40" s="238">
        <f t="shared" si="11"/>
        <v>3.8072202812863929</v>
      </c>
      <c r="W40" s="33"/>
      <c r="X40" s="138"/>
      <c r="Y40" s="87">
        <v>48.437999999999995</v>
      </c>
      <c r="Z40" s="93">
        <f>5.6*5.6*5.6*0.52</f>
        <v>91.320319999999981</v>
      </c>
      <c r="AA40" s="93">
        <v>145.11899999999997</v>
      </c>
      <c r="AB40" s="93">
        <f>7.1*6*6*0.52</f>
        <v>132.91199999999998</v>
      </c>
      <c r="AC40" s="93">
        <f>7.5*5.7*5.7*0.52</f>
        <v>126.71100000000001</v>
      </c>
      <c r="AD40" s="93">
        <f>7.3*6*6*0.52</f>
        <v>136.65599999999998</v>
      </c>
      <c r="AE40" s="93">
        <f>8.2*6.4*6.4*0.52</f>
        <v>174.65344000000002</v>
      </c>
      <c r="AF40" s="93">
        <f>10.8*7.5*7.5*0.52</f>
        <v>315.90000000000003</v>
      </c>
      <c r="AG40" s="93">
        <f>9.5*7.7*7.7*0.52</f>
        <v>292.89260000000007</v>
      </c>
      <c r="AH40" s="93">
        <f>10.2*8.1*8.1*0.52</f>
        <v>347.99543999999992</v>
      </c>
      <c r="AI40" s="93">
        <f>14.1*9.5*9.5*0.52</f>
        <v>661.71299999999997</v>
      </c>
      <c r="AJ40" s="93">
        <f>15.1*11.1*11.1*0.52</f>
        <v>967.44491999999991</v>
      </c>
      <c r="AK40" s="93">
        <f>17.2*11.8*11.8*0.52</f>
        <v>1245.3625600000003</v>
      </c>
      <c r="AL40" s="93">
        <f>18.5*12.5*12.5*0.52</f>
        <v>1503.125</v>
      </c>
      <c r="AM40" s="93">
        <f>19*12.9*12.9*0.52</f>
        <v>1644.1308000000001</v>
      </c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2"/>
      <c r="BR40" s="92">
        <f t="shared" si="19"/>
        <v>0.33378124160172001</v>
      </c>
      <c r="BS40" s="92">
        <f t="shared" si="19"/>
        <v>0.62927886768789754</v>
      </c>
      <c r="BT40" s="92">
        <f t="shared" si="19"/>
        <v>1</v>
      </c>
      <c r="BU40" s="92">
        <f t="shared" si="19"/>
        <v>0.9158828271969901</v>
      </c>
      <c r="BV40" s="92">
        <f t="shared" si="19"/>
        <v>0.87315237839290538</v>
      </c>
      <c r="BW40" s="92">
        <f t="shared" si="19"/>
        <v>0.94168234345606028</v>
      </c>
      <c r="BX40" s="92">
        <f t="shared" si="19"/>
        <v>1.2035187673564458</v>
      </c>
      <c r="BY40" s="92">
        <f t="shared" si="19"/>
        <v>2.176834184359044</v>
      </c>
      <c r="BZ40" s="92">
        <f t="shared" si="19"/>
        <v>2.018292573680911</v>
      </c>
      <c r="CA40" s="92">
        <f t="shared" si="19"/>
        <v>2.398000537489922</v>
      </c>
      <c r="CB40" s="92">
        <f t="shared" si="19"/>
        <v>4.5597957538296168</v>
      </c>
      <c r="CC40" s="92">
        <f t="shared" si="19"/>
        <v>6.6665627519484021</v>
      </c>
      <c r="CD40" s="92">
        <f t="shared" si="19"/>
        <v>8.5816644271253288</v>
      </c>
      <c r="CE40" s="92">
        <f t="shared" si="19"/>
        <v>10.357878706440923</v>
      </c>
      <c r="CF40" s="92">
        <f t="shared" si="19"/>
        <v>11.329535071217418</v>
      </c>
      <c r="CG40" s="92" t="str">
        <f t="shared" si="18"/>
        <v/>
      </c>
      <c r="CH40" s="92" t="str">
        <f t="shared" si="18"/>
        <v/>
      </c>
      <c r="CI40" s="92" t="str">
        <f t="shared" si="18"/>
        <v/>
      </c>
      <c r="CJ40" s="92" t="str">
        <f t="shared" si="18"/>
        <v/>
      </c>
      <c r="CK40" s="92" t="str">
        <f t="shared" si="18"/>
        <v/>
      </c>
      <c r="CL40" s="92" t="str">
        <f t="shared" si="18"/>
        <v/>
      </c>
      <c r="CM40" s="92" t="str">
        <f t="shared" si="18"/>
        <v/>
      </c>
      <c r="CN40" s="92" t="str">
        <f t="shared" si="18"/>
        <v/>
      </c>
      <c r="CO40" s="92" t="str">
        <f t="shared" si="18"/>
        <v/>
      </c>
      <c r="CP40" s="92" t="str">
        <f t="shared" si="18"/>
        <v/>
      </c>
      <c r="CQ40" s="92" t="str">
        <f t="shared" si="18"/>
        <v/>
      </c>
      <c r="CR40" s="92" t="str">
        <f t="shared" si="18"/>
        <v/>
      </c>
      <c r="CS40" s="92" t="str">
        <f t="shared" si="18"/>
        <v/>
      </c>
      <c r="CT40" s="92" t="str">
        <f t="shared" si="18"/>
        <v/>
      </c>
      <c r="CU40" s="92" t="str">
        <f t="shared" si="17"/>
        <v/>
      </c>
      <c r="CV40" s="92" t="str">
        <f t="shared" si="17"/>
        <v/>
      </c>
      <c r="CW40" s="92" t="str">
        <f t="shared" si="14"/>
        <v/>
      </c>
      <c r="CX40" s="92" t="str">
        <f t="shared" si="14"/>
        <v/>
      </c>
      <c r="CY40" s="92" t="str">
        <f t="shared" si="14"/>
        <v/>
      </c>
      <c r="CZ40" s="92" t="str">
        <f t="shared" si="14"/>
        <v/>
      </c>
      <c r="DA40" s="92" t="str">
        <f t="shared" si="16"/>
        <v/>
      </c>
      <c r="DB40" s="92" t="str">
        <f t="shared" si="16"/>
        <v/>
      </c>
      <c r="DC40" s="92" t="str">
        <f t="shared" si="16"/>
        <v/>
      </c>
      <c r="DD40" s="92" t="str">
        <f t="shared" si="16"/>
        <v/>
      </c>
      <c r="DE40" s="92" t="str">
        <f t="shared" si="16"/>
        <v/>
      </c>
      <c r="DF40" s="92" t="str">
        <f t="shared" si="16"/>
        <v/>
      </c>
      <c r="DG40" s="92" t="str">
        <f t="shared" si="16"/>
        <v/>
      </c>
      <c r="DH40" s="92" t="str">
        <f t="shared" si="16"/>
        <v/>
      </c>
      <c r="DI40" s="92" t="str">
        <f t="shared" si="16"/>
        <v/>
      </c>
    </row>
    <row r="41" spans="1:113">
      <c r="A41" s="41">
        <v>975074</v>
      </c>
      <c r="B41" s="1">
        <v>82</v>
      </c>
      <c r="C41" s="29" t="str">
        <f t="shared" si="4"/>
        <v>975074-82</v>
      </c>
      <c r="D41" s="28" t="s">
        <v>80</v>
      </c>
      <c r="E41" s="37" t="s">
        <v>84</v>
      </c>
      <c r="F41" s="31">
        <v>42458</v>
      </c>
      <c r="G41" s="38"/>
      <c r="H41" s="31">
        <v>42468</v>
      </c>
      <c r="I41" s="38">
        <v>29.7</v>
      </c>
      <c r="J41" s="165"/>
      <c r="K41" s="38">
        <v>7.5</v>
      </c>
      <c r="L41" s="38">
        <v>6.3</v>
      </c>
      <c r="M41" s="38">
        <f t="shared" si="5"/>
        <v>154.79099999999997</v>
      </c>
      <c r="N41" s="118"/>
      <c r="O41" s="38"/>
      <c r="P41" s="32">
        <f t="shared" si="6"/>
        <v>51.596999999999987</v>
      </c>
      <c r="Q41" s="38"/>
      <c r="R41" s="160"/>
      <c r="S41" s="236">
        <f t="shared" si="7"/>
        <v>0</v>
      </c>
      <c r="T41" s="237">
        <v>264</v>
      </c>
      <c r="U41" s="236">
        <f t="shared" si="12"/>
        <v>22.222222222222221</v>
      </c>
      <c r="V41" s="238">
        <f t="shared" si="11"/>
        <v>4.2638137876233131</v>
      </c>
      <c r="W41" s="33"/>
      <c r="X41" s="138"/>
      <c r="Y41" s="87">
        <v>97.044480000000021</v>
      </c>
      <c r="Z41" s="93">
        <f>7.2*6*6*0.52</f>
        <v>134.78400000000002</v>
      </c>
      <c r="AA41" s="93">
        <v>154.79099999999997</v>
      </c>
      <c r="AB41" s="93">
        <f>8.5*6.2*6.2*0.52</f>
        <v>169.90480000000002</v>
      </c>
      <c r="AC41" s="93">
        <f>8.4*6.4*6.4*0.52</f>
        <v>178.91328000000004</v>
      </c>
      <c r="AD41" s="93">
        <f>8.8*6.8*6.8*0.52</f>
        <v>211.59424000000001</v>
      </c>
      <c r="AE41" s="93">
        <f>9*6.8*6.8*0.52</f>
        <v>216.4032</v>
      </c>
      <c r="AF41" s="93">
        <f>10.9*7.7*7.7*0.52</f>
        <v>336.05572000000006</v>
      </c>
      <c r="AG41" s="93">
        <f>11.4*8.1*8.1*0.52</f>
        <v>388.93608</v>
      </c>
      <c r="AH41" s="93">
        <f>12.5*8.6*8.6*0.52</f>
        <v>480.74</v>
      </c>
      <c r="AI41" s="93">
        <f>12.1*10.1*10.1*0.52</f>
        <v>641.84691999999995</v>
      </c>
      <c r="AJ41" s="93">
        <f>14.2*11.6*11.6*0.52</f>
        <v>993.59104000000002</v>
      </c>
      <c r="AK41" s="93">
        <f>15.3*12.7*12.7*0.52</f>
        <v>1283.22324</v>
      </c>
      <c r="AL41" s="93">
        <f>15.2*14*14*0.52</f>
        <v>1549.184</v>
      </c>
      <c r="AM41" s="93">
        <f>16.1*15.8*15.8*0.52</f>
        <v>2089.9860800000006</v>
      </c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2"/>
      <c r="BR41" s="92">
        <f t="shared" si="19"/>
        <v>0.62693877551020438</v>
      </c>
      <c r="BS41" s="92">
        <f t="shared" si="19"/>
        <v>0.87074829931972819</v>
      </c>
      <c r="BT41" s="92">
        <f t="shared" si="19"/>
        <v>1</v>
      </c>
      <c r="BU41" s="92">
        <f t="shared" si="19"/>
        <v>1.0976400436717901</v>
      </c>
      <c r="BV41" s="92">
        <f t="shared" si="19"/>
        <v>1.1558377425044097</v>
      </c>
      <c r="BW41" s="92">
        <f t="shared" si="19"/>
        <v>1.3669673301419336</v>
      </c>
      <c r="BX41" s="92">
        <f t="shared" si="19"/>
        <v>1.3980347694633413</v>
      </c>
      <c r="BY41" s="92">
        <f t="shared" si="19"/>
        <v>2.171028806584363</v>
      </c>
      <c r="BZ41" s="92">
        <f t="shared" si="19"/>
        <v>2.5126530612244902</v>
      </c>
      <c r="CA41" s="92">
        <f t="shared" si="19"/>
        <v>3.1057361216091381</v>
      </c>
      <c r="CB41" s="92">
        <f t="shared" si="19"/>
        <v>4.146539010665995</v>
      </c>
      <c r="CC41" s="92">
        <f t="shared" si="19"/>
        <v>6.4189199630469487</v>
      </c>
      <c r="CD41" s="92">
        <f t="shared" si="19"/>
        <v>8.2900377928949371</v>
      </c>
      <c r="CE41" s="92">
        <f t="shared" si="19"/>
        <v>10.0082304526749</v>
      </c>
      <c r="CF41" s="92">
        <f t="shared" si="19"/>
        <v>13.501987066431518</v>
      </c>
      <c r="CG41" s="92" t="str">
        <f t="shared" si="18"/>
        <v/>
      </c>
      <c r="CH41" s="92" t="str">
        <f t="shared" si="18"/>
        <v/>
      </c>
      <c r="CI41" s="92" t="str">
        <f t="shared" si="18"/>
        <v/>
      </c>
      <c r="CJ41" s="92" t="str">
        <f t="shared" si="18"/>
        <v/>
      </c>
      <c r="CK41" s="92" t="str">
        <f t="shared" si="18"/>
        <v/>
      </c>
      <c r="CL41" s="92" t="str">
        <f t="shared" si="18"/>
        <v/>
      </c>
      <c r="CM41" s="92" t="str">
        <f t="shared" si="18"/>
        <v/>
      </c>
      <c r="CN41" s="92" t="str">
        <f t="shared" si="18"/>
        <v/>
      </c>
      <c r="CO41" s="92" t="str">
        <f t="shared" si="18"/>
        <v/>
      </c>
      <c r="CP41" s="92" t="str">
        <f t="shared" si="18"/>
        <v/>
      </c>
      <c r="CQ41" s="92" t="str">
        <f t="shared" si="18"/>
        <v/>
      </c>
      <c r="CR41" s="92" t="str">
        <f t="shared" si="18"/>
        <v/>
      </c>
      <c r="CS41" s="92" t="str">
        <f t="shared" si="18"/>
        <v/>
      </c>
      <c r="CT41" s="92" t="str">
        <f t="shared" si="18"/>
        <v/>
      </c>
      <c r="CU41" s="92" t="str">
        <f t="shared" si="17"/>
        <v/>
      </c>
      <c r="CV41" s="92" t="str">
        <f t="shared" si="17"/>
        <v/>
      </c>
      <c r="CW41" s="92" t="str">
        <f t="shared" si="14"/>
        <v/>
      </c>
      <c r="CX41" s="92" t="str">
        <f t="shared" si="14"/>
        <v/>
      </c>
      <c r="CY41" s="92" t="str">
        <f t="shared" si="14"/>
        <v/>
      </c>
      <c r="CZ41" s="92" t="str">
        <f t="shared" si="14"/>
        <v/>
      </c>
      <c r="DA41" s="92" t="str">
        <f t="shared" si="16"/>
        <v/>
      </c>
      <c r="DB41" s="92" t="str">
        <f t="shared" si="16"/>
        <v/>
      </c>
      <c r="DC41" s="92" t="str">
        <f t="shared" si="16"/>
        <v/>
      </c>
      <c r="DD41" s="92" t="str">
        <f t="shared" si="16"/>
        <v/>
      </c>
      <c r="DE41" s="92" t="str">
        <f t="shared" si="16"/>
        <v/>
      </c>
      <c r="DF41" s="92" t="str">
        <f t="shared" si="16"/>
        <v/>
      </c>
      <c r="DG41" s="92" t="str">
        <f t="shared" si="16"/>
        <v/>
      </c>
      <c r="DH41" s="92" t="str">
        <f t="shared" si="16"/>
        <v/>
      </c>
      <c r="DI41" s="92" t="str">
        <f t="shared" si="16"/>
        <v/>
      </c>
    </row>
    <row r="42" spans="1:113">
      <c r="A42" s="41">
        <v>975074</v>
      </c>
      <c r="B42" s="1">
        <v>83</v>
      </c>
      <c r="C42" s="29" t="str">
        <f t="shared" si="4"/>
        <v>975074-83</v>
      </c>
      <c r="D42" s="28" t="s">
        <v>80</v>
      </c>
      <c r="E42" s="37" t="s">
        <v>90</v>
      </c>
      <c r="F42" s="31">
        <v>42458</v>
      </c>
      <c r="G42" s="38"/>
      <c r="H42" s="31">
        <v>42468</v>
      </c>
      <c r="I42" s="38">
        <v>32.200000000000003</v>
      </c>
      <c r="J42" s="165"/>
      <c r="K42" s="38">
        <v>7.8</v>
      </c>
      <c r="L42" s="38">
        <v>6</v>
      </c>
      <c r="M42" s="38">
        <f t="shared" si="5"/>
        <v>146.01600000000002</v>
      </c>
      <c r="N42" s="118">
        <f>8.76*1000/850</f>
        <v>10.305882352941177</v>
      </c>
      <c r="O42" s="38">
        <f>M42*10/3</f>
        <v>486.72000000000008</v>
      </c>
      <c r="P42" s="32">
        <f t="shared" si="6"/>
        <v>48.672000000000004</v>
      </c>
      <c r="Q42" s="38">
        <v>454</v>
      </c>
      <c r="R42" s="160">
        <f>Q42/O42</f>
        <v>0.93277449046679795</v>
      </c>
      <c r="S42" s="236">
        <f t="shared" si="7"/>
        <v>3.1092483015559935</v>
      </c>
      <c r="T42" s="237">
        <v>0</v>
      </c>
      <c r="U42" s="236">
        <f t="shared" si="12"/>
        <v>0</v>
      </c>
      <c r="V42" s="238">
        <f t="shared" si="11"/>
        <v>0</v>
      </c>
      <c r="W42" s="33"/>
      <c r="X42" s="138"/>
      <c r="Y42" s="87">
        <v>48.073999999999998</v>
      </c>
      <c r="Z42" s="93">
        <f>6.9*5*5*0.52</f>
        <v>89.7</v>
      </c>
      <c r="AA42" s="93">
        <v>146.01600000000002</v>
      </c>
      <c r="AB42" s="93">
        <f>7.9*5.8*5.8*0.52</f>
        <v>138.19311999999999</v>
      </c>
      <c r="AC42" s="93">
        <f>7.9*6.1*6.1*0.52</f>
        <v>152.85867999999996</v>
      </c>
      <c r="AD42" s="93">
        <f>8.8*5.7*5.7*0.52</f>
        <v>148.67424000000003</v>
      </c>
      <c r="AE42" s="93">
        <f>7*5.7*5.7*0.52</f>
        <v>118.26360000000001</v>
      </c>
      <c r="AF42" s="93">
        <f>7.7*5.9*5.9*0.52</f>
        <v>139.37924000000001</v>
      </c>
      <c r="AG42" s="93">
        <f>6.8*5.4*5.4*0.52</f>
        <v>103.10976000000001</v>
      </c>
      <c r="AH42" s="93">
        <f>7.5*5.8*5.8*0.52</f>
        <v>131.196</v>
      </c>
      <c r="AI42" s="93">
        <f>7.3*5.6*5.6*0.52</f>
        <v>119.04255999999999</v>
      </c>
      <c r="AJ42" s="93">
        <f>7.2*4.9*4.9*0.52</f>
        <v>89.893440000000012</v>
      </c>
      <c r="AK42" s="93">
        <f>7.2*5.7*5.7*0.52</f>
        <v>121.64256</v>
      </c>
      <c r="AL42" s="93">
        <f>7.3*5.7*5.7*0.52</f>
        <v>123.33204000000001</v>
      </c>
      <c r="AM42" s="93">
        <f>8*6.5*6.5*0.52</f>
        <v>175.76000000000002</v>
      </c>
      <c r="AN42" s="93">
        <f>7.8*6.6*6.6*0.52</f>
        <v>176.67936</v>
      </c>
      <c r="AO42" s="93">
        <f>9*7.1*7.1*0.52</f>
        <v>235.91879999999998</v>
      </c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2"/>
      <c r="BR42" s="92">
        <f t="shared" si="19"/>
        <v>0.3292378917378917</v>
      </c>
      <c r="BS42" s="92">
        <f t="shared" si="19"/>
        <v>0.61431623931623924</v>
      </c>
      <c r="BT42" s="92">
        <f t="shared" si="19"/>
        <v>1</v>
      </c>
      <c r="BU42" s="92">
        <f t="shared" si="19"/>
        <v>0.9464245014245013</v>
      </c>
      <c r="BV42" s="92">
        <f t="shared" si="19"/>
        <v>1.0468625356125352</v>
      </c>
      <c r="BW42" s="92">
        <f t="shared" si="19"/>
        <v>1.0182051282051283</v>
      </c>
      <c r="BX42" s="92">
        <f t="shared" si="19"/>
        <v>0.80993589743589745</v>
      </c>
      <c r="BY42" s="92">
        <f t="shared" si="19"/>
        <v>0.95454772079772077</v>
      </c>
      <c r="BZ42" s="92">
        <f t="shared" si="19"/>
        <v>0.70615384615384613</v>
      </c>
      <c r="CA42" s="92">
        <f t="shared" si="19"/>
        <v>0.89850427350427342</v>
      </c>
      <c r="CB42" s="92">
        <f t="shared" si="19"/>
        <v>0.81527065527065512</v>
      </c>
      <c r="CC42" s="92">
        <f t="shared" si="19"/>
        <v>0.61564102564102563</v>
      </c>
      <c r="CD42" s="92">
        <f t="shared" si="19"/>
        <v>0.83307692307692294</v>
      </c>
      <c r="CE42" s="92">
        <f t="shared" si="19"/>
        <v>0.84464743589743585</v>
      </c>
      <c r="CF42" s="92">
        <f t="shared" si="19"/>
        <v>1.2037037037037037</v>
      </c>
      <c r="CG42" s="92">
        <f t="shared" si="18"/>
        <v>1.21</v>
      </c>
      <c r="CH42" s="92">
        <f t="shared" si="18"/>
        <v>1.6157051282051278</v>
      </c>
      <c r="CI42" s="92" t="str">
        <f t="shared" si="18"/>
        <v/>
      </c>
      <c r="CJ42" s="92" t="str">
        <f t="shared" si="18"/>
        <v/>
      </c>
      <c r="CK42" s="92" t="str">
        <f t="shared" si="18"/>
        <v/>
      </c>
      <c r="CL42" s="92" t="str">
        <f t="shared" si="18"/>
        <v/>
      </c>
      <c r="CM42" s="92" t="str">
        <f t="shared" si="18"/>
        <v/>
      </c>
      <c r="CN42" s="92" t="str">
        <f t="shared" si="18"/>
        <v/>
      </c>
      <c r="CO42" s="92" t="str">
        <f t="shared" si="18"/>
        <v/>
      </c>
      <c r="CP42" s="92" t="str">
        <f t="shared" si="18"/>
        <v/>
      </c>
      <c r="CQ42" s="92" t="str">
        <f t="shared" si="18"/>
        <v/>
      </c>
      <c r="CR42" s="92" t="str">
        <f t="shared" si="18"/>
        <v/>
      </c>
      <c r="CS42" s="92" t="str">
        <f t="shared" si="18"/>
        <v/>
      </c>
      <c r="CT42" s="92" t="str">
        <f t="shared" si="18"/>
        <v/>
      </c>
      <c r="CU42" s="92" t="str">
        <f t="shared" si="17"/>
        <v/>
      </c>
      <c r="CV42" s="92" t="str">
        <f t="shared" si="17"/>
        <v/>
      </c>
      <c r="CW42" s="92" t="str">
        <f t="shared" si="14"/>
        <v/>
      </c>
      <c r="CX42" s="92" t="str">
        <f t="shared" si="14"/>
        <v/>
      </c>
      <c r="CY42" s="92" t="str">
        <f t="shared" si="14"/>
        <v/>
      </c>
      <c r="CZ42" s="92" t="str">
        <f t="shared" si="14"/>
        <v/>
      </c>
      <c r="DA42" s="92" t="str">
        <f t="shared" si="16"/>
        <v/>
      </c>
      <c r="DB42" s="92" t="str">
        <f t="shared" si="16"/>
        <v/>
      </c>
      <c r="DC42" s="92" t="str">
        <f t="shared" si="16"/>
        <v/>
      </c>
      <c r="DD42" s="92" t="str">
        <f t="shared" si="16"/>
        <v/>
      </c>
      <c r="DE42" s="92" t="str">
        <f t="shared" si="16"/>
        <v/>
      </c>
      <c r="DF42" s="92" t="str">
        <f t="shared" si="16"/>
        <v/>
      </c>
      <c r="DG42" s="92" t="str">
        <f t="shared" si="16"/>
        <v/>
      </c>
      <c r="DH42" s="92" t="str">
        <f t="shared" si="16"/>
        <v/>
      </c>
      <c r="DI42" s="92" t="str">
        <f t="shared" si="16"/>
        <v/>
      </c>
    </row>
    <row r="43" spans="1:113">
      <c r="A43" s="41">
        <v>975074</v>
      </c>
      <c r="B43" s="1">
        <v>84</v>
      </c>
      <c r="C43" s="29" t="str">
        <f t="shared" si="4"/>
        <v>975074-84</v>
      </c>
      <c r="D43" s="28" t="s">
        <v>80</v>
      </c>
      <c r="E43" s="37" t="s">
        <v>86</v>
      </c>
      <c r="F43" s="31">
        <v>42458</v>
      </c>
      <c r="G43" s="38"/>
      <c r="H43" s="31">
        <v>42468</v>
      </c>
      <c r="I43" s="38">
        <v>27.2</v>
      </c>
      <c r="J43" s="165"/>
      <c r="K43" s="38">
        <v>7.6</v>
      </c>
      <c r="L43" s="38">
        <v>5.9</v>
      </c>
      <c r="M43" s="38">
        <f t="shared" si="5"/>
        <v>137.56912</v>
      </c>
      <c r="N43" s="118">
        <f>5.71/560*1000</f>
        <v>10.196428571428571</v>
      </c>
      <c r="O43" s="38">
        <f>M43*10/3</f>
        <v>458.56373333333335</v>
      </c>
      <c r="P43" s="32">
        <f t="shared" si="6"/>
        <v>45.85637333333333</v>
      </c>
      <c r="Q43" s="38">
        <v>413</v>
      </c>
      <c r="R43" s="160">
        <f>Q43/O43</f>
        <v>0.90063816647224315</v>
      </c>
      <c r="S43" s="236">
        <f t="shared" si="7"/>
        <v>3.0021272215741441</v>
      </c>
      <c r="T43" s="237">
        <v>242</v>
      </c>
      <c r="U43" s="236">
        <f t="shared" si="12"/>
        <v>22.242647058823529</v>
      </c>
      <c r="V43" s="238">
        <f t="shared" si="11"/>
        <v>4.3977892713132132</v>
      </c>
      <c r="W43" s="33"/>
      <c r="X43" s="138"/>
      <c r="Y43" s="87">
        <v>89.989120000000028</v>
      </c>
      <c r="Z43" s="93">
        <f>6.4*5*5*0.52</f>
        <v>83.2</v>
      </c>
      <c r="AA43" s="93">
        <v>137.56912</v>
      </c>
      <c r="AB43" s="93">
        <f>8.2*6.9*6.9*0.52</f>
        <v>203.00904</v>
      </c>
      <c r="AC43" s="93">
        <f>8.3*6.7*6.7*0.52</f>
        <v>193.74524000000002</v>
      </c>
      <c r="AD43" s="93">
        <f>7*6.7*6.7*0.52</f>
        <v>163.39960000000002</v>
      </c>
      <c r="AE43" s="93">
        <f>7.3*6.4*6.4*0.52</f>
        <v>155.48416</v>
      </c>
      <c r="AF43" s="93">
        <f>8*6.6*6.6*0.52</f>
        <v>181.20959999999999</v>
      </c>
      <c r="AG43" s="93">
        <f>7.9*6.2*6.2*0.52</f>
        <v>157.91152000000002</v>
      </c>
      <c r="AH43" s="93">
        <f>7.9*6.7*6.7*0.52</f>
        <v>184.40812000000003</v>
      </c>
      <c r="AI43" s="93">
        <f>8.7*7*7*0.52</f>
        <v>221.67599999999999</v>
      </c>
      <c r="AJ43" s="93">
        <f>8*7.5*7.5*0.52</f>
        <v>234</v>
      </c>
      <c r="AK43" s="93">
        <f>8.9*7.7*7.7*0.52</f>
        <v>274.39412000000004</v>
      </c>
      <c r="AL43" s="93">
        <f>8.4*8*8*0.52</f>
        <v>279.55200000000002</v>
      </c>
      <c r="AM43" s="93">
        <f>9.9*9*9*0.52</f>
        <v>416.98800000000006</v>
      </c>
      <c r="AN43" s="93">
        <f>9.6*9.1*9.1*0.52</f>
        <v>413.38751999999999</v>
      </c>
      <c r="AO43" s="93">
        <f>10.3*9.9*9.9*0.52</f>
        <v>524.94156000000009</v>
      </c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2"/>
      <c r="BR43" s="92">
        <f t="shared" si="19"/>
        <v>0.65413749829903711</v>
      </c>
      <c r="BS43" s="92">
        <f t="shared" si="19"/>
        <v>0.60478688822026339</v>
      </c>
      <c r="BT43" s="92">
        <f t="shared" si="19"/>
        <v>1</v>
      </c>
      <c r="BU43" s="92">
        <f t="shared" si="19"/>
        <v>1.4756875670935454</v>
      </c>
      <c r="BV43" s="92">
        <f t="shared" si="19"/>
        <v>1.4083483270082706</v>
      </c>
      <c r="BW43" s="92">
        <f t="shared" si="19"/>
        <v>1.1877636492840837</v>
      </c>
      <c r="BX43" s="92">
        <f t="shared" si="19"/>
        <v>1.1302257367060282</v>
      </c>
      <c r="BY43" s="92">
        <f t="shared" si="19"/>
        <v>1.3172258425437335</v>
      </c>
      <c r="BZ43" s="92">
        <f t="shared" si="19"/>
        <v>1.1478703941698545</v>
      </c>
      <c r="CA43" s="92">
        <f t="shared" si="19"/>
        <v>1.3404761184777516</v>
      </c>
      <c r="CB43" s="92">
        <f t="shared" si="19"/>
        <v>1.6113790653018643</v>
      </c>
      <c r="CC43" s="92">
        <f t="shared" si="19"/>
        <v>1.7009631231194908</v>
      </c>
      <c r="CD43" s="92">
        <f t="shared" si="19"/>
        <v>1.9945909372684805</v>
      </c>
      <c r="CE43" s="92">
        <f t="shared" si="19"/>
        <v>2.0320839444200853</v>
      </c>
      <c r="CF43" s="92">
        <f t="shared" si="19"/>
        <v>3.0311162853989329</v>
      </c>
      <c r="CG43" s="92">
        <f t="shared" si="18"/>
        <v>3.0049441328112008</v>
      </c>
      <c r="CH43" s="92">
        <f t="shared" si="18"/>
        <v>3.815838612618879</v>
      </c>
      <c r="CI43" s="92" t="str">
        <f t="shared" si="18"/>
        <v/>
      </c>
      <c r="CJ43" s="92" t="str">
        <f t="shared" si="18"/>
        <v/>
      </c>
      <c r="CK43" s="92" t="str">
        <f t="shared" si="18"/>
        <v/>
      </c>
      <c r="CL43" s="92" t="str">
        <f t="shared" si="18"/>
        <v/>
      </c>
      <c r="CM43" s="92" t="str">
        <f t="shared" si="18"/>
        <v/>
      </c>
      <c r="CN43" s="92" t="str">
        <f t="shared" si="18"/>
        <v/>
      </c>
      <c r="CO43" s="92" t="str">
        <f t="shared" si="18"/>
        <v/>
      </c>
      <c r="CP43" s="92" t="str">
        <f t="shared" si="18"/>
        <v/>
      </c>
      <c r="CQ43" s="92" t="str">
        <f t="shared" si="18"/>
        <v/>
      </c>
      <c r="CR43" s="92" t="str">
        <f t="shared" si="18"/>
        <v/>
      </c>
      <c r="CS43" s="92" t="str">
        <f t="shared" si="18"/>
        <v/>
      </c>
      <c r="CT43" s="92" t="str">
        <f t="shared" si="18"/>
        <v/>
      </c>
      <c r="CU43" s="92" t="str">
        <f t="shared" si="17"/>
        <v/>
      </c>
      <c r="CV43" s="92" t="str">
        <f t="shared" si="17"/>
        <v/>
      </c>
      <c r="CW43" s="92" t="str">
        <f t="shared" si="14"/>
        <v/>
      </c>
      <c r="CX43" s="92" t="str">
        <f t="shared" si="14"/>
        <v/>
      </c>
      <c r="CY43" s="92" t="str">
        <f t="shared" si="14"/>
        <v/>
      </c>
      <c r="CZ43" s="92" t="str">
        <f t="shared" si="14"/>
        <v/>
      </c>
      <c r="DA43" s="92" t="str">
        <f t="shared" si="16"/>
        <v/>
      </c>
      <c r="DB43" s="92" t="str">
        <f t="shared" si="16"/>
        <v/>
      </c>
      <c r="DC43" s="92" t="str">
        <f t="shared" si="16"/>
        <v/>
      </c>
      <c r="DD43" s="92" t="str">
        <f t="shared" si="16"/>
        <v/>
      </c>
      <c r="DE43" s="92" t="str">
        <f t="shared" si="16"/>
        <v/>
      </c>
      <c r="DF43" s="92" t="str">
        <f t="shared" si="16"/>
        <v/>
      </c>
      <c r="DG43" s="92" t="str">
        <f t="shared" si="16"/>
        <v/>
      </c>
      <c r="DH43" s="92" t="str">
        <f t="shared" si="16"/>
        <v/>
      </c>
      <c r="DI43" s="92" t="str">
        <f t="shared" si="16"/>
        <v/>
      </c>
    </row>
    <row r="44" spans="1:113">
      <c r="A44" s="41">
        <v>975074</v>
      </c>
      <c r="B44" s="1">
        <v>85</v>
      </c>
      <c r="C44" s="29" t="str">
        <f t="shared" si="4"/>
        <v>975074-85</v>
      </c>
      <c r="D44" s="28" t="s">
        <v>80</v>
      </c>
      <c r="E44" s="30" t="s">
        <v>34</v>
      </c>
      <c r="F44" s="31">
        <v>42458</v>
      </c>
      <c r="G44" s="38"/>
      <c r="H44" s="31">
        <v>42468</v>
      </c>
      <c r="I44" s="38">
        <v>31.4</v>
      </c>
      <c r="J44" s="165"/>
      <c r="K44" s="38">
        <v>7.2</v>
      </c>
      <c r="L44" s="38">
        <v>5.8</v>
      </c>
      <c r="M44" s="38">
        <f t="shared" si="5"/>
        <v>125.94816</v>
      </c>
      <c r="N44" s="118"/>
      <c r="O44" s="38"/>
      <c r="P44" s="32">
        <f t="shared" si="6"/>
        <v>41.98272</v>
      </c>
      <c r="Q44" s="38"/>
      <c r="R44" s="160"/>
      <c r="S44" s="236">
        <f t="shared" si="7"/>
        <v>0</v>
      </c>
      <c r="T44" s="237">
        <v>0</v>
      </c>
      <c r="U44" s="236">
        <f t="shared" si="12"/>
        <v>0</v>
      </c>
      <c r="V44" s="238">
        <f t="shared" si="11"/>
        <v>0</v>
      </c>
      <c r="W44" s="33"/>
      <c r="X44" s="138"/>
      <c r="Y44" s="87">
        <v>38.441520000000011</v>
      </c>
      <c r="Z44" s="93">
        <f>9.4*5*5*0.52</f>
        <v>122.2</v>
      </c>
      <c r="AA44" s="93">
        <v>125.94816</v>
      </c>
      <c r="AB44" s="93">
        <f>8.1*6.2*6.2*0.52</f>
        <v>161.90928</v>
      </c>
      <c r="AC44" s="93">
        <f>8.4*5.4*5.4*0.52</f>
        <v>127.37088000000003</v>
      </c>
      <c r="AD44" s="93">
        <f>9.8*6.4*6.4*0.52</f>
        <v>208.73216000000005</v>
      </c>
      <c r="AE44" s="93">
        <f>10.2*7*7*0.52</f>
        <v>259.89599999999996</v>
      </c>
      <c r="AF44" s="93">
        <f>11.8*7.9*7.9*0.52</f>
        <v>382.94776000000007</v>
      </c>
      <c r="AG44" s="93">
        <f>12.5*7.7*7.7*0.52</f>
        <v>385.38499999999999</v>
      </c>
      <c r="AH44" s="93">
        <f>13.6*8.6*8.6*0.52</f>
        <v>523.04512</v>
      </c>
      <c r="AI44" s="93">
        <f>15.2*8.6*8.6*0.52</f>
        <v>584.57983999999999</v>
      </c>
      <c r="AJ44" s="93">
        <f>16.6*10.3*10.3*0.52</f>
        <v>915.76888000000019</v>
      </c>
      <c r="AK44" s="93">
        <f>16.8*10.5*10.5*0.52</f>
        <v>963.14400000000001</v>
      </c>
      <c r="AL44" s="93">
        <f>16.6*11.5*11.5*0.52</f>
        <v>1141.5819999999999</v>
      </c>
      <c r="AM44" s="93">
        <f>19.5*12.2*12.2*0.52</f>
        <v>1509.2375999999999</v>
      </c>
      <c r="AN44" s="93">
        <f>19.4*13.9*13.9*0.52</f>
        <v>1949.1024799999998</v>
      </c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2"/>
      <c r="BR44" s="92">
        <f t="shared" si="19"/>
        <v>0.30521700356718201</v>
      </c>
      <c r="BS44" s="92">
        <f t="shared" si="19"/>
        <v>0.97024045448540097</v>
      </c>
      <c r="BT44" s="92">
        <f t="shared" si="19"/>
        <v>1</v>
      </c>
      <c r="BU44" s="92">
        <f t="shared" si="19"/>
        <v>1.2855231866825207</v>
      </c>
      <c r="BV44" s="92">
        <f t="shared" si="19"/>
        <v>1.0112960760998813</v>
      </c>
      <c r="BW44" s="92">
        <f t="shared" si="19"/>
        <v>1.6572862993790465</v>
      </c>
      <c r="BX44" s="92">
        <f t="shared" si="19"/>
        <v>2.0635156559651207</v>
      </c>
      <c r="BY44" s="92">
        <f t="shared" si="19"/>
        <v>3.0405188928524249</v>
      </c>
      <c r="BZ44" s="92">
        <f t="shared" si="19"/>
        <v>3.0598700290659266</v>
      </c>
      <c r="CA44" s="92">
        <f t="shared" si="19"/>
        <v>4.1528603514334783</v>
      </c>
      <c r="CB44" s="92">
        <f t="shared" si="19"/>
        <v>4.6414321574844761</v>
      </c>
      <c r="CC44" s="92">
        <f t="shared" si="19"/>
        <v>7.270998480644737</v>
      </c>
      <c r="CD44" s="92">
        <f t="shared" si="19"/>
        <v>7.6471462544589777</v>
      </c>
      <c r="CE44" s="92">
        <f t="shared" si="19"/>
        <v>9.0639037521469135</v>
      </c>
      <c r="CF44" s="92">
        <f t="shared" si="19"/>
        <v>11.983006341656758</v>
      </c>
      <c r="CG44" s="92">
        <f t="shared" si="18"/>
        <v>15.475434337428984</v>
      </c>
      <c r="CH44" s="92" t="str">
        <f t="shared" si="18"/>
        <v/>
      </c>
      <c r="CI44" s="92" t="str">
        <f t="shared" si="18"/>
        <v/>
      </c>
      <c r="CJ44" s="92" t="str">
        <f t="shared" si="18"/>
        <v/>
      </c>
      <c r="CK44" s="92" t="str">
        <f t="shared" si="18"/>
        <v/>
      </c>
      <c r="CL44" s="92" t="str">
        <f t="shared" si="18"/>
        <v/>
      </c>
      <c r="CM44" s="92" t="str">
        <f t="shared" si="18"/>
        <v/>
      </c>
      <c r="CN44" s="92" t="str">
        <f t="shared" si="18"/>
        <v/>
      </c>
      <c r="CO44" s="92" t="str">
        <f t="shared" si="18"/>
        <v/>
      </c>
      <c r="CP44" s="92" t="str">
        <f t="shared" si="18"/>
        <v/>
      </c>
      <c r="CQ44" s="92" t="str">
        <f t="shared" si="18"/>
        <v/>
      </c>
      <c r="CR44" s="92" t="str">
        <f t="shared" si="18"/>
        <v/>
      </c>
      <c r="CS44" s="92" t="str">
        <f t="shared" si="18"/>
        <v/>
      </c>
      <c r="CT44" s="92" t="str">
        <f t="shared" si="18"/>
        <v/>
      </c>
      <c r="CU44" s="92" t="str">
        <f t="shared" si="17"/>
        <v/>
      </c>
      <c r="CV44" s="92" t="str">
        <f t="shared" si="17"/>
        <v/>
      </c>
      <c r="CW44" s="92" t="str">
        <f t="shared" si="14"/>
        <v/>
      </c>
      <c r="CX44" s="92" t="str">
        <f t="shared" si="14"/>
        <v/>
      </c>
      <c r="CY44" s="92" t="str">
        <f t="shared" si="14"/>
        <v/>
      </c>
      <c r="CZ44" s="92" t="str">
        <f t="shared" si="14"/>
        <v/>
      </c>
      <c r="DA44" s="92" t="str">
        <f t="shared" si="16"/>
        <v/>
      </c>
      <c r="DB44" s="92" t="str">
        <f t="shared" si="16"/>
        <v/>
      </c>
      <c r="DC44" s="92" t="str">
        <f t="shared" si="16"/>
        <v/>
      </c>
      <c r="DD44" s="92" t="str">
        <f t="shared" si="16"/>
        <v/>
      </c>
      <c r="DE44" s="92" t="str">
        <f t="shared" si="16"/>
        <v/>
      </c>
      <c r="DF44" s="92" t="str">
        <f t="shared" si="16"/>
        <v/>
      </c>
      <c r="DG44" s="92" t="str">
        <f t="shared" si="16"/>
        <v/>
      </c>
      <c r="DH44" s="92" t="str">
        <f t="shared" si="16"/>
        <v/>
      </c>
      <c r="DI44" s="92" t="str">
        <f t="shared" si="16"/>
        <v/>
      </c>
    </row>
    <row r="45" spans="1:113">
      <c r="A45" s="41">
        <v>975073</v>
      </c>
      <c r="B45" s="1">
        <v>91</v>
      </c>
      <c r="C45" s="29" t="str">
        <f t="shared" si="4"/>
        <v>975073-91</v>
      </c>
      <c r="D45" s="28" t="s">
        <v>80</v>
      </c>
      <c r="E45" s="37" t="s">
        <v>82</v>
      </c>
      <c r="F45" s="31">
        <v>42458</v>
      </c>
      <c r="G45" s="38"/>
      <c r="H45" s="31">
        <v>42468</v>
      </c>
      <c r="I45" s="38">
        <v>29.1</v>
      </c>
      <c r="J45" s="165"/>
      <c r="K45" s="38">
        <v>7.8</v>
      </c>
      <c r="L45" s="38">
        <v>6.4</v>
      </c>
      <c r="M45" s="38">
        <f t="shared" si="5"/>
        <v>166.13376000000002</v>
      </c>
      <c r="N45" s="118">
        <f>5.71/560*1000</f>
        <v>10.196428571428571</v>
      </c>
      <c r="O45" s="38">
        <f>M45*10/3</f>
        <v>553.77920000000006</v>
      </c>
      <c r="P45" s="32">
        <f t="shared" si="6"/>
        <v>55.37792000000001</v>
      </c>
      <c r="Q45" s="38">
        <v>581</v>
      </c>
      <c r="R45" s="160">
        <f>Q45/O45</f>
        <v>1.0491546089127217</v>
      </c>
      <c r="S45" s="236">
        <f t="shared" si="7"/>
        <v>3.4971820297090725</v>
      </c>
      <c r="T45" s="237">
        <v>258.89999999999998</v>
      </c>
      <c r="U45" s="236">
        <f t="shared" si="12"/>
        <v>22.242268041237107</v>
      </c>
      <c r="V45" s="238">
        <f t="shared" si="11"/>
        <v>3.8959570890347619</v>
      </c>
      <c r="W45" s="33"/>
      <c r="X45" s="138"/>
      <c r="Y45" s="87">
        <v>68.219839999999991</v>
      </c>
      <c r="Z45" s="93">
        <f>6.5*6.3*6.3*0.52</f>
        <v>134.15219999999999</v>
      </c>
      <c r="AA45" s="93">
        <v>166.13376000000002</v>
      </c>
      <c r="AB45" s="93">
        <f>9.6*7.5*7.5*0.52</f>
        <v>280.8</v>
      </c>
      <c r="AC45" s="93">
        <f>8.5*7*7*0.52</f>
        <v>216.58</v>
      </c>
      <c r="AD45" s="93">
        <f>8.4*6.7*6.7*0.52</f>
        <v>196.07952000000003</v>
      </c>
      <c r="AE45" s="93">
        <f>7.7*6.3*6.3*0.52</f>
        <v>158.91875999999999</v>
      </c>
      <c r="AF45" s="93">
        <f>9.4*6.6*6.6*0.52</f>
        <v>212.92128</v>
      </c>
      <c r="AG45" s="93">
        <f>10.8*7.4*7.4*0.52</f>
        <v>307.53216000000009</v>
      </c>
      <c r="AH45" s="93">
        <f>8.7*7.3*7.3*0.52</f>
        <v>241.08395999999996</v>
      </c>
      <c r="AI45" s="93">
        <f>7.7*6.6*6.6*0.52</f>
        <v>174.41424000000001</v>
      </c>
      <c r="AJ45" s="93">
        <f>9.2*7.6*7.6*0.52</f>
        <v>276.3238399999999</v>
      </c>
      <c r="AK45" s="93">
        <f>8.8*7.2*7.2*0.52</f>
        <v>237.21984000000003</v>
      </c>
      <c r="AL45" s="93">
        <f>9.5*8.1*8.1*0.52</f>
        <v>324.11340000000001</v>
      </c>
      <c r="AM45" s="93">
        <f>11.3*9.2*9.2*0.52</f>
        <v>497.34463999999997</v>
      </c>
      <c r="AN45" s="93">
        <f>11.9*9.7*9.7*0.52</f>
        <v>582.2289199999999</v>
      </c>
      <c r="AO45" s="93">
        <f>12.1*9.7*9.7*0.52</f>
        <v>592.01427999999987</v>
      </c>
      <c r="AP45" s="93">
        <f>13.5*10.5*10.5*0.52</f>
        <v>773.95500000000004</v>
      </c>
      <c r="AQ45" s="93">
        <f>13.8*11*11*0.52</f>
        <v>868.29600000000016</v>
      </c>
      <c r="AR45" s="93">
        <f>13.2*9.7*9.7*0.52</f>
        <v>645.83375999999998</v>
      </c>
      <c r="AS45" s="93">
        <f>15.1*11.6*11.6*0.52</f>
        <v>1056.56512</v>
      </c>
      <c r="AT45" s="93">
        <f>16.1*11.9*11.9*0.52</f>
        <v>1185.5589200000002</v>
      </c>
      <c r="AU45" s="93">
        <f>15.9*13.7*13.7*0.52</f>
        <v>1551.8209199999999</v>
      </c>
      <c r="AV45" s="93">
        <f>17*13.7*13.7*0.52</f>
        <v>1659.1795999999999</v>
      </c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2"/>
      <c r="BR45" s="92">
        <f t="shared" si="19"/>
        <v>0.41063201121794862</v>
      </c>
      <c r="BS45" s="92">
        <f t="shared" si="19"/>
        <v>0.80749511718749989</v>
      </c>
      <c r="BT45" s="92">
        <f t="shared" si="19"/>
        <v>1</v>
      </c>
      <c r="BU45" s="92">
        <f t="shared" si="19"/>
        <v>1.6902043269230766</v>
      </c>
      <c r="BV45" s="92">
        <f t="shared" si="19"/>
        <v>1.3036483373397434</v>
      </c>
      <c r="BW45" s="92">
        <f t="shared" si="19"/>
        <v>1.1802509014423077</v>
      </c>
      <c r="BX45" s="92">
        <f t="shared" si="19"/>
        <v>0.9565711388221152</v>
      </c>
      <c r="BY45" s="92">
        <f t="shared" si="19"/>
        <v>1.2816256009615383</v>
      </c>
      <c r="BZ45" s="92">
        <f t="shared" si="19"/>
        <v>1.8511117788461542</v>
      </c>
      <c r="CA45" s="92">
        <f t="shared" si="19"/>
        <v>1.4511437049278841</v>
      </c>
      <c r="CB45" s="92">
        <f t="shared" si="19"/>
        <v>1.0498422475961537</v>
      </c>
      <c r="CC45" s="92">
        <f t="shared" si="19"/>
        <v>1.6632612179487172</v>
      </c>
      <c r="CD45" s="92">
        <f t="shared" si="19"/>
        <v>1.4278846153846154</v>
      </c>
      <c r="CE45" s="92">
        <f t="shared" si="19"/>
        <v>1.9509183443509612</v>
      </c>
      <c r="CF45" s="92">
        <f t="shared" si="19"/>
        <v>2.993639823717948</v>
      </c>
      <c r="CG45" s="92">
        <f t="shared" si="18"/>
        <v>3.5045792017227555</v>
      </c>
      <c r="CH45" s="92">
        <f t="shared" si="18"/>
        <v>3.5634796925080114</v>
      </c>
      <c r="CI45" s="92">
        <f t="shared" si="18"/>
        <v>4.6586256760817299</v>
      </c>
      <c r="CJ45" s="92">
        <f t="shared" si="18"/>
        <v>5.2264873798076925</v>
      </c>
      <c r="CK45" s="92">
        <f t="shared" si="18"/>
        <v>3.8874323918269225</v>
      </c>
      <c r="CL45" s="92">
        <f t="shared" si="18"/>
        <v>6.3597255608974352</v>
      </c>
      <c r="CM45" s="92">
        <f t="shared" si="18"/>
        <v>7.1361709985977564</v>
      </c>
      <c r="CN45" s="92">
        <f t="shared" si="18"/>
        <v>9.3407921424278832</v>
      </c>
      <c r="CO45" s="92">
        <f t="shared" si="18"/>
        <v>9.9870104667467938</v>
      </c>
      <c r="CP45" s="92" t="str">
        <f t="shared" si="18"/>
        <v/>
      </c>
      <c r="CQ45" s="92" t="str">
        <f t="shared" si="18"/>
        <v/>
      </c>
      <c r="CR45" s="92" t="str">
        <f t="shared" si="18"/>
        <v/>
      </c>
      <c r="CS45" s="92" t="str">
        <f t="shared" si="18"/>
        <v/>
      </c>
      <c r="CT45" s="92" t="str">
        <f t="shared" si="18"/>
        <v/>
      </c>
      <c r="CU45" s="92" t="str">
        <f t="shared" si="17"/>
        <v/>
      </c>
      <c r="CV45" s="92" t="str">
        <f t="shared" si="17"/>
        <v/>
      </c>
      <c r="CW45" s="92" t="str">
        <f t="shared" si="14"/>
        <v/>
      </c>
      <c r="CX45" s="92" t="str">
        <f t="shared" si="14"/>
        <v/>
      </c>
      <c r="CY45" s="92" t="str">
        <f t="shared" si="14"/>
        <v/>
      </c>
      <c r="CZ45" s="92" t="str">
        <f t="shared" si="14"/>
        <v/>
      </c>
      <c r="DA45" s="92" t="str">
        <f t="shared" si="16"/>
        <v/>
      </c>
      <c r="DB45" s="92" t="str">
        <f t="shared" si="16"/>
        <v/>
      </c>
      <c r="DC45" s="92" t="str">
        <f t="shared" si="16"/>
        <v/>
      </c>
      <c r="DD45" s="92" t="str">
        <f t="shared" si="16"/>
        <v/>
      </c>
      <c r="DE45" s="92" t="str">
        <f t="shared" si="16"/>
        <v/>
      </c>
      <c r="DF45" s="92" t="str">
        <f t="shared" si="16"/>
        <v/>
      </c>
      <c r="DG45" s="92" t="str">
        <f t="shared" si="16"/>
        <v/>
      </c>
      <c r="DH45" s="92" t="str">
        <f t="shared" si="16"/>
        <v/>
      </c>
      <c r="DI45" s="92" t="str">
        <f t="shared" si="16"/>
        <v/>
      </c>
    </row>
    <row r="46" spans="1:113">
      <c r="A46" s="41">
        <v>975073</v>
      </c>
      <c r="B46" s="1">
        <v>92</v>
      </c>
      <c r="C46" s="29" t="str">
        <f t="shared" si="4"/>
        <v>975073-92</v>
      </c>
      <c r="D46" s="28" t="s">
        <v>80</v>
      </c>
      <c r="E46" s="37" t="s">
        <v>84</v>
      </c>
      <c r="F46" s="31">
        <v>42458</v>
      </c>
      <c r="G46" s="38"/>
      <c r="H46" s="31">
        <v>42468</v>
      </c>
      <c r="I46" s="38">
        <v>28</v>
      </c>
      <c r="J46" s="165"/>
      <c r="K46" s="38">
        <v>6.9</v>
      </c>
      <c r="L46" s="38">
        <v>6.1</v>
      </c>
      <c r="M46" s="38">
        <f t="shared" si="5"/>
        <v>133.50948</v>
      </c>
      <c r="N46" s="118"/>
      <c r="O46" s="38"/>
      <c r="P46" s="32">
        <f t="shared" si="6"/>
        <v>44.503160000000001</v>
      </c>
      <c r="Q46" s="38"/>
      <c r="R46" s="160"/>
      <c r="S46" s="236">
        <f t="shared" si="7"/>
        <v>0</v>
      </c>
      <c r="T46" s="237">
        <v>249</v>
      </c>
      <c r="U46" s="236">
        <f t="shared" si="12"/>
        <v>22.232142857142861</v>
      </c>
      <c r="V46" s="238">
        <f t="shared" si="11"/>
        <v>4.6625902520180595</v>
      </c>
      <c r="W46" s="33"/>
      <c r="X46" s="138"/>
      <c r="Y46" s="87">
        <v>62.028720000000014</v>
      </c>
      <c r="Z46" s="93">
        <f>5.6*5*5*0.52</f>
        <v>72.8</v>
      </c>
      <c r="AA46" s="93">
        <v>133.50948</v>
      </c>
      <c r="AB46" s="93">
        <f>6.2*6*6*0.52</f>
        <v>116.06400000000001</v>
      </c>
      <c r="AC46" s="93">
        <f>6.8*6*6*0.52</f>
        <v>127.29599999999999</v>
      </c>
      <c r="AD46" s="93">
        <f>7.2*6.4*6.4*0.52</f>
        <v>153.35424000000003</v>
      </c>
      <c r="AE46" s="93">
        <f>7.3*6.6*6.6*0.52</f>
        <v>165.35375999999999</v>
      </c>
      <c r="AF46" s="93">
        <f>9.5*7*7*0.52</f>
        <v>242.06</v>
      </c>
      <c r="AG46" s="93">
        <f>11*8*8*0.52</f>
        <v>366.08000000000004</v>
      </c>
      <c r="AH46" s="93">
        <f>12.5*11.3*11.3*0.52</f>
        <v>829.98500000000001</v>
      </c>
      <c r="AI46" s="93">
        <f>12.4*9.6*9.6*0.52</f>
        <v>594.24767999999995</v>
      </c>
      <c r="AJ46" s="93">
        <f>13.2*11.7*11.7*0.52</f>
        <v>939.61295999999982</v>
      </c>
      <c r="AK46" s="93">
        <f>15.9*14.1*14.1*0.52</f>
        <v>1643.76108</v>
      </c>
      <c r="AL46" s="93">
        <f>17.4*13.5*13.5*0.52</f>
        <v>1648.9979999999998</v>
      </c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2"/>
      <c r="BR46" s="92">
        <f t="shared" si="19"/>
        <v>0.464601614806679</v>
      </c>
      <c r="BS46" s="92">
        <f t="shared" si="19"/>
        <v>0.54527963107938104</v>
      </c>
      <c r="BT46" s="92">
        <f t="shared" si="19"/>
        <v>1</v>
      </c>
      <c r="BU46" s="92">
        <f t="shared" si="19"/>
        <v>0.86933152612084186</v>
      </c>
      <c r="BV46" s="92">
        <f t="shared" si="19"/>
        <v>0.95346038348737483</v>
      </c>
      <c r="BW46" s="92">
        <f t="shared" si="19"/>
        <v>1.1486393325777318</v>
      </c>
      <c r="BX46" s="92">
        <f t="shared" si="19"/>
        <v>1.2385169951976445</v>
      </c>
      <c r="BY46" s="92">
        <f t="shared" si="19"/>
        <v>1.8130547733389419</v>
      </c>
      <c r="BZ46" s="92">
        <f t="shared" si="19"/>
        <v>2.7419775734277452</v>
      </c>
      <c r="CA46" s="92">
        <f t="shared" si="19"/>
        <v>6.2166746511184074</v>
      </c>
      <c r="CB46" s="92">
        <f t="shared" si="19"/>
        <v>4.4509774137387099</v>
      </c>
      <c r="CC46" s="92">
        <f t="shared" si="19"/>
        <v>7.0377995629973231</v>
      </c>
      <c r="CD46" s="92">
        <f t="shared" si="19"/>
        <v>12.311942792376991</v>
      </c>
      <c r="CE46" s="92">
        <f t="shared" si="19"/>
        <v>12.351167872124135</v>
      </c>
      <c r="CF46" s="92" t="str">
        <f t="shared" si="19"/>
        <v/>
      </c>
      <c r="CG46" s="92" t="str">
        <f t="shared" si="18"/>
        <v/>
      </c>
      <c r="CH46" s="92" t="str">
        <f t="shared" si="18"/>
        <v/>
      </c>
      <c r="CI46" s="92" t="str">
        <f t="shared" si="18"/>
        <v/>
      </c>
      <c r="CJ46" s="92" t="str">
        <f t="shared" si="18"/>
        <v/>
      </c>
      <c r="CK46" s="92" t="str">
        <f t="shared" si="18"/>
        <v/>
      </c>
      <c r="CL46" s="92" t="str">
        <f t="shared" si="18"/>
        <v/>
      </c>
      <c r="CM46" s="92" t="str">
        <f t="shared" si="18"/>
        <v/>
      </c>
      <c r="CN46" s="92" t="str">
        <f t="shared" si="18"/>
        <v/>
      </c>
      <c r="CO46" s="92" t="str">
        <f t="shared" si="18"/>
        <v/>
      </c>
      <c r="CP46" s="92" t="str">
        <f t="shared" si="18"/>
        <v/>
      </c>
      <c r="CQ46" s="92" t="str">
        <f t="shared" si="18"/>
        <v/>
      </c>
      <c r="CR46" s="92" t="str">
        <f t="shared" si="18"/>
        <v/>
      </c>
      <c r="CS46" s="92" t="str">
        <f t="shared" si="18"/>
        <v/>
      </c>
      <c r="CT46" s="92" t="str">
        <f t="shared" si="18"/>
        <v/>
      </c>
      <c r="CU46" s="92" t="str">
        <f t="shared" si="17"/>
        <v/>
      </c>
      <c r="CV46" s="92" t="str">
        <f t="shared" si="17"/>
        <v/>
      </c>
      <c r="CW46" s="92" t="str">
        <f t="shared" si="14"/>
        <v/>
      </c>
      <c r="CX46" s="92" t="str">
        <f t="shared" si="14"/>
        <v/>
      </c>
      <c r="CY46" s="92" t="str">
        <f t="shared" si="14"/>
        <v/>
      </c>
      <c r="CZ46" s="92" t="str">
        <f t="shared" si="14"/>
        <v/>
      </c>
      <c r="DA46" s="92" t="str">
        <f t="shared" si="16"/>
        <v/>
      </c>
      <c r="DB46" s="92" t="str">
        <f t="shared" si="16"/>
        <v/>
      </c>
      <c r="DC46" s="92" t="str">
        <f t="shared" si="16"/>
        <v/>
      </c>
      <c r="DD46" s="92" t="str">
        <f t="shared" si="16"/>
        <v/>
      </c>
      <c r="DE46" s="92" t="str">
        <f t="shared" si="16"/>
        <v/>
      </c>
      <c r="DF46" s="92" t="str">
        <f t="shared" si="16"/>
        <v/>
      </c>
      <c r="DG46" s="92" t="str">
        <f t="shared" si="16"/>
        <v/>
      </c>
      <c r="DH46" s="92" t="str">
        <f t="shared" si="16"/>
        <v/>
      </c>
      <c r="DI46" s="92" t="str">
        <f t="shared" si="16"/>
        <v/>
      </c>
    </row>
    <row r="47" spans="1:113">
      <c r="A47" s="41">
        <v>975073</v>
      </c>
      <c r="B47" s="1">
        <v>93</v>
      </c>
      <c r="C47" s="29" t="str">
        <f t="shared" si="4"/>
        <v>975073-93</v>
      </c>
      <c r="D47" s="28" t="s">
        <v>80</v>
      </c>
      <c r="E47" s="37" t="s">
        <v>85</v>
      </c>
      <c r="F47" s="31">
        <v>42458</v>
      </c>
      <c r="G47" s="38"/>
      <c r="H47" s="31">
        <v>42468</v>
      </c>
      <c r="I47" s="38">
        <v>27.8</v>
      </c>
      <c r="J47" s="165"/>
      <c r="K47" s="38">
        <v>7.2</v>
      </c>
      <c r="L47" s="38">
        <v>5.8</v>
      </c>
      <c r="M47" s="38">
        <f t="shared" si="5"/>
        <v>125.94816</v>
      </c>
      <c r="N47" s="118"/>
      <c r="O47" s="38"/>
      <c r="P47" s="32">
        <f t="shared" si="6"/>
        <v>41.98272</v>
      </c>
      <c r="Q47" s="38"/>
      <c r="R47" s="160"/>
      <c r="S47" s="236">
        <f t="shared" si="7"/>
        <v>0</v>
      </c>
      <c r="T47" s="237">
        <v>495</v>
      </c>
      <c r="U47" s="236">
        <f t="shared" si="12"/>
        <v>44.514388489208635</v>
      </c>
      <c r="V47" s="238">
        <f t="shared" si="11"/>
        <v>9.8254710509466765</v>
      </c>
      <c r="W47" s="33"/>
      <c r="X47" s="138"/>
      <c r="Y47" s="87">
        <v>80.337400000000002</v>
      </c>
      <c r="Z47" s="93">
        <f>5.9*5.8*5.8*0.52</f>
        <v>103.20752</v>
      </c>
      <c r="AA47" s="93">
        <v>125.94816</v>
      </c>
      <c r="AB47" s="93">
        <f>6.8*6.7*6.7*0.52</f>
        <v>158.73104000000001</v>
      </c>
      <c r="AC47" s="93">
        <f>7*6.5*6.5*0.52</f>
        <v>153.79</v>
      </c>
      <c r="AD47" s="93">
        <f>7.1*7*7*0.52</f>
        <v>180.90799999999999</v>
      </c>
      <c r="AE47" s="93">
        <f>7.8*7.2*7.2*0.52</f>
        <v>210.26303999999999</v>
      </c>
      <c r="AF47" s="93">
        <f>8.6*7.5*7.5*0.52</f>
        <v>251.55</v>
      </c>
      <c r="AG47" s="93">
        <f>8.4*8.3*8.3*0.52</f>
        <v>300.91152000000011</v>
      </c>
      <c r="AH47" s="93">
        <f>9.9*9.1*9.1*0.52</f>
        <v>426.30588</v>
      </c>
      <c r="AI47" s="93">
        <f>10.9*9.4*9.4*0.52</f>
        <v>500.82448000000011</v>
      </c>
      <c r="AJ47" s="93">
        <f>12.8*11.4*11.4*0.52</f>
        <v>865.01376000000016</v>
      </c>
      <c r="AK47" s="93">
        <f>13.4*11.5*11.5*0.52</f>
        <v>921.51799999999992</v>
      </c>
      <c r="AL47" s="93">
        <f>13.8*11.7*11.7*0.52</f>
        <v>982.32263999999998</v>
      </c>
      <c r="AM47" s="93">
        <f>15.6*11.9*11.9*0.52</f>
        <v>1148.7403200000003</v>
      </c>
      <c r="AN47" s="93">
        <f>16.5*13.9*13.9*0.52</f>
        <v>1657.7418000000002</v>
      </c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2"/>
      <c r="BR47" s="92">
        <f t="shared" si="19"/>
        <v>0.63786084687541289</v>
      </c>
      <c r="BS47" s="92">
        <f t="shared" si="19"/>
        <v>0.81944444444444442</v>
      </c>
      <c r="BT47" s="92">
        <f t="shared" si="19"/>
        <v>1</v>
      </c>
      <c r="BU47" s="92">
        <f t="shared" si="19"/>
        <v>1.2602886775003304</v>
      </c>
      <c r="BV47" s="92">
        <f t="shared" si="19"/>
        <v>1.2210579336768397</v>
      </c>
      <c r="BW47" s="92">
        <f t="shared" si="19"/>
        <v>1.4363687409168977</v>
      </c>
      <c r="BX47" s="92">
        <f t="shared" si="19"/>
        <v>1.6694411414982162</v>
      </c>
      <c r="BY47" s="92">
        <f t="shared" si="19"/>
        <v>1.9972502972651607</v>
      </c>
      <c r="BZ47" s="92">
        <f t="shared" si="19"/>
        <v>2.3891696393182729</v>
      </c>
      <c r="CA47" s="92">
        <f t="shared" si="19"/>
        <v>3.3847725921521996</v>
      </c>
      <c r="CB47" s="92">
        <f t="shared" si="19"/>
        <v>3.976433478662968</v>
      </c>
      <c r="CC47" s="92">
        <f t="shared" si="19"/>
        <v>6.8680142687277064</v>
      </c>
      <c r="CD47" s="92">
        <f t="shared" si="19"/>
        <v>7.3166451975161833</v>
      </c>
      <c r="CE47" s="92">
        <f t="shared" si="19"/>
        <v>7.7994203329369798</v>
      </c>
      <c r="CF47" s="92">
        <f t="shared" si="19"/>
        <v>9.1207391993658362</v>
      </c>
      <c r="CG47" s="92">
        <f t="shared" si="18"/>
        <v>13.162096214823624</v>
      </c>
      <c r="CH47" s="92" t="str">
        <f t="shared" si="18"/>
        <v/>
      </c>
      <c r="CI47" s="92" t="str">
        <f t="shared" si="18"/>
        <v/>
      </c>
      <c r="CJ47" s="92" t="str">
        <f t="shared" si="18"/>
        <v/>
      </c>
      <c r="CK47" s="92" t="str">
        <f t="shared" si="18"/>
        <v/>
      </c>
      <c r="CL47" s="92" t="str">
        <f t="shared" si="18"/>
        <v/>
      </c>
      <c r="CM47" s="92" t="str">
        <f t="shared" si="18"/>
        <v/>
      </c>
      <c r="CN47" s="92" t="str">
        <f t="shared" si="18"/>
        <v/>
      </c>
      <c r="CO47" s="92" t="str">
        <f t="shared" si="18"/>
        <v/>
      </c>
      <c r="CP47" s="92" t="str">
        <f t="shared" si="18"/>
        <v/>
      </c>
      <c r="CQ47" s="92" t="str">
        <f t="shared" si="18"/>
        <v/>
      </c>
      <c r="CR47" s="92" t="str">
        <f t="shared" si="18"/>
        <v/>
      </c>
      <c r="CS47" s="92" t="str">
        <f t="shared" si="18"/>
        <v/>
      </c>
      <c r="CT47" s="92" t="str">
        <f t="shared" si="18"/>
        <v/>
      </c>
      <c r="CU47" s="92" t="str">
        <f t="shared" si="17"/>
        <v/>
      </c>
      <c r="CV47" s="92" t="str">
        <f t="shared" si="17"/>
        <v/>
      </c>
      <c r="CW47" s="92" t="str">
        <f t="shared" si="14"/>
        <v/>
      </c>
      <c r="CX47" s="92" t="str">
        <f t="shared" si="14"/>
        <v/>
      </c>
      <c r="CY47" s="92" t="str">
        <f t="shared" si="14"/>
        <v/>
      </c>
      <c r="CZ47" s="92" t="str">
        <f t="shared" si="14"/>
        <v/>
      </c>
      <c r="DA47" s="92" t="str">
        <f t="shared" si="16"/>
        <v/>
      </c>
      <c r="DB47" s="92" t="str">
        <f t="shared" si="16"/>
        <v/>
      </c>
      <c r="DC47" s="92" t="str">
        <f t="shared" si="16"/>
        <v/>
      </c>
      <c r="DD47" s="92" t="str">
        <f t="shared" si="16"/>
        <v/>
      </c>
      <c r="DE47" s="92" t="str">
        <f t="shared" si="16"/>
        <v/>
      </c>
      <c r="DF47" s="92" t="str">
        <f t="shared" si="16"/>
        <v/>
      </c>
      <c r="DG47" s="92" t="str">
        <f t="shared" si="16"/>
        <v/>
      </c>
      <c r="DH47" s="92" t="str">
        <f t="shared" si="16"/>
        <v/>
      </c>
      <c r="DI47" s="92" t="str">
        <f t="shared" si="16"/>
        <v/>
      </c>
    </row>
    <row r="48" spans="1:113">
      <c r="A48" s="41">
        <v>975073</v>
      </c>
      <c r="B48" s="1">
        <v>94</v>
      </c>
      <c r="C48" s="29" t="str">
        <f t="shared" si="4"/>
        <v>975073-94</v>
      </c>
      <c r="D48" s="28" t="s">
        <v>80</v>
      </c>
      <c r="E48" s="37" t="s">
        <v>82</v>
      </c>
      <c r="F48" s="31">
        <v>42458</v>
      </c>
      <c r="G48" s="38"/>
      <c r="H48" s="31">
        <v>42468</v>
      </c>
      <c r="I48" s="38">
        <v>24.6</v>
      </c>
      <c r="J48" s="165"/>
      <c r="K48" s="38">
        <v>6.5</v>
      </c>
      <c r="L48" s="38">
        <v>5.7</v>
      </c>
      <c r="M48" s="38">
        <f t="shared" si="5"/>
        <v>109.81620000000001</v>
      </c>
      <c r="N48" s="118">
        <f>5.71/560*1000</f>
        <v>10.196428571428571</v>
      </c>
      <c r="O48" s="38">
        <f>M48*10/3</f>
        <v>366.05400000000003</v>
      </c>
      <c r="P48" s="32">
        <f t="shared" si="6"/>
        <v>36.605400000000003</v>
      </c>
      <c r="Q48" s="38">
        <v>325</v>
      </c>
      <c r="R48" s="160">
        <f>Q48/O48</f>
        <v>0.8878471482349598</v>
      </c>
      <c r="S48" s="236">
        <f t="shared" si="7"/>
        <v>2.9594904941165328</v>
      </c>
      <c r="T48" s="237">
        <v>218.9</v>
      </c>
      <c r="U48" s="236">
        <f t="shared" si="12"/>
        <v>22.24593495934959</v>
      </c>
      <c r="V48" s="238">
        <f t="shared" si="11"/>
        <v>4.9833266858623766</v>
      </c>
      <c r="W48" s="33"/>
      <c r="X48" s="138"/>
      <c r="Y48" s="87">
        <v>57.691919999999996</v>
      </c>
      <c r="Z48" s="93">
        <f>6.1*4*4*0.52</f>
        <v>50.751999999999995</v>
      </c>
      <c r="AA48" s="93">
        <v>109.81620000000001</v>
      </c>
      <c r="AB48" s="93">
        <f>7.1*6*6*0.52</f>
        <v>132.91199999999998</v>
      </c>
      <c r="AC48" s="93">
        <f>7.6*5.8*5.8*0.52</f>
        <v>132.94528</v>
      </c>
      <c r="AD48" s="93">
        <f>7.6*5.8*5.8*0.52</f>
        <v>132.94528</v>
      </c>
      <c r="AE48" s="93">
        <f>7.3*5.3*5.3*0.52</f>
        <v>106.62963999999999</v>
      </c>
      <c r="AF48" s="93">
        <f>7.5*5.6*5.6*0.52</f>
        <v>122.304</v>
      </c>
      <c r="AG48" s="93">
        <f>7.7*6.1*6.1*0.52</f>
        <v>148.98884000000001</v>
      </c>
      <c r="AH48" s="93">
        <f>7*5.1*5.1*0.52</f>
        <v>94.676399999999987</v>
      </c>
      <c r="AI48" s="93">
        <f>7.6*6.1*6.1*0.52</f>
        <v>147.05391999999998</v>
      </c>
      <c r="AJ48" s="93">
        <f>7.7*6.2*6.2*0.52</f>
        <v>153.91376</v>
      </c>
      <c r="AK48" s="93">
        <f>7.6*5.9*5.9*0.52</f>
        <v>137.56912000000003</v>
      </c>
      <c r="AL48" s="93">
        <f>8*6.7*6.7*0.52</f>
        <v>186.7424</v>
      </c>
      <c r="AM48" s="93">
        <f>8.1*7.1*7.1*0.52</f>
        <v>212.32692</v>
      </c>
      <c r="AN48" s="93">
        <f>9.3*7.9*7.9*0.52</f>
        <v>301.81476000000009</v>
      </c>
      <c r="AO48" s="93">
        <f>9.5*8.9*8.9*0.52</f>
        <v>391.29740000000004</v>
      </c>
      <c r="AP48" s="93">
        <f>10.6*10.5*10.5*0.52</f>
        <v>607.69799999999998</v>
      </c>
      <c r="AQ48" s="93">
        <f>11.6*11.5*11.5*0.52</f>
        <v>797.73200000000008</v>
      </c>
      <c r="AR48" s="93">
        <f>12.2*11.8*11.8*0.52</f>
        <v>883.33856000000014</v>
      </c>
      <c r="AS48" s="93">
        <f>13.7*13.4*13.4*0.52</f>
        <v>1279.18544</v>
      </c>
      <c r="AT48" s="93">
        <f>14.5*13.7*13.7*0.52</f>
        <v>1415.1825999999999</v>
      </c>
      <c r="AU48" s="93">
        <f>16.1*14.5*14.5*0.52</f>
        <v>1760.2130000000002</v>
      </c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2"/>
      <c r="BR48" s="92">
        <f t="shared" si="19"/>
        <v>0.5253498117764045</v>
      </c>
      <c r="BS48" s="92">
        <f t="shared" si="19"/>
        <v>0.46215403556123769</v>
      </c>
      <c r="BT48" s="92">
        <f t="shared" si="19"/>
        <v>1</v>
      </c>
      <c r="BU48" s="92">
        <f t="shared" si="19"/>
        <v>1.210313232473897</v>
      </c>
      <c r="BV48" s="92">
        <f t="shared" si="19"/>
        <v>1.2106162843004946</v>
      </c>
      <c r="BW48" s="92">
        <f t="shared" si="19"/>
        <v>1.2106162843004946</v>
      </c>
      <c r="BX48" s="92">
        <f t="shared" si="19"/>
        <v>0.97098278760328605</v>
      </c>
      <c r="BY48" s="92">
        <f t="shared" si="19"/>
        <v>1.1137154627459336</v>
      </c>
      <c r="BZ48" s="92">
        <f t="shared" si="19"/>
        <v>1.3567109406444586</v>
      </c>
      <c r="CA48" s="92">
        <f t="shared" si="19"/>
        <v>0.86213509482207529</v>
      </c>
      <c r="CB48" s="92">
        <f t="shared" si="19"/>
        <v>1.3390913180386861</v>
      </c>
      <c r="CC48" s="92">
        <f t="shared" si="19"/>
        <v>1.4015578757961027</v>
      </c>
      <c r="CD48" s="92">
        <f t="shared" si="19"/>
        <v>1.2527215474583897</v>
      </c>
      <c r="CE48" s="92">
        <f t="shared" si="19"/>
        <v>1.7004995619954069</v>
      </c>
      <c r="CF48" s="92">
        <f t="shared" si="19"/>
        <v>1.9334753888770508</v>
      </c>
      <c r="CG48" s="92">
        <f t="shared" si="18"/>
        <v>2.7483628098586554</v>
      </c>
      <c r="CH48" s="92">
        <f t="shared" si="18"/>
        <v>3.5632028789923527</v>
      </c>
      <c r="CI48" s="92">
        <f t="shared" si="18"/>
        <v>5.5337737055188576</v>
      </c>
      <c r="CJ48" s="92">
        <f t="shared" si="18"/>
        <v>7.2642469872386775</v>
      </c>
      <c r="CK48" s="92">
        <f t="shared" si="18"/>
        <v>8.0437909889433445</v>
      </c>
      <c r="CL48" s="92">
        <f t="shared" si="18"/>
        <v>11.648421999668535</v>
      </c>
      <c r="CM48" s="92">
        <f t="shared" si="18"/>
        <v>12.886829083504981</v>
      </c>
      <c r="CN48" s="92">
        <f t="shared" si="18"/>
        <v>16.028718895754906</v>
      </c>
      <c r="CO48" s="92" t="str">
        <f t="shared" si="18"/>
        <v/>
      </c>
      <c r="CP48" s="92" t="str">
        <f t="shared" si="18"/>
        <v/>
      </c>
      <c r="CQ48" s="92" t="str">
        <f t="shared" si="18"/>
        <v/>
      </c>
      <c r="CR48" s="92" t="str">
        <f t="shared" si="18"/>
        <v/>
      </c>
      <c r="CS48" s="92" t="str">
        <f t="shared" si="18"/>
        <v/>
      </c>
      <c r="CT48" s="92" t="str">
        <f t="shared" si="18"/>
        <v/>
      </c>
      <c r="CU48" s="92" t="str">
        <f t="shared" si="17"/>
        <v/>
      </c>
      <c r="CV48" s="92" t="str">
        <f t="shared" si="17"/>
        <v/>
      </c>
      <c r="CW48" s="92" t="str">
        <f t="shared" si="14"/>
        <v/>
      </c>
      <c r="CX48" s="92" t="str">
        <f t="shared" si="14"/>
        <v/>
      </c>
      <c r="CY48" s="92" t="str">
        <f t="shared" si="14"/>
        <v/>
      </c>
      <c r="CZ48" s="92" t="str">
        <f t="shared" si="14"/>
        <v/>
      </c>
      <c r="DA48" s="92" t="str">
        <f t="shared" si="16"/>
        <v/>
      </c>
      <c r="DB48" s="92" t="str">
        <f t="shared" si="16"/>
        <v/>
      </c>
      <c r="DC48" s="92" t="str">
        <f t="shared" si="16"/>
        <v/>
      </c>
      <c r="DD48" s="92" t="str">
        <f t="shared" si="16"/>
        <v/>
      </c>
      <c r="DE48" s="92" t="str">
        <f t="shared" si="16"/>
        <v/>
      </c>
      <c r="DF48" s="92" t="str">
        <f t="shared" si="16"/>
        <v/>
      </c>
      <c r="DG48" s="92" t="str">
        <f t="shared" si="16"/>
        <v/>
      </c>
      <c r="DH48" s="92" t="str">
        <f t="shared" si="16"/>
        <v/>
      </c>
      <c r="DI48" s="92" t="str">
        <f t="shared" si="16"/>
        <v/>
      </c>
    </row>
    <row r="49" spans="1:127">
      <c r="A49" s="41">
        <v>975073</v>
      </c>
      <c r="B49" s="1">
        <v>95</v>
      </c>
      <c r="C49" s="29" t="str">
        <f t="shared" si="4"/>
        <v>975073-95</v>
      </c>
      <c r="D49" s="28" t="s">
        <v>80</v>
      </c>
      <c r="E49" s="37" t="s">
        <v>86</v>
      </c>
      <c r="F49" s="31">
        <v>42458</v>
      </c>
      <c r="G49" s="38"/>
      <c r="H49" s="31">
        <v>42468</v>
      </c>
      <c r="I49" s="38">
        <v>26.4</v>
      </c>
      <c r="J49" s="165"/>
      <c r="K49" s="38">
        <v>5.7</v>
      </c>
      <c r="L49" s="38">
        <v>4.3</v>
      </c>
      <c r="M49" s="38">
        <f t="shared" si="5"/>
        <v>54.804360000000003</v>
      </c>
      <c r="N49" s="118">
        <f>5.71/560*1000</f>
        <v>10.196428571428571</v>
      </c>
      <c r="O49" s="38">
        <f>M49*10/3</f>
        <v>182.68119999999999</v>
      </c>
      <c r="P49" s="32">
        <f t="shared" si="6"/>
        <v>18.26812</v>
      </c>
      <c r="Q49" s="38">
        <v>116</v>
      </c>
      <c r="R49" s="160">
        <f>Q49/O49</f>
        <v>0.63498597556836722</v>
      </c>
      <c r="S49" s="236">
        <f t="shared" si="7"/>
        <v>2.116619918561224</v>
      </c>
      <c r="T49" s="237">
        <v>234.9</v>
      </c>
      <c r="U49" s="236">
        <f t="shared" si="12"/>
        <v>22.244318181818183</v>
      </c>
      <c r="V49" s="238">
        <f t="shared" si="11"/>
        <v>10.715388337716197</v>
      </c>
      <c r="W49" s="33"/>
      <c r="X49" s="138"/>
      <c r="Y49" s="87">
        <v>41.957759999999993</v>
      </c>
      <c r="Z49" s="93">
        <f>5.9*5.1*5.1*0.52</f>
        <v>79.79867999999999</v>
      </c>
      <c r="AA49" s="93">
        <v>54.804360000000003</v>
      </c>
      <c r="AB49" s="93">
        <f>6.8*6.5*0.52</f>
        <v>22.983999999999998</v>
      </c>
      <c r="AC49" s="93">
        <f>7*6.2*6.2*0.52</f>
        <v>139.92159999999998</v>
      </c>
      <c r="AD49" s="93">
        <f>11.7*7.5*7.5*0.52</f>
        <v>342.22500000000002</v>
      </c>
      <c r="AE49" s="93">
        <f>11.9*7.2*7.2*0.52</f>
        <v>320.78592000000003</v>
      </c>
      <c r="AF49" s="93">
        <f>12.8*8*8*0.52</f>
        <v>425.98400000000004</v>
      </c>
      <c r="AG49" s="93">
        <f>14.1*7.6*7.6*0.52</f>
        <v>423.49631999999997</v>
      </c>
      <c r="AH49" s="93">
        <f>14.7*9.9*9.9*0.52</f>
        <v>749.18844000000001</v>
      </c>
      <c r="AI49" s="93">
        <f>14.6*11.4*11.4*0.52</f>
        <v>986.65632000000005</v>
      </c>
      <c r="AJ49" s="93">
        <f>16.9*13.3*13.3*0.52</f>
        <v>1554.5093199999999</v>
      </c>
      <c r="AK49" s="93">
        <f>17.6*13.3*13.3*0.52</f>
        <v>1618.8972800000004</v>
      </c>
      <c r="AL49" s="93">
        <f>18*13.9*13.9*0.52</f>
        <v>1808.4456000000002</v>
      </c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2"/>
      <c r="BR49" s="92">
        <f t="shared" si="19"/>
        <v>0.7655916427087186</v>
      </c>
      <c r="BS49" s="92">
        <f t="shared" si="19"/>
        <v>1.4560644445076996</v>
      </c>
      <c r="BT49" s="92">
        <f t="shared" si="19"/>
        <v>1</v>
      </c>
      <c r="BU49" s="92">
        <f t="shared" si="19"/>
        <v>0.41938269145009627</v>
      </c>
      <c r="BV49" s="92">
        <f t="shared" si="19"/>
        <v>2.5531107379047939</v>
      </c>
      <c r="BW49" s="92">
        <f t="shared" si="19"/>
        <v>6.2444849278415075</v>
      </c>
      <c r="BX49" s="92">
        <f t="shared" si="19"/>
        <v>5.8532919643619596</v>
      </c>
      <c r="BY49" s="92">
        <f t="shared" si="19"/>
        <v>7.7728122361067626</v>
      </c>
      <c r="BZ49" s="92">
        <f t="shared" si="19"/>
        <v>7.7274202271498096</v>
      </c>
      <c r="CA49" s="92">
        <f t="shared" si="19"/>
        <v>13.670234266032848</v>
      </c>
      <c r="CB49" s="92">
        <f t="shared" si="19"/>
        <v>18.003244997295834</v>
      </c>
      <c r="CC49" s="92">
        <f t="shared" si="19"/>
        <v>28.364701640526409</v>
      </c>
      <c r="CD49" s="92">
        <f t="shared" si="19"/>
        <v>29.539570939246445</v>
      </c>
      <c r="CE49" s="92">
        <f t="shared" si="19"/>
        <v>32.998206712020725</v>
      </c>
      <c r="CF49" s="92" t="str">
        <f t="shared" si="19"/>
        <v/>
      </c>
      <c r="CG49" s="92" t="str">
        <f t="shared" si="18"/>
        <v/>
      </c>
      <c r="CH49" s="92" t="str">
        <f t="shared" si="18"/>
        <v/>
      </c>
      <c r="CI49" s="92" t="str">
        <f t="shared" si="18"/>
        <v/>
      </c>
      <c r="CJ49" s="92" t="str">
        <f t="shared" si="18"/>
        <v/>
      </c>
      <c r="CK49" s="92" t="str">
        <f t="shared" si="18"/>
        <v/>
      </c>
      <c r="CL49" s="92" t="str">
        <f t="shared" si="18"/>
        <v/>
      </c>
      <c r="CM49" s="92" t="str">
        <f t="shared" si="18"/>
        <v/>
      </c>
      <c r="CN49" s="92" t="str">
        <f t="shared" si="18"/>
        <v/>
      </c>
      <c r="CO49" s="92" t="str">
        <f t="shared" si="18"/>
        <v/>
      </c>
      <c r="CP49" s="92" t="str">
        <f t="shared" si="18"/>
        <v/>
      </c>
      <c r="CQ49" s="92" t="str">
        <f t="shared" si="18"/>
        <v/>
      </c>
      <c r="CR49" s="92" t="str">
        <f t="shared" si="18"/>
        <v/>
      </c>
      <c r="CS49" s="92" t="str">
        <f t="shared" si="18"/>
        <v/>
      </c>
      <c r="CT49" s="92" t="str">
        <f t="shared" si="18"/>
        <v/>
      </c>
      <c r="CU49" s="92" t="str">
        <f t="shared" si="17"/>
        <v/>
      </c>
      <c r="CV49" s="92" t="str">
        <f t="shared" si="17"/>
        <v/>
      </c>
      <c r="CW49" s="92" t="str">
        <f t="shared" si="14"/>
        <v/>
      </c>
      <c r="CX49" s="92" t="str">
        <f t="shared" si="14"/>
        <v/>
      </c>
      <c r="CY49" s="92" t="str">
        <f t="shared" si="14"/>
        <v/>
      </c>
      <c r="CZ49" s="92" t="str">
        <f t="shared" si="14"/>
        <v/>
      </c>
      <c r="DA49" s="92" t="str">
        <f t="shared" si="16"/>
        <v/>
      </c>
      <c r="DB49" s="92" t="str">
        <f t="shared" si="16"/>
        <v/>
      </c>
      <c r="DC49" s="92" t="str">
        <f t="shared" si="16"/>
        <v/>
      </c>
      <c r="DD49" s="92" t="str">
        <f t="shared" si="16"/>
        <v/>
      </c>
      <c r="DE49" s="92" t="str">
        <f t="shared" si="16"/>
        <v/>
      </c>
      <c r="DF49" s="92" t="str">
        <f t="shared" si="16"/>
        <v/>
      </c>
      <c r="DG49" s="92" t="str">
        <f t="shared" si="16"/>
        <v/>
      </c>
      <c r="DH49" s="92" t="str">
        <f t="shared" si="16"/>
        <v/>
      </c>
      <c r="DI49" s="92" t="str">
        <f t="shared" si="16"/>
        <v/>
      </c>
    </row>
    <row r="50" spans="1:127">
      <c r="A50" s="41">
        <v>961176</v>
      </c>
      <c r="B50" s="1">
        <v>101</v>
      </c>
      <c r="C50" s="29" t="str">
        <f t="shared" si="4"/>
        <v>961176-101</v>
      </c>
      <c r="D50" s="28" t="s">
        <v>80</v>
      </c>
      <c r="E50" s="37" t="s">
        <v>89</v>
      </c>
      <c r="F50" s="31">
        <v>42458</v>
      </c>
      <c r="G50" s="38"/>
      <c r="H50" s="31">
        <v>42468</v>
      </c>
      <c r="I50" s="38">
        <v>23.4</v>
      </c>
      <c r="J50" s="165"/>
      <c r="K50" s="38">
        <v>7.3</v>
      </c>
      <c r="L50" s="38">
        <v>4.3</v>
      </c>
      <c r="M50" s="38">
        <f t="shared" si="5"/>
        <v>70.188039999999987</v>
      </c>
      <c r="N50" s="118">
        <f>8.76*1000/850</f>
        <v>10.305882352941177</v>
      </c>
      <c r="O50" s="38">
        <f>M50*10/3</f>
        <v>233.96013333333329</v>
      </c>
      <c r="P50" s="32">
        <f t="shared" si="6"/>
        <v>23.396013333333329</v>
      </c>
      <c r="Q50" s="38">
        <v>186</v>
      </c>
      <c r="R50" s="160">
        <f>Q50/O50</f>
        <v>0.79500724054981464</v>
      </c>
      <c r="S50" s="236">
        <f t="shared" si="7"/>
        <v>2.6500241351660487</v>
      </c>
      <c r="T50" s="237">
        <v>416</v>
      </c>
      <c r="U50" s="236">
        <f t="shared" si="12"/>
        <v>44.444444444444443</v>
      </c>
      <c r="V50" s="238">
        <f t="shared" si="11"/>
        <v>14.817339250390811</v>
      </c>
      <c r="W50" s="33"/>
      <c r="X50" s="138"/>
      <c r="Y50" s="87">
        <v>61.188399999999994</v>
      </c>
      <c r="Z50" s="93">
        <f>6.4*5*5*0.52</f>
        <v>83.2</v>
      </c>
      <c r="AA50" s="93">
        <v>70.188039999999987</v>
      </c>
      <c r="AB50" s="93">
        <f>8.3*6.3*6.3*0.52</f>
        <v>171.30204000000001</v>
      </c>
      <c r="AC50" s="93">
        <f>8.2*6.6*6.6*0.52</f>
        <v>185.73983999999996</v>
      </c>
      <c r="AD50" s="93">
        <f>8.8*5.8*5.8*0.52</f>
        <v>153.93663999999998</v>
      </c>
      <c r="AE50" s="93">
        <f>9.9*5.8*5.8*0.52</f>
        <v>173.17872</v>
      </c>
      <c r="AF50" s="93">
        <f>10.4*6.2*6.2*0.52</f>
        <v>207.88352</v>
      </c>
      <c r="AG50" s="93">
        <f>11.1*5.9*5.9*0.52</f>
        <v>200.92332000000002</v>
      </c>
      <c r="AH50" s="93">
        <f>11.1*6.9*6.9*0.52</f>
        <v>274.80492000000004</v>
      </c>
      <c r="AI50" s="93">
        <f>11.7*7.8*7.8*0.52</f>
        <v>370.15055999999993</v>
      </c>
      <c r="AJ50" s="93">
        <f>12.6*10.4*10.4*0.52</f>
        <v>708.66432000000009</v>
      </c>
      <c r="AK50" s="93">
        <f>13.6*10.1*10.1*0.52</f>
        <v>721.41471999999987</v>
      </c>
      <c r="AL50" s="93">
        <f>13.6*10.4*10.4*0.52</f>
        <v>764.90752000000009</v>
      </c>
      <c r="AM50" s="93">
        <f>15.9*12.4*12.4*0.52</f>
        <v>1271.2876800000001</v>
      </c>
      <c r="AN50" s="93">
        <f>16.5*12.8*12.8*0.52</f>
        <v>1405.7472000000002</v>
      </c>
      <c r="AO50" s="93">
        <f>17.6*14.3*14.3*0.52</f>
        <v>1871.4924800000006</v>
      </c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2"/>
      <c r="BR50" s="92">
        <f t="shared" si="19"/>
        <v>0.87177815479674325</v>
      </c>
      <c r="BS50" s="92">
        <f t="shared" si="19"/>
        <v>1.1853871400312648</v>
      </c>
      <c r="BT50" s="92">
        <f t="shared" si="19"/>
        <v>1</v>
      </c>
      <c r="BU50" s="92">
        <f t="shared" si="19"/>
        <v>2.4406158086192469</v>
      </c>
      <c r="BV50" s="92">
        <f t="shared" si="19"/>
        <v>2.6463175207627967</v>
      </c>
      <c r="BW50" s="92">
        <f t="shared" si="19"/>
        <v>2.1932032864858457</v>
      </c>
      <c r="BX50" s="92">
        <f t="shared" si="19"/>
        <v>2.4673536972965771</v>
      </c>
      <c r="BY50" s="92">
        <f t="shared" si="19"/>
        <v>2.9618083080821185</v>
      </c>
      <c r="BZ50" s="92">
        <f t="shared" si="19"/>
        <v>2.8626432651488782</v>
      </c>
      <c r="CA50" s="92">
        <f t="shared" si="19"/>
        <v>3.9152670454966416</v>
      </c>
      <c r="CB50" s="92">
        <f t="shared" si="19"/>
        <v>5.2736984819635939</v>
      </c>
      <c r="CC50" s="92">
        <f t="shared" si="19"/>
        <v>10.096653503930302</v>
      </c>
      <c r="CD50" s="92">
        <f t="shared" si="19"/>
        <v>10.27831408314009</v>
      </c>
      <c r="CE50" s="92">
        <f t="shared" si="19"/>
        <v>10.897975210591438</v>
      </c>
      <c r="CF50" s="92">
        <f t="shared" si="19"/>
        <v>18.112596960963725</v>
      </c>
      <c r="CG50" s="92">
        <f t="shared" si="18"/>
        <v>20.028301117968255</v>
      </c>
      <c r="CH50" s="92">
        <f t="shared" si="18"/>
        <v>26.663979789149277</v>
      </c>
      <c r="CI50" s="92" t="str">
        <f t="shared" si="18"/>
        <v/>
      </c>
      <c r="CJ50" s="92" t="str">
        <f t="shared" si="18"/>
        <v/>
      </c>
      <c r="CK50" s="92" t="str">
        <f t="shared" si="18"/>
        <v/>
      </c>
      <c r="CL50" s="92" t="str">
        <f t="shared" si="18"/>
        <v/>
      </c>
      <c r="CM50" s="92" t="str">
        <f t="shared" si="18"/>
        <v/>
      </c>
      <c r="CN50" s="92" t="str">
        <f t="shared" si="18"/>
        <v/>
      </c>
      <c r="CO50" s="92" t="str">
        <f t="shared" si="18"/>
        <v/>
      </c>
      <c r="CP50" s="92" t="str">
        <f t="shared" si="18"/>
        <v/>
      </c>
      <c r="CQ50" s="92" t="str">
        <f t="shared" si="18"/>
        <v/>
      </c>
      <c r="CR50" s="92" t="str">
        <f t="shared" si="18"/>
        <v/>
      </c>
      <c r="CS50" s="92" t="str">
        <f t="shared" si="18"/>
        <v/>
      </c>
      <c r="CT50" s="92" t="str">
        <f t="shared" si="18"/>
        <v/>
      </c>
      <c r="CU50" s="92" t="str">
        <f t="shared" si="17"/>
        <v/>
      </c>
      <c r="CV50" s="92" t="str">
        <f t="shared" si="17"/>
        <v/>
      </c>
      <c r="CW50" s="92" t="str">
        <f t="shared" si="14"/>
        <v/>
      </c>
      <c r="CX50" s="92" t="str">
        <f t="shared" si="14"/>
        <v/>
      </c>
      <c r="CY50" s="92" t="str">
        <f t="shared" si="14"/>
        <v/>
      </c>
      <c r="CZ50" s="92" t="str">
        <f t="shared" si="14"/>
        <v/>
      </c>
      <c r="DA50" s="92" t="str">
        <f t="shared" si="16"/>
        <v/>
      </c>
      <c r="DB50" s="92" t="str">
        <f t="shared" si="16"/>
        <v/>
      </c>
      <c r="DC50" s="92" t="str">
        <f t="shared" si="16"/>
        <v/>
      </c>
      <c r="DD50" s="92" t="str">
        <f t="shared" si="16"/>
        <v/>
      </c>
      <c r="DE50" s="92" t="str">
        <f t="shared" si="16"/>
        <v/>
      </c>
      <c r="DF50" s="92" t="str">
        <f t="shared" si="16"/>
        <v/>
      </c>
      <c r="DG50" s="92" t="str">
        <f t="shared" si="16"/>
        <v/>
      </c>
      <c r="DH50" s="92" t="str">
        <f t="shared" si="16"/>
        <v/>
      </c>
      <c r="DI50" s="92" t="str">
        <f t="shared" si="16"/>
        <v/>
      </c>
    </row>
    <row r="51" spans="1:127">
      <c r="A51" s="41">
        <v>961176</v>
      </c>
      <c r="B51" s="1">
        <v>102</v>
      </c>
      <c r="C51" s="29" t="str">
        <f t="shared" si="4"/>
        <v>961176-102</v>
      </c>
      <c r="D51" s="28" t="s">
        <v>80</v>
      </c>
      <c r="E51" s="37" t="s">
        <v>90</v>
      </c>
      <c r="F51" s="31">
        <v>42458</v>
      </c>
      <c r="G51" s="38"/>
      <c r="H51" s="31">
        <v>42468</v>
      </c>
      <c r="I51" s="38">
        <v>27.3</v>
      </c>
      <c r="J51" s="165"/>
      <c r="K51" s="38">
        <v>7.7</v>
      </c>
      <c r="L51" s="38">
        <v>5.7</v>
      </c>
      <c r="M51" s="38">
        <f t="shared" si="5"/>
        <v>130.08996000000002</v>
      </c>
      <c r="N51" s="118">
        <f>8.76*1000/850</f>
        <v>10.305882352941177</v>
      </c>
      <c r="O51" s="38">
        <f>M51*10/3</f>
        <v>433.63320000000004</v>
      </c>
      <c r="P51" s="32">
        <f t="shared" si="6"/>
        <v>43.363320000000009</v>
      </c>
      <c r="Q51" s="38">
        <v>311</v>
      </c>
      <c r="R51" s="160">
        <f>Q51/O51</f>
        <v>0.71719600805473371</v>
      </c>
      <c r="S51" s="236">
        <f t="shared" si="7"/>
        <v>2.3906533601824456</v>
      </c>
      <c r="T51" s="237">
        <v>0</v>
      </c>
      <c r="U51" s="236">
        <f t="shared" si="12"/>
        <v>0</v>
      </c>
      <c r="V51" s="238">
        <f t="shared" si="11"/>
        <v>0</v>
      </c>
      <c r="W51" s="33"/>
      <c r="X51" s="138"/>
      <c r="Y51" s="87">
        <v>81.544320000000013</v>
      </c>
      <c r="Z51" s="93">
        <f>7*5.9*5.9*0.52</f>
        <v>126.70840000000003</v>
      </c>
      <c r="AA51" s="93">
        <v>130.08996000000002</v>
      </c>
      <c r="AB51" s="93">
        <f>9.4*6.8*6.8*0.52</f>
        <v>226.02112000000002</v>
      </c>
      <c r="AC51" s="93">
        <f>10.4*6.7*6.7*0.52</f>
        <v>242.76512000000002</v>
      </c>
      <c r="AD51" s="93">
        <f>10.6*7*7*0.52</f>
        <v>270.08800000000002</v>
      </c>
      <c r="AE51" s="93">
        <f>11.6*8.2*8.2*0.52</f>
        <v>405.59167999999994</v>
      </c>
      <c r="AF51" s="93">
        <f>13*9.2*9.2*0.52</f>
        <v>572.16639999999995</v>
      </c>
      <c r="AG51" s="93">
        <f>13.7*10.5*10.5*0.52</f>
        <v>785.42100000000005</v>
      </c>
      <c r="AH51" s="93">
        <f>15*11.1*11.1*0.52</f>
        <v>961.03800000000001</v>
      </c>
      <c r="AI51" s="93">
        <f>15.6*12.3*12.3*0.52</f>
        <v>1227.2644800000003</v>
      </c>
      <c r="AJ51" s="93">
        <f>17*13.8*13.8*0.52</f>
        <v>1683.4896000000003</v>
      </c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2"/>
      <c r="BR51" s="92">
        <f t="shared" si="19"/>
        <v>0.62683023347843292</v>
      </c>
      <c r="BS51" s="92">
        <f t="shared" si="19"/>
        <v>0.97400598785640347</v>
      </c>
      <c r="BT51" s="92">
        <f t="shared" si="19"/>
        <v>1</v>
      </c>
      <c r="BU51" s="92">
        <f t="shared" si="19"/>
        <v>1.737421704180707</v>
      </c>
      <c r="BV51" s="92">
        <f t="shared" si="19"/>
        <v>1.8661326362157387</v>
      </c>
      <c r="BW51" s="92">
        <f t="shared" si="19"/>
        <v>2.0761632949998599</v>
      </c>
      <c r="BX51" s="92">
        <f t="shared" si="19"/>
        <v>3.1177784972798812</v>
      </c>
      <c r="BY51" s="92">
        <f t="shared" si="19"/>
        <v>4.3982364203970841</v>
      </c>
      <c r="BZ51" s="92">
        <f t="shared" si="19"/>
        <v>6.0375220347519507</v>
      </c>
      <c r="CA51" s="92">
        <f t="shared" si="19"/>
        <v>7.3874878584019852</v>
      </c>
      <c r="CB51" s="92">
        <f t="shared" si="19"/>
        <v>9.4339676943555073</v>
      </c>
      <c r="CC51" s="92">
        <f t="shared" si="19"/>
        <v>12.940964852322194</v>
      </c>
      <c r="CD51" s="92" t="str">
        <f t="shared" si="19"/>
        <v/>
      </c>
      <c r="CE51" s="92" t="str">
        <f t="shared" si="19"/>
        <v/>
      </c>
      <c r="CF51" s="92" t="str">
        <f t="shared" si="19"/>
        <v/>
      </c>
      <c r="CG51" s="92" t="str">
        <f t="shared" si="18"/>
        <v/>
      </c>
      <c r="CH51" s="92" t="str">
        <f t="shared" si="18"/>
        <v/>
      </c>
      <c r="CI51" s="92" t="str">
        <f t="shared" si="18"/>
        <v/>
      </c>
      <c r="CJ51" s="92" t="str">
        <f t="shared" si="18"/>
        <v/>
      </c>
      <c r="CK51" s="92" t="str">
        <f t="shared" si="18"/>
        <v/>
      </c>
      <c r="CL51" s="92" t="str">
        <f t="shared" si="18"/>
        <v/>
      </c>
      <c r="CM51" s="92" t="str">
        <f t="shared" si="18"/>
        <v/>
      </c>
      <c r="CN51" s="92" t="str">
        <f t="shared" si="18"/>
        <v/>
      </c>
      <c r="CO51" s="92" t="str">
        <f t="shared" si="18"/>
        <v/>
      </c>
      <c r="CP51" s="92" t="str">
        <f t="shared" si="18"/>
        <v/>
      </c>
      <c r="CQ51" s="92" t="str">
        <f t="shared" si="18"/>
        <v/>
      </c>
      <c r="CR51" s="92" t="str">
        <f t="shared" si="18"/>
        <v/>
      </c>
      <c r="CS51" s="92" t="str">
        <f t="shared" si="18"/>
        <v/>
      </c>
      <c r="CT51" s="92" t="str">
        <f t="shared" si="18"/>
        <v/>
      </c>
      <c r="CU51" s="92" t="str">
        <f t="shared" si="17"/>
        <v/>
      </c>
      <c r="CV51" s="92" t="str">
        <f t="shared" si="17"/>
        <v/>
      </c>
      <c r="CW51" s="92" t="str">
        <f t="shared" si="14"/>
        <v/>
      </c>
      <c r="CX51" s="92" t="str">
        <f t="shared" si="14"/>
        <v/>
      </c>
      <c r="CY51" s="92" t="str">
        <f t="shared" si="14"/>
        <v/>
      </c>
      <c r="CZ51" s="92" t="str">
        <f t="shared" si="14"/>
        <v/>
      </c>
      <c r="DA51" s="92" t="str">
        <f t="shared" si="16"/>
        <v/>
      </c>
      <c r="DB51" s="92" t="str">
        <f t="shared" si="16"/>
        <v/>
      </c>
      <c r="DC51" s="92" t="str">
        <f t="shared" si="16"/>
        <v/>
      </c>
      <c r="DD51" s="92" t="str">
        <f t="shared" si="16"/>
        <v/>
      </c>
      <c r="DE51" s="92" t="str">
        <f t="shared" si="16"/>
        <v/>
      </c>
      <c r="DF51" s="92" t="str">
        <f t="shared" si="16"/>
        <v/>
      </c>
      <c r="DG51" s="92" t="str">
        <f t="shared" si="16"/>
        <v/>
      </c>
      <c r="DH51" s="92" t="str">
        <f t="shared" si="16"/>
        <v/>
      </c>
      <c r="DI51" s="92" t="str">
        <f t="shared" si="16"/>
        <v/>
      </c>
    </row>
    <row r="52" spans="1:127">
      <c r="A52" s="41">
        <v>961176</v>
      </c>
      <c r="B52" s="1">
        <v>103</v>
      </c>
      <c r="C52" s="29" t="str">
        <f t="shared" si="4"/>
        <v>961176-103</v>
      </c>
      <c r="D52" s="28" t="s">
        <v>80</v>
      </c>
      <c r="E52" s="37" t="s">
        <v>88</v>
      </c>
      <c r="F52" s="31">
        <v>42458</v>
      </c>
      <c r="G52" s="38"/>
      <c r="H52" s="31">
        <v>42468</v>
      </c>
      <c r="I52" s="38">
        <v>31.6</v>
      </c>
      <c r="J52" s="165"/>
      <c r="K52" s="38">
        <v>6.8</v>
      </c>
      <c r="L52" s="38">
        <v>5.8</v>
      </c>
      <c r="M52" s="38">
        <f t="shared" si="5"/>
        <v>118.95104000000001</v>
      </c>
      <c r="N52" s="118"/>
      <c r="O52" s="38"/>
      <c r="P52" s="32">
        <f t="shared" si="6"/>
        <v>39.650346666666671</v>
      </c>
      <c r="Q52" s="38"/>
      <c r="R52" s="160"/>
      <c r="S52" s="236"/>
      <c r="T52" s="237">
        <v>281</v>
      </c>
      <c r="U52" s="236">
        <f t="shared" si="12"/>
        <v>22.231012658227851</v>
      </c>
      <c r="V52" s="238">
        <f t="shared" si="11"/>
        <v>5.9057911557561846</v>
      </c>
      <c r="W52" s="33"/>
      <c r="X52" s="138"/>
      <c r="Y52" s="87">
        <v>58.705919999999999</v>
      </c>
      <c r="Z52" s="93">
        <f>5.4*5.3*5.3*0.52</f>
        <v>78.876720000000006</v>
      </c>
      <c r="AA52" s="93">
        <v>118.95104000000001</v>
      </c>
      <c r="AB52" s="93">
        <f>6*5.7*5.7*0.52</f>
        <v>101.36880000000002</v>
      </c>
      <c r="AC52" s="93">
        <f>6.7*6.4*6.4*0.52</f>
        <v>142.70464000000001</v>
      </c>
      <c r="AD52" s="93">
        <f>6.6*6.6*6.6*0.52</f>
        <v>149.49791999999999</v>
      </c>
      <c r="AE52" s="93">
        <f>7.4*6.3*6.3*0.52</f>
        <v>152.72711999999999</v>
      </c>
      <c r="AF52" s="93">
        <f>8.2*7.1*7.1*0.52</f>
        <v>214.94823999999997</v>
      </c>
      <c r="AG52" s="93">
        <f>10.2*8.5*8.5*0.52</f>
        <v>383.214</v>
      </c>
      <c r="AH52" s="93">
        <f>11.6*9.2*9.2*0.52</f>
        <v>510.54847999999987</v>
      </c>
      <c r="AI52" s="93">
        <f>12.7*9.6*9.6*0.52</f>
        <v>608.62463999999989</v>
      </c>
      <c r="AJ52" s="93">
        <f>15*11.2*11.2*0.52</f>
        <v>978.43200000000002</v>
      </c>
      <c r="AK52" s="93">
        <f>15.5*12*12*0.52</f>
        <v>1160.6400000000001</v>
      </c>
      <c r="AL52" s="93">
        <f>16.9*13.8*13.8*0.52</f>
        <v>1673.5867200000002</v>
      </c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2"/>
      <c r="BR52" s="92">
        <f t="shared" si="19"/>
        <v>0.49353011121214235</v>
      </c>
      <c r="BS52" s="92">
        <f t="shared" si="19"/>
        <v>0.66310239910470725</v>
      </c>
      <c r="BT52" s="92">
        <f t="shared" si="19"/>
        <v>1</v>
      </c>
      <c r="BU52" s="92">
        <f t="shared" si="19"/>
        <v>0.85218927047632387</v>
      </c>
      <c r="BV52" s="92">
        <f t="shared" si="19"/>
        <v>1.1996922431279289</v>
      </c>
      <c r="BW52" s="92">
        <f t="shared" si="19"/>
        <v>1.2568021263202069</v>
      </c>
      <c r="BX52" s="92">
        <f t="shared" si="19"/>
        <v>1.2839494299503391</v>
      </c>
      <c r="BY52" s="92">
        <f t="shared" si="19"/>
        <v>1.8070311953556686</v>
      </c>
      <c r="BZ52" s="92">
        <f t="shared" si="19"/>
        <v>3.2216111771700353</v>
      </c>
      <c r="CA52" s="92">
        <f t="shared" si="19"/>
        <v>4.2920892494928991</v>
      </c>
      <c r="CB52" s="92">
        <f t="shared" si="19"/>
        <v>5.1165978876687408</v>
      </c>
      <c r="CC52" s="92">
        <f t="shared" si="19"/>
        <v>8.2255018535357056</v>
      </c>
      <c r="CD52" s="92">
        <f t="shared" si="19"/>
        <v>9.7572917395257743</v>
      </c>
      <c r="CE52" s="92">
        <f t="shared" si="19"/>
        <v>14.069542561376513</v>
      </c>
      <c r="CF52" s="92" t="str">
        <f t="shared" si="19"/>
        <v/>
      </c>
      <c r="CG52" s="92" t="str">
        <f t="shared" si="18"/>
        <v/>
      </c>
      <c r="CH52" s="92" t="str">
        <f t="shared" si="18"/>
        <v/>
      </c>
      <c r="CI52" s="92" t="str">
        <f t="shared" si="18"/>
        <v/>
      </c>
      <c r="CJ52" s="92" t="str">
        <f t="shared" si="18"/>
        <v/>
      </c>
      <c r="CK52" s="92" t="str">
        <f t="shared" si="18"/>
        <v/>
      </c>
      <c r="CL52" s="92" t="str">
        <f t="shared" si="18"/>
        <v/>
      </c>
      <c r="CM52" s="92" t="str">
        <f t="shared" si="18"/>
        <v/>
      </c>
      <c r="CN52" s="92" t="str">
        <f t="shared" si="18"/>
        <v/>
      </c>
      <c r="CO52" s="92" t="str">
        <f t="shared" si="18"/>
        <v/>
      </c>
      <c r="CP52" s="92" t="str">
        <f t="shared" si="18"/>
        <v/>
      </c>
      <c r="CQ52" s="92" t="str">
        <f t="shared" si="18"/>
        <v/>
      </c>
      <c r="CR52" s="92" t="str">
        <f t="shared" si="18"/>
        <v/>
      </c>
      <c r="CS52" s="92" t="str">
        <f t="shared" si="18"/>
        <v/>
      </c>
      <c r="CT52" s="92" t="str">
        <f t="shared" si="18"/>
        <v/>
      </c>
      <c r="CU52" s="92" t="str">
        <f t="shared" si="17"/>
        <v/>
      </c>
      <c r="CV52" s="92" t="str">
        <f t="shared" si="17"/>
        <v/>
      </c>
      <c r="CW52" s="92" t="str">
        <f t="shared" si="17"/>
        <v/>
      </c>
      <c r="CX52" s="92" t="str">
        <f t="shared" si="17"/>
        <v/>
      </c>
      <c r="CY52" s="92" t="str">
        <f t="shared" si="17"/>
        <v/>
      </c>
      <c r="CZ52" s="92" t="str">
        <f t="shared" si="17"/>
        <v/>
      </c>
      <c r="DA52" s="92" t="str">
        <f t="shared" si="16"/>
        <v/>
      </c>
      <c r="DB52" s="92" t="str">
        <f t="shared" si="16"/>
        <v/>
      </c>
      <c r="DC52" s="92" t="str">
        <f t="shared" si="16"/>
        <v/>
      </c>
      <c r="DD52" s="92" t="str">
        <f t="shared" si="16"/>
        <v/>
      </c>
      <c r="DE52" s="92" t="str">
        <f t="shared" si="16"/>
        <v/>
      </c>
      <c r="DF52" s="92" t="str">
        <f t="shared" si="16"/>
        <v/>
      </c>
      <c r="DG52" s="92" t="str">
        <f t="shared" si="16"/>
        <v/>
      </c>
      <c r="DH52" s="92" t="str">
        <f t="shared" si="16"/>
        <v/>
      </c>
      <c r="DI52" s="92" t="str">
        <f t="shared" si="16"/>
        <v/>
      </c>
    </row>
    <row r="53" spans="1:127">
      <c r="A53" s="41">
        <v>961176</v>
      </c>
      <c r="B53" s="4">
        <v>105</v>
      </c>
      <c r="C53" s="100" t="str">
        <f t="shared" si="4"/>
        <v>961176-105</v>
      </c>
      <c r="D53" s="28" t="s">
        <v>80</v>
      </c>
      <c r="E53" s="37" t="s">
        <v>82</v>
      </c>
      <c r="F53" s="31">
        <v>42458</v>
      </c>
      <c r="G53" s="45"/>
      <c r="H53" s="31">
        <v>42468</v>
      </c>
      <c r="I53" s="45">
        <v>27.8</v>
      </c>
      <c r="J53" s="166"/>
      <c r="K53" s="45">
        <v>6.1</v>
      </c>
      <c r="L53" s="45">
        <v>5.4</v>
      </c>
      <c r="M53" s="38">
        <f t="shared" si="5"/>
        <v>92.495519999999999</v>
      </c>
      <c r="N53" s="118">
        <f>5.71/560*1000</f>
        <v>10.196428571428571</v>
      </c>
      <c r="O53" s="38">
        <f>M53*10/3</f>
        <v>308.3184</v>
      </c>
      <c r="P53" s="32">
        <f t="shared" si="6"/>
        <v>30.83184</v>
      </c>
      <c r="Q53" s="45">
        <v>258</v>
      </c>
      <c r="R53" s="160">
        <f>Q53/O53</f>
        <v>0.83679728488471661</v>
      </c>
      <c r="S53" s="236">
        <f>Q53/M53</f>
        <v>2.7893242829490554</v>
      </c>
      <c r="T53" s="239">
        <v>247.4</v>
      </c>
      <c r="U53" s="236">
        <f t="shared" si="12"/>
        <v>22.24820143884892</v>
      </c>
      <c r="V53" s="238">
        <f t="shared" si="11"/>
        <v>6.686810344976708</v>
      </c>
      <c r="W53" s="46"/>
      <c r="X53" s="138"/>
      <c r="Y53" s="102">
        <v>79.798680000000004</v>
      </c>
      <c r="Z53" s="94">
        <f>6.3*5.5*5.5*0.52</f>
        <v>99.099000000000004</v>
      </c>
      <c r="AA53" s="94">
        <v>92.495519999999999</v>
      </c>
      <c r="AB53" s="94">
        <f>8.3*6.3*6.3*0.52</f>
        <v>171.30204000000001</v>
      </c>
      <c r="AC53" s="94">
        <f>8.3*6.4*6.4*0.52</f>
        <v>176.78336000000004</v>
      </c>
      <c r="AD53" s="94">
        <f>8.9*6.6*6.6*0.52</f>
        <v>201.59567999999999</v>
      </c>
      <c r="AE53" s="94">
        <f>7.9*6.2*6.2*0.52</f>
        <v>157.91152000000002</v>
      </c>
      <c r="AF53" s="94">
        <f>7.9*5.6*5.6*0.52</f>
        <v>128.82688000000002</v>
      </c>
      <c r="AG53" s="94">
        <f>7.3*6.3*6.3*0.52</f>
        <v>150.66324</v>
      </c>
      <c r="AH53" s="94">
        <f>6.8*6.5*6.5*0.52</f>
        <v>149.39599999999999</v>
      </c>
      <c r="AI53" s="94">
        <f>8.2*6.9*6.9*0.52</f>
        <v>203.00904</v>
      </c>
      <c r="AJ53" s="94">
        <f>7.4*6.5*6.5*0.52</f>
        <v>162.57800000000003</v>
      </c>
      <c r="AK53" s="94">
        <f>8.4*7.5*7.5*0.52</f>
        <v>245.70000000000002</v>
      </c>
      <c r="AL53" s="94">
        <f>8.7*7.3*7.3*0.52</f>
        <v>241.08395999999996</v>
      </c>
      <c r="AM53" s="94">
        <f>11.2*8.3*8.3*0.52</f>
        <v>401.21536000000009</v>
      </c>
      <c r="AN53" s="94">
        <f>11.1*8.5*8.5*0.52</f>
        <v>417.02699999999999</v>
      </c>
      <c r="AO53" s="94">
        <f>12.3*10.5*10.5*0.52</f>
        <v>705.15899999999999</v>
      </c>
      <c r="AP53" s="94">
        <f>12.1*10.1*10.1*0.52</f>
        <v>641.84691999999995</v>
      </c>
      <c r="AQ53" s="94">
        <f>12.8*11*11*0.52</f>
        <v>805.37600000000009</v>
      </c>
      <c r="AR53" s="94">
        <f>13.2*11.1*11.1*0.52</f>
        <v>845.71343999999999</v>
      </c>
      <c r="AS53" s="94">
        <f>14.1*12.3*12.3*0.52</f>
        <v>1109.2582800000002</v>
      </c>
      <c r="AT53" s="94">
        <f>15.4*12.4*12.4*0.52</f>
        <v>1231.31008</v>
      </c>
      <c r="AU53" s="94">
        <f>16.9*14.6*14.6*0.52</f>
        <v>1873.2500799999998</v>
      </c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5"/>
      <c r="BR53" s="92">
        <f t="shared" si="19"/>
        <v>0.8627302165553532</v>
      </c>
      <c r="BS53" s="92">
        <f t="shared" si="19"/>
        <v>1.0713924306820481</v>
      </c>
      <c r="BT53" s="92">
        <f t="shared" si="19"/>
        <v>1</v>
      </c>
      <c r="BU53" s="92">
        <f t="shared" si="19"/>
        <v>1.8520036429872495</v>
      </c>
      <c r="BV53" s="92">
        <f t="shared" si="19"/>
        <v>1.91126402662529</v>
      </c>
      <c r="BW53" s="92">
        <f t="shared" si="19"/>
        <v>2.1795183161303378</v>
      </c>
      <c r="BX53" s="92">
        <f t="shared" si="19"/>
        <v>1.7072342530751763</v>
      </c>
      <c r="BY53" s="92">
        <f t="shared" si="19"/>
        <v>1.3927904832580003</v>
      </c>
      <c r="BZ53" s="92">
        <f t="shared" si="19"/>
        <v>1.6288706739526413</v>
      </c>
      <c r="CA53" s="92">
        <f t="shared" si="19"/>
        <v>1.6151701185095233</v>
      </c>
      <c r="CB53" s="92">
        <f t="shared" si="19"/>
        <v>2.1947986237603723</v>
      </c>
      <c r="CC53" s="92">
        <f t="shared" si="19"/>
        <v>1.7576851289662465</v>
      </c>
      <c r="CD53" s="92">
        <f t="shared" si="19"/>
        <v>2.6563448694596237</v>
      </c>
      <c r="CE53" s="92">
        <f t="shared" si="19"/>
        <v>2.606439317277204</v>
      </c>
      <c r="CF53" s="92">
        <f t="shared" si="19"/>
        <v>4.337673435426928</v>
      </c>
      <c r="CG53" s="92">
        <f t="shared" si="18"/>
        <v>4.5086183633542465</v>
      </c>
      <c r="CH53" s="92">
        <f t="shared" si="18"/>
        <v>7.6237097753491199</v>
      </c>
      <c r="CI53" s="92">
        <f t="shared" si="18"/>
        <v>6.9392217050079825</v>
      </c>
      <c r="CJ53" s="92">
        <f t="shared" si="18"/>
        <v>8.7071892779239484</v>
      </c>
      <c r="CK53" s="92">
        <f t="shared" si="18"/>
        <v>9.1432908318154222</v>
      </c>
      <c r="CL53" s="92">
        <f t="shared" si="18"/>
        <v>11.992562234365515</v>
      </c>
      <c r="CM53" s="92">
        <f t="shared" si="18"/>
        <v>13.31210506195327</v>
      </c>
      <c r="CN53" s="92">
        <f t="shared" si="18"/>
        <v>20.252333085970001</v>
      </c>
      <c r="CO53" s="92" t="str">
        <f t="shared" si="18"/>
        <v/>
      </c>
      <c r="CP53" s="92" t="str">
        <f t="shared" si="18"/>
        <v/>
      </c>
      <c r="CQ53" s="92" t="str">
        <f t="shared" si="18"/>
        <v/>
      </c>
      <c r="CR53" s="92" t="str">
        <f t="shared" si="18"/>
        <v/>
      </c>
      <c r="CS53" s="92" t="str">
        <f t="shared" si="18"/>
        <v/>
      </c>
      <c r="CT53" s="92" t="str">
        <f t="shared" si="18"/>
        <v/>
      </c>
      <c r="CU53" s="92" t="str">
        <f t="shared" si="17"/>
        <v/>
      </c>
      <c r="CV53" s="92" t="str">
        <f t="shared" si="17"/>
        <v/>
      </c>
      <c r="CW53" s="92" t="str">
        <f t="shared" si="17"/>
        <v/>
      </c>
      <c r="CX53" s="92" t="str">
        <f t="shared" si="17"/>
        <v/>
      </c>
      <c r="CY53" s="92" t="str">
        <f t="shared" si="17"/>
        <v/>
      </c>
      <c r="CZ53" s="92" t="str">
        <f t="shared" si="17"/>
        <v/>
      </c>
      <c r="DA53" s="92" t="str">
        <f t="shared" si="16"/>
        <v/>
      </c>
      <c r="DB53" s="92" t="str">
        <f t="shared" si="16"/>
        <v/>
      </c>
      <c r="DC53" s="92" t="str">
        <f t="shared" si="16"/>
        <v/>
      </c>
      <c r="DD53" s="92" t="str">
        <f t="shared" si="16"/>
        <v/>
      </c>
      <c r="DE53" s="92" t="str">
        <f t="shared" si="16"/>
        <v/>
      </c>
      <c r="DF53" s="92" t="str">
        <f t="shared" si="16"/>
        <v/>
      </c>
      <c r="DG53" s="92" t="str">
        <f t="shared" si="16"/>
        <v/>
      </c>
      <c r="DH53" s="92" t="str">
        <f t="shared" si="16"/>
        <v/>
      </c>
      <c r="DI53" s="92" t="str">
        <f t="shared" si="16"/>
        <v/>
      </c>
    </row>
    <row r="54" spans="1:127">
      <c r="A54" s="240"/>
      <c r="B54" s="241"/>
      <c r="C54" s="242"/>
      <c r="D54" s="241"/>
      <c r="E54" s="243"/>
      <c r="F54" s="244"/>
      <c r="G54" s="245"/>
      <c r="H54" s="244"/>
      <c r="I54" s="245"/>
      <c r="J54" s="246"/>
      <c r="K54" s="247"/>
      <c r="L54" s="247"/>
      <c r="M54" s="245"/>
      <c r="N54" s="248"/>
      <c r="O54" s="245"/>
      <c r="P54" s="245"/>
      <c r="Q54" s="245"/>
      <c r="R54" s="249"/>
      <c r="S54" s="250"/>
      <c r="T54" s="251"/>
      <c r="U54" s="251"/>
      <c r="V54" s="251"/>
      <c r="W54" s="248"/>
      <c r="X54" s="241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252"/>
      <c r="AV54" s="252"/>
      <c r="AW54" s="252"/>
      <c r="AX54" s="252"/>
      <c r="AY54" s="252"/>
      <c r="AZ54" s="252"/>
      <c r="BA54" s="252"/>
      <c r="BB54" s="252"/>
      <c r="BC54" s="252"/>
      <c r="BD54" s="252"/>
      <c r="BE54" s="252"/>
      <c r="BF54" s="252"/>
      <c r="BG54" s="252"/>
      <c r="BH54" s="252"/>
      <c r="BI54" s="252"/>
      <c r="BJ54" s="252"/>
      <c r="BK54" s="252"/>
      <c r="BL54" s="252"/>
      <c r="BM54" s="252"/>
      <c r="BN54" s="252"/>
      <c r="BO54" s="252"/>
      <c r="BP54" s="252"/>
      <c r="BQ54" s="241"/>
      <c r="BR54" s="241"/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  <c r="CV54" s="241"/>
      <c r="CW54" s="241"/>
      <c r="CX54" s="241"/>
      <c r="CY54" s="241"/>
      <c r="CZ54" s="241"/>
      <c r="DA54" s="241"/>
      <c r="DB54" s="241"/>
      <c r="DC54" s="241"/>
      <c r="DD54" s="241"/>
      <c r="DE54" s="241"/>
      <c r="DF54" s="241"/>
      <c r="DG54" s="241"/>
      <c r="DH54" s="241"/>
      <c r="DI54" s="241"/>
    </row>
    <row r="55" spans="1:127" ht="14.25" customHeight="1">
      <c r="A55" s="59"/>
      <c r="B55" s="59"/>
      <c r="C55" s="59"/>
      <c r="E55" s="104" t="s">
        <v>20</v>
      </c>
      <c r="H55" s="286" t="str">
        <f>E55</f>
        <v>Total</v>
      </c>
      <c r="I55" s="63">
        <f>AVERAGE(I5:I53)</f>
        <v>28.253061224489798</v>
      </c>
      <c r="J55" s="63"/>
      <c r="K55" s="63"/>
      <c r="L55" s="63"/>
      <c r="M55" s="63">
        <f t="shared" ref="M55:W55" si="20">AVERAGE(M5:M53)</f>
        <v>107.38880816326532</v>
      </c>
      <c r="N55" s="63">
        <f t="shared" si="20"/>
        <v>10.248966386554628</v>
      </c>
      <c r="O55" s="63">
        <f t="shared" si="20"/>
        <v>350.61519999999996</v>
      </c>
      <c r="P55" s="63">
        <f t="shared" si="20"/>
        <v>35.796269387755096</v>
      </c>
      <c r="Q55" s="63">
        <f t="shared" si="20"/>
        <v>324.2</v>
      </c>
      <c r="R55" s="147" t="e">
        <f t="shared" si="20"/>
        <v>#DIV/0!</v>
      </c>
      <c r="S55" s="253">
        <f t="shared" si="20"/>
        <v>1.7010066356282592</v>
      </c>
      <c r="T55" s="253">
        <f t="shared" si="20"/>
        <v>228.71428571428567</v>
      </c>
      <c r="U55" s="253">
        <f t="shared" si="20"/>
        <v>20.424569707990074</v>
      </c>
      <c r="V55" s="253">
        <f t="shared" si="20"/>
        <v>6.6490795533639044</v>
      </c>
      <c r="W55" s="63" t="e">
        <f t="shared" si="20"/>
        <v>#DIV/0!</v>
      </c>
      <c r="X55" s="81" t="s">
        <v>10</v>
      </c>
      <c r="Y55" s="87">
        <f t="shared" ref="Y55:BP55" si="21">AVERAGE(Y5:Y53)</f>
        <v>63.914908571428569</v>
      </c>
      <c r="Z55" s="87">
        <f t="shared" si="21"/>
        <v>84.803223673469361</v>
      </c>
      <c r="AA55" s="87">
        <f t="shared" si="21"/>
        <v>107.38880816326532</v>
      </c>
      <c r="AB55" s="87">
        <f t="shared" si="21"/>
        <v>142.59811428571433</v>
      </c>
      <c r="AC55" s="87">
        <f t="shared" si="21"/>
        <v>160.85522938775514</v>
      </c>
      <c r="AD55" s="87">
        <f t="shared" si="21"/>
        <v>183.28868734693881</v>
      </c>
      <c r="AE55" s="87">
        <f t="shared" si="21"/>
        <v>190.80700653061223</v>
      </c>
      <c r="AF55" s="87">
        <f t="shared" si="21"/>
        <v>255.7068163265306</v>
      </c>
      <c r="AG55" s="87">
        <f t="shared" si="21"/>
        <v>316.91077166666662</v>
      </c>
      <c r="AH55" s="87">
        <f t="shared" si="21"/>
        <v>405.6346125</v>
      </c>
      <c r="AI55" s="87">
        <f t="shared" si="21"/>
        <v>495.62352666666658</v>
      </c>
      <c r="AJ55" s="87">
        <f t="shared" si="21"/>
        <v>745.35597500000029</v>
      </c>
      <c r="AK55" s="87">
        <f t="shared" si="21"/>
        <v>796.87063733333343</v>
      </c>
      <c r="AL55" s="87">
        <f t="shared" si="21"/>
        <v>909.93851000000029</v>
      </c>
      <c r="AM55" s="87">
        <f t="shared" si="21"/>
        <v>886.1758244444444</v>
      </c>
      <c r="AN55" s="87">
        <f t="shared" si="21"/>
        <v>999.2640981818181</v>
      </c>
      <c r="AO55" s="87">
        <f t="shared" si="21"/>
        <v>740.58284695652162</v>
      </c>
      <c r="AP55" s="87">
        <f t="shared" si="21"/>
        <v>801.4821305263157</v>
      </c>
      <c r="AQ55" s="87">
        <f t="shared" si="21"/>
        <v>862.41021176470588</v>
      </c>
      <c r="AR55" s="87">
        <f t="shared" si="21"/>
        <v>845.72247499999992</v>
      </c>
      <c r="AS55" s="87">
        <f t="shared" si="21"/>
        <v>1109.0624350000001</v>
      </c>
      <c r="AT55" s="87">
        <f t="shared" si="21"/>
        <v>985.23446666666644</v>
      </c>
      <c r="AU55" s="87">
        <f t="shared" si="21"/>
        <v>1211.8920036363636</v>
      </c>
      <c r="AV55" s="87">
        <f t="shared" si="21"/>
        <v>674.47293333333334</v>
      </c>
      <c r="AW55" s="87">
        <f t="shared" si="21"/>
        <v>561.82744800000012</v>
      </c>
      <c r="AX55" s="87">
        <f t="shared" si="21"/>
        <v>644.78887200000008</v>
      </c>
      <c r="AY55" s="87">
        <f t="shared" si="21"/>
        <v>866.71353599999998</v>
      </c>
      <c r="AZ55" s="87">
        <f t="shared" si="21"/>
        <v>715.5131100000001</v>
      </c>
      <c r="BA55" s="87">
        <f t="shared" si="21"/>
        <v>930.24658999999997</v>
      </c>
      <c r="BB55" s="87">
        <f t="shared" si="21"/>
        <v>819.57096000000001</v>
      </c>
      <c r="BC55" s="87">
        <f t="shared" si="21"/>
        <v>330.39760000000001</v>
      </c>
      <c r="BD55" s="87">
        <f t="shared" si="21"/>
        <v>380.7320400000001</v>
      </c>
      <c r="BE55" s="87">
        <f t="shared" si="21"/>
        <v>425.41200000000003</v>
      </c>
      <c r="BF55" s="87">
        <f t="shared" si="21"/>
        <v>454.93786</v>
      </c>
      <c r="BG55" s="87">
        <f t="shared" si="21"/>
        <v>524.51386000000002</v>
      </c>
      <c r="BH55" s="87">
        <f t="shared" si="21"/>
        <v>732.47173999999995</v>
      </c>
      <c r="BI55" s="87">
        <f t="shared" si="21"/>
        <v>742.70976000000007</v>
      </c>
      <c r="BJ55" s="87">
        <f t="shared" si="21"/>
        <v>1099.8181999999999</v>
      </c>
      <c r="BK55" s="87">
        <f t="shared" si="21"/>
        <v>1306.5769599999999</v>
      </c>
      <c r="BL55" s="87">
        <f t="shared" si="21"/>
        <v>1797.9975000000004</v>
      </c>
      <c r="BM55" s="87">
        <f t="shared" si="21"/>
        <v>1764.15876</v>
      </c>
      <c r="BN55" s="87" t="e">
        <f t="shared" si="21"/>
        <v>#DIV/0!</v>
      </c>
      <c r="BO55" s="87" t="e">
        <f t="shared" si="21"/>
        <v>#DIV/0!</v>
      </c>
      <c r="BP55" s="87" t="e">
        <f t="shared" si="21"/>
        <v>#DIV/0!</v>
      </c>
      <c r="BQ55" s="112" t="s">
        <v>10</v>
      </c>
      <c r="BR55" s="82">
        <f t="shared" ref="BR55:DI55" si="22">AVERAGE(BR5:BR53)</f>
        <v>0.61568341383359648</v>
      </c>
      <c r="BS55" s="82">
        <f t="shared" si="22"/>
        <v>0.81793924568329579</v>
      </c>
      <c r="BT55" s="82">
        <f t="shared" si="22"/>
        <v>1</v>
      </c>
      <c r="BU55" s="82">
        <f t="shared" si="22"/>
        <v>1.4250064093214569</v>
      </c>
      <c r="BV55" s="82">
        <f t="shared" si="22"/>
        <v>1.6674640263793512</v>
      </c>
      <c r="BW55" s="82">
        <f t="shared" si="22"/>
        <v>1.9610505419085524</v>
      </c>
      <c r="BX55" s="82">
        <f t="shared" si="22"/>
        <v>1.9851280157944939</v>
      </c>
      <c r="BY55" s="82">
        <f t="shared" si="22"/>
        <v>2.5802698143302965</v>
      </c>
      <c r="BZ55" s="82">
        <f t="shared" si="22"/>
        <v>3.1780106939369941</v>
      </c>
      <c r="CA55" s="82">
        <f t="shared" si="22"/>
        <v>4.0609814616206714</v>
      </c>
      <c r="CB55" s="82">
        <f t="shared" si="22"/>
        <v>5.0027332642202902</v>
      </c>
      <c r="CC55" s="82">
        <f t="shared" si="22"/>
        <v>7.7195707263348368</v>
      </c>
      <c r="CD55" s="82">
        <f t="shared" si="22"/>
        <v>8.452090523578212</v>
      </c>
      <c r="CE55" s="82">
        <f t="shared" si="22"/>
        <v>9.7493367019020489</v>
      </c>
      <c r="CF55" s="82">
        <f t="shared" si="22"/>
        <v>9.9929233206676855</v>
      </c>
      <c r="CG55" s="82">
        <f t="shared" si="22"/>
        <v>11.764276359079952</v>
      </c>
      <c r="CH55" s="82">
        <f t="shared" si="22"/>
        <v>8.5299782835854963</v>
      </c>
      <c r="CI55" s="82">
        <f t="shared" si="22"/>
        <v>9.2172801115338192</v>
      </c>
      <c r="CJ55" s="82">
        <f t="shared" si="22"/>
        <v>10.351616280393173</v>
      </c>
      <c r="CK55" s="82">
        <f t="shared" si="22"/>
        <v>10.659234171256406</v>
      </c>
      <c r="CL55" s="82">
        <f t="shared" si="22"/>
        <v>14.083682369941421</v>
      </c>
      <c r="CM55" s="82">
        <f t="shared" si="22"/>
        <v>10.352447857335379</v>
      </c>
      <c r="CN55" s="82">
        <f t="shared" si="22"/>
        <v>12.16153227468422</v>
      </c>
      <c r="CO55" s="82">
        <f t="shared" si="22"/>
        <v>7.4298427339417445</v>
      </c>
      <c r="CP55" s="82">
        <f t="shared" si="22"/>
        <v>7.9283192746872091</v>
      </c>
      <c r="CQ55" s="82">
        <f t="shared" si="22"/>
        <v>9.164346907436947</v>
      </c>
      <c r="CR55" s="82">
        <f t="shared" si="22"/>
        <v>12.202994833788702</v>
      </c>
      <c r="CS55" s="82">
        <f t="shared" si="22"/>
        <v>8.0548623982171694</v>
      </c>
      <c r="CT55" s="82">
        <f t="shared" si="22"/>
        <v>10.605361999974177</v>
      </c>
      <c r="CU55" s="82">
        <f t="shared" si="22"/>
        <v>12.055310201972366</v>
      </c>
      <c r="CV55" s="82">
        <f t="shared" si="22"/>
        <v>6.1598705859658676</v>
      </c>
      <c r="CW55" s="82">
        <f t="shared" si="22"/>
        <v>6.7576697931776888</v>
      </c>
      <c r="CX55" s="82">
        <f t="shared" si="22"/>
        <v>6.7311138322516513</v>
      </c>
      <c r="CY55" s="82">
        <f t="shared" si="22"/>
        <v>7.0570448665577343</v>
      </c>
      <c r="CZ55" s="82">
        <f t="shared" si="22"/>
        <v>7.5945924585654581</v>
      </c>
      <c r="DA55" s="82">
        <f t="shared" si="22"/>
        <v>10.408589239641893</v>
      </c>
      <c r="DB55" s="82">
        <f t="shared" si="22"/>
        <v>10.217127642434289</v>
      </c>
      <c r="DC55" s="82">
        <f t="shared" si="22"/>
        <v>15.608202802605417</v>
      </c>
      <c r="DD55" s="82">
        <f t="shared" si="22"/>
        <v>19.143081587742156</v>
      </c>
      <c r="DE55" s="82">
        <f t="shared" si="22"/>
        <v>25.319927978515629</v>
      </c>
      <c r="DF55" s="82">
        <f t="shared" si="22"/>
        <v>42.738888888888887</v>
      </c>
      <c r="DG55" s="82" t="e">
        <f t="shared" si="22"/>
        <v>#DIV/0!</v>
      </c>
      <c r="DH55" s="82" t="e">
        <f t="shared" si="22"/>
        <v>#DIV/0!</v>
      </c>
      <c r="DI55" s="82" t="e">
        <f t="shared" si="22"/>
        <v>#DIV/0!</v>
      </c>
    </row>
    <row r="56" spans="1:127" ht="14.25" customHeight="1">
      <c r="E56" s="254"/>
      <c r="H56" s="286"/>
      <c r="I56" s="63">
        <f>_xlfn.STDEV.P(I5:I53)</f>
        <v>2.489824355809497</v>
      </c>
      <c r="J56" s="63"/>
      <c r="K56" s="63"/>
      <c r="L56" s="63"/>
      <c r="M56" s="63">
        <f t="shared" ref="M56:W56" si="23">_xlfn.STDEV.P(M5:M53)</f>
        <v>34.606034803108052</v>
      </c>
      <c r="N56" s="63">
        <f t="shared" si="23"/>
        <v>5.468309171706881E-2</v>
      </c>
      <c r="O56" s="63">
        <f t="shared" si="23"/>
        <v>128.78380188878353</v>
      </c>
      <c r="P56" s="63">
        <f t="shared" si="23"/>
        <v>11.535344934369384</v>
      </c>
      <c r="Q56" s="63">
        <f t="shared" si="23"/>
        <v>133.15554813825821</v>
      </c>
      <c r="R56" s="147" t="e">
        <f t="shared" si="23"/>
        <v>#DIV/0!</v>
      </c>
      <c r="S56" s="253">
        <f t="shared" si="23"/>
        <v>2.1186302636887113</v>
      </c>
      <c r="T56" s="253">
        <f t="shared" si="23"/>
        <v>160.80343559128079</v>
      </c>
      <c r="U56" s="253">
        <f t="shared" si="23"/>
        <v>14.623980136962354</v>
      </c>
      <c r="V56" s="253">
        <f t="shared" si="23"/>
        <v>6.1033456566498065</v>
      </c>
      <c r="W56" s="63" t="e">
        <f t="shared" si="23"/>
        <v>#DIV/0!</v>
      </c>
      <c r="X56" s="81" t="s">
        <v>12</v>
      </c>
      <c r="Y56" s="90">
        <f t="shared" ref="Y56:BP56" si="24">STDEVA(Y5:Y53)</f>
        <v>25.827442877877061</v>
      </c>
      <c r="Z56" s="90">
        <f t="shared" si="24"/>
        <v>30.85884872191663</v>
      </c>
      <c r="AA56" s="90">
        <f t="shared" si="24"/>
        <v>34.96465614102997</v>
      </c>
      <c r="AB56" s="90">
        <f t="shared" si="24"/>
        <v>52.258256672539083</v>
      </c>
      <c r="AC56" s="90">
        <f t="shared" si="24"/>
        <v>45.076870105451029</v>
      </c>
      <c r="AD56" s="90">
        <f t="shared" si="24"/>
        <v>63.829020671997718</v>
      </c>
      <c r="AE56" s="90">
        <f t="shared" si="24"/>
        <v>88.161577983708028</v>
      </c>
      <c r="AF56" s="90">
        <f t="shared" si="24"/>
        <v>140.4412681426403</v>
      </c>
      <c r="AG56" s="90">
        <f t="shared" si="24"/>
        <v>195.02873572454808</v>
      </c>
      <c r="AH56" s="90">
        <f t="shared" si="24"/>
        <v>278.80147020002772</v>
      </c>
      <c r="AI56" s="90">
        <f t="shared" si="24"/>
        <v>343.07465608487587</v>
      </c>
      <c r="AJ56" s="90">
        <f t="shared" si="24"/>
        <v>534.15731357151151</v>
      </c>
      <c r="AK56" s="90">
        <f t="shared" si="24"/>
        <v>546.00356681010715</v>
      </c>
      <c r="AL56" s="90">
        <f t="shared" si="24"/>
        <v>635.17230579973625</v>
      </c>
      <c r="AM56" s="90">
        <f t="shared" si="24"/>
        <v>608.03638104562981</v>
      </c>
      <c r="AN56" s="90">
        <f t="shared" si="24"/>
        <v>686.26839064760202</v>
      </c>
      <c r="AO56" s="90">
        <f t="shared" si="24"/>
        <v>525.6743066444202</v>
      </c>
      <c r="AP56" s="90">
        <f t="shared" si="24"/>
        <v>506.2549706676337</v>
      </c>
      <c r="AQ56" s="90">
        <f t="shared" si="24"/>
        <v>511.76872041793496</v>
      </c>
      <c r="AR56" s="90">
        <f t="shared" si="24"/>
        <v>529.12238931202091</v>
      </c>
      <c r="AS56" s="90">
        <f t="shared" si="24"/>
        <v>669.07132225704106</v>
      </c>
      <c r="AT56" s="90">
        <f t="shared" si="24"/>
        <v>652.70305463524539</v>
      </c>
      <c r="AU56" s="90">
        <f t="shared" si="24"/>
        <v>758.16475840635906</v>
      </c>
      <c r="AV56" s="90">
        <f t="shared" si="24"/>
        <v>566.16110439810086</v>
      </c>
      <c r="AW56" s="90">
        <f t="shared" si="24"/>
        <v>392.72392886401423</v>
      </c>
      <c r="AX56" s="90">
        <f t="shared" si="24"/>
        <v>478.93808350036096</v>
      </c>
      <c r="AY56" s="90">
        <f t="shared" si="24"/>
        <v>710.71624194124661</v>
      </c>
      <c r="AZ56" s="90">
        <f t="shared" si="24"/>
        <v>588.77580972093665</v>
      </c>
      <c r="BA56" s="90">
        <f t="shared" si="24"/>
        <v>756.52173166925058</v>
      </c>
      <c r="BB56" s="90">
        <f t="shared" si="24"/>
        <v>956.38313091482905</v>
      </c>
      <c r="BC56" s="90">
        <f t="shared" si="24"/>
        <v>166.0836568459064</v>
      </c>
      <c r="BD56" s="90">
        <f t="shared" si="24"/>
        <v>135.76568992720925</v>
      </c>
      <c r="BE56" s="90">
        <f t="shared" si="24"/>
        <v>17.870002574146422</v>
      </c>
      <c r="BF56" s="90">
        <f t="shared" si="24"/>
        <v>3.9530946023589562</v>
      </c>
      <c r="BG56" s="90">
        <f t="shared" si="24"/>
        <v>93.014098789484279</v>
      </c>
      <c r="BH56" s="90">
        <f t="shared" si="24"/>
        <v>162.07393713251059</v>
      </c>
      <c r="BI56" s="90">
        <f t="shared" si="24"/>
        <v>219.35832624843616</v>
      </c>
      <c r="BJ56" s="90">
        <f t="shared" si="24"/>
        <v>246.69795940477579</v>
      </c>
      <c r="BK56" s="90">
        <f t="shared" si="24"/>
        <v>194.99923302761297</v>
      </c>
      <c r="BL56" s="90">
        <f t="shared" si="24"/>
        <v>435.40261271907775</v>
      </c>
      <c r="BM56" s="90" t="e">
        <f t="shared" si="24"/>
        <v>#DIV/0!</v>
      </c>
      <c r="BN56" s="90" t="e">
        <f t="shared" si="24"/>
        <v>#DIV/0!</v>
      </c>
      <c r="BO56" s="90" t="e">
        <f t="shared" si="24"/>
        <v>#DIV/0!</v>
      </c>
      <c r="BP56" s="90" t="e">
        <f t="shared" si="24"/>
        <v>#DIV/0!</v>
      </c>
      <c r="BQ56" s="113" t="s">
        <v>12</v>
      </c>
      <c r="BR56" s="83">
        <f t="shared" ref="BR56:DI56" si="25">STDEVA(BR5:BR53)</f>
        <v>0.22101250066270853</v>
      </c>
      <c r="BS56" s="83">
        <f t="shared" si="25"/>
        <v>0.2580796713261852</v>
      </c>
      <c r="BT56" s="83">
        <f t="shared" si="25"/>
        <v>0</v>
      </c>
      <c r="BU56" s="83">
        <f t="shared" si="25"/>
        <v>0.65820030190970669</v>
      </c>
      <c r="BV56" s="83">
        <f t="shared" si="25"/>
        <v>0.73215486899367277</v>
      </c>
      <c r="BW56" s="83">
        <f t="shared" si="25"/>
        <v>1.2185434152873831</v>
      </c>
      <c r="BX56" s="83">
        <f t="shared" si="25"/>
        <v>1.1879581813290683</v>
      </c>
      <c r="BY56" s="83">
        <f t="shared" si="25"/>
        <v>1.5463458387020501</v>
      </c>
      <c r="BZ56" s="83">
        <f t="shared" si="25"/>
        <v>2.0809516220668969</v>
      </c>
      <c r="CA56" s="83">
        <f t="shared" si="25"/>
        <v>2.9871086290664093</v>
      </c>
      <c r="CB56" s="83">
        <f t="shared" si="25"/>
        <v>3.9107316441824063</v>
      </c>
      <c r="CC56" s="83">
        <f t="shared" si="25"/>
        <v>6.3089947501312276</v>
      </c>
      <c r="CD56" s="83">
        <f t="shared" si="25"/>
        <v>7.0963117762626062</v>
      </c>
      <c r="CE56" s="83">
        <f t="shared" si="25"/>
        <v>8.337780245895356</v>
      </c>
      <c r="CF56" s="83">
        <f t="shared" si="25"/>
        <v>9.2917822055579258</v>
      </c>
      <c r="CG56" s="83">
        <f t="shared" si="25"/>
        <v>11.018731201461677</v>
      </c>
      <c r="CH56" s="83">
        <f t="shared" si="25"/>
        <v>6.9921359742236229</v>
      </c>
      <c r="CI56" s="83">
        <f t="shared" si="25"/>
        <v>6.6639409782625814</v>
      </c>
      <c r="CJ56" s="83">
        <f t="shared" si="25"/>
        <v>7.6407302700245223</v>
      </c>
      <c r="CK56" s="83">
        <f t="shared" si="25"/>
        <v>7.9571809486605725</v>
      </c>
      <c r="CL56" s="83">
        <f t="shared" si="25"/>
        <v>10.759614410159951</v>
      </c>
      <c r="CM56" s="83">
        <f t="shared" si="25"/>
        <v>5.6824449990777266</v>
      </c>
      <c r="CN56" s="83">
        <f t="shared" si="25"/>
        <v>5.9851526014303182</v>
      </c>
      <c r="CO56" s="83">
        <f t="shared" si="25"/>
        <v>2.9867325543104442</v>
      </c>
      <c r="CP56" s="83">
        <f t="shared" si="25"/>
        <v>3.0554476580792662</v>
      </c>
      <c r="CQ56" s="83">
        <f t="shared" si="25"/>
        <v>3.6199258996855961</v>
      </c>
      <c r="CR56" s="83">
        <f t="shared" si="25"/>
        <v>5.0753470162842564</v>
      </c>
      <c r="CS56" s="83">
        <f t="shared" si="25"/>
        <v>2.6456563495653356</v>
      </c>
      <c r="CT56" s="83">
        <f t="shared" si="25"/>
        <v>3.5073833912990131</v>
      </c>
      <c r="CU56" s="83">
        <f t="shared" si="25"/>
        <v>3.9474212852366546</v>
      </c>
      <c r="CV56" s="83">
        <f t="shared" si="25"/>
        <v>1.5597381555106153</v>
      </c>
      <c r="CW56" s="83">
        <f t="shared" si="25"/>
        <v>1.6678725744953187</v>
      </c>
      <c r="CX56" s="83">
        <f t="shared" si="25"/>
        <v>1.561539971731609</v>
      </c>
      <c r="CY56" s="83">
        <f t="shared" si="25"/>
        <v>1.6195820249632609</v>
      </c>
      <c r="CZ56" s="83">
        <f t="shared" si="25"/>
        <v>1.6796216049485082</v>
      </c>
      <c r="DA56" s="83">
        <f t="shared" si="25"/>
        <v>2.2795330318410847</v>
      </c>
      <c r="DB56" s="83">
        <f t="shared" si="25"/>
        <v>2.2010867895596915</v>
      </c>
      <c r="DC56" s="83">
        <f t="shared" si="25"/>
        <v>3.4159602472516606</v>
      </c>
      <c r="DD56" s="83">
        <f t="shared" si="25"/>
        <v>4.2602184813026893</v>
      </c>
      <c r="DE56" s="83">
        <f t="shared" si="25"/>
        <v>5.519440678152379</v>
      </c>
      <c r="DF56" s="83">
        <f t="shared" si="25"/>
        <v>6.1055555555555552</v>
      </c>
      <c r="DG56" s="83">
        <f t="shared" si="25"/>
        <v>0</v>
      </c>
      <c r="DH56" s="83">
        <f t="shared" si="25"/>
        <v>0</v>
      </c>
      <c r="DI56" s="83">
        <f t="shared" si="25"/>
        <v>0</v>
      </c>
    </row>
    <row r="57" spans="1:127" ht="12.75" customHeight="1">
      <c r="A57" s="129"/>
      <c r="E57" s="104"/>
      <c r="J57" s="63"/>
      <c r="K57" s="63"/>
      <c r="L57" s="63"/>
      <c r="N57" s="63"/>
      <c r="R57" s="176"/>
      <c r="S57" s="253"/>
      <c r="T57" s="253"/>
      <c r="U57" s="253"/>
      <c r="V57" s="253"/>
      <c r="W57" s="63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K57" s="255" t="s">
        <v>74</v>
      </c>
    </row>
    <row r="58" spans="1:127" ht="14.25" customHeight="1">
      <c r="A58" s="129"/>
      <c r="E58" s="134" t="str">
        <f>'PTX_DOSE Groups'!C6</f>
        <v>PBS Control</v>
      </c>
      <c r="H58" s="134" t="str">
        <f>E58</f>
        <v>PBS Control</v>
      </c>
      <c r="I58" s="256">
        <f>AVERAGEIF($E$5:$E$53,$E58,I$5:I$53)</f>
        <v>28.375</v>
      </c>
      <c r="J58" s="256"/>
      <c r="K58" s="256"/>
      <c r="L58" s="256"/>
      <c r="M58" s="256">
        <f t="shared" ref="M58:W58" si="26">AVERAGEIF($E$5:$E$53,$E58,M$5:M$53)</f>
        <v>110.82916</v>
      </c>
      <c r="N58" s="256" t="e">
        <f t="shared" si="26"/>
        <v>#DIV/0!</v>
      </c>
      <c r="O58" s="256" t="e">
        <f t="shared" si="26"/>
        <v>#DIV/0!</v>
      </c>
      <c r="P58" s="256">
        <f t="shared" si="26"/>
        <v>36.943053333333332</v>
      </c>
      <c r="Q58" s="256" t="e">
        <f t="shared" si="26"/>
        <v>#DIV/0!</v>
      </c>
      <c r="R58" s="257" t="e">
        <f t="shared" si="26"/>
        <v>#DIV/0!</v>
      </c>
      <c r="S58" s="258">
        <f t="shared" si="26"/>
        <v>0</v>
      </c>
      <c r="T58" s="258">
        <f t="shared" si="26"/>
        <v>0</v>
      </c>
      <c r="U58" s="258">
        <f t="shared" si="26"/>
        <v>0</v>
      </c>
      <c r="V58" s="258">
        <f t="shared" si="26"/>
        <v>0</v>
      </c>
      <c r="W58" s="256" t="e">
        <f t="shared" si="26"/>
        <v>#DIV/0!</v>
      </c>
      <c r="X58" s="81" t="s">
        <v>10</v>
      </c>
      <c r="Y58" s="87">
        <f t="shared" ref="Y58:BP58" si="27">AVERAGEIF($E$5:$E$53,$E58,Y$5:Y$53)</f>
        <v>66.652820000000006</v>
      </c>
      <c r="Z58" s="87">
        <f t="shared" si="27"/>
        <v>93.623919999999998</v>
      </c>
      <c r="AA58" s="87">
        <f t="shared" si="27"/>
        <v>110.82916</v>
      </c>
      <c r="AB58" s="87">
        <f t="shared" si="27"/>
        <v>135.72273000000001</v>
      </c>
      <c r="AC58" s="87">
        <f t="shared" si="27"/>
        <v>146.89272000000003</v>
      </c>
      <c r="AD58" s="87">
        <f t="shared" si="27"/>
        <v>185.48868000000002</v>
      </c>
      <c r="AE58" s="87">
        <f t="shared" si="27"/>
        <v>248.87199999999999</v>
      </c>
      <c r="AF58" s="87">
        <f t="shared" si="27"/>
        <v>384.43873000000002</v>
      </c>
      <c r="AG58" s="87">
        <f t="shared" si="27"/>
        <v>511.28584000000006</v>
      </c>
      <c r="AH58" s="87">
        <f t="shared" si="27"/>
        <v>672.20659999999998</v>
      </c>
      <c r="AI58" s="87">
        <f t="shared" si="27"/>
        <v>915.35079999999994</v>
      </c>
      <c r="AJ58" s="87">
        <f t="shared" si="27"/>
        <v>1424.7975300000003</v>
      </c>
      <c r="AK58" s="87">
        <f t="shared" si="27"/>
        <v>1327.8345600000002</v>
      </c>
      <c r="AL58" s="87">
        <f t="shared" si="27"/>
        <v>1732.0829066666665</v>
      </c>
      <c r="AM58" s="87">
        <f t="shared" si="27"/>
        <v>1509.2375999999999</v>
      </c>
      <c r="AN58" s="87">
        <f t="shared" si="27"/>
        <v>1949.1024799999998</v>
      </c>
      <c r="AO58" s="87" t="e">
        <f t="shared" si="27"/>
        <v>#DIV/0!</v>
      </c>
      <c r="AP58" s="87" t="e">
        <f t="shared" si="27"/>
        <v>#DIV/0!</v>
      </c>
      <c r="AQ58" s="87" t="e">
        <f t="shared" si="27"/>
        <v>#DIV/0!</v>
      </c>
      <c r="AR58" s="87" t="e">
        <f t="shared" si="27"/>
        <v>#DIV/0!</v>
      </c>
      <c r="AS58" s="87" t="e">
        <f t="shared" si="27"/>
        <v>#DIV/0!</v>
      </c>
      <c r="AT58" s="87" t="e">
        <f t="shared" si="27"/>
        <v>#DIV/0!</v>
      </c>
      <c r="AU58" s="87" t="e">
        <f t="shared" si="27"/>
        <v>#DIV/0!</v>
      </c>
      <c r="AV58" s="87" t="e">
        <f t="shared" si="27"/>
        <v>#DIV/0!</v>
      </c>
      <c r="AW58" s="87" t="e">
        <f t="shared" si="27"/>
        <v>#DIV/0!</v>
      </c>
      <c r="AX58" s="87" t="e">
        <f t="shared" si="27"/>
        <v>#DIV/0!</v>
      </c>
      <c r="AY58" s="87" t="e">
        <f t="shared" si="27"/>
        <v>#DIV/0!</v>
      </c>
      <c r="AZ58" s="87" t="e">
        <f t="shared" si="27"/>
        <v>#DIV/0!</v>
      </c>
      <c r="BA58" s="87" t="e">
        <f t="shared" si="27"/>
        <v>#DIV/0!</v>
      </c>
      <c r="BB58" s="87" t="e">
        <f t="shared" si="27"/>
        <v>#DIV/0!</v>
      </c>
      <c r="BC58" s="87" t="e">
        <f t="shared" si="27"/>
        <v>#DIV/0!</v>
      </c>
      <c r="BD58" s="87" t="e">
        <f t="shared" si="27"/>
        <v>#DIV/0!</v>
      </c>
      <c r="BE58" s="87" t="e">
        <f t="shared" si="27"/>
        <v>#DIV/0!</v>
      </c>
      <c r="BF58" s="87" t="e">
        <f t="shared" si="27"/>
        <v>#DIV/0!</v>
      </c>
      <c r="BG58" s="87" t="e">
        <f t="shared" si="27"/>
        <v>#DIV/0!</v>
      </c>
      <c r="BH58" s="87" t="e">
        <f t="shared" si="27"/>
        <v>#DIV/0!</v>
      </c>
      <c r="BI58" s="87" t="e">
        <f t="shared" si="27"/>
        <v>#DIV/0!</v>
      </c>
      <c r="BJ58" s="87" t="e">
        <f t="shared" si="27"/>
        <v>#DIV/0!</v>
      </c>
      <c r="BK58" s="87" t="e">
        <f t="shared" si="27"/>
        <v>#DIV/0!</v>
      </c>
      <c r="BL58" s="87" t="e">
        <f t="shared" si="27"/>
        <v>#DIV/0!</v>
      </c>
      <c r="BM58" s="87" t="e">
        <f t="shared" si="27"/>
        <v>#DIV/0!</v>
      </c>
      <c r="BN58" s="87" t="e">
        <f t="shared" si="27"/>
        <v>#DIV/0!</v>
      </c>
      <c r="BO58" s="87" t="e">
        <f t="shared" si="27"/>
        <v>#DIV/0!</v>
      </c>
      <c r="BP58" s="87" t="e">
        <f t="shared" si="27"/>
        <v>#DIV/0!</v>
      </c>
      <c r="BQ58" s="114" t="s">
        <v>10</v>
      </c>
      <c r="BR58" s="82">
        <f t="shared" ref="BR58:DI58" si="28">AVERAGEIF($E$5:$E$53,$E58,BR$5:BR$53)</f>
        <v>0.63537111901010113</v>
      </c>
      <c r="BS58" s="82">
        <f t="shared" si="28"/>
        <v>0.86048623416450354</v>
      </c>
      <c r="BT58" s="82">
        <f t="shared" si="28"/>
        <v>1</v>
      </c>
      <c r="BU58" s="82">
        <f t="shared" si="28"/>
        <v>1.2829083701731843</v>
      </c>
      <c r="BV58" s="82">
        <f t="shared" si="28"/>
        <v>1.4047492262491601</v>
      </c>
      <c r="BW58" s="82">
        <f t="shared" si="28"/>
        <v>1.7566073786073444</v>
      </c>
      <c r="BX58" s="82">
        <f t="shared" si="28"/>
        <v>2.326259905413874</v>
      </c>
      <c r="BY58" s="82">
        <f t="shared" si="28"/>
        <v>3.5367457374670686</v>
      </c>
      <c r="BZ58" s="82">
        <f t="shared" si="28"/>
        <v>4.7892618830685443</v>
      </c>
      <c r="CA58" s="82">
        <f t="shared" si="28"/>
        <v>6.2103770476725888</v>
      </c>
      <c r="CB58" s="82">
        <f t="shared" si="28"/>
        <v>8.6416876040907749</v>
      </c>
      <c r="CC58" s="82">
        <f t="shared" si="28"/>
        <v>13.440836327116227</v>
      </c>
      <c r="CD58" s="82">
        <f t="shared" si="28"/>
        <v>14.095059307351633</v>
      </c>
      <c r="CE58" s="82">
        <f t="shared" si="28"/>
        <v>18.003950089783942</v>
      </c>
      <c r="CF58" s="82">
        <f t="shared" si="28"/>
        <v>11.983006341656758</v>
      </c>
      <c r="CG58" s="82">
        <f t="shared" si="28"/>
        <v>15.475434337428984</v>
      </c>
      <c r="CH58" s="82" t="e">
        <f t="shared" si="28"/>
        <v>#DIV/0!</v>
      </c>
      <c r="CI58" s="82" t="e">
        <f t="shared" si="28"/>
        <v>#DIV/0!</v>
      </c>
      <c r="CJ58" s="82" t="e">
        <f t="shared" si="28"/>
        <v>#DIV/0!</v>
      </c>
      <c r="CK58" s="82" t="e">
        <f t="shared" si="28"/>
        <v>#DIV/0!</v>
      </c>
      <c r="CL58" s="82" t="e">
        <f t="shared" si="28"/>
        <v>#DIV/0!</v>
      </c>
      <c r="CM58" s="82" t="e">
        <f t="shared" si="28"/>
        <v>#DIV/0!</v>
      </c>
      <c r="CN58" s="82" t="e">
        <f t="shared" si="28"/>
        <v>#DIV/0!</v>
      </c>
      <c r="CO58" s="82" t="e">
        <f t="shared" si="28"/>
        <v>#DIV/0!</v>
      </c>
      <c r="CP58" s="82" t="e">
        <f t="shared" si="28"/>
        <v>#DIV/0!</v>
      </c>
      <c r="CQ58" s="82" t="e">
        <f t="shared" si="28"/>
        <v>#DIV/0!</v>
      </c>
      <c r="CR58" s="82" t="e">
        <f t="shared" si="28"/>
        <v>#DIV/0!</v>
      </c>
      <c r="CS58" s="82" t="e">
        <f t="shared" si="28"/>
        <v>#DIV/0!</v>
      </c>
      <c r="CT58" s="82" t="e">
        <f t="shared" si="28"/>
        <v>#DIV/0!</v>
      </c>
      <c r="CU58" s="82" t="e">
        <f t="shared" si="28"/>
        <v>#DIV/0!</v>
      </c>
      <c r="CV58" s="82" t="e">
        <f t="shared" si="28"/>
        <v>#DIV/0!</v>
      </c>
      <c r="CW58" s="82" t="e">
        <f t="shared" si="28"/>
        <v>#DIV/0!</v>
      </c>
      <c r="CX58" s="82" t="e">
        <f t="shared" si="28"/>
        <v>#DIV/0!</v>
      </c>
      <c r="CY58" s="82" t="e">
        <f t="shared" si="28"/>
        <v>#DIV/0!</v>
      </c>
      <c r="CZ58" s="82" t="e">
        <f t="shared" si="28"/>
        <v>#DIV/0!</v>
      </c>
      <c r="DA58" s="82" t="e">
        <f t="shared" si="28"/>
        <v>#DIV/0!</v>
      </c>
      <c r="DB58" s="82" t="e">
        <f t="shared" si="28"/>
        <v>#DIV/0!</v>
      </c>
      <c r="DC58" s="82" t="e">
        <f t="shared" si="28"/>
        <v>#DIV/0!</v>
      </c>
      <c r="DD58" s="82" t="e">
        <f t="shared" si="28"/>
        <v>#DIV/0!</v>
      </c>
      <c r="DE58" s="82" t="e">
        <f t="shared" si="28"/>
        <v>#DIV/0!</v>
      </c>
      <c r="DF58" s="82" t="e">
        <f t="shared" si="28"/>
        <v>#DIV/0!</v>
      </c>
      <c r="DG58" s="82" t="e">
        <f t="shared" si="28"/>
        <v>#DIV/0!</v>
      </c>
      <c r="DH58" s="82" t="e">
        <f t="shared" si="28"/>
        <v>#DIV/0!</v>
      </c>
      <c r="DI58" s="82" t="e">
        <f t="shared" si="28"/>
        <v>#DIV/0!</v>
      </c>
    </row>
    <row r="59" spans="1:127" ht="14.25" customHeight="1">
      <c r="A59" s="129"/>
      <c r="E59" s="104"/>
      <c r="H59" s="104"/>
      <c r="I59" s="256">
        <f t="array" ref="I59">_xlfn.STDEV.P(IF($E$5:$E$53=$E58,I$5:I$53))</f>
        <v>2.0547201755956932</v>
      </c>
      <c r="J59" s="256"/>
      <c r="K59" s="256"/>
      <c r="L59" s="256"/>
      <c r="M59" s="256">
        <f t="array" ref="M59">_xlfn.STDEV.P(IF($E$5:$E$53=$E58,M$5:M$53))</f>
        <v>25.733341098069637</v>
      </c>
      <c r="N59" s="256">
        <f t="array" ref="N59">_xlfn.STDEV.P(IF($E$5:$E$53=$E58,N$5:N$53))</f>
        <v>0</v>
      </c>
      <c r="O59" s="256">
        <f t="array" ref="O59">_xlfn.STDEV.P(IF($E$5:$E$53=$E58,O$5:O$53))</f>
        <v>0</v>
      </c>
      <c r="P59" s="256">
        <f t="array" ref="P59">_xlfn.STDEV.P(IF($E$5:$E$53=$E58,P$5:P$53))</f>
        <v>8.5777803660232372</v>
      </c>
      <c r="Q59" s="256">
        <f t="array" ref="Q59">_xlfn.STDEV.P(IF($E$5:$E$53=$E58,Q$5:Q$53))</f>
        <v>0</v>
      </c>
      <c r="R59" s="257">
        <f t="array" ref="R59">_xlfn.STDEV.P(IF($E$5:$E$53=$E58,R$5:R$53))</f>
        <v>0</v>
      </c>
      <c r="S59" s="258">
        <f t="array" ref="S59">_xlfn.STDEV.P(IF($E$5:$E$53=$E58,S$5:S$53))</f>
        <v>0</v>
      </c>
      <c r="T59" s="258">
        <f t="array" ref="T59">_xlfn.STDEV.P(IF($E$5:$E$53=$E58,T$5:T$53))</f>
        <v>0</v>
      </c>
      <c r="U59" s="258">
        <f t="array" ref="U59">_xlfn.STDEV.P(IF($E$5:$E$53=$E58,U$5:U$53))</f>
        <v>0</v>
      </c>
      <c r="V59" s="258">
        <f t="array" ref="V59">_xlfn.STDEV.P(IF($E$5:$E$53=$E58,V$5:V$53))</f>
        <v>0</v>
      </c>
      <c r="W59" s="256">
        <f t="array" ref="W59">_xlfn.STDEV.P(IF($E$5:$E$53=$E58,W$5:W$53))</f>
        <v>0</v>
      </c>
      <c r="X59" s="81" t="s">
        <v>12</v>
      </c>
      <c r="Y59" s="90">
        <f t="array" ref="Y59">_xlfn.STDEV.P(IF($E$5:$E$53=$E58,Y$5:Y$53))</f>
        <v>22.103229237837613</v>
      </c>
      <c r="Z59" s="90">
        <f t="array" ref="Z59">_xlfn.STDEV.P(IF($E$5:$E$53=$E58,Z$5:Z$53))</f>
        <v>26.981675076955469</v>
      </c>
      <c r="AA59" s="90">
        <f t="array" ref="AA59">_xlfn.STDEV.P(IF($E$5:$E$53=$E58,AA$5:AA$53))</f>
        <v>25.733341098069637</v>
      </c>
      <c r="AB59" s="90">
        <f t="array" ref="AB59">_xlfn.STDEV.P(IF($E$5:$E$53=$E58,AB$5:AB$53))</f>
        <v>23.380622171129179</v>
      </c>
      <c r="AC59" s="90">
        <f t="array" ref="AC59">_xlfn.STDEV.P(IF($E$5:$E$53=$E58,AC$5:AC$53))</f>
        <v>27.156505034646845</v>
      </c>
      <c r="AD59" s="90">
        <f t="array" ref="AD59">_xlfn.STDEV.P(IF($E$5:$E$53=$E58,AD$5:AD$53))</f>
        <v>27.310257202597043</v>
      </c>
      <c r="AE59" s="90">
        <f t="array" ref="AE59">_xlfn.STDEV.P(IF($E$5:$E$53=$E58,AE$5:AE$53))</f>
        <v>48.494272734004312</v>
      </c>
      <c r="AF59" s="90">
        <f t="array" ref="AF59">_xlfn.STDEV.P(IF($E$5:$E$53=$E58,AF$5:AF$53))</f>
        <v>110.09242060472053</v>
      </c>
      <c r="AG59" s="90">
        <f t="array" ref="AG59">_xlfn.STDEV.P(IF($E$5:$E$53=$E58,AG$5:AG$53))</f>
        <v>203.51295078079141</v>
      </c>
      <c r="AH59" s="90">
        <f t="array" ref="AH59">_xlfn.STDEV.P(IF($E$5:$E$53=$E58,AH$5:AH$53))</f>
        <v>199.61287294720853</v>
      </c>
      <c r="AI59" s="90">
        <f t="array" ref="AI59">_xlfn.STDEV.P(IF($E$5:$E$53=$E58,AI$5:AI$53))</f>
        <v>280.95847799575358</v>
      </c>
      <c r="AJ59" s="90">
        <f t="array" ref="AJ59">_xlfn.STDEV.P(IF($E$5:$E$53=$E58,AJ$5:AJ$53))</f>
        <v>445.10943854794823</v>
      </c>
      <c r="AK59" s="90">
        <f t="array" ref="AK59">_xlfn.STDEV.P(IF($E$5:$E$53=$E58,AK$5:AK$53))</f>
        <v>617.96888180017879</v>
      </c>
      <c r="AL59" s="90">
        <f t="array" ref="AL59">_xlfn.STDEV.P(IF($E$5:$E$53=$E58,AL$5:AL$53))</f>
        <v>858.25111741150533</v>
      </c>
      <c r="AM59" s="90">
        <f t="array" ref="AM59">_xlfn.STDEV.P(IF($E$5:$E$53=$E58,AM$5:AM$53))</f>
        <v>653.51905097332849</v>
      </c>
      <c r="AN59" s="90">
        <f t="array" ref="AN59">_xlfn.STDEV.P(IF($E$5:$E$53=$E58,AN$5:AN$53))</f>
        <v>843.98613112962528</v>
      </c>
      <c r="AO59" s="90">
        <f t="array" ref="AO59">_xlfn.STDEV.P(IF($E$5:$E$53=$E58,AO$5:AO$53))</f>
        <v>0</v>
      </c>
      <c r="AP59" s="90">
        <f t="array" ref="AP59">_xlfn.STDEV.P(IF($E$5:$E$53=$E58,AP$5:AP$53))</f>
        <v>0</v>
      </c>
      <c r="AQ59" s="90">
        <f t="array" ref="AQ59">_xlfn.STDEV.P(IF($E$5:$E$53=$E58,AQ$5:AQ$53))</f>
        <v>0</v>
      </c>
      <c r="AR59" s="90">
        <f t="array" ref="AR59">_xlfn.STDEV.P(IF($E$5:$E$53=$E58,AR$5:AR$53))</f>
        <v>0</v>
      </c>
      <c r="AS59" s="90">
        <f t="array" ref="AS59">_xlfn.STDEV.P(IF($E$5:$E$53=$E58,AS$5:AS$53))</f>
        <v>0</v>
      </c>
      <c r="AT59" s="90">
        <f t="array" ref="AT59">_xlfn.STDEV.P(IF($E$5:$E$53=$E58,AT$5:AT$53))</f>
        <v>0</v>
      </c>
      <c r="AU59" s="90">
        <f t="array" ref="AU59">_xlfn.STDEV.P(IF($E$5:$E$53=$E58,AU$5:AU$53))</f>
        <v>0</v>
      </c>
      <c r="AV59" s="90">
        <f t="array" ref="AV59">_xlfn.STDEV.P(IF($E$5:$E$53=$E58,AV$5:AV$53))</f>
        <v>0</v>
      </c>
      <c r="AW59" s="90">
        <f t="array" ref="AW59">_xlfn.STDEV.P(IF($E$5:$E$53=$E58,AW$5:AW$53))</f>
        <v>0</v>
      </c>
      <c r="AX59" s="90">
        <f t="array" ref="AX59">_xlfn.STDEV.P(IF($E$5:$E$53=$E58,AX$5:AX$53))</f>
        <v>0</v>
      </c>
      <c r="AY59" s="90">
        <f t="array" ref="AY59">_xlfn.STDEV.P(IF($E$5:$E$53=$E58,AY$5:AY$53))</f>
        <v>0</v>
      </c>
      <c r="AZ59" s="90">
        <f t="array" ref="AZ59">_xlfn.STDEV.P(IF($E$5:$E$53=$E58,AZ$5:AZ$53))</f>
        <v>0</v>
      </c>
      <c r="BA59" s="90">
        <f t="array" ref="BA59">_xlfn.STDEV.P(IF($E$5:$E$53=$E58,BA$5:BA$53))</f>
        <v>0</v>
      </c>
      <c r="BB59" s="90">
        <f t="array" ref="BB59">_xlfn.STDEV.P(IF($E$5:$E$53=$E58,BB$5:BB$53))</f>
        <v>0</v>
      </c>
      <c r="BC59" s="90">
        <f t="array" ref="BC59">_xlfn.STDEV.P(IF($E$5:$E$53=$E58,BC$5:BC$53))</f>
        <v>0</v>
      </c>
      <c r="BD59" s="90">
        <f t="array" ref="BD59">_xlfn.STDEV.P(IF($E$5:$E$53=$E58,BD$5:BD$53))</f>
        <v>0</v>
      </c>
      <c r="BE59" s="90">
        <f t="array" ref="BE59">_xlfn.STDEV.P(IF($E$5:$E$53=$E58,BE$5:BE$53))</f>
        <v>0</v>
      </c>
      <c r="BF59" s="90">
        <f t="array" ref="BF59">_xlfn.STDEV.P(IF($E$5:$E$53=$E58,BF$5:BF$53))</f>
        <v>0</v>
      </c>
      <c r="BG59" s="90">
        <f t="array" ref="BG59">_xlfn.STDEV.P(IF($E$5:$E$53=$E58,BG$5:BG$53))</f>
        <v>0</v>
      </c>
      <c r="BH59" s="90">
        <f t="array" ref="BH59">_xlfn.STDEV.P(IF($E$5:$E$53=$E58,BH$5:BH$53))</f>
        <v>0</v>
      </c>
      <c r="BI59" s="90">
        <f t="array" ref="BI59">_xlfn.STDEV.P(IF($E$5:$E$53=$E58,BI$5:BI$53))</f>
        <v>0</v>
      </c>
      <c r="BJ59" s="90">
        <f t="array" ref="BJ59">_xlfn.STDEV.P(IF($E$5:$E$53=$E58,BJ$5:BJ$53))</f>
        <v>0</v>
      </c>
      <c r="BK59" s="90">
        <f t="array" ref="BK59">_xlfn.STDEV.P(IF($E$5:$E$53=$E58,BK$5:BK$53))</f>
        <v>0</v>
      </c>
      <c r="BL59" s="90">
        <f t="array" ref="BL59">_xlfn.STDEV.P(IF($E$5:$E$53=$E58,BL$5:BL$53))</f>
        <v>0</v>
      </c>
      <c r="BM59" s="90">
        <f t="array" ref="BM59">_xlfn.STDEV.P(IF($E$5:$E$53=$E58,BM$5:BM$53))</f>
        <v>0</v>
      </c>
      <c r="BN59" s="90">
        <f t="array" ref="BN59">_xlfn.STDEV.P(IF($E$5:$E$53=$E58,BN$5:BN$53))</f>
        <v>0</v>
      </c>
      <c r="BO59" s="90">
        <f t="array" ref="BO59">_xlfn.STDEV.P(IF($E$5:$E$53=$E58,BO$5:BO$53))</f>
        <v>0</v>
      </c>
      <c r="BP59" s="90">
        <f t="array" ref="BP59">_xlfn.STDEV.P(IF($E$5:$E$53=$E58,BP$5:BP$53))</f>
        <v>0</v>
      </c>
      <c r="BQ59" s="115" t="s">
        <v>12</v>
      </c>
      <c r="BR59" s="83">
        <f t="array" ref="BR59">_xlfn.STDEV.P(IF($E$5:$E$53=$E58,BR$5:BR$53))</f>
        <v>0.22585878842569868</v>
      </c>
      <c r="BS59" s="83">
        <f t="array" ref="BS59">_xlfn.STDEV.P(IF($E$5:$E$53=$E58,BS$5:BS$53))</f>
        <v>0.1823907151245126</v>
      </c>
      <c r="BT59" s="83">
        <f t="array" ref="BT59">_xlfn.STDEV.P(IF($E$5:$E$53=$E58,BT$5:BT$53))</f>
        <v>0</v>
      </c>
      <c r="BU59" s="83">
        <f t="array" ref="BU59">_xlfn.STDEV.P(IF($E$5:$E$53=$E58,BU$5:BU$53))</f>
        <v>0.29893570554282095</v>
      </c>
      <c r="BV59" s="83">
        <f t="array" ref="BV59">_xlfn.STDEV.P(IF($E$5:$E$53=$E58,BV$5:BV$53))</f>
        <v>0.40114140972017315</v>
      </c>
      <c r="BW59" s="83">
        <f t="array" ref="BW59">_xlfn.STDEV.P(IF($E$5:$E$53=$E58,BW$5:BW$53))</f>
        <v>0.40155168863015755</v>
      </c>
      <c r="BX59" s="83">
        <f t="array" ref="BX59">_xlfn.STDEV.P(IF($E$5:$E$53=$E58,BX$5:BX$53))</f>
        <v>0.45641844458999248</v>
      </c>
      <c r="BY59" s="83">
        <f t="array" ref="BY59">_xlfn.STDEV.P(IF($E$5:$E$53=$E58,BY$5:BY$53))</f>
        <v>0.74580933644702807</v>
      </c>
      <c r="BZ59" s="83">
        <f t="array" ref="BZ59">_xlfn.STDEV.P(IF($E$5:$E$53=$E58,BZ$5:BZ$53))</f>
        <v>1.7157209922296108</v>
      </c>
      <c r="CA59" s="83">
        <f t="array" ref="CA59">_xlfn.STDEV.P(IF($E$5:$E$53=$E58,CA$5:CA$53))</f>
        <v>1.4559137989747617</v>
      </c>
      <c r="CB59" s="83">
        <f t="array" ref="CB59">_xlfn.STDEV.P(IF($E$5:$E$53=$E58,CB$5:CB$53))</f>
        <v>2.6807757055995252</v>
      </c>
      <c r="CC59" s="83">
        <f t="array" ref="CC59">_xlfn.STDEV.P(IF($E$5:$E$53=$E58,CC$5:CC$53))</f>
        <v>4.1894926890904642</v>
      </c>
      <c r="CD59" s="83">
        <f t="array" ref="CD59">_xlfn.STDEV.P(IF($E$5:$E$53=$E58,CD$5:CD$53))</f>
        <v>5.9289647488029518</v>
      </c>
      <c r="CE59" s="83">
        <f t="array" ref="CE59">_xlfn.STDEV.P(IF($E$5:$E$53=$E58,CE$5:CE$53))</f>
        <v>6.9886599304953068</v>
      </c>
      <c r="CF59" s="83">
        <f t="array" ref="CF59">_xlfn.STDEV.P(IF($E$5:$E$53=$E58,CF$5:CF$53))</f>
        <v>0</v>
      </c>
      <c r="CG59" s="83">
        <f t="array" ref="CG59">_xlfn.STDEV.P(IF($E$5:$E$53=$E58,CG$5:CG$53))</f>
        <v>0</v>
      </c>
      <c r="CH59" s="83" t="e">
        <f t="array" ref="CH59">_xlfn.STDEV.P(IF($E$5:$E$53=$E58,CH$5:CH$53))</f>
        <v>#DIV/0!</v>
      </c>
      <c r="CI59" s="83" t="e">
        <f t="array" ref="CI59">_xlfn.STDEV.P(IF($E$5:$E$53=$E58,CI$5:CI$53))</f>
        <v>#DIV/0!</v>
      </c>
      <c r="CJ59" s="83" t="e">
        <f t="array" ref="CJ59">_xlfn.STDEV.P(IF($E$5:$E$53=$E58,CJ$5:CJ$53))</f>
        <v>#DIV/0!</v>
      </c>
      <c r="CK59" s="83" t="e">
        <f t="array" ref="CK59">_xlfn.STDEV.P(IF($E$5:$E$53=$E58,CK$5:CK$53))</f>
        <v>#DIV/0!</v>
      </c>
      <c r="CL59" s="83" t="e">
        <f t="array" ref="CL59">_xlfn.STDEV.P(IF($E$5:$E$53=$E58,CL$5:CL$53))</f>
        <v>#DIV/0!</v>
      </c>
      <c r="CM59" s="83" t="e">
        <f t="array" ref="CM59">_xlfn.STDEV.P(IF($E$5:$E$53=$E58,CM$5:CM$53))</f>
        <v>#DIV/0!</v>
      </c>
      <c r="CN59" s="83" t="e">
        <f t="array" ref="CN59">_xlfn.STDEV.P(IF($E$5:$E$53=$E58,CN$5:CN$53))</f>
        <v>#DIV/0!</v>
      </c>
      <c r="CO59" s="83" t="e">
        <f t="array" ref="CO59">_xlfn.STDEV.P(IF($E$5:$E$53=$E58,CO$5:CO$53))</f>
        <v>#DIV/0!</v>
      </c>
      <c r="CP59" s="83" t="e">
        <f t="array" ref="CP59">_xlfn.STDEV.P(IF($E$5:$E$53=$E58,CP$5:CP$53))</f>
        <v>#DIV/0!</v>
      </c>
      <c r="CQ59" s="83" t="e">
        <f t="array" ref="CQ59">_xlfn.STDEV.P(IF($E$5:$E$53=$E58,CQ$5:CQ$53))</f>
        <v>#DIV/0!</v>
      </c>
      <c r="CR59" s="83" t="e">
        <f t="array" ref="CR59">_xlfn.STDEV.P(IF($E$5:$E$53=$E58,CR$5:CR$53))</f>
        <v>#DIV/0!</v>
      </c>
      <c r="CS59" s="83" t="e">
        <f t="array" ref="CS59">_xlfn.STDEV.P(IF($E$5:$E$53=$E58,CS$5:CS$53))</f>
        <v>#DIV/0!</v>
      </c>
      <c r="CT59" s="83" t="e">
        <f t="array" ref="CT59">_xlfn.STDEV.P(IF($E$5:$E$53=$E58,CT$5:CT$53))</f>
        <v>#DIV/0!</v>
      </c>
      <c r="CU59" s="83" t="e">
        <f t="array" ref="CU59">_xlfn.STDEV.P(IF($E$5:$E$53=$E58,CU$5:CU$53))</f>
        <v>#DIV/0!</v>
      </c>
      <c r="CV59" s="83" t="e">
        <f t="array" ref="CV59">_xlfn.STDEV.P(IF($E$5:$E$53=$E58,CV$5:CV$53))</f>
        <v>#DIV/0!</v>
      </c>
      <c r="CW59" s="83" t="e">
        <f t="array" ref="CW59">_xlfn.STDEV.P(IF($E$5:$E$53=$E58,CW$5:CW$53))</f>
        <v>#DIV/0!</v>
      </c>
      <c r="CX59" s="83" t="e">
        <f t="array" ref="CX59">_xlfn.STDEV.P(IF($E$5:$E$53=$E58,CX$5:CX$53))</f>
        <v>#DIV/0!</v>
      </c>
      <c r="CY59" s="83" t="e">
        <f t="array" ref="CY59">_xlfn.STDEV.P(IF($E$5:$E$53=$E58,CY$5:CY$53))</f>
        <v>#DIV/0!</v>
      </c>
      <c r="CZ59" s="83" t="e">
        <f t="array" ref="CZ59">_xlfn.STDEV.P(IF($E$5:$E$53=$E58,CZ$5:CZ$53))</f>
        <v>#DIV/0!</v>
      </c>
      <c r="DA59" s="83" t="e">
        <f t="array" ref="DA59">_xlfn.STDEV.P(IF($E$5:$E$53=$E58,DA$5:DA$53))</f>
        <v>#DIV/0!</v>
      </c>
      <c r="DB59" s="83" t="e">
        <f t="array" ref="DB59">_xlfn.STDEV.P(IF($E$5:$E$53=$E58,DB$5:DB$53))</f>
        <v>#DIV/0!</v>
      </c>
      <c r="DC59" s="83" t="e">
        <f t="array" ref="DC59">_xlfn.STDEV.P(IF($E$5:$E$53=$E58,DC$5:DC$53))</f>
        <v>#DIV/0!</v>
      </c>
      <c r="DD59" s="83" t="e">
        <f t="array" ref="DD59">_xlfn.STDEV.P(IF($E$5:$E$53=$E58,DD$5:DD$53))</f>
        <v>#DIV/0!</v>
      </c>
      <c r="DE59" s="83" t="e">
        <f t="array" ref="DE59">_xlfn.STDEV.P(IF($E$5:$E$53=$E58,DE$5:DE$53))</f>
        <v>#DIV/0!</v>
      </c>
      <c r="DF59" s="83" t="e">
        <f t="array" ref="DF59">_xlfn.STDEV.P(IF($E$5:$E$53=$E58,DF$5:DF$53))</f>
        <v>#DIV/0!</v>
      </c>
      <c r="DG59" s="83" t="e">
        <f t="array" ref="DG59">_xlfn.STDEV.P(IF($E$5:$E$53=$E58,DG$5:DG$53))</f>
        <v>#DIV/0!</v>
      </c>
      <c r="DH59" s="83" t="e">
        <f t="array" ref="DH59">_xlfn.STDEV.P(IF($E$5:$E$53=$E58,DH$5:DH$53))</f>
        <v>#DIV/0!</v>
      </c>
      <c r="DI59" s="83" t="e">
        <f t="array" ref="DI59">_xlfn.STDEV.P(IF($E$5:$E$53=$E58,DI$5:DI$53))</f>
        <v>#DIV/0!</v>
      </c>
    </row>
    <row r="60" spans="1:127" ht="15">
      <c r="A60" s="129"/>
      <c r="E60" s="58"/>
      <c r="H60" s="58"/>
      <c r="J60" s="63"/>
      <c r="K60" s="63"/>
      <c r="L60" s="63"/>
      <c r="N60" s="63"/>
      <c r="R60" s="176"/>
      <c r="S60" s="253"/>
      <c r="T60" s="253"/>
      <c r="U60" s="253"/>
      <c r="V60" s="253"/>
      <c r="W60" s="63"/>
      <c r="DL60" s="213" t="e">
        <f>#REF!</f>
        <v>#REF!</v>
      </c>
      <c r="DM60" s="213" t="e">
        <f>#REF!</f>
        <v>#REF!</v>
      </c>
      <c r="DN60" s="213" t="e">
        <f>#REF!</f>
        <v>#REF!</v>
      </c>
      <c r="DO60" s="213" t="e">
        <f>#REF!</f>
        <v>#REF!</v>
      </c>
      <c r="DP60" s="213" t="e">
        <f>#REF!</f>
        <v>#REF!</v>
      </c>
      <c r="DQ60" s="213" t="e">
        <f>#REF!</f>
        <v>#REF!</v>
      </c>
      <c r="DR60" s="213" t="e">
        <f>#REF!</f>
        <v>#REF!</v>
      </c>
      <c r="DS60" s="213" t="e">
        <f>#REF!</f>
        <v>#REF!</v>
      </c>
      <c r="DT60" s="213" t="e">
        <f>#REF!</f>
        <v>#REF!</v>
      </c>
      <c r="DU60" s="213" t="e">
        <f>#REF!</f>
        <v>#REF!</v>
      </c>
      <c r="DV60" s="213" t="e">
        <f>#REF!</f>
        <v>#REF!</v>
      </c>
      <c r="DW60" s="213" t="e">
        <f>#REF!</f>
        <v>#REF!</v>
      </c>
    </row>
    <row r="61" spans="1:127" ht="14.25" customHeight="1">
      <c r="A61" s="129"/>
      <c r="E61" s="134" t="str">
        <f>'PTX_DOSE Groups'!C7</f>
        <v>3.3uCi Radiodepot</v>
      </c>
      <c r="H61" s="134" t="str">
        <f>E61</f>
        <v>3.3uCi Radiodepot</v>
      </c>
      <c r="I61" s="256">
        <f>AVERAGEIF($E$5:$E$53,$E61,I$5:I$53)</f>
        <v>27.860000000000003</v>
      </c>
      <c r="J61" s="256"/>
      <c r="K61" s="256"/>
      <c r="L61" s="256"/>
      <c r="M61" s="256">
        <f t="shared" ref="M61:W61" si="29">AVERAGEIF($E$5:$E$53,$E61,M$5:M$53)</f>
        <v>119.29788000000001</v>
      </c>
      <c r="N61" s="256">
        <f t="shared" si="29"/>
        <v>10.305882352941177</v>
      </c>
      <c r="O61" s="256">
        <f t="shared" si="29"/>
        <v>397.65960000000001</v>
      </c>
      <c r="P61" s="256">
        <f t="shared" si="29"/>
        <v>39.765960000000007</v>
      </c>
      <c r="Q61" s="256">
        <f t="shared" si="29"/>
        <v>337</v>
      </c>
      <c r="R61" s="257">
        <f t="shared" si="29"/>
        <v>0.84746413351791861</v>
      </c>
      <c r="S61" s="258">
        <f t="shared" si="29"/>
        <v>2.8248804450597289</v>
      </c>
      <c r="T61" s="258">
        <f t="shared" si="29"/>
        <v>0</v>
      </c>
      <c r="U61" s="258">
        <f t="shared" si="29"/>
        <v>0</v>
      </c>
      <c r="V61" s="258">
        <f t="shared" si="29"/>
        <v>0</v>
      </c>
      <c r="W61" s="256" t="e">
        <f t="shared" si="29"/>
        <v>#DIV/0!</v>
      </c>
      <c r="X61" s="81" t="s">
        <v>10</v>
      </c>
      <c r="Y61" s="87">
        <f t="shared" ref="Y61:BP61" si="30">AVERAGEIF($E$5:$E$53,$E61,Y$5:Y$53)</f>
        <v>56.828512000000003</v>
      </c>
      <c r="Z61" s="87">
        <f t="shared" si="30"/>
        <v>82.260984000000008</v>
      </c>
      <c r="AA61" s="87">
        <f t="shared" si="30"/>
        <v>119.29788000000001</v>
      </c>
      <c r="AB61" s="87">
        <f t="shared" si="30"/>
        <v>153.23360000000002</v>
      </c>
      <c r="AC61" s="87">
        <f t="shared" si="30"/>
        <v>199.125992</v>
      </c>
      <c r="AD61" s="87">
        <f t="shared" si="30"/>
        <v>201.03345600000003</v>
      </c>
      <c r="AE61" s="87">
        <f t="shared" si="30"/>
        <v>237.83468799999997</v>
      </c>
      <c r="AF61" s="87">
        <f t="shared" si="30"/>
        <v>300.305408</v>
      </c>
      <c r="AG61" s="87">
        <f t="shared" si="30"/>
        <v>369.29412000000002</v>
      </c>
      <c r="AH61" s="87">
        <f t="shared" si="30"/>
        <v>429.45083999999997</v>
      </c>
      <c r="AI61" s="87">
        <f t="shared" si="30"/>
        <v>548.29704800000013</v>
      </c>
      <c r="AJ61" s="87">
        <f t="shared" si="30"/>
        <v>724.36332800000014</v>
      </c>
      <c r="AK61" s="87">
        <f t="shared" si="30"/>
        <v>563.86356000000001</v>
      </c>
      <c r="AL61" s="87">
        <f t="shared" si="30"/>
        <v>653.63909000000012</v>
      </c>
      <c r="AM61" s="87">
        <f t="shared" si="30"/>
        <v>866.67087000000004</v>
      </c>
      <c r="AN61" s="87">
        <f t="shared" si="30"/>
        <v>1121.16615</v>
      </c>
      <c r="AO61" s="87">
        <f t="shared" si="30"/>
        <v>825.64889333333315</v>
      </c>
      <c r="AP61" s="87">
        <f t="shared" si="30"/>
        <v>1339.4617599999999</v>
      </c>
      <c r="AQ61" s="87">
        <f t="shared" si="30"/>
        <v>1356.12672</v>
      </c>
      <c r="AR61" s="87">
        <f t="shared" si="30"/>
        <v>1488.0319999999999</v>
      </c>
      <c r="AS61" s="87">
        <f t="shared" si="30"/>
        <v>2037.9793199999999</v>
      </c>
      <c r="AT61" s="87" t="e">
        <f t="shared" si="30"/>
        <v>#DIV/0!</v>
      </c>
      <c r="AU61" s="87" t="e">
        <f t="shared" si="30"/>
        <v>#DIV/0!</v>
      </c>
      <c r="AV61" s="87" t="e">
        <f t="shared" si="30"/>
        <v>#DIV/0!</v>
      </c>
      <c r="AW61" s="87" t="e">
        <f t="shared" si="30"/>
        <v>#DIV/0!</v>
      </c>
      <c r="AX61" s="87" t="e">
        <f t="shared" si="30"/>
        <v>#DIV/0!</v>
      </c>
      <c r="AY61" s="87" t="e">
        <f t="shared" si="30"/>
        <v>#DIV/0!</v>
      </c>
      <c r="AZ61" s="87" t="e">
        <f t="shared" si="30"/>
        <v>#DIV/0!</v>
      </c>
      <c r="BA61" s="87" t="e">
        <f t="shared" si="30"/>
        <v>#DIV/0!</v>
      </c>
      <c r="BB61" s="87" t="e">
        <f t="shared" si="30"/>
        <v>#DIV/0!</v>
      </c>
      <c r="BC61" s="87" t="e">
        <f t="shared" si="30"/>
        <v>#DIV/0!</v>
      </c>
      <c r="BD61" s="87" t="e">
        <f t="shared" si="30"/>
        <v>#DIV/0!</v>
      </c>
      <c r="BE61" s="87" t="e">
        <f t="shared" si="30"/>
        <v>#DIV/0!</v>
      </c>
      <c r="BF61" s="87" t="e">
        <f t="shared" si="30"/>
        <v>#DIV/0!</v>
      </c>
      <c r="BG61" s="87" t="e">
        <f t="shared" si="30"/>
        <v>#DIV/0!</v>
      </c>
      <c r="BH61" s="87" t="e">
        <f t="shared" si="30"/>
        <v>#DIV/0!</v>
      </c>
      <c r="BI61" s="87" t="e">
        <f t="shared" si="30"/>
        <v>#DIV/0!</v>
      </c>
      <c r="BJ61" s="87" t="e">
        <f t="shared" si="30"/>
        <v>#DIV/0!</v>
      </c>
      <c r="BK61" s="87" t="e">
        <f t="shared" si="30"/>
        <v>#DIV/0!</v>
      </c>
      <c r="BL61" s="87" t="e">
        <f t="shared" si="30"/>
        <v>#DIV/0!</v>
      </c>
      <c r="BM61" s="87" t="e">
        <f t="shared" si="30"/>
        <v>#DIV/0!</v>
      </c>
      <c r="BN61" s="87" t="e">
        <f t="shared" si="30"/>
        <v>#DIV/0!</v>
      </c>
      <c r="BO61" s="87" t="e">
        <f t="shared" si="30"/>
        <v>#DIV/0!</v>
      </c>
      <c r="BP61" s="87" t="e">
        <f t="shared" si="30"/>
        <v>#DIV/0!</v>
      </c>
      <c r="BQ61" s="114" t="s">
        <v>10</v>
      </c>
      <c r="BR61" s="82">
        <f t="shared" ref="BR61:DI61" si="31">AVERAGEIF($E$5:$E$53,$E61,BR$5:BR$53)</f>
        <v>0.48202522801812825</v>
      </c>
      <c r="BS61" s="82">
        <f t="shared" si="31"/>
        <v>0.66384611564969565</v>
      </c>
      <c r="BT61" s="82">
        <f t="shared" si="31"/>
        <v>1</v>
      </c>
      <c r="BU61" s="82">
        <f t="shared" si="31"/>
        <v>1.2850576870934696</v>
      </c>
      <c r="BV61" s="82">
        <f t="shared" si="31"/>
        <v>1.6858606116106369</v>
      </c>
      <c r="BW61" s="82">
        <f t="shared" si="31"/>
        <v>1.7056775913112598</v>
      </c>
      <c r="BX61" s="82">
        <f t="shared" si="31"/>
        <v>1.9944616383401517</v>
      </c>
      <c r="BY61" s="82">
        <f t="shared" si="31"/>
        <v>2.540600139063161</v>
      </c>
      <c r="BZ61" s="82">
        <f t="shared" si="31"/>
        <v>3.1161514535845405</v>
      </c>
      <c r="CA61" s="82">
        <f t="shared" si="31"/>
        <v>3.6141967968235269</v>
      </c>
      <c r="CB61" s="82">
        <f t="shared" si="31"/>
        <v>4.6554453352310805</v>
      </c>
      <c r="CC61" s="82">
        <f t="shared" si="31"/>
        <v>6.1957168356835011</v>
      </c>
      <c r="CD61" s="82">
        <f t="shared" si="31"/>
        <v>5.2983898083467569</v>
      </c>
      <c r="CE61" s="82">
        <f t="shared" si="31"/>
        <v>6.1388849661820322</v>
      </c>
      <c r="CF61" s="82">
        <f t="shared" si="31"/>
        <v>8.1724766655852203</v>
      </c>
      <c r="CG61" s="82">
        <f t="shared" si="31"/>
        <v>10.464573198795094</v>
      </c>
      <c r="CH61" s="82">
        <f t="shared" si="31"/>
        <v>8.4858628670165555</v>
      </c>
      <c r="CI61" s="82">
        <f t="shared" si="31"/>
        <v>14.28739856893506</v>
      </c>
      <c r="CJ61" s="82">
        <f t="shared" si="31"/>
        <v>11.633171410601255</v>
      </c>
      <c r="CK61" s="82">
        <f t="shared" si="31"/>
        <v>12.764685678090469</v>
      </c>
      <c r="CL61" s="82">
        <f t="shared" si="31"/>
        <v>17.48226210071326</v>
      </c>
      <c r="CM61" s="82" t="e">
        <f t="shared" si="31"/>
        <v>#DIV/0!</v>
      </c>
      <c r="CN61" s="82" t="e">
        <f t="shared" si="31"/>
        <v>#DIV/0!</v>
      </c>
      <c r="CO61" s="82" t="e">
        <f t="shared" si="31"/>
        <v>#DIV/0!</v>
      </c>
      <c r="CP61" s="82" t="e">
        <f t="shared" si="31"/>
        <v>#DIV/0!</v>
      </c>
      <c r="CQ61" s="82" t="e">
        <f t="shared" si="31"/>
        <v>#DIV/0!</v>
      </c>
      <c r="CR61" s="82" t="e">
        <f t="shared" si="31"/>
        <v>#DIV/0!</v>
      </c>
      <c r="CS61" s="82" t="e">
        <f t="shared" si="31"/>
        <v>#DIV/0!</v>
      </c>
      <c r="CT61" s="82" t="e">
        <f t="shared" si="31"/>
        <v>#DIV/0!</v>
      </c>
      <c r="CU61" s="82" t="e">
        <f t="shared" si="31"/>
        <v>#DIV/0!</v>
      </c>
      <c r="CV61" s="82" t="e">
        <f t="shared" si="31"/>
        <v>#DIV/0!</v>
      </c>
      <c r="CW61" s="82" t="e">
        <f t="shared" si="31"/>
        <v>#DIV/0!</v>
      </c>
      <c r="CX61" s="82" t="e">
        <f t="shared" si="31"/>
        <v>#DIV/0!</v>
      </c>
      <c r="CY61" s="82" t="e">
        <f t="shared" si="31"/>
        <v>#DIV/0!</v>
      </c>
      <c r="CZ61" s="82" t="e">
        <f t="shared" si="31"/>
        <v>#DIV/0!</v>
      </c>
      <c r="DA61" s="82" t="e">
        <f t="shared" si="31"/>
        <v>#DIV/0!</v>
      </c>
      <c r="DB61" s="82" t="e">
        <f t="shared" si="31"/>
        <v>#DIV/0!</v>
      </c>
      <c r="DC61" s="82" t="e">
        <f t="shared" si="31"/>
        <v>#DIV/0!</v>
      </c>
      <c r="DD61" s="82" t="e">
        <f t="shared" si="31"/>
        <v>#DIV/0!</v>
      </c>
      <c r="DE61" s="82" t="e">
        <f t="shared" si="31"/>
        <v>#DIV/0!</v>
      </c>
      <c r="DF61" s="82" t="e">
        <f t="shared" si="31"/>
        <v>#DIV/0!</v>
      </c>
      <c r="DG61" s="82" t="e">
        <f t="shared" si="31"/>
        <v>#DIV/0!</v>
      </c>
      <c r="DH61" s="82" t="e">
        <f t="shared" si="31"/>
        <v>#DIV/0!</v>
      </c>
      <c r="DI61" s="82" t="e">
        <f t="shared" si="31"/>
        <v>#DIV/0!</v>
      </c>
      <c r="DJ61" s="259" t="s">
        <v>35</v>
      </c>
      <c r="DK61" s="259" t="s">
        <v>91</v>
      </c>
      <c r="DL61" s="214" t="e">
        <f>#REF!</f>
        <v>#REF!</v>
      </c>
      <c r="DM61" s="214" t="e">
        <f>#REF!</f>
        <v>#REF!</v>
      </c>
      <c r="DN61" s="214" t="e">
        <f>#REF!</f>
        <v>#REF!</v>
      </c>
      <c r="DO61" s="214" t="e">
        <f>#REF!</f>
        <v>#REF!</v>
      </c>
      <c r="DP61" s="214" t="e">
        <f>#REF!</f>
        <v>#REF!</v>
      </c>
      <c r="DQ61" s="214" t="e">
        <f>#REF!</f>
        <v>#REF!</v>
      </c>
      <c r="DR61" s="214" t="e">
        <f>#REF!</f>
        <v>#REF!</v>
      </c>
      <c r="DS61" s="214" t="e">
        <f>#REF!</f>
        <v>#REF!</v>
      </c>
      <c r="DT61" s="214" t="e">
        <f>#REF!</f>
        <v>#REF!</v>
      </c>
      <c r="DU61" s="214" t="e">
        <f>#REF!</f>
        <v>#REF!</v>
      </c>
      <c r="DV61" s="214" t="e">
        <f>#REF!</f>
        <v>#REF!</v>
      </c>
      <c r="DW61" s="195" t="e">
        <f>#REF!</f>
        <v>#REF!</v>
      </c>
    </row>
    <row r="62" spans="1:127" ht="14.25" customHeight="1">
      <c r="A62" s="129"/>
      <c r="E62" s="104"/>
      <c r="H62" s="104"/>
      <c r="I62" s="256">
        <f t="array" ref="I62">_xlfn.STDEV.P(IF($E$5:$E$53=$E61,I$5:I$53))</f>
        <v>2.297476876923902</v>
      </c>
      <c r="J62" s="256"/>
      <c r="K62" s="256"/>
      <c r="L62" s="256"/>
      <c r="M62" s="256">
        <f t="array" ref="M62">_xlfn.STDEV.P(IF($E$5:$E$53=$E61,M$5:M$53))</f>
        <v>20.465995839577463</v>
      </c>
      <c r="N62" s="256">
        <f t="array" ref="N62">_xlfn.STDEV.P(IF($E$5:$E$53=$E61,N$5:N$53))</f>
        <v>0</v>
      </c>
      <c r="O62" s="256">
        <f t="array" ref="O62">_xlfn.STDEV.P(IF($E$5:$E$53=$E61,O$5:O$53))</f>
        <v>68.21998613192504</v>
      </c>
      <c r="P62" s="256">
        <f t="array" ref="P62">_xlfn.STDEV.P(IF($E$5:$E$53=$E61,P$5:P$53))</f>
        <v>6.8219986131924495</v>
      </c>
      <c r="Q62" s="256">
        <f t="array" ref="Q62">_xlfn.STDEV.P(IF($E$5:$E$53=$E61,Q$5:Q$53))</f>
        <v>69.325320049748058</v>
      </c>
      <c r="R62" s="257">
        <f t="array" ref="R62">_xlfn.STDEV.P(IF($E$5:$E$53=$E61,R$5:R$53))</f>
        <v>7.7721654606027091E-2</v>
      </c>
      <c r="S62" s="258">
        <f t="array" ref="S62">_xlfn.STDEV.P(IF($E$5:$E$53=$E61,S$5:S$53))</f>
        <v>0.25907218202009036</v>
      </c>
      <c r="T62" s="258">
        <f t="array" ref="T62">_xlfn.STDEV.P(IF($E$5:$E$53=$E61,T$5:T$53))</f>
        <v>0</v>
      </c>
      <c r="U62" s="258">
        <f t="array" ref="U62">_xlfn.STDEV.P(IF($E$5:$E$53=$E61,U$5:U$53))</f>
        <v>0</v>
      </c>
      <c r="V62" s="258">
        <f t="array" ref="V62">_xlfn.STDEV.P(IF($E$5:$E$53=$E61,V$5:V$53))</f>
        <v>0</v>
      </c>
      <c r="W62" s="256">
        <f t="array" ref="W62">_xlfn.STDEV.P(IF($E$5:$E$53=$E61,W$5:W$53))</f>
        <v>0</v>
      </c>
      <c r="X62" s="81" t="s">
        <v>12</v>
      </c>
      <c r="Y62" s="90">
        <f t="array" ref="Y62">_xlfn.STDEV.P(IF($E$5:$E$53=$E61,Y$5:Y$53))</f>
        <v>16.304406885234933</v>
      </c>
      <c r="Z62" s="90">
        <f t="array" ref="Z62">_xlfn.STDEV.P(IF($E$5:$E$53=$E61,Z$5:Z$53))</f>
        <v>38.400618737428495</v>
      </c>
      <c r="AA62" s="90">
        <f t="array" ref="AA62">_xlfn.STDEV.P(IF($E$5:$E$53=$E61,AA$5:AA$53))</f>
        <v>20.465995839577463</v>
      </c>
      <c r="AB62" s="90">
        <f t="array" ref="AB62">_xlfn.STDEV.P(IF($E$5:$E$53=$E61,AB$5:AB$53))</f>
        <v>47.682270016513236</v>
      </c>
      <c r="AC62" s="90">
        <f t="array" ref="AC62">_xlfn.STDEV.P(IF($E$5:$E$53=$E61,AC$5:AC$53))</f>
        <v>81.065636475554982</v>
      </c>
      <c r="AD62" s="90">
        <f t="array" ref="AD62">_xlfn.STDEV.P(IF($E$5:$E$53=$E61,AD$5:AD$53))</f>
        <v>81.841722265333061</v>
      </c>
      <c r="AE62" s="90">
        <f t="array" ref="AE62">_xlfn.STDEV.P(IF($E$5:$E$53=$E61,AE$5:AE$53))</f>
        <v>157.87648050874691</v>
      </c>
      <c r="AF62" s="90">
        <f t="array" ref="AF62">_xlfn.STDEV.P(IF($E$5:$E$53=$E61,AF$5:AF$53))</f>
        <v>180.65127503706702</v>
      </c>
      <c r="AG62" s="90">
        <f t="array" ref="AG62">_xlfn.STDEV.P(IF($E$5:$E$53=$E61,AG$5:AG$53))</f>
        <v>255.33235932223681</v>
      </c>
      <c r="AH62" s="90">
        <f t="array" ref="AH62">_xlfn.STDEV.P(IF($E$5:$E$53=$E61,AH$5:AH$53))</f>
        <v>318.70465425916876</v>
      </c>
      <c r="AI62" s="90">
        <f t="array" ref="AI62">_xlfn.STDEV.P(IF($E$5:$E$53=$E61,AI$5:AI$53))</f>
        <v>414.91484912377513</v>
      </c>
      <c r="AJ62" s="90">
        <f t="array" ref="AJ62">_xlfn.STDEV.P(IF($E$5:$E$53=$E61,AJ$5:AJ$53))</f>
        <v>565.62691696785032</v>
      </c>
      <c r="AK62" s="90">
        <f t="array" ref="AK62">_xlfn.STDEV.P(IF($E$5:$E$53=$E61,AK$5:AK$53))</f>
        <v>390.69113205406393</v>
      </c>
      <c r="AL62" s="90">
        <f t="array" ref="AL62">_xlfn.STDEV.P(IF($E$5:$E$53=$E61,AL$5:AL$53))</f>
        <v>450.27644063578504</v>
      </c>
      <c r="AM62" s="90">
        <f t="array" ref="AM62">_xlfn.STDEV.P(IF($E$5:$E$53=$E61,AM$5:AM$53))</f>
        <v>562.45615662204068</v>
      </c>
      <c r="AN62" s="90">
        <f t="array" ref="AN62">_xlfn.STDEV.P(IF($E$5:$E$53=$E61,AN$5:AN$53))</f>
        <v>780.64607026006797</v>
      </c>
      <c r="AO62" s="90">
        <f t="array" ref="AO62">_xlfn.STDEV.P(IF($E$5:$E$53=$E61,AO$5:AO$53))</f>
        <v>542.9694474583207</v>
      </c>
      <c r="AP62" s="90">
        <f t="array" ref="AP62">_xlfn.STDEV.P(IF($E$5:$E$53=$E61,AP$5:AP$53))</f>
        <v>688.98072772753687</v>
      </c>
      <c r="AQ62" s="90">
        <f t="array" ref="AQ62">_xlfn.STDEV.P(IF($E$5:$E$53=$E61,AQ$5:AQ$53))</f>
        <v>542.45068800000001</v>
      </c>
      <c r="AR62" s="90">
        <f t="array" ref="AR62">_xlfn.STDEV.P(IF($E$5:$E$53=$E61,AR$5:AR$53))</f>
        <v>595.2127999999999</v>
      </c>
      <c r="AS62" s="90">
        <f t="array" ref="AS62">_xlfn.STDEV.P(IF($E$5:$E$53=$E61,AS$5:AS$53))</f>
        <v>815.1917279999999</v>
      </c>
      <c r="AT62" s="90">
        <f t="array" ref="AT62">_xlfn.STDEV.P(IF($E$5:$E$53=$E61,AT$5:AT$53))</f>
        <v>0</v>
      </c>
      <c r="AU62" s="90">
        <f t="array" ref="AU62">_xlfn.STDEV.P(IF($E$5:$E$53=$E61,AU$5:AU$53))</f>
        <v>0</v>
      </c>
      <c r="AV62" s="90">
        <f t="array" ref="AV62">_xlfn.STDEV.P(IF($E$5:$E$53=$E61,AV$5:AV$53))</f>
        <v>0</v>
      </c>
      <c r="AW62" s="90">
        <f t="array" ref="AW62">_xlfn.STDEV.P(IF($E$5:$E$53=$E61,AW$5:AW$53))</f>
        <v>0</v>
      </c>
      <c r="AX62" s="90">
        <f t="array" ref="AX62">_xlfn.STDEV.P(IF($E$5:$E$53=$E61,AX$5:AX$53))</f>
        <v>0</v>
      </c>
      <c r="AY62" s="90">
        <f t="array" ref="AY62">_xlfn.STDEV.P(IF($E$5:$E$53=$E61,AY$5:AY$53))</f>
        <v>0</v>
      </c>
      <c r="AZ62" s="90">
        <f t="array" ref="AZ62">_xlfn.STDEV.P(IF($E$5:$E$53=$E61,AZ$5:AZ$53))</f>
        <v>0</v>
      </c>
      <c r="BA62" s="90">
        <f t="array" ref="BA62">_xlfn.STDEV.P(IF($E$5:$E$53=$E61,BA$5:BA$53))</f>
        <v>0</v>
      </c>
      <c r="BB62" s="90">
        <f t="array" ref="BB62">_xlfn.STDEV.P(IF($E$5:$E$53=$E61,BB$5:BB$53))</f>
        <v>0</v>
      </c>
      <c r="BC62" s="90">
        <f t="array" ref="BC62">_xlfn.STDEV.P(IF($E$5:$E$53=$E61,BC$5:BC$53))</f>
        <v>0</v>
      </c>
      <c r="BD62" s="90">
        <f t="array" ref="BD62">_xlfn.STDEV.P(IF($E$5:$E$53=$E61,BD$5:BD$53))</f>
        <v>0</v>
      </c>
      <c r="BE62" s="90">
        <f t="array" ref="BE62">_xlfn.STDEV.P(IF($E$5:$E$53=$E61,BE$5:BE$53))</f>
        <v>0</v>
      </c>
      <c r="BF62" s="90">
        <f t="array" ref="BF62">_xlfn.STDEV.P(IF($E$5:$E$53=$E61,BF$5:BF$53))</f>
        <v>0</v>
      </c>
      <c r="BG62" s="90">
        <f t="array" ref="BG62">_xlfn.STDEV.P(IF($E$5:$E$53=$E61,BG$5:BG$53))</f>
        <v>0</v>
      </c>
      <c r="BH62" s="90">
        <f t="array" ref="BH62">_xlfn.STDEV.P(IF($E$5:$E$53=$E61,BH$5:BH$53))</f>
        <v>0</v>
      </c>
      <c r="BI62" s="90">
        <f t="array" ref="BI62">_xlfn.STDEV.P(IF($E$5:$E$53=$E61,BI$5:BI$53))</f>
        <v>0</v>
      </c>
      <c r="BJ62" s="90">
        <f t="array" ref="BJ62">_xlfn.STDEV.P(IF($E$5:$E$53=$E61,BJ$5:BJ$53))</f>
        <v>0</v>
      </c>
      <c r="BK62" s="90">
        <f t="array" ref="BK62">_xlfn.STDEV.P(IF($E$5:$E$53=$E61,BK$5:BK$53))</f>
        <v>0</v>
      </c>
      <c r="BL62" s="90">
        <f t="array" ref="BL62">_xlfn.STDEV.P(IF($E$5:$E$53=$E61,BL$5:BL$53))</f>
        <v>0</v>
      </c>
      <c r="BM62" s="90">
        <f t="array" ref="BM62">_xlfn.STDEV.P(IF($E$5:$E$53=$E61,BM$5:BM$53))</f>
        <v>0</v>
      </c>
      <c r="BN62" s="90">
        <f t="array" ref="BN62">_xlfn.STDEV.P(IF($E$5:$E$53=$E61,BN$5:BN$53))</f>
        <v>0</v>
      </c>
      <c r="BO62" s="90">
        <f t="array" ref="BO62">_xlfn.STDEV.P(IF($E$5:$E$53=$E61,BO$5:BO$53))</f>
        <v>0</v>
      </c>
      <c r="BP62" s="90">
        <f t="array" ref="BP62">_xlfn.STDEV.P(IF($E$5:$E$53=$E61,BP$5:BP$53))</f>
        <v>0</v>
      </c>
      <c r="BQ62" s="115" t="s">
        <v>12</v>
      </c>
      <c r="BR62" s="83">
        <f t="array" ref="BR62">_xlfn.STDEV.P(IF($E$5:$E$53=$E61,BR$5:BR$53))</f>
        <v>0.1230153151144965</v>
      </c>
      <c r="BS62" s="83">
        <f t="array" ref="BS62">_xlfn.STDEV.P(IF($E$5:$E$53=$E61,BS$5:BS$53))</f>
        <v>0.2727123115641833</v>
      </c>
      <c r="BT62" s="83">
        <f t="array" ref="BT62">_xlfn.STDEV.P(IF($E$5:$E$53=$E61,BT$5:BT$53))</f>
        <v>0</v>
      </c>
      <c r="BU62" s="83">
        <f t="array" ref="BU62">_xlfn.STDEV.P(IF($E$5:$E$53=$E61,BU$5:BU$53))</f>
        <v>0.32449901969112177</v>
      </c>
      <c r="BV62" s="83">
        <f t="array" ref="BV62">_xlfn.STDEV.P(IF($E$5:$E$53=$E61,BV$5:BV$53))</f>
        <v>0.64755342656960901</v>
      </c>
      <c r="BW62" s="83">
        <f t="array" ref="BW62">_xlfn.STDEV.P(IF($E$5:$E$53=$E61,BW$5:BW$53))</f>
        <v>0.65299193498295516</v>
      </c>
      <c r="BX62" s="83">
        <f t="array" ref="BX62">_xlfn.STDEV.P(IF($E$5:$E$53=$E61,BX$5:BX$53))</f>
        <v>1.2426235072307545</v>
      </c>
      <c r="BY62" s="83">
        <f t="array" ref="BY62">_xlfn.STDEV.P(IF($E$5:$E$53=$E61,BY$5:BY$53))</f>
        <v>1.3902064768787707</v>
      </c>
      <c r="BZ62" s="83">
        <f t="array" ref="BZ62">_xlfn.STDEV.P(IF($E$5:$E$53=$E61,BZ$5:BZ$53))</f>
        <v>1.9307404376098403</v>
      </c>
      <c r="CA62" s="83">
        <f t="array" ref="CA62">_xlfn.STDEV.P(IF($E$5:$E$53=$E61,CA$5:CA$53))</f>
        <v>2.4197251140073854</v>
      </c>
      <c r="CB62" s="83">
        <f t="array" ref="CB62">_xlfn.STDEV.P(IF($E$5:$E$53=$E61,CB$5:CB$53))</f>
        <v>3.1731010681883851</v>
      </c>
      <c r="CC62" s="83">
        <f t="array" ref="CC62">_xlfn.STDEV.P(IF($E$5:$E$53=$E61,CC$5:CC$53))</f>
        <v>4.323586470519925</v>
      </c>
      <c r="CD62" s="83">
        <f t="array" ref="CD62">_xlfn.STDEV.P(IF($E$5:$E$53=$E61,CD$5:CD$53))</f>
        <v>3.4087800601831053</v>
      </c>
      <c r="CE62" s="83">
        <f t="array" ref="CE62">_xlfn.STDEV.P(IF($E$5:$E$53=$E61,CE$5:CE$53))</f>
        <v>3.8885555140632713</v>
      </c>
      <c r="CF62" s="83">
        <f t="array" ref="CF62">_xlfn.STDEV.P(IF($E$5:$E$53=$E61,CF$5:CF$53))</f>
        <v>4.9056878024784067</v>
      </c>
      <c r="CG62" s="83">
        <f t="array" ref="CG62">_xlfn.STDEV.P(IF($E$5:$E$53=$E61,CG$5:CG$53))</f>
        <v>6.5410897600226798</v>
      </c>
      <c r="CH62" s="83">
        <f t="array" ref="CH62">_xlfn.STDEV.P(IF($E$5:$E$53=$E61,CH$5:CH$53))</f>
        <v>6.1069369303343821</v>
      </c>
      <c r="CI62" s="83">
        <f t="array" ref="CI62">_xlfn.STDEV.P(IF($E$5:$E$53=$E61,CI$5:CI$53))</f>
        <v>5.6453816272673887</v>
      </c>
      <c r="CJ62" s="83">
        <f t="array" ref="CJ62">_xlfn.STDEV.P(IF($E$5:$E$53=$E61,CJ$5:CJ$53))</f>
        <v>0</v>
      </c>
      <c r="CK62" s="83">
        <f t="array" ref="CK62">_xlfn.STDEV.P(IF($E$5:$E$53=$E61,CK$5:CK$53))</f>
        <v>0</v>
      </c>
      <c r="CL62" s="83">
        <f t="array" ref="CL62">_xlfn.STDEV.P(IF($E$5:$E$53=$E61,CL$5:CL$53))</f>
        <v>0</v>
      </c>
      <c r="CM62" s="83" t="e">
        <f t="array" ref="CM62">_xlfn.STDEV.P(IF($E$5:$E$53=$E61,CM$5:CM$53))</f>
        <v>#DIV/0!</v>
      </c>
      <c r="CN62" s="83" t="e">
        <f t="array" ref="CN62">_xlfn.STDEV.P(IF($E$5:$E$53=$E61,CN$5:CN$53))</f>
        <v>#DIV/0!</v>
      </c>
      <c r="CO62" s="83" t="e">
        <f t="array" ref="CO62">_xlfn.STDEV.P(IF($E$5:$E$53=$E61,CO$5:CO$53))</f>
        <v>#DIV/0!</v>
      </c>
      <c r="CP62" s="83" t="e">
        <f t="array" ref="CP62">_xlfn.STDEV.P(IF($E$5:$E$53=$E61,CP$5:CP$53))</f>
        <v>#DIV/0!</v>
      </c>
      <c r="CQ62" s="83" t="e">
        <f t="array" ref="CQ62">_xlfn.STDEV.P(IF($E$5:$E$53=$E61,CQ$5:CQ$53))</f>
        <v>#DIV/0!</v>
      </c>
      <c r="CR62" s="83" t="e">
        <f t="array" ref="CR62">_xlfn.STDEV.P(IF($E$5:$E$53=$E61,CR$5:CR$53))</f>
        <v>#DIV/0!</v>
      </c>
      <c r="CS62" s="83" t="e">
        <f t="array" ref="CS62">_xlfn.STDEV.P(IF($E$5:$E$53=$E61,CS$5:CS$53))</f>
        <v>#DIV/0!</v>
      </c>
      <c r="CT62" s="83" t="e">
        <f t="array" ref="CT62">_xlfn.STDEV.P(IF($E$5:$E$53=$E61,CT$5:CT$53))</f>
        <v>#DIV/0!</v>
      </c>
      <c r="CU62" s="83" t="e">
        <f t="array" ref="CU62">_xlfn.STDEV.P(IF($E$5:$E$53=$E61,CU$5:CU$53))</f>
        <v>#DIV/0!</v>
      </c>
      <c r="CV62" s="83" t="e">
        <f t="array" ref="CV62">_xlfn.STDEV.P(IF($E$5:$E$53=$E61,CV$5:CV$53))</f>
        <v>#DIV/0!</v>
      </c>
      <c r="CW62" s="83" t="e">
        <f t="array" ref="CW62">_xlfn.STDEV.P(IF($E$5:$E$53=$E61,CW$5:CW$53))</f>
        <v>#DIV/0!</v>
      </c>
      <c r="CX62" s="83" t="e">
        <f t="array" ref="CX62">_xlfn.STDEV.P(IF($E$5:$E$53=$E61,CX$5:CX$53))</f>
        <v>#DIV/0!</v>
      </c>
      <c r="CY62" s="83" t="e">
        <f t="array" ref="CY62">_xlfn.STDEV.P(IF($E$5:$E$53=$E61,CY$5:CY$53))</f>
        <v>#DIV/0!</v>
      </c>
      <c r="CZ62" s="83" t="e">
        <f t="array" ref="CZ62">_xlfn.STDEV.P(IF($E$5:$E$53=$E61,CZ$5:CZ$53))</f>
        <v>#DIV/0!</v>
      </c>
      <c r="DA62" s="83" t="e">
        <f t="array" ref="DA62">_xlfn.STDEV.P(IF($E$5:$E$53=$E61,DA$5:DA$53))</f>
        <v>#DIV/0!</v>
      </c>
      <c r="DB62" s="83" t="e">
        <f t="array" ref="DB62">_xlfn.STDEV.P(IF($E$5:$E$53=$E61,DB$5:DB$53))</f>
        <v>#DIV/0!</v>
      </c>
      <c r="DC62" s="83" t="e">
        <f t="array" ref="DC62">_xlfn.STDEV.P(IF($E$5:$E$53=$E61,DC$5:DC$53))</f>
        <v>#DIV/0!</v>
      </c>
      <c r="DD62" s="83" t="e">
        <f t="array" ref="DD62">_xlfn.STDEV.P(IF($E$5:$E$53=$E61,DD$5:DD$53))</f>
        <v>#DIV/0!</v>
      </c>
      <c r="DE62" s="83" t="e">
        <f t="array" ref="DE62">_xlfn.STDEV.P(IF($E$5:$E$53=$E61,DE$5:DE$53))</f>
        <v>#DIV/0!</v>
      </c>
      <c r="DF62" s="83" t="e">
        <f t="array" ref="DF62">_xlfn.STDEV.P(IF($E$5:$E$53=$E61,DF$5:DF$53))</f>
        <v>#DIV/0!</v>
      </c>
      <c r="DG62" s="83" t="e">
        <f t="array" ref="DG62">_xlfn.STDEV.P(IF($E$5:$E$53=$E61,DG$5:DG$53))</f>
        <v>#DIV/0!</v>
      </c>
      <c r="DH62" s="83" t="e">
        <f t="array" ref="DH62">_xlfn.STDEV.P(IF($E$5:$E$53=$E61,DH$5:DH$53))</f>
        <v>#DIV/0!</v>
      </c>
      <c r="DI62" s="83" t="e">
        <f t="array" ref="DI62">_xlfn.STDEV.P(IF($E$5:$E$53=$E61,DI$5:DI$53))</f>
        <v>#DIV/0!</v>
      </c>
      <c r="DK62" s="259" t="s">
        <v>92</v>
      </c>
      <c r="DL62" s="214" t="e">
        <f>#REF!</f>
        <v>#REF!</v>
      </c>
      <c r="DM62" s="214" t="e">
        <f>#REF!</f>
        <v>#REF!</v>
      </c>
      <c r="DN62" s="214" t="e">
        <f>#REF!</f>
        <v>#REF!</v>
      </c>
      <c r="DO62" s="214" t="e">
        <f>#REF!</f>
        <v>#REF!</v>
      </c>
      <c r="DP62" s="214" t="e">
        <f>#REF!</f>
        <v>#REF!</v>
      </c>
      <c r="DQ62" s="214" t="e">
        <f>#REF!</f>
        <v>#REF!</v>
      </c>
      <c r="DR62" s="214" t="e">
        <f>#REF!</f>
        <v>#REF!</v>
      </c>
      <c r="DS62" s="214" t="e">
        <f>#REF!</f>
        <v>#REF!</v>
      </c>
      <c r="DT62" s="214" t="e">
        <f>#REF!</f>
        <v>#REF!</v>
      </c>
      <c r="DU62" s="214" t="e">
        <f>#REF!</f>
        <v>#REF!</v>
      </c>
      <c r="DV62" s="214" t="e">
        <f>#REF!</f>
        <v>#REF!</v>
      </c>
      <c r="DW62" s="195" t="e">
        <f>#REF!</f>
        <v>#REF!</v>
      </c>
    </row>
    <row r="63" spans="1:127" ht="15">
      <c r="A63" s="129"/>
      <c r="E63" s="58"/>
      <c r="H63" s="58"/>
      <c r="J63" s="63"/>
      <c r="K63" s="63"/>
      <c r="L63" s="63"/>
      <c r="N63" s="63"/>
      <c r="R63" s="176"/>
      <c r="S63" s="253"/>
      <c r="T63" s="253"/>
      <c r="U63" s="253"/>
      <c r="V63" s="253"/>
      <c r="W63" s="63"/>
      <c r="DL63" s="214"/>
      <c r="DM63" s="214"/>
      <c r="DN63" s="214"/>
      <c r="DO63" s="214"/>
      <c r="DP63" s="214"/>
      <c r="DQ63" s="214"/>
      <c r="DR63" s="214"/>
      <c r="DS63" s="214"/>
      <c r="DT63" s="214"/>
      <c r="DU63" s="214"/>
      <c r="DV63" s="214"/>
    </row>
    <row r="64" spans="1:127" ht="14.25" customHeight="1">
      <c r="A64" s="129"/>
      <c r="E64" s="134" t="str">
        <f>'PTX_DOSE Groups'!C8</f>
        <v>12.5mg CP-PTX</v>
      </c>
      <c r="H64" s="134" t="str">
        <f>E64</f>
        <v>12.5mg CP-PTX</v>
      </c>
      <c r="I64" s="256">
        <f>AVERAGEIF($E$5:$E$53,$E64,I$5:I$53)</f>
        <v>28.266666666666666</v>
      </c>
      <c r="J64" s="256"/>
      <c r="K64" s="256"/>
      <c r="L64" s="256"/>
      <c r="M64" s="256">
        <f t="shared" ref="M64:W64" si="32">AVERAGEIF($E$5:$E$53,$E64,M$5:M$53)</f>
        <v>123.14267333333333</v>
      </c>
      <c r="N64" s="256" t="e">
        <f t="shared" si="32"/>
        <v>#DIV/0!</v>
      </c>
      <c r="O64" s="256" t="e">
        <f t="shared" si="32"/>
        <v>#DIV/0!</v>
      </c>
      <c r="P64" s="256">
        <f t="shared" si="32"/>
        <v>41.047557777777783</v>
      </c>
      <c r="Q64" s="256" t="e">
        <f t="shared" si="32"/>
        <v>#DIV/0!</v>
      </c>
      <c r="R64" s="257" t="e">
        <f t="shared" si="32"/>
        <v>#DIV/0!</v>
      </c>
      <c r="S64" s="258">
        <f t="shared" si="32"/>
        <v>0</v>
      </c>
      <c r="T64" s="258">
        <f t="shared" si="32"/>
        <v>125.5</v>
      </c>
      <c r="U64" s="258">
        <f t="shared" si="32"/>
        <v>11.100593448841666</v>
      </c>
      <c r="V64" s="258">
        <f t="shared" si="32"/>
        <v>2.579850831809777</v>
      </c>
      <c r="W64" s="256" t="e">
        <f t="shared" si="32"/>
        <v>#DIV/0!</v>
      </c>
      <c r="X64" s="81" t="s">
        <v>10</v>
      </c>
      <c r="Y64" s="87">
        <f t="shared" ref="Y64:BP64" si="33">AVERAGEIF($E$5:$E$53,$E64,Y$5:Y$53)</f>
        <v>73.190693333333343</v>
      </c>
      <c r="Z64" s="87">
        <f t="shared" si="33"/>
        <v>87.399346666666659</v>
      </c>
      <c r="AA64" s="87">
        <f t="shared" si="33"/>
        <v>123.14267333333333</v>
      </c>
      <c r="AB64" s="87">
        <f t="shared" si="33"/>
        <v>154.95471333333333</v>
      </c>
      <c r="AC64" s="87">
        <f t="shared" si="33"/>
        <v>157.12242000000001</v>
      </c>
      <c r="AD64" s="87">
        <f t="shared" si="33"/>
        <v>214.21616666666668</v>
      </c>
      <c r="AE64" s="87">
        <f t="shared" si="33"/>
        <v>252.2495733333333</v>
      </c>
      <c r="AF64" s="87">
        <f t="shared" si="33"/>
        <v>406.37115999999997</v>
      </c>
      <c r="AG64" s="87">
        <f t="shared" si="33"/>
        <v>526.93125333333342</v>
      </c>
      <c r="AH64" s="87">
        <f t="shared" si="33"/>
        <v>744.82052666666675</v>
      </c>
      <c r="AI64" s="87">
        <f t="shared" si="33"/>
        <v>893.67182666666668</v>
      </c>
      <c r="AJ64" s="87">
        <f t="shared" si="33"/>
        <v>1325.9558000000002</v>
      </c>
      <c r="AK64" s="87">
        <f t="shared" si="33"/>
        <v>1513.8438639999999</v>
      </c>
      <c r="AL64" s="87">
        <f t="shared" si="33"/>
        <v>1662.1181200000001</v>
      </c>
      <c r="AM64" s="87">
        <f t="shared" si="33"/>
        <v>1520.3240000000003</v>
      </c>
      <c r="AN64" s="87">
        <f t="shared" si="33"/>
        <v>1772.6155199999998</v>
      </c>
      <c r="AO64" s="87" t="e">
        <f t="shared" si="33"/>
        <v>#DIV/0!</v>
      </c>
      <c r="AP64" s="87" t="e">
        <f t="shared" si="33"/>
        <v>#DIV/0!</v>
      </c>
      <c r="AQ64" s="87" t="e">
        <f t="shared" si="33"/>
        <v>#DIV/0!</v>
      </c>
      <c r="AR64" s="87" t="e">
        <f t="shared" si="33"/>
        <v>#DIV/0!</v>
      </c>
      <c r="AS64" s="87" t="e">
        <f t="shared" si="33"/>
        <v>#DIV/0!</v>
      </c>
      <c r="AT64" s="87" t="e">
        <f t="shared" si="33"/>
        <v>#DIV/0!</v>
      </c>
      <c r="AU64" s="87" t="e">
        <f t="shared" si="33"/>
        <v>#DIV/0!</v>
      </c>
      <c r="AV64" s="87" t="e">
        <f t="shared" si="33"/>
        <v>#DIV/0!</v>
      </c>
      <c r="AW64" s="87" t="e">
        <f t="shared" si="33"/>
        <v>#DIV/0!</v>
      </c>
      <c r="AX64" s="87" t="e">
        <f t="shared" si="33"/>
        <v>#DIV/0!</v>
      </c>
      <c r="AY64" s="87" t="e">
        <f t="shared" si="33"/>
        <v>#DIV/0!</v>
      </c>
      <c r="AZ64" s="87" t="e">
        <f t="shared" si="33"/>
        <v>#DIV/0!</v>
      </c>
      <c r="BA64" s="87" t="e">
        <f t="shared" si="33"/>
        <v>#DIV/0!</v>
      </c>
      <c r="BB64" s="87" t="e">
        <f t="shared" si="33"/>
        <v>#DIV/0!</v>
      </c>
      <c r="BC64" s="87" t="e">
        <f t="shared" si="33"/>
        <v>#DIV/0!</v>
      </c>
      <c r="BD64" s="87" t="e">
        <f t="shared" si="33"/>
        <v>#DIV/0!</v>
      </c>
      <c r="BE64" s="87" t="e">
        <f t="shared" si="33"/>
        <v>#DIV/0!</v>
      </c>
      <c r="BF64" s="87" t="e">
        <f t="shared" si="33"/>
        <v>#DIV/0!</v>
      </c>
      <c r="BG64" s="87" t="e">
        <f t="shared" si="33"/>
        <v>#DIV/0!</v>
      </c>
      <c r="BH64" s="87" t="e">
        <f t="shared" si="33"/>
        <v>#DIV/0!</v>
      </c>
      <c r="BI64" s="87" t="e">
        <f t="shared" si="33"/>
        <v>#DIV/0!</v>
      </c>
      <c r="BJ64" s="87" t="e">
        <f t="shared" si="33"/>
        <v>#DIV/0!</v>
      </c>
      <c r="BK64" s="87" t="e">
        <f t="shared" si="33"/>
        <v>#DIV/0!</v>
      </c>
      <c r="BL64" s="87" t="e">
        <f t="shared" si="33"/>
        <v>#DIV/0!</v>
      </c>
      <c r="BM64" s="87" t="e">
        <f t="shared" si="33"/>
        <v>#DIV/0!</v>
      </c>
      <c r="BN64" s="87" t="e">
        <f t="shared" si="33"/>
        <v>#DIV/0!</v>
      </c>
      <c r="BO64" s="87" t="e">
        <f t="shared" si="33"/>
        <v>#DIV/0!</v>
      </c>
      <c r="BP64" s="87" t="e">
        <f t="shared" si="33"/>
        <v>#DIV/0!</v>
      </c>
      <c r="BQ64" s="114" t="s">
        <v>10</v>
      </c>
      <c r="BR64" s="82">
        <f t="shared" ref="BR64:DI64" si="34">AVERAGEIF($E$5:$E$53,$E64,BR$5:BR$53)</f>
        <v>0.59193425624691887</v>
      </c>
      <c r="BS64" s="82">
        <f t="shared" si="34"/>
        <v>0.7195295065966798</v>
      </c>
      <c r="BT64" s="82">
        <f t="shared" si="34"/>
        <v>1</v>
      </c>
      <c r="BU64" s="82">
        <f t="shared" si="34"/>
        <v>1.2659416186483841</v>
      </c>
      <c r="BV64" s="82">
        <f t="shared" si="34"/>
        <v>1.278147473831424</v>
      </c>
      <c r="BW64" s="82">
        <f t="shared" si="34"/>
        <v>1.7451044961732862</v>
      </c>
      <c r="BX64" s="82">
        <f t="shared" si="34"/>
        <v>2.0654522170090832</v>
      </c>
      <c r="BY64" s="82">
        <f t="shared" si="34"/>
        <v>3.3296162417847657</v>
      </c>
      <c r="BZ64" s="82">
        <f t="shared" si="34"/>
        <v>4.3306911750942749</v>
      </c>
      <c r="CA64" s="82">
        <f t="shared" si="34"/>
        <v>6.0981732786762466</v>
      </c>
      <c r="CB64" s="82">
        <f t="shared" si="34"/>
        <v>7.3328812918594508</v>
      </c>
      <c r="CC64" s="82">
        <f t="shared" si="34"/>
        <v>10.926591282747181</v>
      </c>
      <c r="CD64" s="82">
        <f t="shared" si="34"/>
        <v>12.08102297796971</v>
      </c>
      <c r="CE64" s="82">
        <f t="shared" si="34"/>
        <v>13.366815228461252</v>
      </c>
      <c r="CF64" s="82">
        <f t="shared" si="34"/>
        <v>11.770128824476652</v>
      </c>
      <c r="CG64" s="82">
        <f t="shared" si="34"/>
        <v>13.723333333333331</v>
      </c>
      <c r="CH64" s="82" t="e">
        <f t="shared" si="34"/>
        <v>#DIV/0!</v>
      </c>
      <c r="CI64" s="82" t="e">
        <f t="shared" si="34"/>
        <v>#DIV/0!</v>
      </c>
      <c r="CJ64" s="82" t="e">
        <f t="shared" si="34"/>
        <v>#DIV/0!</v>
      </c>
      <c r="CK64" s="82" t="e">
        <f t="shared" si="34"/>
        <v>#DIV/0!</v>
      </c>
      <c r="CL64" s="82" t="e">
        <f t="shared" si="34"/>
        <v>#DIV/0!</v>
      </c>
      <c r="CM64" s="82" t="e">
        <f t="shared" si="34"/>
        <v>#DIV/0!</v>
      </c>
      <c r="CN64" s="82" t="e">
        <f t="shared" si="34"/>
        <v>#DIV/0!</v>
      </c>
      <c r="CO64" s="82" t="e">
        <f t="shared" si="34"/>
        <v>#DIV/0!</v>
      </c>
      <c r="CP64" s="82" t="e">
        <f t="shared" si="34"/>
        <v>#DIV/0!</v>
      </c>
      <c r="CQ64" s="82" t="e">
        <f t="shared" si="34"/>
        <v>#DIV/0!</v>
      </c>
      <c r="CR64" s="82" t="e">
        <f t="shared" si="34"/>
        <v>#DIV/0!</v>
      </c>
      <c r="CS64" s="82" t="e">
        <f t="shared" si="34"/>
        <v>#DIV/0!</v>
      </c>
      <c r="CT64" s="82" t="e">
        <f t="shared" si="34"/>
        <v>#DIV/0!</v>
      </c>
      <c r="CU64" s="82" t="e">
        <f t="shared" si="34"/>
        <v>#DIV/0!</v>
      </c>
      <c r="CV64" s="82" t="e">
        <f t="shared" si="34"/>
        <v>#DIV/0!</v>
      </c>
      <c r="CW64" s="82" t="e">
        <f t="shared" si="34"/>
        <v>#DIV/0!</v>
      </c>
      <c r="CX64" s="82" t="e">
        <f t="shared" si="34"/>
        <v>#DIV/0!</v>
      </c>
      <c r="CY64" s="82" t="e">
        <f t="shared" si="34"/>
        <v>#DIV/0!</v>
      </c>
      <c r="CZ64" s="82" t="e">
        <f t="shared" si="34"/>
        <v>#DIV/0!</v>
      </c>
      <c r="DA64" s="82" t="e">
        <f t="shared" si="34"/>
        <v>#DIV/0!</v>
      </c>
      <c r="DB64" s="82" t="e">
        <f t="shared" si="34"/>
        <v>#DIV/0!</v>
      </c>
      <c r="DC64" s="82" t="e">
        <f t="shared" si="34"/>
        <v>#DIV/0!</v>
      </c>
      <c r="DD64" s="82" t="e">
        <f t="shared" si="34"/>
        <v>#DIV/0!</v>
      </c>
      <c r="DE64" s="82" t="e">
        <f t="shared" si="34"/>
        <v>#DIV/0!</v>
      </c>
      <c r="DF64" s="82" t="e">
        <f t="shared" si="34"/>
        <v>#DIV/0!</v>
      </c>
      <c r="DG64" s="82" t="e">
        <f t="shared" si="34"/>
        <v>#DIV/0!</v>
      </c>
      <c r="DH64" s="82" t="e">
        <f t="shared" si="34"/>
        <v>#DIV/0!</v>
      </c>
      <c r="DI64" s="82" t="e">
        <f t="shared" si="34"/>
        <v>#DIV/0!</v>
      </c>
      <c r="DJ64" s="259" t="s">
        <v>47</v>
      </c>
      <c r="DK64" s="259" t="s">
        <v>91</v>
      </c>
      <c r="DL64" s="214" t="e">
        <f>#REF!</f>
        <v>#REF!</v>
      </c>
      <c r="DM64" s="214" t="e">
        <f>#REF!</f>
        <v>#REF!</v>
      </c>
      <c r="DN64" s="214" t="e">
        <f>#REF!</f>
        <v>#REF!</v>
      </c>
      <c r="DO64" s="214" t="e">
        <f>#REF!</f>
        <v>#REF!</v>
      </c>
      <c r="DP64" s="214" t="e">
        <f>#REF!</f>
        <v>#REF!</v>
      </c>
      <c r="DQ64" s="214" t="e">
        <f>#REF!</f>
        <v>#REF!</v>
      </c>
      <c r="DR64" s="214" t="e">
        <f>#REF!</f>
        <v>#REF!</v>
      </c>
      <c r="DS64" s="214" t="e">
        <f>#REF!</f>
        <v>#REF!</v>
      </c>
      <c r="DT64" s="214" t="e">
        <f>#REF!</f>
        <v>#REF!</v>
      </c>
      <c r="DU64" s="214" t="e">
        <f>#REF!</f>
        <v>#REF!</v>
      </c>
      <c r="DV64" s="214" t="e">
        <f>#REF!</f>
        <v>#REF!</v>
      </c>
      <c r="DW64" s="195" t="e">
        <f>#REF!</f>
        <v>#REF!</v>
      </c>
    </row>
    <row r="65" spans="1:127" ht="14.25" customHeight="1">
      <c r="A65" s="129"/>
      <c r="E65" s="104"/>
      <c r="H65" s="104"/>
      <c r="I65" s="256">
        <f t="array" ref="I65">_xlfn.STDEV.P(IF($E$5:$E$53=$E64,I$5:I$53))</f>
        <v>2.6468010041473762</v>
      </c>
      <c r="J65" s="256"/>
      <c r="K65" s="256"/>
      <c r="L65" s="256"/>
      <c r="M65" s="256">
        <f t="array" ref="M65">_xlfn.STDEV.P(IF($E$5:$E$53=$E64,M$5:M$53))</f>
        <v>10.626004820788577</v>
      </c>
      <c r="N65" s="256">
        <f t="array" ref="N65">_xlfn.STDEV.P(IF($E$5:$E$53=$E64,N$5:N$53))</f>
        <v>0</v>
      </c>
      <c r="O65" s="256">
        <f t="array" ref="O65">_xlfn.STDEV.P(IF($E$5:$E$53=$E64,O$5:O$53))</f>
        <v>0</v>
      </c>
      <c r="P65" s="256">
        <f t="array" ref="P65">_xlfn.STDEV.P(IF($E$5:$E$53=$E64,P$5:P$53))</f>
        <v>3.5420016069295261</v>
      </c>
      <c r="Q65" s="256">
        <f t="array" ref="Q65">_xlfn.STDEV.P(IF($E$5:$E$53=$E64,Q$5:Q$53))</f>
        <v>0</v>
      </c>
      <c r="R65" s="257" t="e">
        <f t="array" ref="R65">_xlfn.STDEV.P(IF($E$5:$E$53=$E64,R$5:R$53))</f>
        <v>#DIV/0!</v>
      </c>
      <c r="S65" s="258">
        <f t="array" ref="S65">_xlfn.STDEV.P(IF($E$5:$E$53=$E64,S$5:S$53))</f>
        <v>0</v>
      </c>
      <c r="T65" s="258">
        <f t="array" ref="T65">_xlfn.STDEV.P(IF($E$5:$E$53=$E64,T$5:T$53))</f>
        <v>11.644025649805712</v>
      </c>
      <c r="U65" s="258">
        <f t="array" ref="U65">_xlfn.STDEV.P(IF($E$5:$E$53=$E64,U$5:U$53))</f>
        <v>1.7008600414526603E-2</v>
      </c>
      <c r="V65" s="258">
        <f t="array" ref="V65">_xlfn.STDEV.P(IF($E$5:$E$53=$E64,V$5:V$53))</f>
        <v>0.42314571047055943</v>
      </c>
      <c r="W65" s="256">
        <f t="array" ref="W65">_xlfn.STDEV.P(IF($E$5:$E$53=$E64,W$5:W$53))</f>
        <v>0</v>
      </c>
      <c r="X65" s="81" t="s">
        <v>12</v>
      </c>
      <c r="Y65" s="90">
        <f t="array" ref="Y65">_xlfn.STDEV.P(IF($E$5:$E$53=$E64,Y$5:Y$53))</f>
        <v>21.530978168665602</v>
      </c>
      <c r="Z65" s="90">
        <f t="array" ref="Z65">_xlfn.STDEV.P(IF($E$5:$E$53=$E64,Z$5:Z$53))</f>
        <v>22.188063790229418</v>
      </c>
      <c r="AA65" s="90">
        <f t="array" ref="AA65">_xlfn.STDEV.P(IF($E$5:$E$53=$E64,AA$5:AA$53))</f>
        <v>10.626004820788577</v>
      </c>
      <c r="AB65" s="90">
        <f t="array" ref="AB65">_xlfn.STDEV.P(IF($E$5:$E$53=$E64,AB$5:AB$53))</f>
        <v>49.316907392362815</v>
      </c>
      <c r="AC65" s="90">
        <f t="array" ref="AC65">_xlfn.STDEV.P(IF($E$5:$E$53=$E64,AC$5:AC$53))</f>
        <v>35.736795195896732</v>
      </c>
      <c r="AD65" s="90">
        <f t="array" ref="AD65">_xlfn.STDEV.P(IF($E$5:$E$53=$E64,AD$5:AD$53))</f>
        <v>76.340683659740009</v>
      </c>
      <c r="AE65" s="90">
        <f t="array" ref="AE65">_xlfn.STDEV.P(IF($E$5:$E$53=$E64,AE$5:AE$53))</f>
        <v>92.090361826712197</v>
      </c>
      <c r="AF65" s="90">
        <f t="array" ref="AF65">_xlfn.STDEV.P(IF($E$5:$E$53=$E64,AF$5:AF$53))</f>
        <v>148.18989799794576</v>
      </c>
      <c r="AG65" s="90">
        <f t="array" ref="AG65">_xlfn.STDEV.P(IF($E$5:$E$53=$E64,AG$5:AG$53))</f>
        <v>168.86582233815594</v>
      </c>
      <c r="AH65" s="90">
        <f t="array" ref="AH65">_xlfn.STDEV.P(IF($E$5:$E$53=$E64,AH$5:AH$53))</f>
        <v>212.44156716310968</v>
      </c>
      <c r="AI65" s="90">
        <f t="array" ref="AI65">_xlfn.STDEV.P(IF($E$5:$E$53=$E64,AI$5:AI$53))</f>
        <v>179.53825323565067</v>
      </c>
      <c r="AJ65" s="90">
        <f t="array" ref="AJ65">_xlfn.STDEV.P(IF($E$5:$E$53=$E64,AJ$5:AJ$53))</f>
        <v>402.6026030034086</v>
      </c>
      <c r="AK65" s="90">
        <f t="array" ref="AK65">_xlfn.STDEV.P(IF($E$5:$E$53=$E64,AK$5:AK$53))</f>
        <v>595.69975696338702</v>
      </c>
      <c r="AL65" s="90">
        <f t="array" ref="AL65">_xlfn.STDEV.P(IF($E$5:$E$53=$E64,AL$5:AL$53))</f>
        <v>803.78871508083262</v>
      </c>
      <c r="AM65" s="90">
        <f t="array" ref="AM65">_xlfn.STDEV.P(IF($E$5:$E$53=$E64,AM$5:AM$53))</f>
        <v>566.59130197073171</v>
      </c>
      <c r="AN65" s="90">
        <f t="array" ref="AN65">_xlfn.STDEV.P(IF($E$5:$E$53=$E64,AN$5:AN$53))</f>
        <v>660.61480011518961</v>
      </c>
      <c r="AO65" s="90">
        <f t="array" ref="AO65">_xlfn.STDEV.P(IF($E$5:$E$53=$E64,AO$5:AO$53))</f>
        <v>0</v>
      </c>
      <c r="AP65" s="90">
        <f t="array" ref="AP65">_xlfn.STDEV.P(IF($E$5:$E$53=$E64,AP$5:AP$53))</f>
        <v>0</v>
      </c>
      <c r="AQ65" s="90">
        <f t="array" ref="AQ65">_xlfn.STDEV.P(IF($E$5:$E$53=$E64,AQ$5:AQ$53))</f>
        <v>0</v>
      </c>
      <c r="AR65" s="90">
        <f t="array" ref="AR65">_xlfn.STDEV.P(IF($E$5:$E$53=$E64,AR$5:AR$53))</f>
        <v>0</v>
      </c>
      <c r="AS65" s="90">
        <f t="array" ref="AS65">_xlfn.STDEV.P(IF($E$5:$E$53=$E64,AS$5:AS$53))</f>
        <v>0</v>
      </c>
      <c r="AT65" s="90">
        <f t="array" ref="AT65">_xlfn.STDEV.P(IF($E$5:$E$53=$E64,AT$5:AT$53))</f>
        <v>0</v>
      </c>
      <c r="AU65" s="90">
        <f t="array" ref="AU65">_xlfn.STDEV.P(IF($E$5:$E$53=$E64,AU$5:AU$53))</f>
        <v>0</v>
      </c>
      <c r="AV65" s="90">
        <f t="array" ref="AV65">_xlfn.STDEV.P(IF($E$5:$E$53=$E64,AV$5:AV$53))</f>
        <v>0</v>
      </c>
      <c r="AW65" s="90">
        <f t="array" ref="AW65">_xlfn.STDEV.P(IF($E$5:$E$53=$E64,AW$5:AW$53))</f>
        <v>0</v>
      </c>
      <c r="AX65" s="90">
        <f t="array" ref="AX65">_xlfn.STDEV.P(IF($E$5:$E$53=$E64,AX$5:AX$53))</f>
        <v>0</v>
      </c>
      <c r="AY65" s="90">
        <f t="array" ref="AY65">_xlfn.STDEV.P(IF($E$5:$E$53=$E64,AY$5:AY$53))</f>
        <v>0</v>
      </c>
      <c r="AZ65" s="90">
        <f t="array" ref="AZ65">_xlfn.STDEV.P(IF($E$5:$E$53=$E64,AZ$5:AZ$53))</f>
        <v>0</v>
      </c>
      <c r="BA65" s="90">
        <f t="array" ref="BA65">_xlfn.STDEV.P(IF($E$5:$E$53=$E64,BA$5:BA$53))</f>
        <v>0</v>
      </c>
      <c r="BB65" s="90">
        <f t="array" ref="BB65">_xlfn.STDEV.P(IF($E$5:$E$53=$E64,BB$5:BB$53))</f>
        <v>0</v>
      </c>
      <c r="BC65" s="90">
        <f t="array" ref="BC65">_xlfn.STDEV.P(IF($E$5:$E$53=$E64,BC$5:BC$53))</f>
        <v>0</v>
      </c>
      <c r="BD65" s="90">
        <f t="array" ref="BD65">_xlfn.STDEV.P(IF($E$5:$E$53=$E64,BD$5:BD$53))</f>
        <v>0</v>
      </c>
      <c r="BE65" s="90">
        <f t="array" ref="BE65">_xlfn.STDEV.P(IF($E$5:$E$53=$E64,BE$5:BE$53))</f>
        <v>0</v>
      </c>
      <c r="BF65" s="90">
        <f t="array" ref="BF65">_xlfn.STDEV.P(IF($E$5:$E$53=$E64,BF$5:BF$53))</f>
        <v>0</v>
      </c>
      <c r="BG65" s="90">
        <f t="array" ref="BG65">_xlfn.STDEV.P(IF($E$5:$E$53=$E64,BG$5:BG$53))</f>
        <v>0</v>
      </c>
      <c r="BH65" s="90">
        <f t="array" ref="BH65">_xlfn.STDEV.P(IF($E$5:$E$53=$E64,BH$5:BH$53))</f>
        <v>0</v>
      </c>
      <c r="BI65" s="90">
        <f t="array" ref="BI65">_xlfn.STDEV.P(IF($E$5:$E$53=$E64,BI$5:BI$53))</f>
        <v>0</v>
      </c>
      <c r="BJ65" s="90">
        <f t="array" ref="BJ65">_xlfn.STDEV.P(IF($E$5:$E$53=$E64,BJ$5:BJ$53))</f>
        <v>0</v>
      </c>
      <c r="BK65" s="90">
        <f t="array" ref="BK65">_xlfn.STDEV.P(IF($E$5:$E$53=$E64,BK$5:BK$53))</f>
        <v>0</v>
      </c>
      <c r="BL65" s="90">
        <f t="array" ref="BL65">_xlfn.STDEV.P(IF($E$5:$E$53=$E64,BL$5:BL$53))</f>
        <v>0</v>
      </c>
      <c r="BM65" s="90">
        <f t="array" ref="BM65">_xlfn.STDEV.P(IF($E$5:$E$53=$E64,BM$5:BM$53))</f>
        <v>0</v>
      </c>
      <c r="BN65" s="90">
        <f t="array" ref="BN65">_xlfn.STDEV.P(IF($E$5:$E$53=$E64,BN$5:BN$53))</f>
        <v>0</v>
      </c>
      <c r="BO65" s="90">
        <f t="array" ref="BO65">_xlfn.STDEV.P(IF($E$5:$E$53=$E64,BO$5:BO$53))</f>
        <v>0</v>
      </c>
      <c r="BP65" s="90">
        <f t="array" ref="BP65">_xlfn.STDEV.P(IF($E$5:$E$53=$E64,BP$5:BP$53))</f>
        <v>0</v>
      </c>
      <c r="BQ65" s="115" t="s">
        <v>12</v>
      </c>
      <c r="BR65" s="83">
        <f t="array" ref="BR65">_xlfn.STDEV.P(IF($E$5:$E$53=$E64,BR$5:BR$53))</f>
        <v>0.16708314848070316</v>
      </c>
      <c r="BS65" s="83">
        <f t="array" ref="BS65">_xlfn.STDEV.P(IF($E$5:$E$53=$E64,BS$5:BS$53))</f>
        <v>0.21224637902408228</v>
      </c>
      <c r="BT65" s="83">
        <f t="array" ref="BT65">_xlfn.STDEV.P(IF($E$5:$E$53=$E64,BT$5:BT$53))</f>
        <v>0</v>
      </c>
      <c r="BU65" s="83">
        <f t="array" ref="BU65">_xlfn.STDEV.P(IF($E$5:$E$53=$E64,BU$5:BU$53))</f>
        <v>0.40556329629333127</v>
      </c>
      <c r="BV65" s="83">
        <f t="array" ref="BV65">_xlfn.STDEV.P(IF($E$5:$E$53=$E64,BV$5:BV$53))</f>
        <v>0.29635953768404893</v>
      </c>
      <c r="BW65" s="83">
        <f t="array" ref="BW65">_xlfn.STDEV.P(IF($E$5:$E$53=$E64,BW$5:BW$53))</f>
        <v>0.60727681389378318</v>
      </c>
      <c r="BX65" s="83">
        <f t="array" ref="BX65">_xlfn.STDEV.P(IF($E$5:$E$53=$E64,BX$5:BX$53))</f>
        <v>0.76954581745552375</v>
      </c>
      <c r="BY65" s="83">
        <f t="array" ref="BY65">_xlfn.STDEV.P(IF($E$5:$E$53=$E64,BY$5:BY$53))</f>
        <v>1.3224949145295393</v>
      </c>
      <c r="BZ65" s="83">
        <f t="array" ref="BZ65">_xlfn.STDEV.P(IF($E$5:$E$53=$E64,BZ$5:BZ$53))</f>
        <v>1.5381205478689097</v>
      </c>
      <c r="CA65" s="83">
        <f t="array" ref="CA65">_xlfn.STDEV.P(IF($E$5:$E$53=$E64,CA$5:CA$53))</f>
        <v>1.9023561014741059</v>
      </c>
      <c r="CB65" s="83">
        <f t="array" ref="CB65">_xlfn.STDEV.P(IF($E$5:$E$53=$E64,CB$5:CB$53))</f>
        <v>1.7204885970594843</v>
      </c>
      <c r="CC65" s="83">
        <f t="array" ref="CC65">_xlfn.STDEV.P(IF($E$5:$E$53=$E64,CC$5:CC$53))</f>
        <v>3.9537771942762583</v>
      </c>
      <c r="CD65" s="83">
        <f t="array" ref="CD65">_xlfn.STDEV.P(IF($E$5:$E$53=$E64,CD$5:CD$53))</f>
        <v>1.9198778380585444</v>
      </c>
      <c r="CE65" s="83">
        <f t="array" ref="CE65">_xlfn.STDEV.P(IF($E$5:$E$53=$E64,CE$5:CE$53))</f>
        <v>2.2846501829368369</v>
      </c>
      <c r="CF65" s="83">
        <f t="array" ref="CF65">_xlfn.STDEV.P(IF($E$5:$E$53=$E64,CF$5:CF$53))</f>
        <v>0</v>
      </c>
      <c r="CG65" s="83">
        <f t="array" ref="CG65">_xlfn.STDEV.P(IF($E$5:$E$53=$E64,CG$5:CG$53))</f>
        <v>0</v>
      </c>
      <c r="CH65" s="83" t="e">
        <f t="array" ref="CH65">_xlfn.STDEV.P(IF($E$5:$E$53=$E64,CH$5:CH$53))</f>
        <v>#DIV/0!</v>
      </c>
      <c r="CI65" s="83" t="e">
        <f t="array" ref="CI65">_xlfn.STDEV.P(IF($E$5:$E$53=$E64,CI$5:CI$53))</f>
        <v>#DIV/0!</v>
      </c>
      <c r="CJ65" s="83" t="e">
        <f t="array" ref="CJ65">_xlfn.STDEV.P(IF($E$5:$E$53=$E64,CJ$5:CJ$53))</f>
        <v>#DIV/0!</v>
      </c>
      <c r="CK65" s="83" t="e">
        <f t="array" ref="CK65">_xlfn.STDEV.P(IF($E$5:$E$53=$E64,CK$5:CK$53))</f>
        <v>#DIV/0!</v>
      </c>
      <c r="CL65" s="83" t="e">
        <f t="array" ref="CL65">_xlfn.STDEV.P(IF($E$5:$E$53=$E64,CL$5:CL$53))</f>
        <v>#DIV/0!</v>
      </c>
      <c r="CM65" s="83" t="e">
        <f t="array" ref="CM65">_xlfn.STDEV.P(IF($E$5:$E$53=$E64,CM$5:CM$53))</f>
        <v>#DIV/0!</v>
      </c>
      <c r="CN65" s="83" t="e">
        <f t="array" ref="CN65">_xlfn.STDEV.P(IF($E$5:$E$53=$E64,CN$5:CN$53))</f>
        <v>#DIV/0!</v>
      </c>
      <c r="CO65" s="83" t="e">
        <f t="array" ref="CO65">_xlfn.STDEV.P(IF($E$5:$E$53=$E64,CO$5:CO$53))</f>
        <v>#DIV/0!</v>
      </c>
      <c r="CP65" s="83" t="e">
        <f t="array" ref="CP65">_xlfn.STDEV.P(IF($E$5:$E$53=$E64,CP$5:CP$53))</f>
        <v>#DIV/0!</v>
      </c>
      <c r="CQ65" s="83" t="e">
        <f t="array" ref="CQ65">_xlfn.STDEV.P(IF($E$5:$E$53=$E64,CQ$5:CQ$53))</f>
        <v>#DIV/0!</v>
      </c>
      <c r="CR65" s="83" t="e">
        <f t="array" ref="CR65">_xlfn.STDEV.P(IF($E$5:$E$53=$E64,CR$5:CR$53))</f>
        <v>#DIV/0!</v>
      </c>
      <c r="CS65" s="83" t="e">
        <f t="array" ref="CS65">_xlfn.STDEV.P(IF($E$5:$E$53=$E64,CS$5:CS$53))</f>
        <v>#DIV/0!</v>
      </c>
      <c r="CT65" s="83" t="e">
        <f t="array" ref="CT65">_xlfn.STDEV.P(IF($E$5:$E$53=$E64,CT$5:CT$53))</f>
        <v>#DIV/0!</v>
      </c>
      <c r="CU65" s="83" t="e">
        <f t="array" ref="CU65">_xlfn.STDEV.P(IF($E$5:$E$53=$E64,CU$5:CU$53))</f>
        <v>#DIV/0!</v>
      </c>
      <c r="CV65" s="83" t="e">
        <f t="array" ref="CV65">_xlfn.STDEV.P(IF($E$5:$E$53=$E64,CV$5:CV$53))</f>
        <v>#DIV/0!</v>
      </c>
      <c r="CW65" s="83" t="e">
        <f t="array" ref="CW65">_xlfn.STDEV.P(IF($E$5:$E$53=$E64,CW$5:CW$53))</f>
        <v>#DIV/0!</v>
      </c>
      <c r="CX65" s="83" t="e">
        <f t="array" ref="CX65">_xlfn.STDEV.P(IF($E$5:$E$53=$E64,CX$5:CX$53))</f>
        <v>#DIV/0!</v>
      </c>
      <c r="CY65" s="83" t="e">
        <f t="array" ref="CY65">_xlfn.STDEV.P(IF($E$5:$E$53=$E64,CY$5:CY$53))</f>
        <v>#DIV/0!</v>
      </c>
      <c r="CZ65" s="83" t="e">
        <f t="array" ref="CZ65">_xlfn.STDEV.P(IF($E$5:$E$53=$E64,CZ$5:CZ$53))</f>
        <v>#DIV/0!</v>
      </c>
      <c r="DA65" s="83" t="e">
        <f t="array" ref="DA65">_xlfn.STDEV.P(IF($E$5:$E$53=$E64,DA$5:DA$53))</f>
        <v>#DIV/0!</v>
      </c>
      <c r="DB65" s="83" t="e">
        <f t="array" ref="DB65">_xlfn.STDEV.P(IF($E$5:$E$53=$E64,DB$5:DB$53))</f>
        <v>#DIV/0!</v>
      </c>
      <c r="DC65" s="83" t="e">
        <f t="array" ref="DC65">_xlfn.STDEV.P(IF($E$5:$E$53=$E64,DC$5:DC$53))</f>
        <v>#DIV/0!</v>
      </c>
      <c r="DD65" s="83" t="e">
        <f t="array" ref="DD65">_xlfn.STDEV.P(IF($E$5:$E$53=$E64,DD$5:DD$53))</f>
        <v>#DIV/0!</v>
      </c>
      <c r="DE65" s="83" t="e">
        <f t="array" ref="DE65">_xlfn.STDEV.P(IF($E$5:$E$53=$E64,DE$5:DE$53))</f>
        <v>#DIV/0!</v>
      </c>
      <c r="DF65" s="83" t="e">
        <f t="array" ref="DF65">_xlfn.STDEV.P(IF($E$5:$E$53=$E64,DF$5:DF$53))</f>
        <v>#DIV/0!</v>
      </c>
      <c r="DG65" s="83" t="e">
        <f t="array" ref="DG65">_xlfn.STDEV.P(IF($E$5:$E$53=$E64,DG$5:DG$53))</f>
        <v>#DIV/0!</v>
      </c>
      <c r="DH65" s="83" t="e">
        <f t="array" ref="DH65">_xlfn.STDEV.P(IF($E$5:$E$53=$E64,DH$5:DH$53))</f>
        <v>#DIV/0!</v>
      </c>
      <c r="DI65" s="83" t="e">
        <f t="array" ref="DI65">_xlfn.STDEV.P(IF($E$5:$E$53=$E64,DI$5:DI$53))</f>
        <v>#DIV/0!</v>
      </c>
      <c r="DK65" s="259" t="s">
        <v>92</v>
      </c>
      <c r="DL65" s="214" t="e">
        <f>#REF!</f>
        <v>#REF!</v>
      </c>
      <c r="DM65" s="214" t="e">
        <f>#REF!</f>
        <v>#REF!</v>
      </c>
      <c r="DN65" s="214" t="e">
        <f>#REF!</f>
        <v>#REF!</v>
      </c>
      <c r="DO65" s="214" t="e">
        <f>#REF!</f>
        <v>#REF!</v>
      </c>
      <c r="DP65" s="214" t="e">
        <f>#REF!</f>
        <v>#REF!</v>
      </c>
      <c r="DQ65" s="214" t="e">
        <f>#REF!</f>
        <v>#REF!</v>
      </c>
      <c r="DR65" s="214" t="e">
        <f>#REF!</f>
        <v>#REF!</v>
      </c>
      <c r="DS65" s="214" t="e">
        <f>#REF!</f>
        <v>#REF!</v>
      </c>
      <c r="DT65" s="214" t="e">
        <f>#REF!</f>
        <v>#REF!</v>
      </c>
      <c r="DU65" s="214" t="e">
        <f>#REF!</f>
        <v>#REF!</v>
      </c>
      <c r="DV65" s="214" t="e">
        <f>#REF!</f>
        <v>#REF!</v>
      </c>
      <c r="DW65" s="195" t="e">
        <f>#REF!</f>
        <v>#REF!</v>
      </c>
    </row>
    <row r="66" spans="1:127" ht="15">
      <c r="A66" s="129"/>
      <c r="E66" s="58"/>
      <c r="H66" s="58"/>
      <c r="J66" s="63"/>
      <c r="K66" s="63"/>
      <c r="L66" s="63"/>
      <c r="N66" s="63"/>
      <c r="R66" s="176"/>
      <c r="S66" s="253"/>
      <c r="T66" s="253"/>
      <c r="U66" s="253"/>
      <c r="V66" s="253"/>
      <c r="W66" s="63"/>
      <c r="DL66" s="214"/>
      <c r="DM66" s="214"/>
      <c r="DN66" s="214"/>
      <c r="DO66" s="214"/>
      <c r="DP66" s="214"/>
      <c r="DQ66" s="214"/>
      <c r="DR66" s="214"/>
      <c r="DS66" s="214"/>
      <c r="DT66" s="214"/>
      <c r="DU66" s="214"/>
      <c r="DV66" s="214"/>
    </row>
    <row r="67" spans="1:127" ht="14.25" customHeight="1">
      <c r="A67" s="129"/>
      <c r="E67" s="134" t="str">
        <f>'PTX_DOSE Groups'!C9</f>
        <v>12.5mg Combotherapy</v>
      </c>
      <c r="H67" s="134" t="str">
        <f>E67</f>
        <v>12.5mg Combotherapy</v>
      </c>
      <c r="I67" s="256">
        <f>AVERAGEIF($E$5:$E$53,$E67,I$5:I$53)</f>
        <v>29.375</v>
      </c>
      <c r="J67" s="256"/>
      <c r="K67" s="256"/>
      <c r="L67" s="256"/>
      <c r="M67" s="256">
        <f t="shared" ref="M67:W67" si="35">AVERAGEIF($E$5:$E$53,$E67,M$5:M$53)</f>
        <v>110.44345000000001</v>
      </c>
      <c r="N67" s="256">
        <f t="shared" si="35"/>
        <v>10.196428571428571</v>
      </c>
      <c r="O67" s="256">
        <f t="shared" si="35"/>
        <v>368.14483333333339</v>
      </c>
      <c r="P67" s="256">
        <f t="shared" si="35"/>
        <v>36.814483333333335</v>
      </c>
      <c r="Q67" s="256">
        <f t="shared" si="35"/>
        <v>336.5</v>
      </c>
      <c r="R67" s="257">
        <f t="shared" si="35"/>
        <v>0.85140587117932742</v>
      </c>
      <c r="S67" s="258">
        <f t="shared" si="35"/>
        <v>2.838019570597758</v>
      </c>
      <c r="T67" s="258">
        <f t="shared" si="35"/>
        <v>130.625</v>
      </c>
      <c r="U67" s="258">
        <f t="shared" si="35"/>
        <v>11.116591861132241</v>
      </c>
      <c r="V67" s="258">
        <f t="shared" si="35"/>
        <v>4.0580904193199903</v>
      </c>
      <c r="W67" s="256" t="e">
        <f t="shared" si="35"/>
        <v>#DIV/0!</v>
      </c>
      <c r="X67" s="81" t="s">
        <v>10</v>
      </c>
      <c r="Y67" s="87">
        <f t="shared" ref="Y67:BP67" si="36">AVERAGEIF($E$5:$E$53,$E67,Y$5:Y$53)</f>
        <v>45.441370000000006</v>
      </c>
      <c r="Z67" s="87">
        <f t="shared" si="36"/>
        <v>78.572390000000013</v>
      </c>
      <c r="AA67" s="87">
        <f t="shared" si="36"/>
        <v>110.44345000000001</v>
      </c>
      <c r="AB67" s="87">
        <f t="shared" si="36"/>
        <v>187.02021000000002</v>
      </c>
      <c r="AC67" s="87">
        <f t="shared" si="36"/>
        <v>172.90272999999999</v>
      </c>
      <c r="AD67" s="87">
        <f t="shared" si="36"/>
        <v>151.77798999999999</v>
      </c>
      <c r="AE67" s="87">
        <f t="shared" si="36"/>
        <v>130.42666</v>
      </c>
      <c r="AF67" s="87">
        <f t="shared" si="36"/>
        <v>155.92720000000003</v>
      </c>
      <c r="AG67" s="87">
        <f t="shared" si="36"/>
        <v>166.18393999999998</v>
      </c>
      <c r="AH67" s="87">
        <f t="shared" si="36"/>
        <v>155.21285</v>
      </c>
      <c r="AI67" s="87">
        <f t="shared" si="36"/>
        <v>181.53733</v>
      </c>
      <c r="AJ67" s="87">
        <f t="shared" si="36"/>
        <v>246.78692999999998</v>
      </c>
      <c r="AK67" s="87">
        <f t="shared" si="36"/>
        <v>247.40494999999996</v>
      </c>
      <c r="AL67" s="87">
        <f t="shared" si="36"/>
        <v>285.74779999999998</v>
      </c>
      <c r="AM67" s="87">
        <f t="shared" si="36"/>
        <v>381.65672999999998</v>
      </c>
      <c r="AN67" s="87">
        <f t="shared" si="36"/>
        <v>466.59730000000008</v>
      </c>
      <c r="AO67" s="87">
        <f t="shared" si="36"/>
        <v>584.67734000000007</v>
      </c>
      <c r="AP67" s="87">
        <f t="shared" si="36"/>
        <v>571.13562999999999</v>
      </c>
      <c r="AQ67" s="87">
        <f t="shared" si="36"/>
        <v>746.97284999999999</v>
      </c>
      <c r="AR67" s="87">
        <f t="shared" si="36"/>
        <v>766.3301100000001</v>
      </c>
      <c r="AS67" s="87">
        <f t="shared" si="36"/>
        <v>885.87420999999995</v>
      </c>
      <c r="AT67" s="87">
        <f t="shared" si="36"/>
        <v>810.00972000000002</v>
      </c>
      <c r="AU67" s="87">
        <f t="shared" si="36"/>
        <v>199.80297999999993</v>
      </c>
      <c r="AV67" s="87">
        <f t="shared" si="36"/>
        <v>184.91537999999997</v>
      </c>
      <c r="AW67" s="87">
        <f t="shared" si="36"/>
        <v>188.28680000000003</v>
      </c>
      <c r="AX67" s="87">
        <f t="shared" si="36"/>
        <v>194.22103999999999</v>
      </c>
      <c r="AY67" s="87">
        <f t="shared" si="36"/>
        <v>227.62454000000005</v>
      </c>
      <c r="AZ67" s="87">
        <f t="shared" si="36"/>
        <v>222.38293999999999</v>
      </c>
      <c r="BA67" s="87">
        <f t="shared" si="36"/>
        <v>291.48703999999998</v>
      </c>
      <c r="BB67" s="87">
        <f t="shared" si="36"/>
        <v>268.97832000000005</v>
      </c>
      <c r="BC67" s="87">
        <f t="shared" si="36"/>
        <v>330.39760000000001</v>
      </c>
      <c r="BD67" s="87">
        <f t="shared" si="36"/>
        <v>380.7320400000001</v>
      </c>
      <c r="BE67" s="87">
        <f t="shared" si="36"/>
        <v>425.41200000000003</v>
      </c>
      <c r="BF67" s="87">
        <f t="shared" si="36"/>
        <v>454.93786</v>
      </c>
      <c r="BG67" s="87">
        <f t="shared" si="36"/>
        <v>524.51386000000002</v>
      </c>
      <c r="BH67" s="87">
        <f t="shared" si="36"/>
        <v>732.47173999999995</v>
      </c>
      <c r="BI67" s="87">
        <f t="shared" si="36"/>
        <v>742.70976000000007</v>
      </c>
      <c r="BJ67" s="87">
        <f t="shared" si="36"/>
        <v>1099.8181999999999</v>
      </c>
      <c r="BK67" s="87">
        <f t="shared" si="36"/>
        <v>1306.5769599999999</v>
      </c>
      <c r="BL67" s="87">
        <f t="shared" si="36"/>
        <v>1797.9975000000004</v>
      </c>
      <c r="BM67" s="87">
        <f t="shared" si="36"/>
        <v>1764.15876</v>
      </c>
      <c r="BN67" s="87" t="e">
        <f t="shared" si="36"/>
        <v>#DIV/0!</v>
      </c>
      <c r="BO67" s="87" t="e">
        <f t="shared" si="36"/>
        <v>#DIV/0!</v>
      </c>
      <c r="BP67" s="87" t="e">
        <f t="shared" si="36"/>
        <v>#DIV/0!</v>
      </c>
      <c r="BQ67" s="114" t="s">
        <v>10</v>
      </c>
      <c r="BR67" s="82">
        <f t="shared" ref="BR67:DI67" si="37">AVERAGEIF($E$5:$E$53,$E67,BR$5:BR$53)</f>
        <v>0.44270414716454676</v>
      </c>
      <c r="BS67" s="82">
        <f t="shared" si="37"/>
        <v>0.73794737139782562</v>
      </c>
      <c r="BT67" s="82">
        <f t="shared" si="37"/>
        <v>1</v>
      </c>
      <c r="BU67" s="82">
        <f t="shared" si="37"/>
        <v>2.2969146983412356</v>
      </c>
      <c r="BV67" s="82">
        <f t="shared" si="37"/>
        <v>1.8732949970886033</v>
      </c>
      <c r="BW67" s="82">
        <f t="shared" si="37"/>
        <v>1.739055681107369</v>
      </c>
      <c r="BX67" s="82">
        <f t="shared" si="37"/>
        <v>1.4846330386488313</v>
      </c>
      <c r="BY67" s="82">
        <f t="shared" si="37"/>
        <v>1.7798672454962832</v>
      </c>
      <c r="BZ67" s="82">
        <f t="shared" si="37"/>
        <v>1.9497716702808026</v>
      </c>
      <c r="CA67" s="82">
        <f t="shared" si="37"/>
        <v>1.6131054193242143</v>
      </c>
      <c r="CB67" s="82">
        <f t="shared" si="37"/>
        <v>2.0181214507111944</v>
      </c>
      <c r="CC67" s="82">
        <f t="shared" si="37"/>
        <v>2.7634645331108989</v>
      </c>
      <c r="CD67" s="82">
        <f t="shared" si="37"/>
        <v>2.6657909275292315</v>
      </c>
      <c r="CE67" s="82">
        <f t="shared" si="37"/>
        <v>3.0551375315407796</v>
      </c>
      <c r="CF67" s="82">
        <f t="shared" si="37"/>
        <v>4.2146468112988389</v>
      </c>
      <c r="CG67" s="82">
        <f t="shared" si="37"/>
        <v>5.5574044403128307</v>
      </c>
      <c r="CH67" s="82">
        <f t="shared" si="37"/>
        <v>6.3242271544771285</v>
      </c>
      <c r="CI67" s="82">
        <f t="shared" si="37"/>
        <v>6.1754258981626107</v>
      </c>
      <c r="CJ67" s="82">
        <f t="shared" si="37"/>
        <v>7.8520542575623082</v>
      </c>
      <c r="CK67" s="82">
        <f t="shared" si="37"/>
        <v>7.970567081162538</v>
      </c>
      <c r="CL67" s="82">
        <f t="shared" si="37"/>
        <v>9.1448759977586906</v>
      </c>
      <c r="CM67" s="82">
        <f t="shared" si="37"/>
        <v>11.694150441028709</v>
      </c>
      <c r="CN67" s="82">
        <f t="shared" si="37"/>
        <v>4.6197678290970599</v>
      </c>
      <c r="CO67" s="82">
        <f t="shared" si="37"/>
        <v>4.2611377949617335</v>
      </c>
      <c r="CP67" s="82">
        <f t="shared" si="37"/>
        <v>4.2688283447783055</v>
      </c>
      <c r="CQ67" s="82">
        <f t="shared" si="37"/>
        <v>4.4600971667602218</v>
      </c>
      <c r="CR67" s="82">
        <f t="shared" si="37"/>
        <v>4.9197496058427728</v>
      </c>
      <c r="CS67" s="82">
        <f t="shared" si="37"/>
        <v>4.4311842974494482</v>
      </c>
      <c r="CT67" s="82">
        <f t="shared" si="37"/>
        <v>5.8625720658633806</v>
      </c>
      <c r="CU67" s="82">
        <f t="shared" si="37"/>
        <v>4.8119958921068431</v>
      </c>
      <c r="CV67" s="82">
        <f t="shared" si="37"/>
        <v>6.1598705859658676</v>
      </c>
      <c r="CW67" s="82">
        <f t="shared" si="37"/>
        <v>6.7576697931776888</v>
      </c>
      <c r="CX67" s="82">
        <f t="shared" si="37"/>
        <v>6.7311138322516513</v>
      </c>
      <c r="CY67" s="82">
        <f t="shared" si="37"/>
        <v>7.0570448665577343</v>
      </c>
      <c r="CZ67" s="82">
        <f t="shared" si="37"/>
        <v>7.5945924585654581</v>
      </c>
      <c r="DA67" s="82">
        <f t="shared" si="37"/>
        <v>10.408589239641893</v>
      </c>
      <c r="DB67" s="82">
        <f t="shared" si="37"/>
        <v>10.217127642434289</v>
      </c>
      <c r="DC67" s="82">
        <f t="shared" si="37"/>
        <v>15.608202802605417</v>
      </c>
      <c r="DD67" s="82">
        <f t="shared" si="37"/>
        <v>19.143081587742156</v>
      </c>
      <c r="DE67" s="82">
        <f t="shared" si="37"/>
        <v>25.319927978515629</v>
      </c>
      <c r="DF67" s="82">
        <f t="shared" si="37"/>
        <v>42.738888888888887</v>
      </c>
      <c r="DG67" s="82" t="e">
        <f t="shared" si="37"/>
        <v>#DIV/0!</v>
      </c>
      <c r="DH67" s="82" t="e">
        <f t="shared" si="37"/>
        <v>#DIV/0!</v>
      </c>
      <c r="DI67" s="82" t="e">
        <f t="shared" si="37"/>
        <v>#DIV/0!</v>
      </c>
      <c r="DJ67" s="259" t="s">
        <v>48</v>
      </c>
      <c r="DK67" s="259" t="s">
        <v>93</v>
      </c>
      <c r="DL67" s="215" t="e">
        <f>SQRT(DL62*DL65-(DL61^2*DL64^2))</f>
        <v>#REF!</v>
      </c>
      <c r="DM67" s="215" t="e">
        <f t="shared" ref="DM67:DW67" si="38">SQRT(DM62*DM65-(DM61^2*DM64^2))</f>
        <v>#REF!</v>
      </c>
      <c r="DN67" s="215" t="e">
        <f t="shared" si="38"/>
        <v>#REF!</v>
      </c>
      <c r="DO67" s="215" t="e">
        <f t="shared" si="38"/>
        <v>#REF!</v>
      </c>
      <c r="DP67" s="215" t="e">
        <f t="shared" si="38"/>
        <v>#REF!</v>
      </c>
      <c r="DQ67" s="215" t="e">
        <f t="shared" si="38"/>
        <v>#REF!</v>
      </c>
      <c r="DR67" s="215" t="e">
        <f t="shared" si="38"/>
        <v>#REF!</v>
      </c>
      <c r="DS67" s="215" t="e">
        <f t="shared" si="38"/>
        <v>#REF!</v>
      </c>
      <c r="DT67" s="215" t="e">
        <f t="shared" si="38"/>
        <v>#REF!</v>
      </c>
      <c r="DU67" s="215" t="e">
        <f t="shared" si="38"/>
        <v>#REF!</v>
      </c>
      <c r="DV67" s="215" t="e">
        <f t="shared" si="38"/>
        <v>#REF!</v>
      </c>
      <c r="DW67" s="176" t="e">
        <f t="shared" si="38"/>
        <v>#REF!</v>
      </c>
    </row>
    <row r="68" spans="1:127" ht="14.25" customHeight="1">
      <c r="A68" s="129"/>
      <c r="E68" s="134"/>
      <c r="H68" s="104"/>
      <c r="I68" s="256">
        <f t="array" ref="I68">_xlfn.STDEV.P(IF($E$5:$E$53=$E67,I$5:I$53))</f>
        <v>1.200780995852283</v>
      </c>
      <c r="J68" s="256"/>
      <c r="K68" s="256"/>
      <c r="L68" s="256"/>
      <c r="M68" s="256">
        <f t="array" ref="M68">_xlfn.STDEV.P(IF($E$5:$E$53=$E67,M$5:M$53))</f>
        <v>54.681667634280316</v>
      </c>
      <c r="N68" s="256">
        <f t="array" ref="N68">_xlfn.STDEV.P(IF($E$5:$E$53=$E67,N$5:N$53))</f>
        <v>0</v>
      </c>
      <c r="O68" s="256">
        <f t="array" ref="O68">_xlfn.STDEV.P(IF($E$5:$E$53=$E67,O$5:O$53))</f>
        <v>182.27222544760104</v>
      </c>
      <c r="P68" s="256">
        <f t="array" ref="P68">_xlfn.STDEV.P(IF($E$5:$E$53=$E67,P$5:P$53))</f>
        <v>18.22722254476011</v>
      </c>
      <c r="Q68" s="256">
        <f t="array" ref="Q68">_xlfn.STDEV.P(IF($E$5:$E$53=$E67,Q$5:Q$53))</f>
        <v>205.14446129496162</v>
      </c>
      <c r="R68" s="257">
        <f t="array" ref="R68">_xlfn.STDEV.P(IF($E$5:$E$53=$E67,R$5:R$53))</f>
        <v>0.20693651268428095</v>
      </c>
      <c r="S68" s="258">
        <f t="array" ref="S68">_xlfn.STDEV.P(IF($E$5:$E$53=$E67,S$5:S$53))</f>
        <v>0.68978837561427053</v>
      </c>
      <c r="T68" s="258">
        <f t="array" ref="T68">_xlfn.STDEV.P(IF($E$5:$E$53=$E67,T$5:T$53))</f>
        <v>5.4700891217602665</v>
      </c>
      <c r="U68" s="258">
        <f t="array" ref="U68">_xlfn.STDEV.P(IF($E$5:$E$53=$E67,U$5:U$53))</f>
        <v>1.7278708907960169E-2</v>
      </c>
      <c r="V68" s="258">
        <f t="array" ref="V68">_xlfn.STDEV.P(IF($E$5:$E$53=$E67,V$5:V$53))</f>
        <v>2.3211867459318429</v>
      </c>
      <c r="W68" s="256">
        <f t="array" ref="W68">_xlfn.STDEV.P(IF($E$5:$E$53=$E67,W$5:W$53))</f>
        <v>0</v>
      </c>
      <c r="X68" s="81" t="s">
        <v>12</v>
      </c>
      <c r="Y68" s="90">
        <f t="array" ref="Y68">_xlfn.STDEV.P(IF($E$5:$E$53=$E67,Y$5:Y$53))</f>
        <v>20.388131145122127</v>
      </c>
      <c r="Z68" s="90">
        <f t="array" ref="Z68">_xlfn.STDEV.P(IF($E$5:$E$53=$E67,Z$5:Z$53))</f>
        <v>39.723604823352808</v>
      </c>
      <c r="AA68" s="90">
        <f t="array" ref="AA68">_xlfn.STDEV.P(IF($E$5:$E$53=$E67,AA$5:AA$53))</f>
        <v>54.681667634280316</v>
      </c>
      <c r="AB68" s="90">
        <f t="array" ref="AB68">_xlfn.STDEV.P(IF($E$5:$E$53=$E67,AB$5:AB$53))</f>
        <v>32.51197867230303</v>
      </c>
      <c r="AC68" s="90">
        <f t="array" ref="AC68">_xlfn.STDEV.P(IF($E$5:$E$53=$E67,AC$5:AC$53))</f>
        <v>49.391997259769788</v>
      </c>
      <c r="AD68" s="90">
        <f t="array" ref="AD68">_xlfn.STDEV.P(IF($E$5:$E$53=$E67,AD$5:AD$53))</f>
        <v>41.153525574583583</v>
      </c>
      <c r="AE68" s="90">
        <f t="array" ref="AE68">_xlfn.STDEV.P(IF($E$5:$E$53=$E67,AE$5:AE$53))</f>
        <v>43.636890489085019</v>
      </c>
      <c r="AF68" s="90">
        <f t="array" ref="AF68">_xlfn.STDEV.P(IF($E$5:$E$53=$E67,AF$5:AF$53))</f>
        <v>67.357027485838429</v>
      </c>
      <c r="AG68" s="90">
        <f t="array" ref="AG68">_xlfn.STDEV.P(IF($E$5:$E$53=$E67,AG$5:AG$53))</f>
        <v>102.43815588423878</v>
      </c>
      <c r="AH68" s="90">
        <f t="array" ref="AH68">_xlfn.STDEV.P(IF($E$5:$E$53=$E67,AH$5:AH$53))</f>
        <v>101.96674324017366</v>
      </c>
      <c r="AI68" s="90">
        <f t="array" ref="AI68">_xlfn.STDEV.P(IF($E$5:$E$53=$E67,AI$5:AI$53))</f>
        <v>112.73590289953739</v>
      </c>
      <c r="AJ68" s="90">
        <f t="array" ref="AJ68">_xlfn.STDEV.P(IF($E$5:$E$53=$E67,AJ$5:AJ$53))</f>
        <v>172.29426923341677</v>
      </c>
      <c r="AK68" s="90">
        <f t="array" ref="AK68">_xlfn.STDEV.P(IF($E$5:$E$53=$E67,AK$5:AK$53))</f>
        <v>183.16781337306267</v>
      </c>
      <c r="AL68" s="90">
        <f t="array" ref="AL68">_xlfn.STDEV.P(IF($E$5:$E$53=$E67,AL$5:AL$53))</f>
        <v>216.37408337103227</v>
      </c>
      <c r="AM68" s="90">
        <f t="array" ref="AM68">_xlfn.STDEV.P(IF($E$5:$E$53=$E67,AM$5:AM$53))</f>
        <v>290.18025132148102</v>
      </c>
      <c r="AN68" s="90">
        <f t="array" ref="AN68">_xlfn.STDEV.P(IF($E$5:$E$53=$E67,AN$5:AN$53))</f>
        <v>319.77835106786148</v>
      </c>
      <c r="AO68" s="90">
        <f t="array" ref="AO68">_xlfn.STDEV.P(IF($E$5:$E$53=$E67,AO$5:AO$53))</f>
        <v>475.42914974055981</v>
      </c>
      <c r="AP68" s="90">
        <f t="array" ref="AP68">_xlfn.STDEV.P(IF($E$5:$E$53=$E67,AP$5:AP$53))</f>
        <v>455.48460200564358</v>
      </c>
      <c r="AQ68" s="90">
        <f t="array" ref="AQ68">_xlfn.STDEV.P(IF($E$5:$E$53=$E67,AQ$5:AQ$53))</f>
        <v>602.70149093353962</v>
      </c>
      <c r="AR68" s="90">
        <f t="array" ref="AR68">_xlfn.STDEV.P(IF($E$5:$E$53=$E67,AR$5:AR$53))</f>
        <v>631.31973817239032</v>
      </c>
      <c r="AS68" s="90">
        <f t="array" ref="AS68">_xlfn.STDEV.P(IF($E$5:$E$53=$E67,AS$5:AS$53))</f>
        <v>739.69692468375729</v>
      </c>
      <c r="AT68" s="90">
        <f t="array" ref="AT68">_xlfn.STDEV.P(IF($E$5:$E$53=$E67,AT$5:AT$53))</f>
        <v>875.76202457457134</v>
      </c>
      <c r="AU68" s="90">
        <f t="array" ref="AU68">_xlfn.STDEV.P(IF($E$5:$E$53=$E67,AU$5:AU$53))</f>
        <v>158.66349657653547</v>
      </c>
      <c r="AV68" s="90">
        <f t="array" ref="AV68">_xlfn.STDEV.P(IF($E$5:$E$53=$E67,AV$5:AV$53))</f>
        <v>145.92948241981085</v>
      </c>
      <c r="AW68" s="90">
        <f t="array" ref="AW68">_xlfn.STDEV.P(IF($E$5:$E$53=$E67,AW$5:AW$53))</f>
        <v>144.21398048552714</v>
      </c>
      <c r="AX68" s="90">
        <f t="array" ref="AX68">_xlfn.STDEV.P(IF($E$5:$E$53=$E67,AX$5:AX$53))</f>
        <v>152.29766573769408</v>
      </c>
      <c r="AY68" s="90">
        <f t="array" ref="AY68">_xlfn.STDEV.P(IF($E$5:$E$53=$E67,AY$5:AY$53))</f>
        <v>159.9585203519797</v>
      </c>
      <c r="AZ68" s="90">
        <f t="array" ref="AZ68">_xlfn.STDEV.P(IF($E$5:$E$53=$E67,AZ$5:AZ$53))</f>
        <v>136.4979598080246</v>
      </c>
      <c r="BA68" s="90">
        <f t="array" ref="BA68">_xlfn.STDEV.P(IF($E$5:$E$53=$E67,BA$5:BA$53))</f>
        <v>181.52723551604916</v>
      </c>
      <c r="BB68" s="90">
        <f t="array" ref="BB68">_xlfn.STDEV.P(IF($E$5:$E$53=$E67,BB$5:BB$53))</f>
        <v>143.85165231403079</v>
      </c>
      <c r="BC68" s="90">
        <f t="array" ref="BC68">_xlfn.STDEV.P(IF($E$5:$E$53=$E67,BC$5:BC$53))</f>
        <v>184.89615677257115</v>
      </c>
      <c r="BD68" s="90">
        <f t="array" ref="BD68">_xlfn.STDEV.P(IF($E$5:$E$53=$E67,BD$5:BD$53))</f>
        <v>202.10715526916209</v>
      </c>
      <c r="BE68" s="90">
        <f t="array" ref="BE68">_xlfn.STDEV.P(IF($E$5:$E$53=$E67,BE$5:BE$53))</f>
        <v>212.89358065474877</v>
      </c>
      <c r="BF68" s="90">
        <f t="array" ref="BF68">_xlfn.STDEV.P(IF($E$5:$E$53=$E67,BF$5:BF$53))</f>
        <v>227.4775172507795</v>
      </c>
      <c r="BG68" s="90">
        <f t="array" ref="BG68">_xlfn.STDEV.P(IF($E$5:$E$53=$E67,BG$5:BG$53))</f>
        <v>266.34864928591224</v>
      </c>
      <c r="BH68" s="90">
        <f t="array" ref="BH68">_xlfn.STDEV.P(IF($E$5:$E$53=$E67,BH$5:BH$53))</f>
        <v>375.09425848587063</v>
      </c>
      <c r="BI68" s="90">
        <f t="array" ref="BI68">_xlfn.STDEV.P(IF($E$5:$E$53=$E67,BI$5:BI$53))</f>
        <v>387.21307535185747</v>
      </c>
      <c r="BJ68" s="90">
        <f t="array" ref="BJ68">_xlfn.STDEV.P(IF($E$5:$E$53=$E67,BJ$5:BJ$53))</f>
        <v>563.57341053001255</v>
      </c>
      <c r="BK68" s="90">
        <f t="array" ref="BK68">_xlfn.STDEV.P(IF($E$5:$E$53=$E67,BK$5:BK$53))</f>
        <v>660.5240444685187</v>
      </c>
      <c r="BL68" s="90">
        <f t="array" ref="BL68">_xlfn.STDEV.P(IF($E$5:$E$53=$E67,BL$5:BL$53))</f>
        <v>924.98249242470126</v>
      </c>
      <c r="BM68" s="90">
        <f t="array" ref="BM68">_xlfn.STDEV.P(IF($E$5:$E$53=$E67,BM$5:BM$53))</f>
        <v>763.90315123442736</v>
      </c>
      <c r="BN68" s="90">
        <f t="array" ref="BN68">_xlfn.STDEV.P(IF($E$5:$E$53=$E67,BN$5:BN$53))</f>
        <v>0</v>
      </c>
      <c r="BO68" s="90">
        <f t="array" ref="BO68">_xlfn.STDEV.P(IF($E$5:$E$53=$E67,BO$5:BO$53))</f>
        <v>0</v>
      </c>
      <c r="BP68" s="90">
        <f t="array" ref="BP68">_xlfn.STDEV.P(IF($E$5:$E$53=$E67,BP$5:BP$53))</f>
        <v>0</v>
      </c>
      <c r="BQ68" s="115" t="s">
        <v>12</v>
      </c>
      <c r="BR68" s="83">
        <f t="array" ref="BR68">_xlfn.STDEV.P(IF($E$5:$E$53=$E67,BR$5:BR$53))</f>
        <v>8.8227296768610103E-2</v>
      </c>
      <c r="BS68" s="83">
        <f t="array" ref="BS68">_xlfn.STDEV.P(IF($E$5:$E$53=$E67,BS$5:BS$53))</f>
        <v>0.26675937787841847</v>
      </c>
      <c r="BT68" s="83">
        <f t="array" ref="BT68">_xlfn.STDEV.P(IF($E$5:$E$53=$E67,BT$5:BT$53))</f>
        <v>0</v>
      </c>
      <c r="BU68" s="83">
        <f t="array" ref="BU68">_xlfn.STDEV.P(IF($E$5:$E$53=$E67,BU$5:BU$53))</f>
        <v>1.3514269744615088</v>
      </c>
      <c r="BV68" s="83">
        <f t="array" ref="BV68">_xlfn.STDEV.P(IF($E$5:$E$53=$E67,BV$5:BV$53))</f>
        <v>0.67529417836202876</v>
      </c>
      <c r="BW68" s="83">
        <f t="array" ref="BW68">_xlfn.STDEV.P(IF($E$5:$E$53=$E67,BW$5:BW$53))</f>
        <v>0.82066677255688225</v>
      </c>
      <c r="BX68" s="83">
        <f t="array" ref="BX68">_xlfn.STDEV.P(IF($E$5:$E$53=$E67,BX$5:BX$53))</f>
        <v>0.70774527834334666</v>
      </c>
      <c r="BY68" s="83">
        <f t="array" ref="BY68">_xlfn.STDEV.P(IF($E$5:$E$53=$E67,BY$5:BY$53))</f>
        <v>0.95940185495084307</v>
      </c>
      <c r="BZ68" s="83">
        <f t="array" ref="BZ68">_xlfn.STDEV.P(IF($E$5:$E$53=$E67,BZ$5:BZ$53))</f>
        <v>1.3053186885425108</v>
      </c>
      <c r="CA68" s="83">
        <f t="array" ref="CA68">_xlfn.STDEV.P(IF($E$5:$E$53=$E67,CA$5:CA$53))</f>
        <v>0.81654598283415758</v>
      </c>
      <c r="CB68" s="83">
        <f t="array" ref="CB68">_xlfn.STDEV.P(IF($E$5:$E$53=$E67,CB$5:CB$53))</f>
        <v>1.2355263884141237</v>
      </c>
      <c r="CC68" s="83">
        <f t="array" ref="CC68">_xlfn.STDEV.P(IF($E$5:$E$53=$E67,CC$5:CC$53))</f>
        <v>1.8234693235195811</v>
      </c>
      <c r="CD68" s="83">
        <f t="array" ref="CD68">_xlfn.STDEV.P(IF($E$5:$E$53=$E67,CD$5:CD$53))</f>
        <v>1.689518352951116</v>
      </c>
      <c r="CE68" s="83">
        <f t="array" ref="CE68">_xlfn.STDEV.P(IF($E$5:$E$53=$E67,CE$5:CE$53))</f>
        <v>2.0191330662216185</v>
      </c>
      <c r="CF68" s="83">
        <f t="array" ref="CF68">_xlfn.STDEV.P(IF($E$5:$E$53=$E67,CF$5:CF$53))</f>
        <v>3.0903660036408507</v>
      </c>
      <c r="CG68" s="83">
        <f t="array" ref="CG68">_xlfn.STDEV.P(IF($E$5:$E$53=$E67,CG$5:CG$53))</f>
        <v>3.8611223378244492</v>
      </c>
      <c r="CH68" s="83">
        <f t="array" ref="CH68">_xlfn.STDEV.P(IF($E$5:$E$53=$E67,CH$5:CH$53))</f>
        <v>5.2907997255197916</v>
      </c>
      <c r="CI68" s="83">
        <f t="array" ref="CI68">_xlfn.STDEV.P(IF($E$5:$E$53=$E67,CI$5:CI$53))</f>
        <v>4.7260676428827768</v>
      </c>
      <c r="CJ68" s="83">
        <f t="array" ref="CJ68">_xlfn.STDEV.P(IF($E$5:$E$53=$E67,CJ$5:CJ$53))</f>
        <v>5.6938963497353345</v>
      </c>
      <c r="CK68" s="83">
        <f t="array" ref="CK68">_xlfn.STDEV.P(IF($E$5:$E$53=$E67,CK$5:CK$53))</f>
        <v>5.9230740331108391</v>
      </c>
      <c r="CL68" s="83">
        <f t="array" ref="CL68">_xlfn.STDEV.P(IF($E$5:$E$53=$E67,CL$5:CL$53))</f>
        <v>6.9601069257396224</v>
      </c>
      <c r="CM68" s="83">
        <f t="array" ref="CM68">_xlfn.STDEV.P(IF($E$5:$E$53=$E67,CM$5:CM$53))</f>
        <v>11.739557150201025</v>
      </c>
      <c r="CN68" s="83">
        <f t="array" ref="CN68">_xlfn.STDEV.P(IF($E$5:$E$53=$E67,CN$5:CN$53))</f>
        <v>4.4438250154481631</v>
      </c>
      <c r="CO68" s="83">
        <f t="array" ref="CO68">_xlfn.STDEV.P(IF($E$5:$E$53=$E67,CO$5:CO$53))</f>
        <v>4.0868213887117335</v>
      </c>
      <c r="CP68" s="83">
        <f t="array" ref="CP68">_xlfn.STDEV.P(IF($E$5:$E$53=$E67,CP$5:CP$53))</f>
        <v>4.0355304357709514</v>
      </c>
      <c r="CQ68" s="83">
        <f t="array" ref="CQ68">_xlfn.STDEV.P(IF($E$5:$E$53=$E67,CQ$5:CQ$53))</f>
        <v>4.2646697770543396</v>
      </c>
      <c r="CR68" s="83">
        <f t="array" ref="CR68">_xlfn.STDEV.P(IF($E$5:$E$53=$E67,CR$5:CR$53))</f>
        <v>4.4456321023960808</v>
      </c>
      <c r="CS68" s="83">
        <f t="array" ref="CS68">_xlfn.STDEV.P(IF($E$5:$E$53=$E67,CS$5:CS$53))</f>
        <v>3.6688157025505519</v>
      </c>
      <c r="CT68" s="83">
        <f t="array" ref="CT68">_xlfn.STDEV.P(IF($E$5:$E$53=$E67,CT$5:CT$53))</f>
        <v>4.9066897129222049</v>
      </c>
      <c r="CU68" s="83">
        <f t="array" ref="CU68">_xlfn.STDEV.P(IF($E$5:$E$53=$E67,CU$5:CU$53))</f>
        <v>3.4533102303421366</v>
      </c>
      <c r="CV68" s="83">
        <f t="array" ref="CV68">_xlfn.STDEV.P(IF($E$5:$E$53=$E67,CV$5:CV$53))</f>
        <v>4.6895121300835143</v>
      </c>
      <c r="CW68" s="83">
        <f t="array" ref="CW68">_xlfn.STDEV.P(IF($E$5:$E$53=$E67,CW$5:CW$53))</f>
        <v>4.7917633133982775</v>
      </c>
      <c r="CX68" s="83">
        <f t="array" ref="CX68">_xlfn.STDEV.P(IF($E$5:$E$53=$E67,CX$5:CX$53))</f>
        <v>3.8811310657075335</v>
      </c>
      <c r="CY68" s="83">
        <f t="array" ref="CY68">_xlfn.STDEV.P(IF($E$5:$E$53=$E67,CY$5:CY$53))</f>
        <v>3.8966588371459689</v>
      </c>
      <c r="CZ68" s="83">
        <f t="array" ref="CZ68">_xlfn.STDEV.P(IF($E$5:$E$53=$E67,CZ$5:CZ$53))</f>
        <v>3.5190129836114132</v>
      </c>
      <c r="DA68" s="83">
        <f t="array" ref="DA68">_xlfn.STDEV.P(IF($E$5:$E$53=$E67,DA$5:DA$53))</f>
        <v>4.5600174622981449</v>
      </c>
      <c r="DB68" s="83">
        <f t="array" ref="DB68">_xlfn.STDEV.P(IF($E$5:$E$53=$E67,DB$5:DB$53))</f>
        <v>4.018196116698995</v>
      </c>
      <c r="DC68" s="83">
        <f t="array" ref="DC68">_xlfn.STDEV.P(IF($E$5:$E$53=$E67,DC$5:DC$53))</f>
        <v>6.8101645443333592</v>
      </c>
      <c r="DD68" s="83">
        <f t="array" ref="DD68">_xlfn.STDEV.P(IF($E$5:$E$53=$E67,DD$5:DD$53))</f>
        <v>9.1698939728524458</v>
      </c>
      <c r="DE68" s="83">
        <f t="array" ref="DE68">_xlfn.STDEV.P(IF($E$5:$E$53=$E67,DE$5:DE$53))</f>
        <v>10.780072021484385</v>
      </c>
      <c r="DF68" s="83">
        <f t="array" ref="DF68">_xlfn.STDEV.P(IF($E$5:$E$53=$E67,DF$5:DF$53))</f>
        <v>0</v>
      </c>
      <c r="DG68" s="83" t="e">
        <f t="array" ref="DG68">_xlfn.STDEV.P(IF($E$5:$E$53=$E67,DG$5:DG$53))</f>
        <v>#DIV/0!</v>
      </c>
      <c r="DH68" s="83" t="e">
        <f t="array" ref="DH68">_xlfn.STDEV.P(IF($E$5:$E$53=$E67,DH$5:DH$53))</f>
        <v>#DIV/0!</v>
      </c>
      <c r="DI68" s="83" t="e">
        <f t="array" ref="DI68">_xlfn.STDEV.P(IF($E$5:$E$53=$E67,DI$5:DI$53))</f>
        <v>#DIV/0!</v>
      </c>
      <c r="DL68" s="214"/>
      <c r="DM68" s="214"/>
      <c r="DN68" s="214"/>
      <c r="DO68" s="214"/>
      <c r="DP68" s="214"/>
      <c r="DQ68" s="214"/>
      <c r="DR68" s="214"/>
      <c r="DS68" s="214"/>
      <c r="DT68" s="214"/>
      <c r="DU68" s="214"/>
      <c r="DV68" s="214"/>
    </row>
    <row r="69" spans="1:127" s="195" customFormat="1" ht="14.25" customHeight="1">
      <c r="A69" s="191"/>
      <c r="B69" s="192"/>
      <c r="C69" s="193"/>
      <c r="D69" s="192"/>
      <c r="E69" s="194"/>
      <c r="H69" s="196"/>
      <c r="I69" s="260"/>
      <c r="J69" s="260"/>
      <c r="K69" s="260"/>
      <c r="L69" s="260"/>
      <c r="M69" s="260"/>
      <c r="N69" s="260"/>
      <c r="O69" s="260"/>
      <c r="P69" s="260"/>
      <c r="Q69" s="260"/>
      <c r="R69" s="257"/>
      <c r="S69" s="261"/>
      <c r="T69" s="261"/>
      <c r="U69" s="261"/>
      <c r="V69" s="261"/>
      <c r="W69" s="260"/>
      <c r="X69" s="26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89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L69" s="214"/>
      <c r="DM69" s="214"/>
      <c r="DN69" s="214"/>
      <c r="DO69" s="214"/>
      <c r="DP69" s="214"/>
      <c r="DQ69" s="214"/>
      <c r="DR69" s="214"/>
      <c r="DS69" s="214"/>
      <c r="DT69" s="214"/>
      <c r="DU69" s="214"/>
      <c r="DV69" s="214"/>
    </row>
    <row r="70" spans="1:127" s="206" customFormat="1" ht="14.25" customHeight="1">
      <c r="A70" s="202"/>
      <c r="B70" s="203"/>
      <c r="C70" s="204"/>
      <c r="D70" s="203"/>
      <c r="E70" s="205"/>
      <c r="H70" s="207"/>
      <c r="I70" s="263"/>
      <c r="J70" s="263"/>
      <c r="K70" s="263"/>
      <c r="L70" s="263"/>
      <c r="M70" s="263"/>
      <c r="N70" s="263"/>
      <c r="O70" s="263"/>
      <c r="P70" s="263"/>
      <c r="Q70" s="263"/>
      <c r="R70" s="257"/>
      <c r="S70" s="264"/>
      <c r="T70" s="264"/>
      <c r="U70" s="264"/>
      <c r="V70" s="264"/>
      <c r="W70" s="263"/>
      <c r="X70" s="265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F70" s="203"/>
      <c r="BG70" s="203"/>
      <c r="BH70" s="203"/>
      <c r="BI70" s="203"/>
      <c r="BJ70" s="203"/>
      <c r="BK70" s="203"/>
      <c r="BL70" s="203"/>
      <c r="BM70" s="203"/>
      <c r="BN70" s="203"/>
      <c r="BO70" s="203"/>
      <c r="BP70" s="203"/>
      <c r="BQ70" s="212"/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201"/>
      <c r="CG70" s="201"/>
      <c r="CH70" s="201"/>
      <c r="CI70" s="201"/>
      <c r="CJ70" s="201"/>
      <c r="CK70" s="201"/>
      <c r="CL70" s="201"/>
      <c r="CM70" s="201"/>
      <c r="CN70" s="201"/>
      <c r="CO70" s="201"/>
      <c r="CP70" s="201"/>
      <c r="CQ70" s="201"/>
      <c r="CR70" s="201"/>
      <c r="CS70" s="201"/>
      <c r="CT70" s="201"/>
      <c r="CU70" s="201"/>
      <c r="CV70" s="201"/>
      <c r="CW70" s="201"/>
      <c r="CX70" s="201"/>
      <c r="CY70" s="201"/>
      <c r="CZ70" s="201"/>
      <c r="DA70" s="201"/>
      <c r="DB70" s="201"/>
      <c r="DC70" s="201"/>
      <c r="DD70" s="201"/>
      <c r="DE70" s="201"/>
      <c r="DF70" s="201"/>
      <c r="DG70" s="201"/>
      <c r="DH70" s="201"/>
      <c r="DI70" s="201"/>
      <c r="DL70" s="214"/>
      <c r="DM70" s="214"/>
      <c r="DN70" s="214"/>
      <c r="DO70" s="214"/>
      <c r="DP70" s="214"/>
      <c r="DQ70" s="214"/>
      <c r="DR70" s="214"/>
      <c r="DS70" s="214"/>
      <c r="DT70" s="214"/>
      <c r="DU70" s="214"/>
      <c r="DV70" s="214"/>
    </row>
    <row r="71" spans="1:127" ht="15">
      <c r="A71" s="129"/>
      <c r="E71" s="134"/>
      <c r="H71" s="58"/>
      <c r="J71" s="63"/>
      <c r="K71" s="63"/>
      <c r="L71" s="63"/>
      <c r="N71" s="63"/>
      <c r="R71" s="176"/>
      <c r="S71" s="253"/>
      <c r="T71" s="253"/>
      <c r="U71" s="253"/>
      <c r="V71" s="253"/>
      <c r="W71" s="63"/>
      <c r="DL71" s="214"/>
      <c r="DM71" s="214"/>
      <c r="DN71" s="214"/>
      <c r="DO71" s="214"/>
      <c r="DP71" s="214"/>
      <c r="DQ71" s="214"/>
      <c r="DR71" s="214"/>
      <c r="DS71" s="214"/>
      <c r="DT71" s="214"/>
      <c r="DU71" s="214"/>
      <c r="DV71" s="214"/>
    </row>
    <row r="72" spans="1:127" ht="14.25" customHeight="1">
      <c r="A72" s="129"/>
      <c r="E72" s="134" t="str">
        <f>'PTX_DOSE Groups'!C10</f>
        <v>25mg CP-PTX</v>
      </c>
      <c r="H72" s="134" t="str">
        <f>E72</f>
        <v>25mg CP-PTX</v>
      </c>
      <c r="I72" s="256">
        <f>AVERAGEIF($E$5:$E$53,$E72,I$5:I$53)</f>
        <v>30.674999999999997</v>
      </c>
      <c r="J72" s="256"/>
      <c r="K72" s="256"/>
      <c r="L72" s="256"/>
      <c r="M72" s="256">
        <f t="shared" ref="M72:W72" si="39">AVERAGEIF($E$5:$E$53,$E72,M$5:M$53)</f>
        <v>118.43546000000001</v>
      </c>
      <c r="N72" s="256" t="e">
        <f t="shared" si="39"/>
        <v>#DIV/0!</v>
      </c>
      <c r="O72" s="256" t="e">
        <f t="shared" si="39"/>
        <v>#DIV/0!</v>
      </c>
      <c r="P72" s="256">
        <f t="shared" si="39"/>
        <v>39.478486666666669</v>
      </c>
      <c r="Q72" s="256" t="e">
        <f t="shared" si="39"/>
        <v>#DIV/0!</v>
      </c>
      <c r="R72" s="257" t="e">
        <f t="shared" si="39"/>
        <v>#DIV/0!</v>
      </c>
      <c r="S72" s="258">
        <f t="shared" si="39"/>
        <v>0</v>
      </c>
      <c r="T72" s="258">
        <f t="shared" si="39"/>
        <v>272.75</v>
      </c>
      <c r="U72" s="258">
        <f t="shared" si="39"/>
        <v>22.22901400794429</v>
      </c>
      <c r="V72" s="258">
        <f t="shared" si="39"/>
        <v>5.7547362857105657</v>
      </c>
      <c r="W72" s="256" t="e">
        <f t="shared" si="39"/>
        <v>#DIV/0!</v>
      </c>
      <c r="X72" s="81" t="s">
        <v>10</v>
      </c>
      <c r="Y72" s="87">
        <f t="shared" ref="Y72:BP72" si="40">AVERAGEIF($E$5:$E$53,$E72,Y$5:Y$53)</f>
        <v>64.980239999999995</v>
      </c>
      <c r="Z72" s="87">
        <f t="shared" si="40"/>
        <v>88.331490000000002</v>
      </c>
      <c r="AA72" s="87">
        <f t="shared" si="40"/>
        <v>118.43546000000001</v>
      </c>
      <c r="AB72" s="87">
        <f t="shared" si="40"/>
        <v>102.0331</v>
      </c>
      <c r="AC72" s="87">
        <f t="shared" si="40"/>
        <v>153.57094999999998</v>
      </c>
      <c r="AD72" s="87">
        <f t="shared" si="40"/>
        <v>175.30890000000002</v>
      </c>
      <c r="AE72" s="87">
        <f t="shared" si="40"/>
        <v>221.85605000000004</v>
      </c>
      <c r="AF72" s="87">
        <f t="shared" si="40"/>
        <v>302.84007000000003</v>
      </c>
      <c r="AG72" s="87">
        <f t="shared" si="40"/>
        <v>402.76704000000001</v>
      </c>
      <c r="AH72" s="87">
        <f t="shared" si="40"/>
        <v>522.59791999999993</v>
      </c>
      <c r="AI72" s="87">
        <f t="shared" si="40"/>
        <v>624.29380000000003</v>
      </c>
      <c r="AJ72" s="87">
        <f t="shared" si="40"/>
        <v>931.53163999999992</v>
      </c>
      <c r="AK72" s="87">
        <f t="shared" si="40"/>
        <v>1182.1364100000001</v>
      </c>
      <c r="AL72" s="87">
        <f t="shared" si="40"/>
        <v>1330.5455800000002</v>
      </c>
      <c r="AM72" s="87">
        <f t="shared" si="40"/>
        <v>1396.0758933333334</v>
      </c>
      <c r="AN72" s="87">
        <f t="shared" si="40"/>
        <v>1634.0986133333333</v>
      </c>
      <c r="AO72" s="87">
        <f t="shared" si="40"/>
        <v>1075.66056</v>
      </c>
      <c r="AP72" s="87">
        <f t="shared" si="40"/>
        <v>1702.0639999999999</v>
      </c>
      <c r="AQ72" s="87" t="e">
        <f t="shared" si="40"/>
        <v>#DIV/0!</v>
      </c>
      <c r="AR72" s="87" t="e">
        <f t="shared" si="40"/>
        <v>#DIV/0!</v>
      </c>
      <c r="AS72" s="87" t="e">
        <f t="shared" si="40"/>
        <v>#DIV/0!</v>
      </c>
      <c r="AT72" s="87" t="e">
        <f t="shared" si="40"/>
        <v>#DIV/0!</v>
      </c>
      <c r="AU72" s="87" t="e">
        <f t="shared" si="40"/>
        <v>#DIV/0!</v>
      </c>
      <c r="AV72" s="87" t="e">
        <f t="shared" si="40"/>
        <v>#DIV/0!</v>
      </c>
      <c r="AW72" s="87" t="e">
        <f t="shared" si="40"/>
        <v>#DIV/0!</v>
      </c>
      <c r="AX72" s="87" t="e">
        <f t="shared" si="40"/>
        <v>#DIV/0!</v>
      </c>
      <c r="AY72" s="87" t="e">
        <f t="shared" si="40"/>
        <v>#DIV/0!</v>
      </c>
      <c r="AZ72" s="87" t="e">
        <f t="shared" si="40"/>
        <v>#DIV/0!</v>
      </c>
      <c r="BA72" s="87" t="e">
        <f t="shared" si="40"/>
        <v>#DIV/0!</v>
      </c>
      <c r="BB72" s="87" t="e">
        <f t="shared" si="40"/>
        <v>#DIV/0!</v>
      </c>
      <c r="BC72" s="87" t="e">
        <f t="shared" si="40"/>
        <v>#DIV/0!</v>
      </c>
      <c r="BD72" s="87" t="e">
        <f t="shared" si="40"/>
        <v>#DIV/0!</v>
      </c>
      <c r="BE72" s="87" t="e">
        <f t="shared" si="40"/>
        <v>#DIV/0!</v>
      </c>
      <c r="BF72" s="87" t="e">
        <f t="shared" si="40"/>
        <v>#DIV/0!</v>
      </c>
      <c r="BG72" s="87" t="e">
        <f t="shared" si="40"/>
        <v>#DIV/0!</v>
      </c>
      <c r="BH72" s="87" t="e">
        <f t="shared" si="40"/>
        <v>#DIV/0!</v>
      </c>
      <c r="BI72" s="87" t="e">
        <f t="shared" si="40"/>
        <v>#DIV/0!</v>
      </c>
      <c r="BJ72" s="87" t="e">
        <f t="shared" si="40"/>
        <v>#DIV/0!</v>
      </c>
      <c r="BK72" s="87" t="e">
        <f t="shared" si="40"/>
        <v>#DIV/0!</v>
      </c>
      <c r="BL72" s="87" t="e">
        <f t="shared" si="40"/>
        <v>#DIV/0!</v>
      </c>
      <c r="BM72" s="87" t="e">
        <f t="shared" si="40"/>
        <v>#DIV/0!</v>
      </c>
      <c r="BN72" s="87" t="e">
        <f t="shared" si="40"/>
        <v>#DIV/0!</v>
      </c>
      <c r="BO72" s="87" t="e">
        <f t="shared" si="40"/>
        <v>#DIV/0!</v>
      </c>
      <c r="BP72" s="87" t="e">
        <f t="shared" si="40"/>
        <v>#DIV/0!</v>
      </c>
      <c r="BQ72" s="114" t="s">
        <v>10</v>
      </c>
      <c r="BR72" s="82">
        <f t="shared" ref="BR72:DI72" si="41">AVERAGEIF($E$5:$E$53,$E72,BR$5:BR$53)</f>
        <v>0.54415081823365163</v>
      </c>
      <c r="BS72" s="82">
        <f t="shared" si="41"/>
        <v>0.74260710659687945</v>
      </c>
      <c r="BT72" s="82">
        <f t="shared" si="41"/>
        <v>1</v>
      </c>
      <c r="BU72" s="82">
        <f t="shared" si="41"/>
        <v>0.85979655581433145</v>
      </c>
      <c r="BV72" s="82">
        <f t="shared" si="41"/>
        <v>1.2929155986074572</v>
      </c>
      <c r="BW72" s="82">
        <f t="shared" si="41"/>
        <v>1.4794973844047297</v>
      </c>
      <c r="BX72" s="82">
        <f t="shared" si="41"/>
        <v>1.8692269609222165</v>
      </c>
      <c r="BY72" s="82">
        <f t="shared" si="41"/>
        <v>2.5582819411650344</v>
      </c>
      <c r="BZ72" s="82">
        <f t="shared" si="41"/>
        <v>3.4062472680683058</v>
      </c>
      <c r="CA72" s="82">
        <f t="shared" si="41"/>
        <v>4.4273312174332267</v>
      </c>
      <c r="CB72" s="82">
        <f t="shared" si="41"/>
        <v>5.2901636308125219</v>
      </c>
      <c r="CC72" s="82">
        <f t="shared" si="41"/>
        <v>7.8897867687429954</v>
      </c>
      <c r="CD72" s="82">
        <f t="shared" si="41"/>
        <v>10.013365859824498</v>
      </c>
      <c r="CE72" s="82">
        <f t="shared" si="41"/>
        <v>11.30254114844543</v>
      </c>
      <c r="CF72" s="82">
        <f t="shared" si="41"/>
        <v>11.87455989992516</v>
      </c>
      <c r="CG72" s="82">
        <f t="shared" si="41"/>
        <v>13.920249135247774</v>
      </c>
      <c r="CH72" s="82">
        <f t="shared" si="41"/>
        <v>8.7216635677152503</v>
      </c>
      <c r="CI72" s="82">
        <f t="shared" si="41"/>
        <v>13.800663639391674</v>
      </c>
      <c r="CJ72" s="82" t="e">
        <f t="shared" si="41"/>
        <v>#DIV/0!</v>
      </c>
      <c r="CK72" s="82" t="e">
        <f t="shared" si="41"/>
        <v>#DIV/0!</v>
      </c>
      <c r="CL72" s="82" t="e">
        <f t="shared" si="41"/>
        <v>#DIV/0!</v>
      </c>
      <c r="CM72" s="82" t="e">
        <f t="shared" si="41"/>
        <v>#DIV/0!</v>
      </c>
      <c r="CN72" s="82" t="e">
        <f t="shared" si="41"/>
        <v>#DIV/0!</v>
      </c>
      <c r="CO72" s="82" t="e">
        <f t="shared" si="41"/>
        <v>#DIV/0!</v>
      </c>
      <c r="CP72" s="82" t="e">
        <f t="shared" si="41"/>
        <v>#DIV/0!</v>
      </c>
      <c r="CQ72" s="82" t="e">
        <f t="shared" si="41"/>
        <v>#DIV/0!</v>
      </c>
      <c r="CR72" s="82" t="e">
        <f t="shared" si="41"/>
        <v>#DIV/0!</v>
      </c>
      <c r="CS72" s="82" t="e">
        <f t="shared" si="41"/>
        <v>#DIV/0!</v>
      </c>
      <c r="CT72" s="82" t="e">
        <f t="shared" si="41"/>
        <v>#DIV/0!</v>
      </c>
      <c r="CU72" s="82" t="e">
        <f t="shared" si="41"/>
        <v>#DIV/0!</v>
      </c>
      <c r="CV72" s="82" t="e">
        <f t="shared" si="41"/>
        <v>#DIV/0!</v>
      </c>
      <c r="CW72" s="82" t="e">
        <f t="shared" si="41"/>
        <v>#DIV/0!</v>
      </c>
      <c r="CX72" s="82" t="e">
        <f t="shared" si="41"/>
        <v>#DIV/0!</v>
      </c>
      <c r="CY72" s="82" t="e">
        <f t="shared" si="41"/>
        <v>#DIV/0!</v>
      </c>
      <c r="CZ72" s="82" t="e">
        <f t="shared" si="41"/>
        <v>#DIV/0!</v>
      </c>
      <c r="DA72" s="82" t="e">
        <f t="shared" si="41"/>
        <v>#DIV/0!</v>
      </c>
      <c r="DB72" s="82" t="e">
        <f t="shared" si="41"/>
        <v>#DIV/0!</v>
      </c>
      <c r="DC72" s="82" t="e">
        <f t="shared" si="41"/>
        <v>#DIV/0!</v>
      </c>
      <c r="DD72" s="82" t="e">
        <f t="shared" si="41"/>
        <v>#DIV/0!</v>
      </c>
      <c r="DE72" s="82" t="e">
        <f t="shared" si="41"/>
        <v>#DIV/0!</v>
      </c>
      <c r="DF72" s="82" t="e">
        <f t="shared" si="41"/>
        <v>#DIV/0!</v>
      </c>
      <c r="DG72" s="82" t="e">
        <f t="shared" si="41"/>
        <v>#DIV/0!</v>
      </c>
      <c r="DH72" s="82" t="e">
        <f t="shared" si="41"/>
        <v>#DIV/0!</v>
      </c>
      <c r="DI72" s="82" t="e">
        <f t="shared" si="41"/>
        <v>#DIV/0!</v>
      </c>
      <c r="DJ72" s="259" t="s">
        <v>49</v>
      </c>
      <c r="DK72" s="259" t="s">
        <v>91</v>
      </c>
      <c r="DL72" s="214" t="e">
        <f>#REF!</f>
        <v>#REF!</v>
      </c>
      <c r="DM72" s="214" t="e">
        <f>#REF!</f>
        <v>#REF!</v>
      </c>
      <c r="DN72" s="214" t="e">
        <f>#REF!</f>
        <v>#REF!</v>
      </c>
      <c r="DO72" s="214" t="e">
        <f>#REF!</f>
        <v>#REF!</v>
      </c>
      <c r="DP72" s="214" t="e">
        <f>#REF!</f>
        <v>#REF!</v>
      </c>
      <c r="DQ72" s="214" t="e">
        <f>#REF!</f>
        <v>#REF!</v>
      </c>
      <c r="DR72" s="214" t="e">
        <f>#REF!</f>
        <v>#REF!</v>
      </c>
      <c r="DS72" s="214" t="e">
        <f>#REF!</f>
        <v>#REF!</v>
      </c>
      <c r="DT72" s="214" t="e">
        <f>#REF!</f>
        <v>#REF!</v>
      </c>
      <c r="DU72" s="214" t="e">
        <f>#REF!</f>
        <v>#REF!</v>
      </c>
      <c r="DV72" s="214" t="e">
        <f>#REF!</f>
        <v>#REF!</v>
      </c>
      <c r="DW72" s="195" t="e">
        <f>#REF!</f>
        <v>#REF!</v>
      </c>
    </row>
    <row r="73" spans="1:127" ht="14.25" customHeight="1">
      <c r="A73" s="129"/>
      <c r="E73" s="134"/>
      <c r="H73" s="104"/>
      <c r="I73" s="256">
        <f t="array" ref="I73">_xlfn.STDEV.P(IF($E$5:$E$53=$E72,I$5:I$53))</f>
        <v>1.5546301811041754</v>
      </c>
      <c r="J73" s="256"/>
      <c r="K73" s="256"/>
      <c r="L73" s="256"/>
      <c r="M73" s="256">
        <f t="array" ref="M73">_xlfn.STDEV.P(IF($E$5:$E$53=$E72,M$5:M$53))</f>
        <v>4.3176191282233383</v>
      </c>
      <c r="N73" s="256">
        <f t="array" ref="N73">_xlfn.STDEV.P(IF($E$5:$E$53=$E72,N$5:N$53))</f>
        <v>0</v>
      </c>
      <c r="O73" s="256">
        <f t="array" ref="O73">_xlfn.STDEV.P(IF($E$5:$E$53=$E72,O$5:O$53))</f>
        <v>0</v>
      </c>
      <c r="P73" s="256">
        <f t="array" ref="P73">_xlfn.STDEV.P(IF($E$5:$E$53=$E72,P$5:P$53))</f>
        <v>1.4392063760744469</v>
      </c>
      <c r="Q73" s="256">
        <f t="array" ref="Q73">_xlfn.STDEV.P(IF($E$5:$E$53=$E72,Q$5:Q$53))</f>
        <v>0</v>
      </c>
      <c r="R73" s="257">
        <f t="array" ref="R73">_xlfn.STDEV.P(IF($E$5:$E$53=$E72,R$5:R$53))</f>
        <v>0</v>
      </c>
      <c r="S73" s="258">
        <f t="array" ref="S73">_xlfn.STDEV.P(IF($E$5:$E$53=$E72,S$5:S$53))</f>
        <v>0</v>
      </c>
      <c r="T73" s="258">
        <f t="array" ref="T73">_xlfn.STDEV.P(IF($E$5:$E$53=$E72,T$5:T$53))</f>
        <v>13.827056809024834</v>
      </c>
      <c r="U73" s="258">
        <f t="array" ref="U73">_xlfn.STDEV.P(IF($E$5:$E$53=$E72,U$5:U$53))</f>
        <v>1.5755502563877567E-2</v>
      </c>
      <c r="V73" s="258">
        <f t="array" ref="V73">_xlfn.STDEV.P(IF($E$5:$E$53=$E72,V$5:V$53))</f>
        <v>0.11650080277853732</v>
      </c>
      <c r="W73" s="256">
        <f t="array" ref="W73">_xlfn.STDEV.P(IF($E$5:$E$53=$E72,W$5:W$53))</f>
        <v>0</v>
      </c>
      <c r="X73" s="81" t="s">
        <v>12</v>
      </c>
      <c r="Y73" s="90">
        <f t="array" ref="Y73">_xlfn.STDEV.P(IF($E$5:$E$53=$E72,Y$5:Y$53))</f>
        <v>17.394454982390233</v>
      </c>
      <c r="Z73" s="90">
        <f t="array" ref="Z73">_xlfn.STDEV.P(IF($E$5:$E$53=$E72,Z$5:Z$53))</f>
        <v>15.001225343907658</v>
      </c>
      <c r="AA73" s="90">
        <f t="array" ref="AA73">_xlfn.STDEV.P(IF($E$5:$E$53=$E72,AA$5:AA$53))</f>
        <v>4.3176191282233383</v>
      </c>
      <c r="AB73" s="90">
        <f t="array" ref="AB73">_xlfn.STDEV.P(IF($E$5:$E$53=$E72,AB$5:AB$53))</f>
        <v>11.421408777046665</v>
      </c>
      <c r="AC73" s="90">
        <f t="array" ref="AC73">_xlfn.STDEV.P(IF($E$5:$E$53=$E72,AC$5:AC$53))</f>
        <v>22.878427901416341</v>
      </c>
      <c r="AD73" s="90">
        <f t="array" ref="AD73">_xlfn.STDEV.P(IF($E$5:$E$53=$E72,AD$5:AD$53))</f>
        <v>18.714336677370888</v>
      </c>
      <c r="AE73" s="90">
        <f t="array" ref="AE73">_xlfn.STDEV.P(IF($E$5:$E$53=$E72,AE$5:AE$53))</f>
        <v>46.802972792346118</v>
      </c>
      <c r="AF73" s="90">
        <f t="array" ref="AF73">_xlfn.STDEV.P(IF($E$5:$E$53=$E72,AF$5:AF$53))</f>
        <v>53.691554575254258</v>
      </c>
      <c r="AG73" s="90">
        <f t="array" ref="AG73">_xlfn.STDEV.P(IF($E$5:$E$53=$E72,AG$5:AG$53))</f>
        <v>13.824000184374977</v>
      </c>
      <c r="AH73" s="90">
        <f t="array" ref="AH73">_xlfn.STDEV.P(IF($E$5:$E$53=$E72,AH$5:AH$53))</f>
        <v>32.262029268649549</v>
      </c>
      <c r="AI73" s="90">
        <f t="array" ref="AI73">_xlfn.STDEV.P(IF($E$5:$E$53=$E72,AI$5:AI$53))</f>
        <v>41.130839584895462</v>
      </c>
      <c r="AJ73" s="90">
        <f t="array" ref="AJ73">_xlfn.STDEV.P(IF($E$5:$E$53=$E72,AJ$5:AJ$53))</f>
        <v>66.543893072227192</v>
      </c>
      <c r="AK73" s="90">
        <f t="array" ref="AK73">_xlfn.STDEV.P(IF($E$5:$E$53=$E72,AK$5:AK$53))</f>
        <v>69.080347749595845</v>
      </c>
      <c r="AL73" s="90">
        <f t="array" ref="AL73">_xlfn.STDEV.P(IF($E$5:$E$53=$E72,AL$5:AL$53))</f>
        <v>279.87839107069431</v>
      </c>
      <c r="AM73" s="90">
        <f t="array" ref="AM73">_xlfn.STDEV.P(IF($E$5:$E$53=$E72,AM$5:AM$53))</f>
        <v>626.44007897169172</v>
      </c>
      <c r="AN73" s="90">
        <f t="array" ref="AN73">_xlfn.STDEV.P(IF($E$5:$E$53=$E72,AN$5:AN$53))</f>
        <v>760.03389140532295</v>
      </c>
      <c r="AO73" s="90">
        <f t="array" ref="AO73">_xlfn.STDEV.P(IF($E$5:$E$53=$E72,AO$5:AO$53))</f>
        <v>465.77468540449775</v>
      </c>
      <c r="AP73" s="90">
        <f t="array" ref="AP73">_xlfn.STDEV.P(IF($E$5:$E$53=$E72,AP$5:AP$53))</f>
        <v>737.01533143347831</v>
      </c>
      <c r="AQ73" s="90">
        <f t="array" ref="AQ73">_xlfn.STDEV.P(IF($E$5:$E$53=$E72,AQ$5:AQ$53))</f>
        <v>0</v>
      </c>
      <c r="AR73" s="90">
        <f t="array" ref="AR73">_xlfn.STDEV.P(IF($E$5:$E$53=$E72,AR$5:AR$53))</f>
        <v>0</v>
      </c>
      <c r="AS73" s="90">
        <f t="array" ref="AS73">_xlfn.STDEV.P(IF($E$5:$E$53=$E72,AS$5:AS$53))</f>
        <v>0</v>
      </c>
      <c r="AT73" s="90">
        <f t="array" ref="AT73">_xlfn.STDEV.P(IF($E$5:$E$53=$E72,AT$5:AT$53))</f>
        <v>0</v>
      </c>
      <c r="AU73" s="90">
        <f t="array" ref="AU73">_xlfn.STDEV.P(IF($E$5:$E$53=$E72,AU$5:AU$53))</f>
        <v>0</v>
      </c>
      <c r="AV73" s="90">
        <f t="array" ref="AV73">_xlfn.STDEV.P(IF($E$5:$E$53=$E72,AV$5:AV$53))</f>
        <v>0</v>
      </c>
      <c r="AW73" s="90">
        <f t="array" ref="AW73">_xlfn.STDEV.P(IF($E$5:$E$53=$E72,AW$5:AW$53))</f>
        <v>0</v>
      </c>
      <c r="AX73" s="90">
        <f t="array" ref="AX73">_xlfn.STDEV.P(IF($E$5:$E$53=$E72,AX$5:AX$53))</f>
        <v>0</v>
      </c>
      <c r="AY73" s="90">
        <f t="array" ref="AY73">_xlfn.STDEV.P(IF($E$5:$E$53=$E72,AY$5:AY$53))</f>
        <v>0</v>
      </c>
      <c r="AZ73" s="90">
        <f t="array" ref="AZ73">_xlfn.STDEV.P(IF($E$5:$E$53=$E72,AZ$5:AZ$53))</f>
        <v>0</v>
      </c>
      <c r="BA73" s="90">
        <f t="array" ref="BA73">_xlfn.STDEV.P(IF($E$5:$E$53=$E72,BA$5:BA$53))</f>
        <v>0</v>
      </c>
      <c r="BB73" s="90">
        <f t="array" ref="BB73">_xlfn.STDEV.P(IF($E$5:$E$53=$E72,BB$5:BB$53))</f>
        <v>0</v>
      </c>
      <c r="BC73" s="90">
        <f t="array" ref="BC73">_xlfn.STDEV.P(IF($E$5:$E$53=$E72,BC$5:BC$53))</f>
        <v>0</v>
      </c>
      <c r="BD73" s="90">
        <f t="array" ref="BD73">_xlfn.STDEV.P(IF($E$5:$E$53=$E72,BD$5:BD$53))</f>
        <v>0</v>
      </c>
      <c r="BE73" s="90">
        <f t="array" ref="BE73">_xlfn.STDEV.P(IF($E$5:$E$53=$E72,BE$5:BE$53))</f>
        <v>0</v>
      </c>
      <c r="BF73" s="90">
        <f t="array" ref="BF73">_xlfn.STDEV.P(IF($E$5:$E$53=$E72,BF$5:BF$53))</f>
        <v>0</v>
      </c>
      <c r="BG73" s="90">
        <f t="array" ref="BG73">_xlfn.STDEV.P(IF($E$5:$E$53=$E72,BG$5:BG$53))</f>
        <v>0</v>
      </c>
      <c r="BH73" s="90">
        <f t="array" ref="BH73">_xlfn.STDEV.P(IF($E$5:$E$53=$E72,BH$5:BH$53))</f>
        <v>0</v>
      </c>
      <c r="BI73" s="90">
        <f t="array" ref="BI73">_xlfn.STDEV.P(IF($E$5:$E$53=$E72,BI$5:BI$53))</f>
        <v>0</v>
      </c>
      <c r="BJ73" s="90">
        <f t="array" ref="BJ73">_xlfn.STDEV.P(IF($E$5:$E$53=$E72,BJ$5:BJ$53))</f>
        <v>0</v>
      </c>
      <c r="BK73" s="90">
        <f t="array" ref="BK73">_xlfn.STDEV.P(IF($E$5:$E$53=$E72,BK$5:BK$53))</f>
        <v>0</v>
      </c>
      <c r="BL73" s="90">
        <f t="array" ref="BL73">_xlfn.STDEV.P(IF($E$5:$E$53=$E72,BL$5:BL$53))</f>
        <v>0</v>
      </c>
      <c r="BM73" s="90">
        <f t="array" ref="BM73">_xlfn.STDEV.P(IF($E$5:$E$53=$E72,BM$5:BM$53))</f>
        <v>0</v>
      </c>
      <c r="BN73" s="90">
        <f t="array" ref="BN73">_xlfn.STDEV.P(IF($E$5:$E$53=$E72,BN$5:BN$53))</f>
        <v>0</v>
      </c>
      <c r="BO73" s="90">
        <f t="array" ref="BO73">_xlfn.STDEV.P(IF($E$5:$E$53=$E72,BO$5:BO$53))</f>
        <v>0</v>
      </c>
      <c r="BP73" s="90">
        <f t="array" ref="BP73">_xlfn.STDEV.P(IF($E$5:$E$53=$E72,BP$5:BP$53))</f>
        <v>0</v>
      </c>
      <c r="BQ73" s="115" t="s">
        <v>12</v>
      </c>
      <c r="BR73" s="83">
        <f t="array" ref="BR73">_xlfn.STDEV.P(IF($E$5:$E$53=$E72,BR$5:BR$53))</f>
        <v>0.12976881808572335</v>
      </c>
      <c r="BS73" s="83">
        <f t="array" ref="BS73">_xlfn.STDEV.P(IF($E$5:$E$53=$E72,BS$5:BS$53))</f>
        <v>0.10351073983754555</v>
      </c>
      <c r="BT73" s="83">
        <f t="array" ref="BT73">_xlfn.STDEV.P(IF($E$5:$E$53=$E72,BT$5:BT$53))</f>
        <v>0</v>
      </c>
      <c r="BU73" s="83">
        <f t="array" ref="BU73">_xlfn.STDEV.P(IF($E$5:$E$53=$E72,BU$5:BU$53))</f>
        <v>7.1456621266547699E-2</v>
      </c>
      <c r="BV73" s="83">
        <f t="array" ref="BV73">_xlfn.STDEV.P(IF($E$5:$E$53=$E72,BV$5:BV$53))</f>
        <v>0.15489212796832491</v>
      </c>
      <c r="BW73" s="83">
        <f t="array" ref="BW73">_xlfn.STDEV.P(IF($E$5:$E$53=$E72,BW$5:BW$53))</f>
        <v>0.1381775529423013</v>
      </c>
      <c r="BX73" s="83">
        <f t="array" ref="BX73">_xlfn.STDEV.P(IF($E$5:$E$53=$E72,BX$5:BX$53))</f>
        <v>0.3642692289553926</v>
      </c>
      <c r="BY73" s="83">
        <f t="array" ref="BY73">_xlfn.STDEV.P(IF($E$5:$E$53=$E72,BY$5:BY$53))</f>
        <v>0.44697570977032847</v>
      </c>
      <c r="BZ73" s="83">
        <f t="array" ref="BZ73">_xlfn.STDEV.P(IF($E$5:$E$53=$E72,BZ$5:BZ$53))</f>
        <v>0.1918588574558493</v>
      </c>
      <c r="CA73" s="83">
        <f t="array" ref="CA73">_xlfn.STDEV.P(IF($E$5:$E$53=$E72,CA$5:CA$53))</f>
        <v>0.42580143034629453</v>
      </c>
      <c r="CB73" s="83">
        <f t="array" ref="CB73">_xlfn.STDEV.P(IF($E$5:$E$53=$E72,CB$5:CB$53))</f>
        <v>0.53787522754005568</v>
      </c>
      <c r="CC73" s="83">
        <f t="array" ref="CC73">_xlfn.STDEV.P(IF($E$5:$E$53=$E72,CC$5:CC$53))</f>
        <v>0.77609914897369581</v>
      </c>
      <c r="CD73" s="83">
        <f t="array" ref="CD73">_xlfn.STDEV.P(IF($E$5:$E$53=$E72,CD$5:CD$53))</f>
        <v>0.9438696110121696</v>
      </c>
      <c r="CE73" s="83">
        <f t="array" ref="CE73">_xlfn.STDEV.P(IF($E$5:$E$53=$E72,CE$5:CE$53))</f>
        <v>2.5961512511511318</v>
      </c>
      <c r="CF73" s="83">
        <f t="array" ref="CF73">_xlfn.STDEV.P(IF($E$5:$E$53=$E72,CF$5:CF$53))</f>
        <v>1.9687217900165166</v>
      </c>
      <c r="CG73" s="83">
        <f t="array" ref="CG73">_xlfn.STDEV.P(IF($E$5:$E$53=$E72,CG$5:CG$53))</f>
        <v>3.0868562812306575</v>
      </c>
      <c r="CH73" s="83">
        <f t="array" ref="CH73">_xlfn.STDEV.P(IF($E$5:$E$53=$E72,CH$5:CH$53))</f>
        <v>0</v>
      </c>
      <c r="CI73" s="83">
        <f t="array" ref="CI73">_xlfn.STDEV.P(IF($E$5:$E$53=$E72,CI$5:CI$53))</f>
        <v>0</v>
      </c>
      <c r="CJ73" s="83" t="e">
        <f t="array" ref="CJ73">_xlfn.STDEV.P(IF($E$5:$E$53=$E72,CJ$5:CJ$53))</f>
        <v>#DIV/0!</v>
      </c>
      <c r="CK73" s="83" t="e">
        <f t="array" ref="CK73">_xlfn.STDEV.P(IF($E$5:$E$53=$E72,CK$5:CK$53))</f>
        <v>#DIV/0!</v>
      </c>
      <c r="CL73" s="83" t="e">
        <f t="array" ref="CL73">_xlfn.STDEV.P(IF($E$5:$E$53=$E72,CL$5:CL$53))</f>
        <v>#DIV/0!</v>
      </c>
      <c r="CM73" s="83" t="e">
        <f t="array" ref="CM73">_xlfn.STDEV.P(IF($E$5:$E$53=$E72,CM$5:CM$53))</f>
        <v>#DIV/0!</v>
      </c>
      <c r="CN73" s="83" t="e">
        <f t="array" ref="CN73">_xlfn.STDEV.P(IF($E$5:$E$53=$E72,CN$5:CN$53))</f>
        <v>#DIV/0!</v>
      </c>
      <c r="CO73" s="83" t="e">
        <f t="array" ref="CO73">_xlfn.STDEV.P(IF($E$5:$E$53=$E72,CO$5:CO$53))</f>
        <v>#DIV/0!</v>
      </c>
      <c r="CP73" s="83" t="e">
        <f t="array" ref="CP73">_xlfn.STDEV.P(IF($E$5:$E$53=$E72,CP$5:CP$53))</f>
        <v>#DIV/0!</v>
      </c>
      <c r="CQ73" s="83" t="e">
        <f t="array" ref="CQ73">_xlfn.STDEV.P(IF($E$5:$E$53=$E72,CQ$5:CQ$53))</f>
        <v>#DIV/0!</v>
      </c>
      <c r="CR73" s="83" t="e">
        <f t="array" ref="CR73">_xlfn.STDEV.P(IF($E$5:$E$53=$E72,CR$5:CR$53))</f>
        <v>#DIV/0!</v>
      </c>
      <c r="CS73" s="83" t="e">
        <f t="array" ref="CS73">_xlfn.STDEV.P(IF($E$5:$E$53=$E72,CS$5:CS$53))</f>
        <v>#DIV/0!</v>
      </c>
      <c r="CT73" s="83" t="e">
        <f t="array" ref="CT73">_xlfn.STDEV.P(IF($E$5:$E$53=$E72,CT$5:CT$53))</f>
        <v>#DIV/0!</v>
      </c>
      <c r="CU73" s="83" t="e">
        <f t="array" ref="CU73">_xlfn.STDEV.P(IF($E$5:$E$53=$E72,CU$5:CU$53))</f>
        <v>#DIV/0!</v>
      </c>
      <c r="CV73" s="83" t="e">
        <f t="array" ref="CV73">_xlfn.STDEV.P(IF($E$5:$E$53=$E72,CV$5:CV$53))</f>
        <v>#DIV/0!</v>
      </c>
      <c r="CW73" s="83" t="e">
        <f t="array" ref="CW73">_xlfn.STDEV.P(IF($E$5:$E$53=$E72,CW$5:CW$53))</f>
        <v>#DIV/0!</v>
      </c>
      <c r="CX73" s="83" t="e">
        <f t="array" ref="CX73">_xlfn.STDEV.P(IF($E$5:$E$53=$E72,CX$5:CX$53))</f>
        <v>#DIV/0!</v>
      </c>
      <c r="CY73" s="83" t="e">
        <f t="array" ref="CY73">_xlfn.STDEV.P(IF($E$5:$E$53=$E72,CY$5:CY$53))</f>
        <v>#DIV/0!</v>
      </c>
      <c r="CZ73" s="83" t="e">
        <f t="array" ref="CZ73">_xlfn.STDEV.P(IF($E$5:$E$53=$E72,CZ$5:CZ$53))</f>
        <v>#DIV/0!</v>
      </c>
      <c r="DA73" s="83" t="e">
        <f t="array" ref="DA73">_xlfn.STDEV.P(IF($E$5:$E$53=$E72,DA$5:DA$53))</f>
        <v>#DIV/0!</v>
      </c>
      <c r="DB73" s="83" t="e">
        <f t="array" ref="DB73">_xlfn.STDEV.P(IF($E$5:$E$53=$E72,DB$5:DB$53))</f>
        <v>#DIV/0!</v>
      </c>
      <c r="DC73" s="83" t="e">
        <f t="array" ref="DC73">_xlfn.STDEV.P(IF($E$5:$E$53=$E72,DC$5:DC$53))</f>
        <v>#DIV/0!</v>
      </c>
      <c r="DD73" s="83" t="e">
        <f t="array" ref="DD73">_xlfn.STDEV.P(IF($E$5:$E$53=$E72,DD$5:DD$53))</f>
        <v>#DIV/0!</v>
      </c>
      <c r="DE73" s="83" t="e">
        <f t="array" ref="DE73">_xlfn.STDEV.P(IF($E$5:$E$53=$E72,DE$5:DE$53))</f>
        <v>#DIV/0!</v>
      </c>
      <c r="DF73" s="83" t="e">
        <f t="array" ref="DF73">_xlfn.STDEV.P(IF($E$5:$E$53=$E72,DF$5:DF$53))</f>
        <v>#DIV/0!</v>
      </c>
      <c r="DG73" s="83" t="e">
        <f t="array" ref="DG73">_xlfn.STDEV.P(IF($E$5:$E$53=$E72,DG$5:DG$53))</f>
        <v>#DIV/0!</v>
      </c>
      <c r="DH73" s="83" t="e">
        <f t="array" ref="DH73">_xlfn.STDEV.P(IF($E$5:$E$53=$E72,DH$5:DH$53))</f>
        <v>#DIV/0!</v>
      </c>
      <c r="DI73" s="83" t="e">
        <f t="array" ref="DI73">_xlfn.STDEV.P(IF($E$5:$E$53=$E72,DI$5:DI$53))</f>
        <v>#DIV/0!</v>
      </c>
      <c r="DK73" s="259" t="s">
        <v>92</v>
      </c>
      <c r="DL73" s="214" t="e">
        <f>#REF!</f>
        <v>#REF!</v>
      </c>
      <c r="DM73" s="214" t="e">
        <f>#REF!</f>
        <v>#REF!</v>
      </c>
      <c r="DN73" s="214" t="e">
        <f>#REF!</f>
        <v>#REF!</v>
      </c>
      <c r="DO73" s="214" t="e">
        <f>#REF!</f>
        <v>#REF!</v>
      </c>
      <c r="DP73" s="214" t="e">
        <f>#REF!</f>
        <v>#REF!</v>
      </c>
      <c r="DQ73" s="214" t="e">
        <f>#REF!</f>
        <v>#REF!</v>
      </c>
      <c r="DR73" s="214" t="e">
        <f>#REF!</f>
        <v>#REF!</v>
      </c>
      <c r="DS73" s="214" t="e">
        <f>#REF!</f>
        <v>#REF!</v>
      </c>
      <c r="DT73" s="214" t="e">
        <f>#REF!</f>
        <v>#REF!</v>
      </c>
      <c r="DU73" s="214" t="e">
        <f>#REF!</f>
        <v>#REF!</v>
      </c>
      <c r="DV73" s="214" t="e">
        <f>#REF!</f>
        <v>#REF!</v>
      </c>
      <c r="DW73" s="195" t="e">
        <f>#REF!</f>
        <v>#REF!</v>
      </c>
    </row>
    <row r="74" spans="1:127" ht="15">
      <c r="A74" s="129"/>
      <c r="E74" s="134"/>
      <c r="H74" s="58"/>
      <c r="J74" s="63"/>
      <c r="K74" s="63"/>
      <c r="L74" s="63"/>
      <c r="N74" s="63"/>
      <c r="R74" s="176"/>
      <c r="S74" s="253"/>
      <c r="T74" s="253"/>
      <c r="U74" s="253"/>
      <c r="V74" s="253"/>
      <c r="W74" s="63"/>
      <c r="DL74" s="214"/>
      <c r="DM74" s="214"/>
      <c r="DN74" s="214"/>
      <c r="DO74" s="214"/>
      <c r="DP74" s="214"/>
      <c r="DQ74" s="214"/>
      <c r="DR74" s="214"/>
      <c r="DS74" s="214"/>
      <c r="DT74" s="214"/>
      <c r="DU74" s="214"/>
      <c r="DV74" s="214"/>
    </row>
    <row r="75" spans="1:127" ht="14.25" customHeight="1">
      <c r="A75" s="129"/>
      <c r="E75" s="134" t="str">
        <f>'PTX_DOSE Groups'!C11</f>
        <v>25mg Combotherapy</v>
      </c>
      <c r="H75" s="134" t="str">
        <f>E75</f>
        <v>25mg Combotherapy</v>
      </c>
      <c r="I75" s="256">
        <f>AVERAGEIF($E$5:$E$53,$E75,I$5:I$53)</f>
        <v>28.22</v>
      </c>
      <c r="J75" s="256"/>
      <c r="K75" s="256"/>
      <c r="L75" s="256"/>
      <c r="M75" s="256">
        <f t="shared" ref="M75:W75" si="42">AVERAGEIF($E$5:$E$53,$E75,M$5:M$53)</f>
        <v>98.016255999999998</v>
      </c>
      <c r="N75" s="256">
        <f t="shared" si="42"/>
        <v>10.240210084033613</v>
      </c>
      <c r="O75" s="256">
        <f t="shared" si="42"/>
        <v>326.72085333333337</v>
      </c>
      <c r="P75" s="256">
        <f t="shared" si="42"/>
        <v>32.672085333333335</v>
      </c>
      <c r="Q75" s="256">
        <f t="shared" si="42"/>
        <v>281.8</v>
      </c>
      <c r="R75" s="257">
        <f t="shared" si="42"/>
        <v>0.83649840419783406</v>
      </c>
      <c r="S75" s="258">
        <f t="shared" si="42"/>
        <v>2.7883280139927802</v>
      </c>
      <c r="T75" s="258">
        <f t="shared" si="42"/>
        <v>251.1</v>
      </c>
      <c r="U75" s="258">
        <f t="shared" si="42"/>
        <v>22.2448542825461</v>
      </c>
      <c r="V75" s="258">
        <f t="shared" si="42"/>
        <v>7.1774904300865359</v>
      </c>
      <c r="W75" s="256" t="e">
        <f t="shared" si="42"/>
        <v>#DIV/0!</v>
      </c>
      <c r="X75" s="81" t="s">
        <v>10</v>
      </c>
      <c r="Y75" s="87">
        <f t="shared" ref="Y75:BP75" si="43">AVERAGEIF($E$5:$E$53,$E75,Y$5:Y$53)</f>
        <v>69.702984000000001</v>
      </c>
      <c r="Z75" s="87">
        <f t="shared" si="43"/>
        <v>86.028487999999996</v>
      </c>
      <c r="AA75" s="87">
        <f t="shared" si="43"/>
        <v>98.016255999999998</v>
      </c>
      <c r="AB75" s="87">
        <f t="shared" si="43"/>
        <v>129.75071199999999</v>
      </c>
      <c r="AC75" s="87">
        <f t="shared" si="43"/>
        <v>168.03040800000002</v>
      </c>
      <c r="AD75" s="87">
        <f t="shared" si="43"/>
        <v>182.258544</v>
      </c>
      <c r="AE75" s="87">
        <f t="shared" si="43"/>
        <v>174.17129600000004</v>
      </c>
      <c r="AF75" s="87">
        <f t="shared" si="43"/>
        <v>209.30072799999999</v>
      </c>
      <c r="AG75" s="87">
        <f t="shared" si="43"/>
        <v>199.80376000000001</v>
      </c>
      <c r="AH75" s="87">
        <f t="shared" si="43"/>
        <v>268.00238400000001</v>
      </c>
      <c r="AI75" s="87">
        <f t="shared" si="43"/>
        <v>357.71372000000002</v>
      </c>
      <c r="AJ75" s="87">
        <f t="shared" si="43"/>
        <v>529.64173599999992</v>
      </c>
      <c r="AK75" s="87">
        <f t="shared" si="43"/>
        <v>598.11128000000008</v>
      </c>
      <c r="AL75" s="87">
        <f t="shared" si="43"/>
        <v>714.56039200000009</v>
      </c>
      <c r="AM75" s="87">
        <f t="shared" si="43"/>
        <v>551.93813999999998</v>
      </c>
      <c r="AN75" s="87">
        <f t="shared" si="43"/>
        <v>765.04245999999989</v>
      </c>
      <c r="AO75" s="87">
        <f t="shared" si="43"/>
        <v>906.36507000000006</v>
      </c>
      <c r="AP75" s="87">
        <f t="shared" si="43"/>
        <v>986.19066000000021</v>
      </c>
      <c r="AQ75" s="87">
        <f t="shared" si="43"/>
        <v>1095.3987200000001</v>
      </c>
      <c r="AR75" s="87">
        <f t="shared" si="43"/>
        <v>1193.8209399999998</v>
      </c>
      <c r="AS75" s="87">
        <f t="shared" si="43"/>
        <v>1587.846</v>
      </c>
      <c r="AT75" s="87">
        <f t="shared" si="43"/>
        <v>1424.9424799999997</v>
      </c>
      <c r="AU75" s="87">
        <f t="shared" si="43"/>
        <v>1811.0227200000002</v>
      </c>
      <c r="AV75" s="87" t="e">
        <f t="shared" si="43"/>
        <v>#DIV/0!</v>
      </c>
      <c r="AW75" s="87" t="e">
        <f t="shared" si="43"/>
        <v>#DIV/0!</v>
      </c>
      <c r="AX75" s="87" t="e">
        <f t="shared" si="43"/>
        <v>#DIV/0!</v>
      </c>
      <c r="AY75" s="87" t="e">
        <f t="shared" si="43"/>
        <v>#DIV/0!</v>
      </c>
      <c r="AZ75" s="87" t="e">
        <f t="shared" si="43"/>
        <v>#DIV/0!</v>
      </c>
      <c r="BA75" s="87" t="e">
        <f t="shared" si="43"/>
        <v>#DIV/0!</v>
      </c>
      <c r="BB75" s="87" t="e">
        <f t="shared" si="43"/>
        <v>#DIV/0!</v>
      </c>
      <c r="BC75" s="87" t="e">
        <f t="shared" si="43"/>
        <v>#DIV/0!</v>
      </c>
      <c r="BD75" s="87" t="e">
        <f t="shared" si="43"/>
        <v>#DIV/0!</v>
      </c>
      <c r="BE75" s="87" t="e">
        <f t="shared" si="43"/>
        <v>#DIV/0!</v>
      </c>
      <c r="BF75" s="87" t="e">
        <f t="shared" si="43"/>
        <v>#DIV/0!</v>
      </c>
      <c r="BG75" s="87" t="e">
        <f t="shared" si="43"/>
        <v>#DIV/0!</v>
      </c>
      <c r="BH75" s="87" t="e">
        <f t="shared" si="43"/>
        <v>#DIV/0!</v>
      </c>
      <c r="BI75" s="87" t="e">
        <f t="shared" si="43"/>
        <v>#DIV/0!</v>
      </c>
      <c r="BJ75" s="87" t="e">
        <f t="shared" si="43"/>
        <v>#DIV/0!</v>
      </c>
      <c r="BK75" s="87" t="e">
        <f t="shared" si="43"/>
        <v>#DIV/0!</v>
      </c>
      <c r="BL75" s="87" t="e">
        <f t="shared" si="43"/>
        <v>#DIV/0!</v>
      </c>
      <c r="BM75" s="87" t="e">
        <f t="shared" si="43"/>
        <v>#DIV/0!</v>
      </c>
      <c r="BN75" s="87" t="e">
        <f t="shared" si="43"/>
        <v>#DIV/0!</v>
      </c>
      <c r="BO75" s="87" t="e">
        <f t="shared" si="43"/>
        <v>#DIV/0!</v>
      </c>
      <c r="BP75" s="87" t="e">
        <f t="shared" si="43"/>
        <v>#DIV/0!</v>
      </c>
      <c r="BQ75" s="114" t="s">
        <v>10</v>
      </c>
      <c r="BR75" s="82">
        <f t="shared" ref="BR75:DI75" si="44">AVERAGEIF($E$5:$E$53,$E75,BR$5:BR$53)</f>
        <v>0.7217648543281594</v>
      </c>
      <c r="BS75" s="82">
        <f t="shared" si="44"/>
        <v>0.96497240047819022</v>
      </c>
      <c r="BT75" s="82">
        <f t="shared" si="44"/>
        <v>1</v>
      </c>
      <c r="BU75" s="82">
        <f t="shared" si="44"/>
        <v>1.2696454764045961</v>
      </c>
      <c r="BV75" s="82">
        <f t="shared" si="44"/>
        <v>1.8663305447942804</v>
      </c>
      <c r="BW75" s="82">
        <f t="shared" si="44"/>
        <v>2.3212849584737318</v>
      </c>
      <c r="BX75" s="82">
        <f t="shared" si="44"/>
        <v>2.2088478498484356</v>
      </c>
      <c r="BY75" s="82">
        <f t="shared" si="44"/>
        <v>2.7160721098950171</v>
      </c>
      <c r="BZ75" s="82">
        <f t="shared" si="44"/>
        <v>2.6721139286799711</v>
      </c>
      <c r="CA75" s="82">
        <f t="shared" si="44"/>
        <v>3.8265102402633131</v>
      </c>
      <c r="CB75" s="82">
        <f t="shared" si="44"/>
        <v>5.050517224743162</v>
      </c>
      <c r="CC75" s="82">
        <f t="shared" si="44"/>
        <v>7.7390762473463912</v>
      </c>
      <c r="CD75" s="82">
        <f t="shared" si="44"/>
        <v>8.474620588545017</v>
      </c>
      <c r="CE75" s="82">
        <f t="shared" si="44"/>
        <v>9.8838036035814092</v>
      </c>
      <c r="CF75" s="82">
        <f t="shared" si="44"/>
        <v>5.2704640318610601</v>
      </c>
      <c r="CG75" s="82">
        <f t="shared" si="44"/>
        <v>7.8591228679946932</v>
      </c>
      <c r="CH75" s="82">
        <f t="shared" si="44"/>
        <v>9.1926062042489285</v>
      </c>
      <c r="CI75" s="82">
        <f t="shared" si="44"/>
        <v>12.448408708551112</v>
      </c>
      <c r="CJ75" s="82">
        <f t="shared" si="44"/>
        <v>13.851836054355241</v>
      </c>
      <c r="CK75" s="82">
        <f t="shared" si="44"/>
        <v>15.123980708739161</v>
      </c>
      <c r="CL75" s="82">
        <f t="shared" si="44"/>
        <v>19.989426245525124</v>
      </c>
      <c r="CM75" s="82">
        <f t="shared" si="44"/>
        <v>13.182887052235571</v>
      </c>
      <c r="CN75" s="82">
        <f t="shared" si="44"/>
        <v>16.754716981132077</v>
      </c>
      <c r="CO75" s="82" t="e">
        <f t="shared" si="44"/>
        <v>#DIV/0!</v>
      </c>
      <c r="CP75" s="82" t="e">
        <f t="shared" si="44"/>
        <v>#DIV/0!</v>
      </c>
      <c r="CQ75" s="82" t="e">
        <f t="shared" si="44"/>
        <v>#DIV/0!</v>
      </c>
      <c r="CR75" s="82" t="e">
        <f t="shared" si="44"/>
        <v>#DIV/0!</v>
      </c>
      <c r="CS75" s="82" t="e">
        <f t="shared" si="44"/>
        <v>#DIV/0!</v>
      </c>
      <c r="CT75" s="82" t="e">
        <f t="shared" si="44"/>
        <v>#DIV/0!</v>
      </c>
      <c r="CU75" s="82" t="e">
        <f t="shared" si="44"/>
        <v>#DIV/0!</v>
      </c>
      <c r="CV75" s="82" t="e">
        <f t="shared" si="44"/>
        <v>#DIV/0!</v>
      </c>
      <c r="CW75" s="82" t="e">
        <f t="shared" si="44"/>
        <v>#DIV/0!</v>
      </c>
      <c r="CX75" s="82" t="e">
        <f t="shared" si="44"/>
        <v>#DIV/0!</v>
      </c>
      <c r="CY75" s="82" t="e">
        <f t="shared" si="44"/>
        <v>#DIV/0!</v>
      </c>
      <c r="CZ75" s="82" t="e">
        <f t="shared" si="44"/>
        <v>#DIV/0!</v>
      </c>
      <c r="DA75" s="82" t="e">
        <f t="shared" si="44"/>
        <v>#DIV/0!</v>
      </c>
      <c r="DB75" s="82" t="e">
        <f t="shared" si="44"/>
        <v>#DIV/0!</v>
      </c>
      <c r="DC75" s="82" t="e">
        <f t="shared" si="44"/>
        <v>#DIV/0!</v>
      </c>
      <c r="DD75" s="82" t="e">
        <f t="shared" si="44"/>
        <v>#DIV/0!</v>
      </c>
      <c r="DE75" s="82" t="e">
        <f t="shared" si="44"/>
        <v>#DIV/0!</v>
      </c>
      <c r="DF75" s="82" t="e">
        <f t="shared" si="44"/>
        <v>#DIV/0!</v>
      </c>
      <c r="DG75" s="82" t="e">
        <f t="shared" si="44"/>
        <v>#DIV/0!</v>
      </c>
      <c r="DH75" s="82" t="e">
        <f t="shared" si="44"/>
        <v>#DIV/0!</v>
      </c>
      <c r="DI75" s="82" t="e">
        <f t="shared" si="44"/>
        <v>#DIV/0!</v>
      </c>
      <c r="DJ75" s="259" t="s">
        <v>50</v>
      </c>
      <c r="DK75" s="259" t="s">
        <v>93</v>
      </c>
      <c r="DL75" s="215" t="e">
        <f>SQRT(DL62*DL73-(DL61^2*DL72^2))</f>
        <v>#REF!</v>
      </c>
      <c r="DM75" s="215" t="e">
        <f t="shared" ref="DM75:DW75" si="45">SQRT(DM62*DM73-(DM61^2*DM72^2))</f>
        <v>#REF!</v>
      </c>
      <c r="DN75" s="215" t="e">
        <f t="shared" si="45"/>
        <v>#REF!</v>
      </c>
      <c r="DO75" s="215" t="e">
        <f t="shared" si="45"/>
        <v>#REF!</v>
      </c>
      <c r="DP75" s="215" t="e">
        <f t="shared" si="45"/>
        <v>#REF!</v>
      </c>
      <c r="DQ75" s="215" t="e">
        <f t="shared" si="45"/>
        <v>#REF!</v>
      </c>
      <c r="DR75" s="215" t="e">
        <f t="shared" si="45"/>
        <v>#REF!</v>
      </c>
      <c r="DS75" s="215" t="e">
        <f t="shared" si="45"/>
        <v>#REF!</v>
      </c>
      <c r="DT75" s="215" t="e">
        <f t="shared" si="45"/>
        <v>#REF!</v>
      </c>
      <c r="DU75" s="215" t="e">
        <f t="shared" si="45"/>
        <v>#REF!</v>
      </c>
      <c r="DV75" s="215" t="e">
        <f t="shared" si="45"/>
        <v>#REF!</v>
      </c>
      <c r="DW75" s="176" t="e">
        <f t="shared" si="45"/>
        <v>#REF!</v>
      </c>
    </row>
    <row r="76" spans="1:127" ht="14.25" customHeight="1">
      <c r="A76" s="129"/>
      <c r="E76" s="134"/>
      <c r="H76" s="104"/>
      <c r="I76" s="256">
        <f t="array" ref="I76">_xlfn.STDEV.P(IF($E$5:$E$53=$E75,I$5:I$53))</f>
        <v>1.2592060990957759</v>
      </c>
      <c r="J76" s="256"/>
      <c r="K76" s="256"/>
      <c r="L76" s="256"/>
      <c r="M76" s="256">
        <f t="array" ref="M76">_xlfn.STDEV.P(IF($E$5:$E$53=$E75,M$5:M$53))</f>
        <v>30.912204905082795</v>
      </c>
      <c r="N76" s="256">
        <f t="array" ref="N76">_xlfn.STDEV.P(IF($E$5:$E$53=$E75,N$5:N$53))</f>
        <v>5.3621183024791887E-2</v>
      </c>
      <c r="O76" s="256">
        <f t="array" ref="O76">_xlfn.STDEV.P(IF($E$5:$E$53=$E75,O$5:O$53))</f>
        <v>103.04068301694251</v>
      </c>
      <c r="P76" s="256">
        <f t="array" ref="P76">_xlfn.STDEV.P(IF($E$5:$E$53=$E75,P$5:P$53))</f>
        <v>10.304068301694246</v>
      </c>
      <c r="Q76" s="256">
        <f t="array" ref="Q76">_xlfn.STDEV.P(IF($E$5:$E$53=$E75,Q$5:Q$53))</f>
        <v>108.68560162229402</v>
      </c>
      <c r="R76" s="257">
        <f t="array" ref="R76">_xlfn.STDEV.P(IF($E$5:$E$53=$E75,R$5:R$53))</f>
        <v>0.10236066815047724</v>
      </c>
      <c r="S76" s="258">
        <f t="array" ref="S76">_xlfn.STDEV.P(IF($E$5:$E$53=$E75,S$5:S$53))</f>
        <v>0.3412022271682551</v>
      </c>
      <c r="T76" s="258">
        <f t="array" ref="T76">_xlfn.STDEV.P(IF($E$5:$E$53=$E75,T$5:T$53))</f>
        <v>11.20553434691983</v>
      </c>
      <c r="U76" s="258">
        <f t="array" ref="U76">_xlfn.STDEV.P(IF($E$5:$E$53=$E75,U$5:U$53))</f>
        <v>3.1866306440977211E-3</v>
      </c>
      <c r="V76" s="258">
        <f t="array" ref="V76">_xlfn.STDEV.P(IF($E$5:$E$53=$E75,V$5:V$53))</f>
        <v>2.4669713578784003</v>
      </c>
      <c r="W76" s="256">
        <f t="array" ref="W76">_xlfn.STDEV.P(IF($E$5:$E$53=$E75,W$5:W$53))</f>
        <v>0</v>
      </c>
      <c r="X76" s="81" t="s">
        <v>12</v>
      </c>
      <c r="Y76" s="90">
        <f t="array" ref="Y76">_xlfn.STDEV.P(IF($E$5:$E$53=$E75,Y$5:Y$53))</f>
        <v>20.654792343343082</v>
      </c>
      <c r="Z76" s="90">
        <f t="array" ref="Z76">_xlfn.STDEV.P(IF($E$5:$E$53=$E75,Z$5:Z$53))</f>
        <v>12.677575521157673</v>
      </c>
      <c r="AA76" s="90">
        <f t="array" ref="AA76">_xlfn.STDEV.P(IF($E$5:$E$53=$E75,AA$5:AA$53))</f>
        <v>30.912204905082795</v>
      </c>
      <c r="AB76" s="90">
        <f t="array" ref="AB76">_xlfn.STDEV.P(IF($E$5:$E$53=$E75,AB$5:AB$53))</f>
        <v>58.759497942548919</v>
      </c>
      <c r="AC76" s="90">
        <f t="array" ref="AC76">_xlfn.STDEV.P(IF($E$5:$E$53=$E75,AC$5:AC$53))</f>
        <v>18.29122224406273</v>
      </c>
      <c r="AD76" s="90">
        <f t="array" ref="AD76">_xlfn.STDEV.P(IF($E$5:$E$53=$E75,AD$5:AD$53))</f>
        <v>81.890238422921584</v>
      </c>
      <c r="AE76" s="90">
        <f t="array" ref="AE76">_xlfn.STDEV.P(IF($E$5:$E$53=$E75,AE$5:AE$53))</f>
        <v>75.334347278384385</v>
      </c>
      <c r="AF76" s="90">
        <f t="array" ref="AF76">_xlfn.STDEV.P(IF($E$5:$E$53=$E75,AF$5:AF$53))</f>
        <v>110.69619873310026</v>
      </c>
      <c r="AG76" s="90">
        <f t="array" ref="AG76">_xlfn.STDEV.P(IF($E$5:$E$53=$E75,AG$5:AG$53))</f>
        <v>112.6825449422992</v>
      </c>
      <c r="AH76" s="90">
        <f t="array" ref="AH76">_xlfn.STDEV.P(IF($E$5:$E$53=$E75,AH$5:AH$53))</f>
        <v>243.09357685966128</v>
      </c>
      <c r="AI76" s="90">
        <f t="array" ref="AI76">_xlfn.STDEV.P(IF($E$5:$E$53=$E75,AI$5:AI$53))</f>
        <v>325.01624937013992</v>
      </c>
      <c r="AJ76" s="90">
        <f t="array" ref="AJ76">_xlfn.STDEV.P(IF($E$5:$E$53=$E75,AJ$5:AJ$53))</f>
        <v>524.51735403110092</v>
      </c>
      <c r="AK76" s="90">
        <f t="array" ref="AK76">_xlfn.STDEV.P(IF($E$5:$E$53=$E75,AK$5:AK$53))</f>
        <v>544.45816260182596</v>
      </c>
      <c r="AL76" s="90">
        <f t="array" ref="AL76">_xlfn.STDEV.P(IF($E$5:$E$53=$E75,AL$5:AL$53))</f>
        <v>615.13504198052863</v>
      </c>
      <c r="AM76" s="90">
        <f t="array" ref="AM76">_xlfn.STDEV.P(IF($E$5:$E$53=$E75,AM$5:AM$53))</f>
        <v>341.76721247399763</v>
      </c>
      <c r="AN76" s="90">
        <f t="array" ref="AN76">_xlfn.STDEV.P(IF($E$5:$E$53=$E75,AN$5:AN$53))</f>
        <v>463.54362068258649</v>
      </c>
      <c r="AO76" s="90">
        <f t="array" ref="AO76">_xlfn.STDEV.P(IF($E$5:$E$53=$E75,AO$5:AO$53))</f>
        <v>593.60628350585455</v>
      </c>
      <c r="AP76" s="90">
        <f t="array" ref="AP76">_xlfn.STDEV.P(IF($E$5:$E$53=$E75,AP$5:AP$53))</f>
        <v>528.40583784840874</v>
      </c>
      <c r="AQ76" s="90">
        <f t="array" ref="AQ76">_xlfn.STDEV.P(IF($E$5:$E$53=$E75,AQ$5:AQ$53))</f>
        <v>589.49148652943393</v>
      </c>
      <c r="AR76" s="90">
        <f t="array" ref="AR76">_xlfn.STDEV.P(IF($E$5:$E$53=$E75,AR$5:AR$53))</f>
        <v>645.3615515550772</v>
      </c>
      <c r="AS76" s="90">
        <f t="array" ref="AS76">_xlfn.STDEV.P(IF($E$5:$E$53=$E75,AS$5:AS$53))</f>
        <v>845.40519034853344</v>
      </c>
      <c r="AT76" s="90">
        <f t="array" ref="AT76">_xlfn.STDEV.P(IF($E$5:$E$53=$E75,AT$5:AT$53))</f>
        <v>569.97699199999988</v>
      </c>
      <c r="AU76" s="90">
        <f t="array" ref="AU76">_xlfn.STDEV.P(IF($E$5:$E$53=$E75,AU$5:AU$53))</f>
        <v>724.40908800000011</v>
      </c>
      <c r="AV76" s="90">
        <f t="array" ref="AV76">_xlfn.STDEV.P(IF($E$5:$E$53=$E75,AV$5:AV$53))</f>
        <v>0</v>
      </c>
      <c r="AW76" s="90">
        <f t="array" ref="AW76">_xlfn.STDEV.P(IF($E$5:$E$53=$E75,AW$5:AW$53))</f>
        <v>0</v>
      </c>
      <c r="AX76" s="90">
        <f t="array" ref="AX76">_xlfn.STDEV.P(IF($E$5:$E$53=$E75,AX$5:AX$53))</f>
        <v>0</v>
      </c>
      <c r="AY76" s="90">
        <f t="array" ref="AY76">_xlfn.STDEV.P(IF($E$5:$E$53=$E75,AY$5:AY$53))</f>
        <v>0</v>
      </c>
      <c r="AZ76" s="90">
        <f t="array" ref="AZ76">_xlfn.STDEV.P(IF($E$5:$E$53=$E75,AZ$5:AZ$53))</f>
        <v>0</v>
      </c>
      <c r="BA76" s="90">
        <f t="array" ref="BA76">_xlfn.STDEV.P(IF($E$5:$E$53=$E75,BA$5:BA$53))</f>
        <v>0</v>
      </c>
      <c r="BB76" s="90">
        <f t="array" ref="BB76">_xlfn.STDEV.P(IF($E$5:$E$53=$E75,BB$5:BB$53))</f>
        <v>0</v>
      </c>
      <c r="BC76" s="90">
        <f t="array" ref="BC76">_xlfn.STDEV.P(IF($E$5:$E$53=$E75,BC$5:BC$53))</f>
        <v>0</v>
      </c>
      <c r="BD76" s="90">
        <f t="array" ref="BD76">_xlfn.STDEV.P(IF($E$5:$E$53=$E75,BD$5:BD$53))</f>
        <v>0</v>
      </c>
      <c r="BE76" s="90">
        <f t="array" ref="BE76">_xlfn.STDEV.P(IF($E$5:$E$53=$E75,BE$5:BE$53))</f>
        <v>0</v>
      </c>
      <c r="BF76" s="90">
        <f t="array" ref="BF76">_xlfn.STDEV.P(IF($E$5:$E$53=$E75,BF$5:BF$53))</f>
        <v>0</v>
      </c>
      <c r="BG76" s="90">
        <f t="array" ref="BG76">_xlfn.STDEV.P(IF($E$5:$E$53=$E75,BG$5:BG$53))</f>
        <v>0</v>
      </c>
      <c r="BH76" s="90">
        <f t="array" ref="BH76">_xlfn.STDEV.P(IF($E$5:$E$53=$E75,BH$5:BH$53))</f>
        <v>0</v>
      </c>
      <c r="BI76" s="90">
        <f t="array" ref="BI76">_xlfn.STDEV.P(IF($E$5:$E$53=$E75,BI$5:BI$53))</f>
        <v>0</v>
      </c>
      <c r="BJ76" s="90">
        <f t="array" ref="BJ76">_xlfn.STDEV.P(IF($E$5:$E$53=$E75,BJ$5:BJ$53))</f>
        <v>0</v>
      </c>
      <c r="BK76" s="90">
        <f t="array" ref="BK76">_xlfn.STDEV.P(IF($E$5:$E$53=$E75,BK$5:BK$53))</f>
        <v>0</v>
      </c>
      <c r="BL76" s="90">
        <f t="array" ref="BL76">_xlfn.STDEV.P(IF($E$5:$E$53=$E75,BL$5:BL$53))</f>
        <v>0</v>
      </c>
      <c r="BM76" s="90">
        <f t="array" ref="BM76">_xlfn.STDEV.P(IF($E$5:$E$53=$E75,BM$5:BM$53))</f>
        <v>0</v>
      </c>
      <c r="BN76" s="90">
        <f t="array" ref="BN76">_xlfn.STDEV.P(IF($E$5:$E$53=$E75,BN$5:BN$53))</f>
        <v>0</v>
      </c>
      <c r="BO76" s="90">
        <f t="array" ref="BO76">_xlfn.STDEV.P(IF($E$5:$E$53=$E75,BO$5:BO$53))</f>
        <v>0</v>
      </c>
      <c r="BP76" s="90">
        <f t="array" ref="BP76">_xlfn.STDEV.P(IF($E$5:$E$53=$E75,BP$5:BP$53))</f>
        <v>0</v>
      </c>
      <c r="BQ76" s="115" t="s">
        <v>12</v>
      </c>
      <c r="BR76" s="83">
        <f t="array" ref="BR76">_xlfn.STDEV.P(IF($E$5:$E$53=$E75,BR$5:BR$53))</f>
        <v>7.2828683308200859E-2</v>
      </c>
      <c r="BS76" s="83">
        <f t="array" ref="BS76">_xlfn.STDEV.P(IF($E$5:$E$53=$E75,BS$5:BS$53))</f>
        <v>0.29980702649471896</v>
      </c>
      <c r="BT76" s="83">
        <f t="array" ref="BT76">_xlfn.STDEV.P(IF($E$5:$E$53=$E75,BT$5:BT$53))</f>
        <v>0</v>
      </c>
      <c r="BU76" s="83">
        <f t="array" ref="BU76">_xlfn.STDEV.P(IF($E$5:$E$53=$E75,BU$5:BU$53))</f>
        <v>0.4853070060819204</v>
      </c>
      <c r="BV76" s="83">
        <f t="array" ref="BV76">_xlfn.STDEV.P(IF($E$5:$E$53=$E75,BV$5:BV$53))</f>
        <v>0.49493112616634655</v>
      </c>
      <c r="BW76" s="83">
        <f t="array" ref="BW76">_xlfn.STDEV.P(IF($E$5:$E$53=$E75,BW$5:BW$53))</f>
        <v>1.966004920826248</v>
      </c>
      <c r="BX76" s="83">
        <f t="array" ref="BX76">_xlfn.STDEV.P(IF($E$5:$E$53=$E75,BX$5:BX$53))</f>
        <v>1.827976068633363</v>
      </c>
      <c r="BY76" s="83">
        <f t="array" ref="BY76">_xlfn.STDEV.P(IF($E$5:$E$53=$E75,BY$5:BY$53))</f>
        <v>2.5308878777733308</v>
      </c>
      <c r="BZ76" s="83">
        <f t="array" ref="BZ76">_xlfn.STDEV.P(IF($E$5:$E$53=$E75,BZ$5:BZ$53))</f>
        <v>2.5565609105920317</v>
      </c>
      <c r="CA76" s="83">
        <f t="array" ref="CA76">_xlfn.STDEV.P(IF($E$5:$E$53=$E75,CA$5:CA$53))</f>
        <v>4.9253199126493916</v>
      </c>
      <c r="CB76" s="83">
        <f t="array" ref="CB76">_xlfn.STDEV.P(IF($E$5:$E$53=$E75,CB$5:CB$53))</f>
        <v>6.5011941206005917</v>
      </c>
      <c r="CC76" s="83">
        <f t="array" ref="CC76">_xlfn.STDEV.P(IF($E$5:$E$53=$E75,CC$5:CC$53))</f>
        <v>10.356833570020701</v>
      </c>
      <c r="CD76" s="83">
        <f t="array" ref="CD76">_xlfn.STDEV.P(IF($E$5:$E$53=$E75,CD$5:CD$53))</f>
        <v>10.649360245315057</v>
      </c>
      <c r="CE76" s="83">
        <f t="array" ref="CE76">_xlfn.STDEV.P(IF($E$5:$E$53=$E75,CE$5:CE$53))</f>
        <v>11.783019441074273</v>
      </c>
      <c r="CF76" s="83">
        <f t="array" ref="CF76">_xlfn.STDEV.P(IF($E$5:$E$53=$E75,CF$5:CF$53))</f>
        <v>2.5903409378640387</v>
      </c>
      <c r="CG76" s="83">
        <f t="array" ref="CG76">_xlfn.STDEV.P(IF($E$5:$E$53=$E75,CG$5:CG$53))</f>
        <v>4.8710255116190257</v>
      </c>
      <c r="CH76" s="83">
        <f t="array" ref="CH76">_xlfn.STDEV.P(IF($E$5:$E$53=$E75,CH$5:CH$53))</f>
        <v>5.921475337479289</v>
      </c>
      <c r="CI76" s="83">
        <f t="array" ref="CI76">_xlfn.STDEV.P(IF($E$5:$E$53=$E75,CI$5:CI$53))</f>
        <v>6.4550043037903491</v>
      </c>
      <c r="CJ76" s="83">
        <f t="array" ref="CJ76">_xlfn.STDEV.P(IF($E$5:$E$53=$E75,CJ$5:CJ$53))</f>
        <v>7.2866065314895483</v>
      </c>
      <c r="CK76" s="83">
        <f t="array" ref="CK76">_xlfn.STDEV.P(IF($E$5:$E$53=$E75,CK$5:CK$53))</f>
        <v>8.0704029230503078</v>
      </c>
      <c r="CL76" s="83">
        <f t="array" ref="CL76">_xlfn.STDEV.P(IF($E$5:$E$53=$E75,CL$5:CL$53))</f>
        <v>10.142337255502708</v>
      </c>
      <c r="CM76" s="83">
        <f t="array" ref="CM76">_xlfn.STDEV.P(IF($E$5:$E$53=$E75,CM$5:CM$53))</f>
        <v>0</v>
      </c>
      <c r="CN76" s="83">
        <f t="array" ref="CN76">_xlfn.STDEV.P(IF($E$5:$E$53=$E75,CN$5:CN$53))</f>
        <v>0</v>
      </c>
      <c r="CO76" s="83" t="e">
        <f t="array" ref="CO76">_xlfn.STDEV.P(IF($E$5:$E$53=$E75,CO$5:CO$53))</f>
        <v>#DIV/0!</v>
      </c>
      <c r="CP76" s="83" t="e">
        <f t="array" ref="CP76">_xlfn.STDEV.P(IF($E$5:$E$53=$E75,CP$5:CP$53))</f>
        <v>#DIV/0!</v>
      </c>
      <c r="CQ76" s="83" t="e">
        <f t="array" ref="CQ76">_xlfn.STDEV.P(IF($E$5:$E$53=$E75,CQ$5:CQ$53))</f>
        <v>#DIV/0!</v>
      </c>
      <c r="CR76" s="83" t="e">
        <f t="array" ref="CR76">_xlfn.STDEV.P(IF($E$5:$E$53=$E75,CR$5:CR$53))</f>
        <v>#DIV/0!</v>
      </c>
      <c r="CS76" s="83" t="e">
        <f t="array" ref="CS76">_xlfn.STDEV.P(IF($E$5:$E$53=$E75,CS$5:CS$53))</f>
        <v>#DIV/0!</v>
      </c>
      <c r="CT76" s="83" t="e">
        <f t="array" ref="CT76">_xlfn.STDEV.P(IF($E$5:$E$53=$E75,CT$5:CT$53))</f>
        <v>#DIV/0!</v>
      </c>
      <c r="CU76" s="83" t="e">
        <f t="array" ref="CU76">_xlfn.STDEV.P(IF($E$5:$E$53=$E75,CU$5:CU$53))</f>
        <v>#DIV/0!</v>
      </c>
      <c r="CV76" s="83" t="e">
        <f t="array" ref="CV76">_xlfn.STDEV.P(IF($E$5:$E$53=$E75,CV$5:CV$53))</f>
        <v>#DIV/0!</v>
      </c>
      <c r="CW76" s="83" t="e">
        <f t="array" ref="CW76">_xlfn.STDEV.P(IF($E$5:$E$53=$E75,CW$5:CW$53))</f>
        <v>#DIV/0!</v>
      </c>
      <c r="CX76" s="83" t="e">
        <f t="array" ref="CX76">_xlfn.STDEV.P(IF($E$5:$E$53=$E75,CX$5:CX$53))</f>
        <v>#DIV/0!</v>
      </c>
      <c r="CY76" s="83" t="e">
        <f t="array" ref="CY76">_xlfn.STDEV.P(IF($E$5:$E$53=$E75,CY$5:CY$53))</f>
        <v>#DIV/0!</v>
      </c>
      <c r="CZ76" s="83" t="e">
        <f t="array" ref="CZ76">_xlfn.STDEV.P(IF($E$5:$E$53=$E75,CZ$5:CZ$53))</f>
        <v>#DIV/0!</v>
      </c>
      <c r="DA76" s="83" t="e">
        <f t="array" ref="DA76">_xlfn.STDEV.P(IF($E$5:$E$53=$E75,DA$5:DA$53))</f>
        <v>#DIV/0!</v>
      </c>
      <c r="DB76" s="83" t="e">
        <f t="array" ref="DB76">_xlfn.STDEV.P(IF($E$5:$E$53=$E75,DB$5:DB$53))</f>
        <v>#DIV/0!</v>
      </c>
      <c r="DC76" s="83" t="e">
        <f t="array" ref="DC76">_xlfn.STDEV.P(IF($E$5:$E$53=$E75,DC$5:DC$53))</f>
        <v>#DIV/0!</v>
      </c>
      <c r="DD76" s="83" t="e">
        <f t="array" ref="DD76">_xlfn.STDEV.P(IF($E$5:$E$53=$E75,DD$5:DD$53))</f>
        <v>#DIV/0!</v>
      </c>
      <c r="DE76" s="83" t="e">
        <f t="array" ref="DE76">_xlfn.STDEV.P(IF($E$5:$E$53=$E75,DE$5:DE$53))</f>
        <v>#DIV/0!</v>
      </c>
      <c r="DF76" s="83" t="e">
        <f t="array" ref="DF76">_xlfn.STDEV.P(IF($E$5:$E$53=$E75,DF$5:DF$53))</f>
        <v>#DIV/0!</v>
      </c>
      <c r="DG76" s="83" t="e">
        <f t="array" ref="DG76">_xlfn.STDEV.P(IF($E$5:$E$53=$E75,DG$5:DG$53))</f>
        <v>#DIV/0!</v>
      </c>
      <c r="DH76" s="83" t="e">
        <f t="array" ref="DH76">_xlfn.STDEV.P(IF($E$5:$E$53=$E75,DH$5:DH$53))</f>
        <v>#DIV/0!</v>
      </c>
      <c r="DI76" s="83" t="e">
        <f t="array" ref="DI76">_xlfn.STDEV.P(IF($E$5:$E$53=$E75,DI$5:DI$53))</f>
        <v>#DIV/0!</v>
      </c>
      <c r="DL76" s="214"/>
      <c r="DM76" s="214"/>
      <c r="DN76" s="214"/>
      <c r="DO76" s="214"/>
      <c r="DP76" s="214"/>
      <c r="DQ76" s="214"/>
      <c r="DR76" s="214"/>
      <c r="DS76" s="214"/>
      <c r="DT76" s="214"/>
      <c r="DU76" s="214"/>
      <c r="DV76" s="214"/>
    </row>
    <row r="77" spans="1:127" s="195" customFormat="1" ht="14.25" customHeight="1">
      <c r="A77" s="191"/>
      <c r="B77" s="192"/>
      <c r="C77" s="193"/>
      <c r="D77" s="192"/>
      <c r="E77" s="194"/>
      <c r="H77" s="196"/>
      <c r="I77" s="260"/>
      <c r="J77" s="260"/>
      <c r="K77" s="260"/>
      <c r="L77" s="260"/>
      <c r="M77" s="260"/>
      <c r="N77" s="260"/>
      <c r="O77" s="260"/>
      <c r="P77" s="260"/>
      <c r="Q77" s="260"/>
      <c r="R77" s="257"/>
      <c r="S77" s="261"/>
      <c r="T77" s="261"/>
      <c r="U77" s="261"/>
      <c r="V77" s="261"/>
      <c r="W77" s="260"/>
      <c r="X77" s="26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89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L77" s="214"/>
      <c r="DM77" s="214"/>
      <c r="DN77" s="214"/>
      <c r="DO77" s="214"/>
      <c r="DP77" s="214"/>
      <c r="DQ77" s="214"/>
      <c r="DR77" s="214"/>
      <c r="DS77" s="214"/>
      <c r="DT77" s="214"/>
      <c r="DU77" s="214"/>
      <c r="DV77" s="214"/>
    </row>
    <row r="78" spans="1:127" s="206" customFormat="1" ht="14.25" customHeight="1">
      <c r="A78" s="202"/>
      <c r="B78" s="203"/>
      <c r="C78" s="204"/>
      <c r="D78" s="203"/>
      <c r="E78" s="205"/>
      <c r="H78" s="207"/>
      <c r="I78" s="263"/>
      <c r="J78" s="263"/>
      <c r="K78" s="263"/>
      <c r="L78" s="263"/>
      <c r="M78" s="263"/>
      <c r="N78" s="263"/>
      <c r="O78" s="263"/>
      <c r="P78" s="263"/>
      <c r="Q78" s="263"/>
      <c r="R78" s="257"/>
      <c r="S78" s="264"/>
      <c r="T78" s="264"/>
      <c r="U78" s="264"/>
      <c r="V78" s="264"/>
      <c r="W78" s="263"/>
      <c r="X78" s="265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03"/>
      <c r="BN78" s="203"/>
      <c r="BO78" s="203"/>
      <c r="BP78" s="203"/>
      <c r="BQ78" s="212"/>
      <c r="BR78" s="201"/>
      <c r="BS78" s="201"/>
      <c r="BT78" s="201"/>
      <c r="BU78" s="201"/>
      <c r="BV78" s="201"/>
      <c r="BW78" s="201"/>
      <c r="BX78" s="201"/>
      <c r="BY78" s="201"/>
      <c r="BZ78" s="201"/>
      <c r="CA78" s="201"/>
      <c r="CB78" s="201"/>
      <c r="CC78" s="201"/>
      <c r="CD78" s="201"/>
      <c r="CE78" s="201"/>
      <c r="CF78" s="201"/>
      <c r="CG78" s="201"/>
      <c r="CH78" s="201"/>
      <c r="CI78" s="201"/>
      <c r="CJ78" s="201"/>
      <c r="CK78" s="201"/>
      <c r="CL78" s="201"/>
      <c r="CM78" s="201"/>
      <c r="CN78" s="201"/>
      <c r="CO78" s="201"/>
      <c r="CP78" s="201"/>
      <c r="CQ78" s="201"/>
      <c r="CR78" s="201"/>
      <c r="CS78" s="201"/>
      <c r="CT78" s="201"/>
      <c r="CU78" s="201"/>
      <c r="CV78" s="201"/>
      <c r="CW78" s="201"/>
      <c r="CX78" s="201"/>
      <c r="CY78" s="201"/>
      <c r="CZ78" s="201"/>
      <c r="DA78" s="201"/>
      <c r="DB78" s="201"/>
      <c r="DC78" s="201"/>
      <c r="DD78" s="201"/>
      <c r="DE78" s="201"/>
      <c r="DF78" s="201"/>
      <c r="DG78" s="201"/>
      <c r="DH78" s="201"/>
      <c r="DI78" s="201"/>
      <c r="DL78" s="214"/>
      <c r="DM78" s="214"/>
      <c r="DN78" s="214"/>
      <c r="DO78" s="214"/>
      <c r="DP78" s="214"/>
      <c r="DQ78" s="214"/>
      <c r="DR78" s="214"/>
      <c r="DS78" s="214"/>
      <c r="DT78" s="214"/>
      <c r="DU78" s="214"/>
      <c r="DV78" s="214"/>
    </row>
    <row r="79" spans="1:127" ht="15">
      <c r="A79" s="129"/>
      <c r="E79" s="134"/>
      <c r="H79" s="58"/>
      <c r="J79" s="63"/>
      <c r="K79" s="63"/>
      <c r="L79" s="63"/>
      <c r="N79" s="63"/>
      <c r="R79" s="176"/>
      <c r="S79" s="253"/>
      <c r="T79" s="253"/>
      <c r="U79" s="253"/>
      <c r="V79" s="253"/>
      <c r="W79" s="63"/>
      <c r="DL79" s="214"/>
      <c r="DM79" s="214"/>
      <c r="DN79" s="214"/>
      <c r="DO79" s="214"/>
      <c r="DP79" s="214"/>
      <c r="DQ79" s="214"/>
      <c r="DR79" s="214"/>
      <c r="DS79" s="214"/>
      <c r="DT79" s="214"/>
      <c r="DU79" s="214"/>
      <c r="DV79" s="214"/>
    </row>
    <row r="80" spans="1:127" ht="14.25" customHeight="1">
      <c r="A80" s="129"/>
      <c r="E80" s="134" t="str">
        <f>'PTX_DOSE Groups'!C12</f>
        <v>50mg CP-PTX</v>
      </c>
      <c r="H80" s="134" t="str">
        <f>E80</f>
        <v>50mg CP-PTX</v>
      </c>
      <c r="I80" s="256">
        <f>AVERAGEIF($E$5:$E$53,$E80,I$5:I$53)</f>
        <v>27.22</v>
      </c>
      <c r="J80" s="256"/>
      <c r="K80" s="256"/>
      <c r="L80" s="256"/>
      <c r="M80" s="256">
        <f t="shared" ref="M80:W80" si="46">AVERAGEIF($E$5:$E$53,$E80,M$5:M$53)</f>
        <v>82.64703200000001</v>
      </c>
      <c r="N80" s="256" t="e">
        <f t="shared" si="46"/>
        <v>#DIV/0!</v>
      </c>
      <c r="O80" s="256" t="e">
        <f t="shared" si="46"/>
        <v>#DIV/0!</v>
      </c>
      <c r="P80" s="256">
        <f t="shared" si="46"/>
        <v>27.549010666666664</v>
      </c>
      <c r="Q80" s="256" t="e">
        <f t="shared" si="46"/>
        <v>#DIV/0!</v>
      </c>
      <c r="R80" s="257" t="e">
        <f t="shared" si="46"/>
        <v>#DIV/0!</v>
      </c>
      <c r="S80" s="258">
        <f t="shared" si="46"/>
        <v>0</v>
      </c>
      <c r="T80" s="258">
        <f t="shared" si="46"/>
        <v>484.4</v>
      </c>
      <c r="U80" s="258">
        <f t="shared" si="46"/>
        <v>44.489915659879692</v>
      </c>
      <c r="V80" s="258">
        <f t="shared" si="46"/>
        <v>15.726118335480672</v>
      </c>
      <c r="W80" s="256" t="e">
        <f t="shared" si="46"/>
        <v>#DIV/0!</v>
      </c>
      <c r="X80" s="81" t="s">
        <v>10</v>
      </c>
      <c r="Y80" s="87">
        <f t="shared" ref="Y80:BP80" si="47">AVERAGEIF($E$5:$E$53,$E80,Y$5:Y$53)</f>
        <v>70.631288000000012</v>
      </c>
      <c r="Z80" s="87">
        <f t="shared" si="47"/>
        <v>82.107687999999996</v>
      </c>
      <c r="AA80" s="87">
        <f t="shared" si="47"/>
        <v>82.64703200000001</v>
      </c>
      <c r="AB80" s="87">
        <f t="shared" si="47"/>
        <v>126.893832</v>
      </c>
      <c r="AC80" s="87">
        <f t="shared" si="47"/>
        <v>132.785224</v>
      </c>
      <c r="AD80" s="87">
        <f t="shared" si="47"/>
        <v>186.47148000000001</v>
      </c>
      <c r="AE80" s="87">
        <f t="shared" si="47"/>
        <v>178.48448799999997</v>
      </c>
      <c r="AF80" s="87">
        <f t="shared" si="47"/>
        <v>226.31512800000002</v>
      </c>
      <c r="AG80" s="87">
        <f t="shared" si="47"/>
        <v>334.18008000000009</v>
      </c>
      <c r="AH80" s="87">
        <f t="shared" si="47"/>
        <v>452.35775000000001</v>
      </c>
      <c r="AI80" s="87">
        <f t="shared" si="47"/>
        <v>534.41856000000007</v>
      </c>
      <c r="AJ80" s="87">
        <f t="shared" si="47"/>
        <v>923.8837400000001</v>
      </c>
      <c r="AK80" s="87">
        <f t="shared" si="47"/>
        <v>1006.9377500000001</v>
      </c>
      <c r="AL80" s="87">
        <f t="shared" si="47"/>
        <v>1218.4495700000002</v>
      </c>
      <c r="AM80" s="87">
        <f t="shared" si="47"/>
        <v>1520.0012100000004</v>
      </c>
      <c r="AN80" s="87">
        <f t="shared" si="47"/>
        <v>1826.3809200000003</v>
      </c>
      <c r="AO80" s="87" t="e">
        <f t="shared" si="47"/>
        <v>#DIV/0!</v>
      </c>
      <c r="AP80" s="87" t="e">
        <f t="shared" si="47"/>
        <v>#DIV/0!</v>
      </c>
      <c r="AQ80" s="87" t="e">
        <f t="shared" si="47"/>
        <v>#DIV/0!</v>
      </c>
      <c r="AR80" s="87" t="e">
        <f t="shared" si="47"/>
        <v>#DIV/0!</v>
      </c>
      <c r="AS80" s="87" t="e">
        <f t="shared" si="47"/>
        <v>#DIV/0!</v>
      </c>
      <c r="AT80" s="87" t="e">
        <f t="shared" si="47"/>
        <v>#DIV/0!</v>
      </c>
      <c r="AU80" s="87" t="e">
        <f t="shared" si="47"/>
        <v>#DIV/0!</v>
      </c>
      <c r="AV80" s="87" t="e">
        <f t="shared" si="47"/>
        <v>#DIV/0!</v>
      </c>
      <c r="AW80" s="87" t="e">
        <f t="shared" si="47"/>
        <v>#DIV/0!</v>
      </c>
      <c r="AX80" s="87" t="e">
        <f t="shared" si="47"/>
        <v>#DIV/0!</v>
      </c>
      <c r="AY80" s="87" t="e">
        <f t="shared" si="47"/>
        <v>#DIV/0!</v>
      </c>
      <c r="AZ80" s="87" t="e">
        <f t="shared" si="47"/>
        <v>#DIV/0!</v>
      </c>
      <c r="BA80" s="87" t="e">
        <f t="shared" si="47"/>
        <v>#DIV/0!</v>
      </c>
      <c r="BB80" s="87" t="e">
        <f t="shared" si="47"/>
        <v>#DIV/0!</v>
      </c>
      <c r="BC80" s="87" t="e">
        <f t="shared" si="47"/>
        <v>#DIV/0!</v>
      </c>
      <c r="BD80" s="87" t="e">
        <f t="shared" si="47"/>
        <v>#DIV/0!</v>
      </c>
      <c r="BE80" s="87" t="e">
        <f t="shared" si="47"/>
        <v>#DIV/0!</v>
      </c>
      <c r="BF80" s="87" t="e">
        <f t="shared" si="47"/>
        <v>#DIV/0!</v>
      </c>
      <c r="BG80" s="87" t="e">
        <f t="shared" si="47"/>
        <v>#DIV/0!</v>
      </c>
      <c r="BH80" s="87" t="e">
        <f t="shared" si="47"/>
        <v>#DIV/0!</v>
      </c>
      <c r="BI80" s="87" t="e">
        <f t="shared" si="47"/>
        <v>#DIV/0!</v>
      </c>
      <c r="BJ80" s="87" t="e">
        <f t="shared" si="47"/>
        <v>#DIV/0!</v>
      </c>
      <c r="BK80" s="87" t="e">
        <f t="shared" si="47"/>
        <v>#DIV/0!</v>
      </c>
      <c r="BL80" s="87" t="e">
        <f t="shared" si="47"/>
        <v>#DIV/0!</v>
      </c>
      <c r="BM80" s="87" t="e">
        <f t="shared" si="47"/>
        <v>#DIV/0!</v>
      </c>
      <c r="BN80" s="87" t="e">
        <f t="shared" si="47"/>
        <v>#DIV/0!</v>
      </c>
      <c r="BO80" s="87" t="e">
        <f t="shared" si="47"/>
        <v>#DIV/0!</v>
      </c>
      <c r="BP80" s="87" t="e">
        <f t="shared" si="47"/>
        <v>#DIV/0!</v>
      </c>
      <c r="BQ80" s="114" t="s">
        <v>10</v>
      </c>
      <c r="BR80" s="82">
        <f t="shared" ref="BR80:DI80" si="48">AVERAGEIF($E$5:$E$53,$E80,BR$5:BR$53)</f>
        <v>0.86274543540598747</v>
      </c>
      <c r="BS80" s="82">
        <f t="shared" si="48"/>
        <v>1.0110797678563817</v>
      </c>
      <c r="BT80" s="82">
        <f t="shared" si="48"/>
        <v>1</v>
      </c>
      <c r="BU80" s="82">
        <f t="shared" si="48"/>
        <v>1.5873279212572886</v>
      </c>
      <c r="BV80" s="82">
        <f t="shared" si="48"/>
        <v>1.689567855244404</v>
      </c>
      <c r="BW80" s="82">
        <f t="shared" si="48"/>
        <v>2.4837779244072253</v>
      </c>
      <c r="BX80" s="82">
        <f t="shared" si="48"/>
        <v>2.3030294009154635</v>
      </c>
      <c r="BY80" s="82">
        <f t="shared" si="48"/>
        <v>2.9665402401881105</v>
      </c>
      <c r="BZ80" s="82">
        <f t="shared" si="48"/>
        <v>4.3924610268117155</v>
      </c>
      <c r="CA80" s="82">
        <f t="shared" si="48"/>
        <v>5.9117815304041956</v>
      </c>
      <c r="CB80" s="82">
        <f t="shared" si="48"/>
        <v>6.915451381435922</v>
      </c>
      <c r="CC80" s="82">
        <f t="shared" si="48"/>
        <v>11.751125591814493</v>
      </c>
      <c r="CD80" s="82">
        <f t="shared" si="48"/>
        <v>12.868528752521758</v>
      </c>
      <c r="CE80" s="82">
        <f t="shared" si="48"/>
        <v>15.776808051314655</v>
      </c>
      <c r="CF80" s="82">
        <f t="shared" si="48"/>
        <v>19.708264328096234</v>
      </c>
      <c r="CG80" s="82">
        <f t="shared" si="48"/>
        <v>21.48153240196029</v>
      </c>
      <c r="CH80" s="82" t="e">
        <f t="shared" si="48"/>
        <v>#DIV/0!</v>
      </c>
      <c r="CI80" s="82" t="e">
        <f t="shared" si="48"/>
        <v>#DIV/0!</v>
      </c>
      <c r="CJ80" s="82" t="e">
        <f t="shared" si="48"/>
        <v>#DIV/0!</v>
      </c>
      <c r="CK80" s="82" t="e">
        <f t="shared" si="48"/>
        <v>#DIV/0!</v>
      </c>
      <c r="CL80" s="82" t="e">
        <f t="shared" si="48"/>
        <v>#DIV/0!</v>
      </c>
      <c r="CM80" s="82" t="e">
        <f t="shared" si="48"/>
        <v>#DIV/0!</v>
      </c>
      <c r="CN80" s="82" t="e">
        <f t="shared" si="48"/>
        <v>#DIV/0!</v>
      </c>
      <c r="CO80" s="82" t="e">
        <f t="shared" si="48"/>
        <v>#DIV/0!</v>
      </c>
      <c r="CP80" s="82" t="e">
        <f t="shared" si="48"/>
        <v>#DIV/0!</v>
      </c>
      <c r="CQ80" s="82" t="e">
        <f t="shared" si="48"/>
        <v>#DIV/0!</v>
      </c>
      <c r="CR80" s="82" t="e">
        <f t="shared" si="48"/>
        <v>#DIV/0!</v>
      </c>
      <c r="CS80" s="82" t="e">
        <f t="shared" si="48"/>
        <v>#DIV/0!</v>
      </c>
      <c r="CT80" s="82" t="e">
        <f t="shared" si="48"/>
        <v>#DIV/0!</v>
      </c>
      <c r="CU80" s="82" t="e">
        <f t="shared" si="48"/>
        <v>#DIV/0!</v>
      </c>
      <c r="CV80" s="82" t="e">
        <f t="shared" si="48"/>
        <v>#DIV/0!</v>
      </c>
      <c r="CW80" s="82" t="e">
        <f t="shared" si="48"/>
        <v>#DIV/0!</v>
      </c>
      <c r="CX80" s="82" t="e">
        <f t="shared" si="48"/>
        <v>#DIV/0!</v>
      </c>
      <c r="CY80" s="82" t="e">
        <f t="shared" si="48"/>
        <v>#DIV/0!</v>
      </c>
      <c r="CZ80" s="82" t="e">
        <f t="shared" si="48"/>
        <v>#DIV/0!</v>
      </c>
      <c r="DA80" s="82" t="e">
        <f t="shared" si="48"/>
        <v>#DIV/0!</v>
      </c>
      <c r="DB80" s="82" t="e">
        <f t="shared" si="48"/>
        <v>#DIV/0!</v>
      </c>
      <c r="DC80" s="82" t="e">
        <f t="shared" si="48"/>
        <v>#DIV/0!</v>
      </c>
      <c r="DD80" s="82" t="e">
        <f t="shared" si="48"/>
        <v>#DIV/0!</v>
      </c>
      <c r="DE80" s="82" t="e">
        <f t="shared" si="48"/>
        <v>#DIV/0!</v>
      </c>
      <c r="DF80" s="82" t="e">
        <f t="shared" si="48"/>
        <v>#DIV/0!</v>
      </c>
      <c r="DG80" s="82" t="e">
        <f t="shared" si="48"/>
        <v>#DIV/0!</v>
      </c>
      <c r="DH80" s="82" t="e">
        <f t="shared" si="48"/>
        <v>#DIV/0!</v>
      </c>
      <c r="DI80" s="82" t="e">
        <f t="shared" si="48"/>
        <v>#DIV/0!</v>
      </c>
      <c r="DJ80" s="259" t="s">
        <v>51</v>
      </c>
      <c r="DK80" s="259" t="s">
        <v>91</v>
      </c>
      <c r="DL80" s="214" t="e">
        <f>#REF!</f>
        <v>#REF!</v>
      </c>
      <c r="DM80" s="214" t="e">
        <f>#REF!</f>
        <v>#REF!</v>
      </c>
      <c r="DN80" s="214" t="e">
        <f>#REF!</f>
        <v>#REF!</v>
      </c>
      <c r="DO80" s="214" t="e">
        <f>#REF!</f>
        <v>#REF!</v>
      </c>
      <c r="DP80" s="214" t="e">
        <f>#REF!</f>
        <v>#REF!</v>
      </c>
      <c r="DQ80" s="214" t="e">
        <f>#REF!</f>
        <v>#REF!</v>
      </c>
      <c r="DR80" s="214" t="e">
        <f>#REF!</f>
        <v>#REF!</v>
      </c>
      <c r="DS80" s="214" t="e">
        <f>#REF!</f>
        <v>#REF!</v>
      </c>
      <c r="DT80" s="214" t="e">
        <f>#REF!</f>
        <v>#REF!</v>
      </c>
      <c r="DU80" s="214" t="e">
        <f>#REF!</f>
        <v>#REF!</v>
      </c>
      <c r="DV80" s="214" t="e">
        <f>#REF!</f>
        <v>#REF!</v>
      </c>
      <c r="DW80" s="195" t="e">
        <f>#REF!</f>
        <v>#REF!</v>
      </c>
    </row>
    <row r="81" spans="1:127" ht="14.25" customHeight="1">
      <c r="A81" s="129"/>
      <c r="E81" s="134"/>
      <c r="H81" s="104"/>
      <c r="I81" s="256">
        <f t="array" ref="I81">_xlfn.STDEV.P(IF($E$5:$E$53=$E80,I$5:I$53))</f>
        <v>2.6551082840441742</v>
      </c>
      <c r="J81" s="256"/>
      <c r="K81" s="256"/>
      <c r="L81" s="256"/>
      <c r="M81" s="256">
        <f t="array" ref="M81">_xlfn.STDEV.P(IF($E$5:$E$53=$E80,M$5:M$53))</f>
        <v>23.210049334302024</v>
      </c>
      <c r="N81" s="256">
        <f t="array" ref="N81">_xlfn.STDEV.P(IF($E$5:$E$53=$E80,N$5:N$53))</f>
        <v>0</v>
      </c>
      <c r="O81" s="256">
        <f t="array" ref="O81">_xlfn.STDEV.P(IF($E$5:$E$53=$E80,O$5:O$53))</f>
        <v>0</v>
      </c>
      <c r="P81" s="256">
        <f t="array" ref="P81">_xlfn.STDEV.P(IF($E$5:$E$53=$E80,P$5:P$53))</f>
        <v>7.7366831114340355</v>
      </c>
      <c r="Q81" s="256">
        <f t="array" ref="Q81">_xlfn.STDEV.P(IF($E$5:$E$53=$E80,Q$5:Q$53))</f>
        <v>0</v>
      </c>
      <c r="R81" s="257">
        <f t="array" ref="R81">_xlfn.STDEV.P(IF($E$5:$E$53=$E80,R$5:R$53))</f>
        <v>0</v>
      </c>
      <c r="S81" s="258">
        <f t="array" ref="S81">_xlfn.STDEV.P(IF($E$5:$E$53=$E80,S$5:S$53))</f>
        <v>0</v>
      </c>
      <c r="T81" s="258">
        <f t="array" ref="T81">_xlfn.STDEV.P(IF($E$5:$E$53=$E80,T$5:T$53))</f>
        <v>47.174569420398527</v>
      </c>
      <c r="U81" s="258">
        <f t="array" ref="U81">_xlfn.STDEV.P(IF($E$5:$E$53=$E80,U$5:U$53))</f>
        <v>2.2607445515277748E-2</v>
      </c>
      <c r="V81" s="258">
        <f t="array" ref="V81">_xlfn.STDEV.P(IF($E$5:$E$53=$E80,V$5:V$53))</f>
        <v>4.3112741873835843</v>
      </c>
      <c r="W81" s="256">
        <f t="array" ref="W81">_xlfn.STDEV.P(IF($E$5:$E$53=$E80,W$5:W$53))</f>
        <v>0</v>
      </c>
      <c r="X81" s="81" t="s">
        <v>12</v>
      </c>
      <c r="Y81" s="90">
        <f t="array" ref="Y81">_xlfn.STDEV.P(IF($E$5:$E$53=$E80,Y$5:Y$53))</f>
        <v>25.528144803003912</v>
      </c>
      <c r="Z81" s="90">
        <f t="array" ref="Z81">_xlfn.STDEV.P(IF($E$5:$E$53=$E80,Z$5:Z$53))</f>
        <v>19.993377706789257</v>
      </c>
      <c r="AA81" s="90">
        <f t="array" ref="AA81">_xlfn.STDEV.P(IF($E$5:$E$53=$E80,AA$5:AA$53))</f>
        <v>23.210049334302024</v>
      </c>
      <c r="AB81" s="90">
        <f t="array" ref="AB81">_xlfn.STDEV.P(IF($E$5:$E$53=$E80,AB$5:AB$53))</f>
        <v>19.020873258681313</v>
      </c>
      <c r="AC81" s="90">
        <f t="array" ref="AC81">_xlfn.STDEV.P(IF($E$5:$E$53=$E80,AC$5:AC$53))</f>
        <v>14.162424746283699</v>
      </c>
      <c r="AD81" s="90">
        <f t="array" ref="AD81">_xlfn.STDEV.P(IF($E$5:$E$53=$E80,AD$5:AD$53))</f>
        <v>78.088309343970835</v>
      </c>
      <c r="AE81" s="90">
        <f t="array" ref="AE81">_xlfn.STDEV.P(IF($E$5:$E$53=$E80,AE$5:AE$53))</f>
        <v>49.678438905066486</v>
      </c>
      <c r="AF81" s="90">
        <f t="array" ref="AF81">_xlfn.STDEV.P(IF($E$5:$E$53=$E80,AF$5:AF$53))</f>
        <v>92.842557135776985</v>
      </c>
      <c r="AG81" s="90">
        <f t="array" ref="AG81">_xlfn.STDEV.P(IF($E$5:$E$53=$E80,AG$5:AG$53))</f>
        <v>159.94383083698673</v>
      </c>
      <c r="AH81" s="90">
        <f t="array" ref="AH81">_xlfn.STDEV.P(IF($E$5:$E$53=$E80,AH$5:AH$53))</f>
        <v>216.47241658026661</v>
      </c>
      <c r="AI81" s="90">
        <f t="array" ref="AI81">_xlfn.STDEV.P(IF($E$5:$E$53=$E80,AI$5:AI$53))</f>
        <v>234.18393181358948</v>
      </c>
      <c r="AJ81" s="90">
        <f t="array" ref="AJ81">_xlfn.STDEV.P(IF($E$5:$E$53=$E80,AJ$5:AJ$53))</f>
        <v>374.47658291924137</v>
      </c>
      <c r="AK81" s="90">
        <f t="array" ref="AK81">_xlfn.STDEV.P(IF($E$5:$E$53=$E80,AK$5:AK$53))</f>
        <v>411.93351320913018</v>
      </c>
      <c r="AL81" s="90">
        <f t="array" ref="AL81">_xlfn.STDEV.P(IF($E$5:$E$53=$E80,AL$5:AL$53))</f>
        <v>510.66722760734433</v>
      </c>
      <c r="AM81" s="90">
        <f t="array" ref="AM81">_xlfn.STDEV.P(IF($E$5:$E$53=$E80,AM$5:AM$53))</f>
        <v>646.48517396118541</v>
      </c>
      <c r="AN81" s="90">
        <f t="array" ref="AN81">_xlfn.STDEV.P(IF($E$5:$E$53=$E80,AN$5:AN$53))</f>
        <v>902.06905881348348</v>
      </c>
      <c r="AO81" s="90">
        <f t="array" ref="AO81">_xlfn.STDEV.P(IF($E$5:$E$53=$E80,AO$5:AO$53))</f>
        <v>0</v>
      </c>
      <c r="AP81" s="90">
        <f t="array" ref="AP81">_xlfn.STDEV.P(IF($E$5:$E$53=$E80,AP$5:AP$53))</f>
        <v>0</v>
      </c>
      <c r="AQ81" s="90">
        <f t="array" ref="AQ81">_xlfn.STDEV.P(IF($E$5:$E$53=$E80,AQ$5:AQ$53))</f>
        <v>0</v>
      </c>
      <c r="AR81" s="90">
        <f t="array" ref="AR81">_xlfn.STDEV.P(IF($E$5:$E$53=$E80,AR$5:AR$53))</f>
        <v>0</v>
      </c>
      <c r="AS81" s="90">
        <f t="array" ref="AS81">_xlfn.STDEV.P(IF($E$5:$E$53=$E80,AS$5:AS$53))</f>
        <v>0</v>
      </c>
      <c r="AT81" s="90">
        <f t="array" ref="AT81">_xlfn.STDEV.P(IF($E$5:$E$53=$E80,AT$5:AT$53))</f>
        <v>0</v>
      </c>
      <c r="AU81" s="90">
        <f t="array" ref="AU81">_xlfn.STDEV.P(IF($E$5:$E$53=$E80,AU$5:AU$53))</f>
        <v>0</v>
      </c>
      <c r="AV81" s="90">
        <f t="array" ref="AV81">_xlfn.STDEV.P(IF($E$5:$E$53=$E80,AV$5:AV$53))</f>
        <v>0</v>
      </c>
      <c r="AW81" s="90">
        <f t="array" ref="AW81">_xlfn.STDEV.P(IF($E$5:$E$53=$E80,AW$5:AW$53))</f>
        <v>0</v>
      </c>
      <c r="AX81" s="90">
        <f t="array" ref="AX81">_xlfn.STDEV.P(IF($E$5:$E$53=$E80,AX$5:AX$53))</f>
        <v>0</v>
      </c>
      <c r="AY81" s="90">
        <f t="array" ref="AY81">_xlfn.STDEV.P(IF($E$5:$E$53=$E80,AY$5:AY$53))</f>
        <v>0</v>
      </c>
      <c r="AZ81" s="90">
        <f t="array" ref="AZ81">_xlfn.STDEV.P(IF($E$5:$E$53=$E80,AZ$5:AZ$53))</f>
        <v>0</v>
      </c>
      <c r="BA81" s="90">
        <f t="array" ref="BA81">_xlfn.STDEV.P(IF($E$5:$E$53=$E80,BA$5:BA$53))</f>
        <v>0</v>
      </c>
      <c r="BB81" s="90">
        <f t="array" ref="BB81">_xlfn.STDEV.P(IF($E$5:$E$53=$E80,BB$5:BB$53))</f>
        <v>0</v>
      </c>
      <c r="BC81" s="90">
        <f t="array" ref="BC81">_xlfn.STDEV.P(IF($E$5:$E$53=$E80,BC$5:BC$53))</f>
        <v>0</v>
      </c>
      <c r="BD81" s="90">
        <f t="array" ref="BD81">_xlfn.STDEV.P(IF($E$5:$E$53=$E80,BD$5:BD$53))</f>
        <v>0</v>
      </c>
      <c r="BE81" s="90">
        <f t="array" ref="BE81">_xlfn.STDEV.P(IF($E$5:$E$53=$E80,BE$5:BE$53))</f>
        <v>0</v>
      </c>
      <c r="BF81" s="90">
        <f t="array" ref="BF81">_xlfn.STDEV.P(IF($E$5:$E$53=$E80,BF$5:BF$53))</f>
        <v>0</v>
      </c>
      <c r="BG81" s="90">
        <f t="array" ref="BG81">_xlfn.STDEV.P(IF($E$5:$E$53=$E80,BG$5:BG$53))</f>
        <v>0</v>
      </c>
      <c r="BH81" s="90">
        <f t="array" ref="BH81">_xlfn.STDEV.P(IF($E$5:$E$53=$E80,BH$5:BH$53))</f>
        <v>0</v>
      </c>
      <c r="BI81" s="90">
        <f t="array" ref="BI81">_xlfn.STDEV.P(IF($E$5:$E$53=$E80,BI$5:BI$53))</f>
        <v>0</v>
      </c>
      <c r="BJ81" s="90">
        <f t="array" ref="BJ81">_xlfn.STDEV.P(IF($E$5:$E$53=$E80,BJ$5:BJ$53))</f>
        <v>0</v>
      </c>
      <c r="BK81" s="90">
        <f t="array" ref="BK81">_xlfn.STDEV.P(IF($E$5:$E$53=$E80,BK$5:BK$53))</f>
        <v>0</v>
      </c>
      <c r="BL81" s="90">
        <f t="array" ref="BL81">_xlfn.STDEV.P(IF($E$5:$E$53=$E80,BL$5:BL$53))</f>
        <v>0</v>
      </c>
      <c r="BM81" s="90">
        <f t="array" ref="BM81">_xlfn.STDEV.P(IF($E$5:$E$53=$E80,BM$5:BM$53))</f>
        <v>0</v>
      </c>
      <c r="BN81" s="90">
        <f t="array" ref="BN81">_xlfn.STDEV.P(IF($E$5:$E$53=$E80,BN$5:BN$53))</f>
        <v>0</v>
      </c>
      <c r="BO81" s="90">
        <f t="array" ref="BO81">_xlfn.STDEV.P(IF($E$5:$E$53=$E80,BO$5:BO$53))</f>
        <v>0</v>
      </c>
      <c r="BP81" s="90">
        <f t="array" ref="BP81">_xlfn.STDEV.P(IF($E$5:$E$53=$E80,BP$5:BP$53))</f>
        <v>0</v>
      </c>
      <c r="BQ81" s="115" t="s">
        <v>12</v>
      </c>
      <c r="BR81" s="83">
        <f t="array" ref="BR81">_xlfn.STDEV.P(IF($E$5:$E$53=$E80,BR$5:BR$53))</f>
        <v>0.24434837311124916</v>
      </c>
      <c r="BS81" s="83">
        <f t="array" ref="BS81">_xlfn.STDEV.P(IF($E$5:$E$53=$E80,BS$5:BS$53))</f>
        <v>0.18030145627039904</v>
      </c>
      <c r="BT81" s="83">
        <f t="array" ref="BT81">_xlfn.STDEV.P(IF($E$5:$E$53=$E80,BT$5:BT$53))</f>
        <v>0</v>
      </c>
      <c r="BU81" s="83">
        <f t="array" ref="BU81">_xlfn.STDEV.P(IF($E$5:$E$53=$E80,BU$5:BU$53))</f>
        <v>0.22299725906192747</v>
      </c>
      <c r="BV81" s="83">
        <f t="array" ref="BV81">_xlfn.STDEV.P(IF($E$5:$E$53=$E80,BV$5:BV$53))</f>
        <v>0.35050036426802922</v>
      </c>
      <c r="BW81" s="83">
        <f t="array" ref="BW81">_xlfn.STDEV.P(IF($E$5:$E$53=$E80,BW$5:BW$53))</f>
        <v>1.4441359456082241</v>
      </c>
      <c r="BX81" s="83">
        <f t="array" ref="BX81">_xlfn.STDEV.P(IF($E$5:$E$53=$E80,BX$5:BX$53))</f>
        <v>0.92097306287739522</v>
      </c>
      <c r="BY81" s="83">
        <f t="array" ref="BY81">_xlfn.STDEV.P(IF($E$5:$E$53=$E80,BY$5:BY$53))</f>
        <v>1.616288135866196</v>
      </c>
      <c r="BZ81" s="83">
        <f t="array" ref="BZ81">_xlfn.STDEV.P(IF($E$5:$E$53=$E80,BZ$5:BZ$53))</f>
        <v>2.1437758145163373</v>
      </c>
      <c r="CA81" s="83">
        <f t="array" ref="CA81">_xlfn.STDEV.P(IF($E$5:$E$53=$E80,CA$5:CA$53))</f>
        <v>2.8736119734230532</v>
      </c>
      <c r="CB81" s="83">
        <f t="array" ref="CB81">_xlfn.STDEV.P(IF($E$5:$E$53=$E80,CB$5:CB$53))</f>
        <v>2.8110382436664776</v>
      </c>
      <c r="CC81" s="83">
        <f t="array" ref="CC81">_xlfn.STDEV.P(IF($E$5:$E$53=$E80,CC$5:CC$53))</f>
        <v>3.6122082604555792</v>
      </c>
      <c r="CD81" s="83">
        <f t="array" ref="CD81">_xlfn.STDEV.P(IF($E$5:$E$53=$E80,CD$5:CD$53))</f>
        <v>4.220514922008701</v>
      </c>
      <c r="CE81" s="83">
        <f t="array" ref="CE81">_xlfn.STDEV.P(IF($E$5:$E$53=$E80,CE$5:CE$53))</f>
        <v>5.7048266513052557</v>
      </c>
      <c r="CF81" s="83">
        <f t="array" ref="CF81">_xlfn.STDEV.P(IF($E$5:$E$53=$E80,CF$5:CF$53))</f>
        <v>7.1845183525113656</v>
      </c>
      <c r="CG81" s="83">
        <f t="array" ref="CG81">_xlfn.STDEV.P(IF($E$5:$E$53=$E80,CG$5:CG$53))</f>
        <v>6.2571837727582071</v>
      </c>
      <c r="CH81" s="83" t="e">
        <f t="array" ref="CH81">_xlfn.STDEV.P(IF($E$5:$E$53=$E80,CH$5:CH$53))</f>
        <v>#DIV/0!</v>
      </c>
      <c r="CI81" s="83" t="e">
        <f t="array" ref="CI81">_xlfn.STDEV.P(IF($E$5:$E$53=$E80,CI$5:CI$53))</f>
        <v>#DIV/0!</v>
      </c>
      <c r="CJ81" s="83" t="e">
        <f t="array" ref="CJ81">_xlfn.STDEV.P(IF($E$5:$E$53=$E80,CJ$5:CJ$53))</f>
        <v>#DIV/0!</v>
      </c>
      <c r="CK81" s="83" t="e">
        <f t="array" ref="CK81">_xlfn.STDEV.P(IF($E$5:$E$53=$E80,CK$5:CK$53))</f>
        <v>#DIV/0!</v>
      </c>
      <c r="CL81" s="83" t="e">
        <f t="array" ref="CL81">_xlfn.STDEV.P(IF($E$5:$E$53=$E80,CL$5:CL$53))</f>
        <v>#DIV/0!</v>
      </c>
      <c r="CM81" s="83" t="e">
        <f t="array" ref="CM81">_xlfn.STDEV.P(IF($E$5:$E$53=$E80,CM$5:CM$53))</f>
        <v>#DIV/0!</v>
      </c>
      <c r="CN81" s="83" t="e">
        <f t="array" ref="CN81">_xlfn.STDEV.P(IF($E$5:$E$53=$E80,CN$5:CN$53))</f>
        <v>#DIV/0!</v>
      </c>
      <c r="CO81" s="83" t="e">
        <f t="array" ref="CO81">_xlfn.STDEV.P(IF($E$5:$E$53=$E80,CO$5:CO$53))</f>
        <v>#DIV/0!</v>
      </c>
      <c r="CP81" s="83" t="e">
        <f t="array" ref="CP81">_xlfn.STDEV.P(IF($E$5:$E$53=$E80,CP$5:CP$53))</f>
        <v>#DIV/0!</v>
      </c>
      <c r="CQ81" s="83" t="e">
        <f t="array" ref="CQ81">_xlfn.STDEV.P(IF($E$5:$E$53=$E80,CQ$5:CQ$53))</f>
        <v>#DIV/0!</v>
      </c>
      <c r="CR81" s="83" t="e">
        <f t="array" ref="CR81">_xlfn.STDEV.P(IF($E$5:$E$53=$E80,CR$5:CR$53))</f>
        <v>#DIV/0!</v>
      </c>
      <c r="CS81" s="83" t="e">
        <f t="array" ref="CS81">_xlfn.STDEV.P(IF($E$5:$E$53=$E80,CS$5:CS$53))</f>
        <v>#DIV/0!</v>
      </c>
      <c r="CT81" s="83" t="e">
        <f t="array" ref="CT81">_xlfn.STDEV.P(IF($E$5:$E$53=$E80,CT$5:CT$53))</f>
        <v>#DIV/0!</v>
      </c>
      <c r="CU81" s="83" t="e">
        <f t="array" ref="CU81">_xlfn.STDEV.P(IF($E$5:$E$53=$E80,CU$5:CU$53))</f>
        <v>#DIV/0!</v>
      </c>
      <c r="CV81" s="83" t="e">
        <f t="array" ref="CV81">_xlfn.STDEV.P(IF($E$5:$E$53=$E80,CV$5:CV$53))</f>
        <v>#DIV/0!</v>
      </c>
      <c r="CW81" s="83" t="e">
        <f t="array" ref="CW81">_xlfn.STDEV.P(IF($E$5:$E$53=$E80,CW$5:CW$53))</f>
        <v>#DIV/0!</v>
      </c>
      <c r="CX81" s="83" t="e">
        <f t="array" ref="CX81">_xlfn.STDEV.P(IF($E$5:$E$53=$E80,CX$5:CX$53))</f>
        <v>#DIV/0!</v>
      </c>
      <c r="CY81" s="83" t="e">
        <f t="array" ref="CY81">_xlfn.STDEV.P(IF($E$5:$E$53=$E80,CY$5:CY$53))</f>
        <v>#DIV/0!</v>
      </c>
      <c r="CZ81" s="83" t="e">
        <f t="array" ref="CZ81">_xlfn.STDEV.P(IF($E$5:$E$53=$E80,CZ$5:CZ$53))</f>
        <v>#DIV/0!</v>
      </c>
      <c r="DA81" s="83" t="e">
        <f t="array" ref="DA81">_xlfn.STDEV.P(IF($E$5:$E$53=$E80,DA$5:DA$53))</f>
        <v>#DIV/0!</v>
      </c>
      <c r="DB81" s="83" t="e">
        <f t="array" ref="DB81">_xlfn.STDEV.P(IF($E$5:$E$53=$E80,DB$5:DB$53))</f>
        <v>#DIV/0!</v>
      </c>
      <c r="DC81" s="83" t="e">
        <f t="array" ref="DC81">_xlfn.STDEV.P(IF($E$5:$E$53=$E80,DC$5:DC$53))</f>
        <v>#DIV/0!</v>
      </c>
      <c r="DD81" s="83" t="e">
        <f t="array" ref="DD81">_xlfn.STDEV.P(IF($E$5:$E$53=$E80,DD$5:DD$53))</f>
        <v>#DIV/0!</v>
      </c>
      <c r="DE81" s="83" t="e">
        <f t="array" ref="DE81">_xlfn.STDEV.P(IF($E$5:$E$53=$E80,DE$5:DE$53))</f>
        <v>#DIV/0!</v>
      </c>
      <c r="DF81" s="83" t="e">
        <f t="array" ref="DF81">_xlfn.STDEV.P(IF($E$5:$E$53=$E80,DF$5:DF$53))</f>
        <v>#DIV/0!</v>
      </c>
      <c r="DG81" s="83" t="e">
        <f t="array" ref="DG81">_xlfn.STDEV.P(IF($E$5:$E$53=$E80,DG$5:DG$53))</f>
        <v>#DIV/0!</v>
      </c>
      <c r="DH81" s="83" t="e">
        <f t="array" ref="DH81">_xlfn.STDEV.P(IF($E$5:$E$53=$E80,DH$5:DH$53))</f>
        <v>#DIV/0!</v>
      </c>
      <c r="DI81" s="83" t="e">
        <f t="array" ref="DI81">_xlfn.STDEV.P(IF($E$5:$E$53=$E80,DI$5:DI$53))</f>
        <v>#DIV/0!</v>
      </c>
      <c r="DK81" s="259" t="s">
        <v>92</v>
      </c>
      <c r="DL81" s="214" t="e">
        <f>#REF!</f>
        <v>#REF!</v>
      </c>
      <c r="DM81" s="214" t="e">
        <f>#REF!</f>
        <v>#REF!</v>
      </c>
      <c r="DN81" s="214" t="e">
        <f>#REF!</f>
        <v>#REF!</v>
      </c>
      <c r="DO81" s="214" t="e">
        <f>#REF!</f>
        <v>#REF!</v>
      </c>
      <c r="DP81" s="214" t="e">
        <f>#REF!</f>
        <v>#REF!</v>
      </c>
      <c r="DQ81" s="214" t="e">
        <f>#REF!</f>
        <v>#REF!</v>
      </c>
      <c r="DR81" s="214" t="e">
        <f>#REF!</f>
        <v>#REF!</v>
      </c>
      <c r="DS81" s="214" t="e">
        <f>#REF!</f>
        <v>#REF!</v>
      </c>
      <c r="DT81" s="214" t="e">
        <f>#REF!</f>
        <v>#REF!</v>
      </c>
      <c r="DU81" s="214" t="e">
        <f>#REF!</f>
        <v>#REF!</v>
      </c>
      <c r="DV81" s="214" t="e">
        <f>#REF!</f>
        <v>#REF!</v>
      </c>
      <c r="DW81" s="195" t="e">
        <f>#REF!</f>
        <v>#REF!</v>
      </c>
    </row>
    <row r="82" spans="1:127" ht="15">
      <c r="A82" s="129"/>
      <c r="E82" s="134"/>
      <c r="H82" s="58"/>
      <c r="J82" s="63"/>
      <c r="K82" s="63"/>
      <c r="L82" s="63"/>
      <c r="N82" s="63"/>
      <c r="R82" s="176"/>
      <c r="S82" s="253"/>
      <c r="T82" s="253"/>
      <c r="U82" s="253"/>
      <c r="V82" s="253"/>
      <c r="W82" s="63"/>
      <c r="DL82" s="214"/>
      <c r="DM82" s="214"/>
      <c r="DN82" s="214"/>
      <c r="DO82" s="214"/>
      <c r="DP82" s="214"/>
      <c r="DQ82" s="214"/>
      <c r="DR82" s="214"/>
      <c r="DS82" s="214"/>
      <c r="DT82" s="214"/>
      <c r="DU82" s="214"/>
      <c r="DV82" s="214"/>
    </row>
    <row r="83" spans="1:127" ht="14.25" customHeight="1">
      <c r="A83" s="129"/>
      <c r="E83" s="134" t="str">
        <f>'PTX_DOSE Groups'!C13</f>
        <v>50mg Combotherapy</v>
      </c>
      <c r="H83" s="134" t="str">
        <f>E83</f>
        <v>50mg Combotherapy</v>
      </c>
      <c r="I83" s="256">
        <f>AVERAGEIF($E$5:$E$53,$E83,I$5:I$53)</f>
        <v>27.119999999999997</v>
      </c>
      <c r="J83" s="256"/>
      <c r="K83" s="256"/>
      <c r="L83" s="256"/>
      <c r="M83" s="256">
        <f t="shared" ref="M83:W83" si="49">AVERAGEIF($E$5:$E$53,$E83,M$5:M$53)</f>
        <v>105.46848</v>
      </c>
      <c r="N83" s="256">
        <f t="shared" si="49"/>
        <v>10.305882352941177</v>
      </c>
      <c r="O83" s="256">
        <f t="shared" si="49"/>
        <v>351.5616</v>
      </c>
      <c r="P83" s="256">
        <f t="shared" si="49"/>
        <v>35.15616</v>
      </c>
      <c r="Q83" s="256">
        <f t="shared" si="49"/>
        <v>318.8</v>
      </c>
      <c r="R83" s="257">
        <f t="shared" si="49"/>
        <v>0.88896282889031997</v>
      </c>
      <c r="S83" s="258">
        <f t="shared" si="49"/>
        <v>2.9632094296344</v>
      </c>
      <c r="T83" s="258">
        <f t="shared" si="49"/>
        <v>482.6</v>
      </c>
      <c r="U83" s="258">
        <f t="shared" si="49"/>
        <v>44.485622270494943</v>
      </c>
      <c r="V83" s="258">
        <f t="shared" si="49"/>
        <v>12.362011836311522</v>
      </c>
      <c r="W83" s="256" t="e">
        <f t="shared" si="49"/>
        <v>#DIV/0!</v>
      </c>
      <c r="X83" s="81" t="s">
        <v>10</v>
      </c>
      <c r="Y83" s="87">
        <f t="shared" ref="Y83:BP83" si="50">AVERAGEIF($E$5:$E$53,$E83,Y$5:Y$53)</f>
        <v>62.223720000000014</v>
      </c>
      <c r="Z83" s="87">
        <f t="shared" si="50"/>
        <v>84.228247999999994</v>
      </c>
      <c r="AA83" s="87">
        <f t="shared" si="50"/>
        <v>105.46848</v>
      </c>
      <c r="AB83" s="87">
        <f t="shared" si="50"/>
        <v>148.04358400000001</v>
      </c>
      <c r="AC83" s="87">
        <f t="shared" si="50"/>
        <v>168.23851199999999</v>
      </c>
      <c r="AD83" s="87">
        <f t="shared" si="50"/>
        <v>166.33011200000001</v>
      </c>
      <c r="AE83" s="87">
        <f t="shared" si="50"/>
        <v>146.12384799999998</v>
      </c>
      <c r="AF83" s="87">
        <f t="shared" si="50"/>
        <v>166.24649600000004</v>
      </c>
      <c r="AG83" s="87">
        <f t="shared" si="50"/>
        <v>183.67908000000006</v>
      </c>
      <c r="AH83" s="87">
        <f t="shared" si="50"/>
        <v>201.23490400000003</v>
      </c>
      <c r="AI83" s="87">
        <f t="shared" si="50"/>
        <v>225.86823999999996</v>
      </c>
      <c r="AJ83" s="87">
        <f t="shared" si="50"/>
        <v>329.639544</v>
      </c>
      <c r="AK83" s="87">
        <f t="shared" si="50"/>
        <v>368.38349600000004</v>
      </c>
      <c r="AL83" s="87">
        <f t="shared" si="50"/>
        <v>423.31889600000005</v>
      </c>
      <c r="AM83" s="87">
        <f t="shared" si="50"/>
        <v>534.0409360000001</v>
      </c>
      <c r="AN83" s="87">
        <f t="shared" si="50"/>
        <v>621.11358400000006</v>
      </c>
      <c r="AO83" s="87">
        <f t="shared" si="50"/>
        <v>839.04121600000019</v>
      </c>
      <c r="AP83" s="87">
        <f t="shared" si="50"/>
        <v>610.35286000000008</v>
      </c>
      <c r="AQ83" s="87">
        <f t="shared" si="50"/>
        <v>747.29655000000002</v>
      </c>
      <c r="AR83" s="87">
        <f t="shared" si="50"/>
        <v>439.59413333333333</v>
      </c>
      <c r="AS83" s="87">
        <f t="shared" si="50"/>
        <v>604.14050666666674</v>
      </c>
      <c r="AT83" s="87">
        <f t="shared" si="50"/>
        <v>687.55162666666649</v>
      </c>
      <c r="AU83" s="87">
        <f t="shared" si="50"/>
        <v>1023.0663733333334</v>
      </c>
      <c r="AV83" s="87">
        <f t="shared" si="50"/>
        <v>545.52289999999994</v>
      </c>
      <c r="AW83" s="87">
        <f t="shared" si="50"/>
        <v>684.09431999999993</v>
      </c>
      <c r="AX83" s="87">
        <f t="shared" si="50"/>
        <v>770.25546000000008</v>
      </c>
      <c r="AY83" s="87">
        <f t="shared" si="50"/>
        <v>978.03290000000004</v>
      </c>
      <c r="AZ83" s="87">
        <f t="shared" si="50"/>
        <v>1208.6432800000002</v>
      </c>
      <c r="BA83" s="87">
        <f t="shared" si="50"/>
        <v>1569.00614</v>
      </c>
      <c r="BB83" s="87">
        <f t="shared" si="50"/>
        <v>1920.7562399999999</v>
      </c>
      <c r="BC83" s="87" t="e">
        <f t="shared" si="50"/>
        <v>#DIV/0!</v>
      </c>
      <c r="BD83" s="87" t="e">
        <f t="shared" si="50"/>
        <v>#DIV/0!</v>
      </c>
      <c r="BE83" s="87" t="e">
        <f t="shared" si="50"/>
        <v>#DIV/0!</v>
      </c>
      <c r="BF83" s="87" t="e">
        <f t="shared" si="50"/>
        <v>#DIV/0!</v>
      </c>
      <c r="BG83" s="87" t="e">
        <f t="shared" si="50"/>
        <v>#DIV/0!</v>
      </c>
      <c r="BH83" s="87" t="e">
        <f t="shared" si="50"/>
        <v>#DIV/0!</v>
      </c>
      <c r="BI83" s="87" t="e">
        <f t="shared" si="50"/>
        <v>#DIV/0!</v>
      </c>
      <c r="BJ83" s="87" t="e">
        <f t="shared" si="50"/>
        <v>#DIV/0!</v>
      </c>
      <c r="BK83" s="87" t="e">
        <f t="shared" si="50"/>
        <v>#DIV/0!</v>
      </c>
      <c r="BL83" s="87" t="e">
        <f t="shared" si="50"/>
        <v>#DIV/0!</v>
      </c>
      <c r="BM83" s="87" t="e">
        <f t="shared" si="50"/>
        <v>#DIV/0!</v>
      </c>
      <c r="BN83" s="87" t="e">
        <f t="shared" si="50"/>
        <v>#DIV/0!</v>
      </c>
      <c r="BO83" s="87" t="e">
        <f t="shared" si="50"/>
        <v>#DIV/0!</v>
      </c>
      <c r="BP83" s="87" t="e">
        <f t="shared" si="50"/>
        <v>#DIV/0!</v>
      </c>
      <c r="BQ83" s="114" t="s">
        <v>10</v>
      </c>
      <c r="BR83" s="82">
        <f t="shared" ref="BR83:DI83" si="51">AVERAGEIF($E$5:$E$53,$E83,BR$5:BR$53)</f>
        <v>0.57686425456628398</v>
      </c>
      <c r="BS83" s="82">
        <f t="shared" si="51"/>
        <v>0.81495086443150089</v>
      </c>
      <c r="BT83" s="82">
        <f t="shared" si="51"/>
        <v>1</v>
      </c>
      <c r="BU83" s="82">
        <f t="shared" si="51"/>
        <v>1.4520790032599602</v>
      </c>
      <c r="BV83" s="82">
        <f t="shared" si="51"/>
        <v>1.6855250530240631</v>
      </c>
      <c r="BW83" s="82">
        <f t="shared" si="51"/>
        <v>1.5944774779409769</v>
      </c>
      <c r="BX83" s="82">
        <f t="shared" si="51"/>
        <v>1.4216093048208396</v>
      </c>
      <c r="BY83" s="82">
        <f t="shared" si="51"/>
        <v>1.6370535320934347</v>
      </c>
      <c r="BZ83" s="82">
        <f t="shared" si="51"/>
        <v>1.7647698421121398</v>
      </c>
      <c r="CA83" s="82">
        <f t="shared" si="51"/>
        <v>2.0049894319204995</v>
      </c>
      <c r="CB83" s="82">
        <f t="shared" si="51"/>
        <v>2.311118801137634</v>
      </c>
      <c r="CC83" s="82">
        <f t="shared" si="51"/>
        <v>3.5958500196716541</v>
      </c>
      <c r="CD83" s="82">
        <f t="shared" si="51"/>
        <v>3.9368153460624145</v>
      </c>
      <c r="CE83" s="82">
        <f t="shared" si="51"/>
        <v>4.4400672772312024</v>
      </c>
      <c r="CF83" s="82">
        <f t="shared" si="51"/>
        <v>6.0071478725006529</v>
      </c>
      <c r="CG83" s="82">
        <f t="shared" si="51"/>
        <v>6.9266562816823196</v>
      </c>
      <c r="CH83" s="82">
        <f t="shared" si="51"/>
        <v>9.343782445075524</v>
      </c>
      <c r="CI83" s="82">
        <f t="shared" si="51"/>
        <v>5.2781730339690203</v>
      </c>
      <c r="CJ83" s="82">
        <f t="shared" si="51"/>
        <v>6.4693209721082443</v>
      </c>
      <c r="CK83" s="82">
        <f t="shared" si="51"/>
        <v>4.3805446476013259</v>
      </c>
      <c r="CL83" s="82">
        <f t="shared" si="51"/>
        <v>6.1415279978115871</v>
      </c>
      <c r="CM83" s="82">
        <f t="shared" si="51"/>
        <v>6.8418876049691439</v>
      </c>
      <c r="CN83" s="82">
        <f t="shared" si="51"/>
        <v>10.312275686726418</v>
      </c>
      <c r="CO83" s="82">
        <f t="shared" si="51"/>
        <v>5.314408673598396</v>
      </c>
      <c r="CP83" s="82">
        <f t="shared" si="51"/>
        <v>6.6852815161870627</v>
      </c>
      <c r="CQ83" s="82">
        <f t="shared" si="51"/>
        <v>7.6629511717909962</v>
      </c>
      <c r="CR83" s="82">
        <f t="shared" si="51"/>
        <v>9.5745687543491425</v>
      </c>
      <c r="CS83" s="82">
        <f t="shared" si="51"/>
        <v>11.678540498984891</v>
      </c>
      <c r="CT83" s="82">
        <f t="shared" si="51"/>
        <v>15.348151934084973</v>
      </c>
      <c r="CU83" s="82">
        <f t="shared" si="51"/>
        <v>26.541938821703411</v>
      </c>
      <c r="CV83" s="82" t="e">
        <f t="shared" si="51"/>
        <v>#DIV/0!</v>
      </c>
      <c r="CW83" s="82" t="e">
        <f t="shared" si="51"/>
        <v>#DIV/0!</v>
      </c>
      <c r="CX83" s="82" t="e">
        <f t="shared" si="51"/>
        <v>#DIV/0!</v>
      </c>
      <c r="CY83" s="82" t="e">
        <f t="shared" si="51"/>
        <v>#DIV/0!</v>
      </c>
      <c r="CZ83" s="82" t="e">
        <f t="shared" si="51"/>
        <v>#DIV/0!</v>
      </c>
      <c r="DA83" s="82" t="e">
        <f t="shared" si="51"/>
        <v>#DIV/0!</v>
      </c>
      <c r="DB83" s="82" t="e">
        <f t="shared" si="51"/>
        <v>#DIV/0!</v>
      </c>
      <c r="DC83" s="82" t="e">
        <f t="shared" si="51"/>
        <v>#DIV/0!</v>
      </c>
      <c r="DD83" s="82" t="e">
        <f t="shared" si="51"/>
        <v>#DIV/0!</v>
      </c>
      <c r="DE83" s="82" t="e">
        <f t="shared" si="51"/>
        <v>#DIV/0!</v>
      </c>
      <c r="DF83" s="82" t="e">
        <f t="shared" si="51"/>
        <v>#DIV/0!</v>
      </c>
      <c r="DG83" s="82" t="e">
        <f t="shared" si="51"/>
        <v>#DIV/0!</v>
      </c>
      <c r="DH83" s="82" t="e">
        <f t="shared" si="51"/>
        <v>#DIV/0!</v>
      </c>
      <c r="DI83" s="82" t="e">
        <f t="shared" si="51"/>
        <v>#DIV/0!</v>
      </c>
      <c r="DJ83" s="259" t="s">
        <v>52</v>
      </c>
      <c r="DK83" s="259" t="s">
        <v>93</v>
      </c>
      <c r="DL83" s="215" t="e">
        <f>SQRT(DL62*DL81-(DL61^2*DL80^2))</f>
        <v>#REF!</v>
      </c>
      <c r="DM83" s="215" t="e">
        <f t="shared" ref="DM83:DV83" si="52">SQRT(DM62*DM81-(DM61^2*DM80^2))</f>
        <v>#REF!</v>
      </c>
      <c r="DN83" s="215" t="e">
        <f t="shared" si="52"/>
        <v>#REF!</v>
      </c>
      <c r="DO83" s="215" t="e">
        <f t="shared" si="52"/>
        <v>#REF!</v>
      </c>
      <c r="DP83" s="215" t="e">
        <f t="shared" si="52"/>
        <v>#REF!</v>
      </c>
      <c r="DQ83" s="215" t="e">
        <f t="shared" si="52"/>
        <v>#REF!</v>
      </c>
      <c r="DR83" s="215" t="e">
        <f t="shared" si="52"/>
        <v>#REF!</v>
      </c>
      <c r="DS83" s="215" t="e">
        <f t="shared" si="52"/>
        <v>#REF!</v>
      </c>
      <c r="DT83" s="215" t="e">
        <f t="shared" si="52"/>
        <v>#REF!</v>
      </c>
      <c r="DU83" s="215" t="e">
        <f t="shared" si="52"/>
        <v>#REF!</v>
      </c>
      <c r="DV83" s="215" t="e">
        <f t="shared" si="52"/>
        <v>#REF!</v>
      </c>
      <c r="DW83" s="176" t="e">
        <f t="shared" ref="DW83" si="53">SQRT(DW70*DW81-(DW69^2*DW80^2))</f>
        <v>#REF!</v>
      </c>
    </row>
    <row r="84" spans="1:127" ht="14.25" customHeight="1">
      <c r="A84" s="129"/>
      <c r="E84" s="104"/>
      <c r="H84" s="104"/>
      <c r="I84" s="256">
        <f t="array" ref="I84">_xlfn.STDEV.P(IF($E$5:$E$53=$E83,I$5:I$53))</f>
        <v>2.3111901695879551</v>
      </c>
      <c r="J84" s="256"/>
      <c r="K84" s="256"/>
      <c r="L84" s="256"/>
      <c r="M84" s="256">
        <f t="array" ref="M84">_xlfn.STDEV.P(IF($E$5:$E$53=$E83,M$5:M$53))</f>
        <v>33.235471029522643</v>
      </c>
      <c r="N84" s="256">
        <f t="array" ref="N84">_xlfn.STDEV.P(IF($E$5:$E$53=$E83,N$5:N$53))</f>
        <v>0</v>
      </c>
      <c r="O84" s="256">
        <f t="array" ref="O84">_xlfn.STDEV.P(IF($E$5:$E$53=$E83,O$5:O$53))</f>
        <v>110.78490343174218</v>
      </c>
      <c r="P84" s="256">
        <f t="array" ref="P84">_xlfn.STDEV.P(IF($E$5:$E$53=$E83,P$5:P$53))</f>
        <v>11.07849034317422</v>
      </c>
      <c r="Q84" s="256">
        <f t="array" ref="Q84">_xlfn.STDEV.P(IF($E$5:$E$53=$E83,Q$5:Q$53))</f>
        <v>126.79022044306099</v>
      </c>
      <c r="R84" s="257">
        <f t="array" ref="R84">_xlfn.STDEV.P(IF($E$5:$E$53=$E83,R$5:R$53))</f>
        <v>9.3705286400706897E-2</v>
      </c>
      <c r="S84" s="258">
        <f t="array" ref="S84">_xlfn.STDEV.P(IF($E$5:$E$53=$E83,S$5:S$53))</f>
        <v>0.31235095466902524</v>
      </c>
      <c r="T84" s="258">
        <f t="array" ref="T84">_xlfn.STDEV.P(IF($E$5:$E$53=$E83,T$5:T$53))</f>
        <v>41.350211607681047</v>
      </c>
      <c r="U84" s="258">
        <f t="array" ref="U84">_xlfn.STDEV.P(IF($E$5:$E$53=$E83,U$5:U$53))</f>
        <v>2.3405837995933116E-2</v>
      </c>
      <c r="V84" s="258">
        <f t="array" ref="V84">_xlfn.STDEV.P(IF($E$5:$E$53=$E83,V$5:V$53))</f>
        <v>3.0530265186808352</v>
      </c>
      <c r="W84" s="256">
        <f t="array" ref="W84">_xlfn.STDEV.P(IF($E$5:$E$53=$E83,W$5:W$53))</f>
        <v>0</v>
      </c>
      <c r="X84" s="81" t="s">
        <v>12</v>
      </c>
      <c r="Y84" s="90">
        <f t="array" ref="Y84">_xlfn.STDEV.P(IF($E$5:$E$53=$E83,Y$5:Y$53))</f>
        <v>30.77965510040422</v>
      </c>
      <c r="Z84" s="90">
        <f t="array" ref="Z84">_xlfn.STDEV.P(IF($E$5:$E$53=$E83,Z$5:Z$53))</f>
        <v>27.869633248737539</v>
      </c>
      <c r="AA84" s="90">
        <f t="array" ref="AA84">_xlfn.STDEV.P(IF($E$5:$E$53=$E83,AA$5:AA$53))</f>
        <v>33.235471029522643</v>
      </c>
      <c r="AB84" s="90">
        <f t="array" ref="AB84">_xlfn.STDEV.P(IF($E$5:$E$53=$E83,AB$5:AB$53))</f>
        <v>53.016521946032512</v>
      </c>
      <c r="AC84" s="90">
        <f t="array" ref="AC84">_xlfn.STDEV.P(IF($E$5:$E$53=$E83,AC$5:AC$53))</f>
        <v>46.686876271064648</v>
      </c>
      <c r="AD84" s="90">
        <f t="array" ref="AD84">_xlfn.STDEV.P(IF($E$5:$E$53=$E83,AD$5:AD$53))</f>
        <v>64.062116784385552</v>
      </c>
      <c r="AE84" s="90">
        <f t="array" ref="AE84">_xlfn.STDEV.P(IF($E$5:$E$53=$E83,AE$5:AE$53))</f>
        <v>71.627097947560188</v>
      </c>
      <c r="AF84" s="90">
        <f t="array" ref="AF84">_xlfn.STDEV.P(IF($E$5:$E$53=$E83,AF$5:AF$53))</f>
        <v>95.297466611446424</v>
      </c>
      <c r="AG84" s="90">
        <f t="array" ref="AG84">_xlfn.STDEV.P(IF($E$5:$E$53=$E83,AG$5:AG$53))</f>
        <v>136.19165121871458</v>
      </c>
      <c r="AH84" s="90">
        <f t="array" ref="AH84">_xlfn.STDEV.P(IF($E$5:$E$53=$E83,AH$5:AH$53))</f>
        <v>147.44559535431549</v>
      </c>
      <c r="AI84" s="90">
        <f t="array" ref="AI84">_xlfn.STDEV.P(IF($E$5:$E$53=$E83,AI$5:AI$53))</f>
        <v>165.99183089113947</v>
      </c>
      <c r="AJ84" s="90">
        <f t="array" ref="AJ84">_xlfn.STDEV.P(IF($E$5:$E$53=$E83,AJ$5:AJ$53))</f>
        <v>270.73239611566675</v>
      </c>
      <c r="AK84" s="90">
        <f t="array" ref="AK84">_xlfn.STDEV.P(IF($E$5:$E$53=$E83,AK$5:AK$53))</f>
        <v>303.48930637576865</v>
      </c>
      <c r="AL84" s="90">
        <f t="array" ref="AL84">_xlfn.STDEV.P(IF($E$5:$E$53=$E83,AL$5:AL$53))</f>
        <v>356.19010783665755</v>
      </c>
      <c r="AM84" s="90">
        <f t="array" ref="AM84">_xlfn.STDEV.P(IF($E$5:$E$53=$E83,AM$5:AM$53))</f>
        <v>462.20720088272355</v>
      </c>
      <c r="AN84" s="90">
        <f t="array" ref="AN84">_xlfn.STDEV.P(IF($E$5:$E$53=$E83,AN$5:AN$53))</f>
        <v>521.25950135163646</v>
      </c>
      <c r="AO84" s="90">
        <f t="array" ref="AO84">_xlfn.STDEV.P(IF($E$5:$E$53=$E83,AO$5:AO$53))</f>
        <v>698.35460749890785</v>
      </c>
      <c r="AP84" s="90">
        <f t="array" ref="AP84">_xlfn.STDEV.P(IF($E$5:$E$53=$E83,AP$5:AP$53))</f>
        <v>530.27334111469736</v>
      </c>
      <c r="AQ84" s="90">
        <f t="array" ref="AQ84">_xlfn.STDEV.P(IF($E$5:$E$53=$E83,AQ$5:AQ$53))</f>
        <v>622.11218918431359</v>
      </c>
      <c r="AR84" s="90">
        <f t="array" ref="AR84">_xlfn.STDEV.P(IF($E$5:$E$53=$E83,AR$5:AR$53))</f>
        <v>337.01901344054244</v>
      </c>
      <c r="AS84" s="90">
        <f t="array" ref="AS84">_xlfn.STDEV.P(IF($E$5:$E$53=$E83,AS$5:AS$53))</f>
        <v>421.23913127651269</v>
      </c>
      <c r="AT84" s="90">
        <f t="array" ref="AT84">_xlfn.STDEV.P(IF($E$5:$E$53=$E83,AT$5:AT$53))</f>
        <v>506.18791192330207</v>
      </c>
      <c r="AU84" s="90">
        <f t="array" ref="AU84">_xlfn.STDEV.P(IF($E$5:$E$53=$E83,AU$5:AU$53))</f>
        <v>727.89388072078509</v>
      </c>
      <c r="AV84" s="90">
        <f t="array" ref="AV84">_xlfn.STDEV.P(IF($E$5:$E$53=$E83,AV$5:AV$53))</f>
        <v>269.41495289610458</v>
      </c>
      <c r="AW84" s="90">
        <f t="array" ref="AW84">_xlfn.STDEV.P(IF($E$5:$E$53=$E83,AW$5:AW$53))</f>
        <v>337.41783135049155</v>
      </c>
      <c r="AX84" s="90">
        <f t="array" ref="AX84">_xlfn.STDEV.P(IF($E$5:$E$53=$E83,AX$5:AX$53))</f>
        <v>377.92927085510979</v>
      </c>
      <c r="AY84" s="90">
        <f t="array" ref="AY84">_xlfn.STDEV.P(IF($E$5:$E$53=$E83,AY$5:AY$53))</f>
        <v>482.07420997761579</v>
      </c>
      <c r="AZ84" s="90">
        <f t="array" ref="AZ84">_xlfn.STDEV.P(IF($E$5:$E$53=$E83,AZ$5:AZ$53))</f>
        <v>599.19464248334862</v>
      </c>
      <c r="BA84" s="90">
        <f t="array" ref="BA84">_xlfn.STDEV.P(IF($E$5:$E$53=$E83,BA$5:BA$53))</f>
        <v>773.59069371076566</v>
      </c>
      <c r="BB84" s="90">
        <f t="array" ref="BB84">_xlfn.STDEV.P(IF($E$5:$E$53=$E83,BB$5:BB$53))</f>
        <v>768.30249599999991</v>
      </c>
      <c r="BC84" s="90">
        <f t="array" ref="BC84">_xlfn.STDEV.P(IF($E$5:$E$53=$E83,BC$5:BC$53))</f>
        <v>0</v>
      </c>
      <c r="BD84" s="90">
        <f t="array" ref="BD84">_xlfn.STDEV.P(IF($E$5:$E$53=$E83,BD$5:BD$53))</f>
        <v>0</v>
      </c>
      <c r="BE84" s="90">
        <f t="array" ref="BE84">_xlfn.STDEV.P(IF($E$5:$E$53=$E83,BE$5:BE$53))</f>
        <v>0</v>
      </c>
      <c r="BF84" s="90">
        <f t="array" ref="BF84">_xlfn.STDEV.P(IF($E$5:$E$53=$E83,BF$5:BF$53))</f>
        <v>0</v>
      </c>
      <c r="BG84" s="90">
        <f t="array" ref="BG84">_xlfn.STDEV.P(IF($E$5:$E$53=$E83,BG$5:BG$53))</f>
        <v>0</v>
      </c>
      <c r="BH84" s="90">
        <f t="array" ref="BH84">_xlfn.STDEV.P(IF($E$5:$E$53=$E83,BH$5:BH$53))</f>
        <v>0</v>
      </c>
      <c r="BI84" s="90">
        <f t="array" ref="BI84">_xlfn.STDEV.P(IF($E$5:$E$53=$E83,BI$5:BI$53))</f>
        <v>0</v>
      </c>
      <c r="BJ84" s="90">
        <f t="array" ref="BJ84">_xlfn.STDEV.P(IF($E$5:$E$53=$E83,BJ$5:BJ$53))</f>
        <v>0</v>
      </c>
      <c r="BK84" s="90">
        <f t="array" ref="BK84">_xlfn.STDEV.P(IF($E$5:$E$53=$E83,BK$5:BK$53))</f>
        <v>0</v>
      </c>
      <c r="BL84" s="90">
        <f t="array" ref="BL84">_xlfn.STDEV.P(IF($E$5:$E$53=$E83,BL$5:BL$53))</f>
        <v>0</v>
      </c>
      <c r="BM84" s="90">
        <f t="array" ref="BM84">_xlfn.STDEV.P(IF($E$5:$E$53=$E83,BM$5:BM$53))</f>
        <v>0</v>
      </c>
      <c r="BN84" s="90">
        <f t="array" ref="BN84">_xlfn.STDEV.P(IF($E$5:$E$53=$E83,BN$5:BN$53))</f>
        <v>0</v>
      </c>
      <c r="BO84" s="90">
        <f t="array" ref="BO84">_xlfn.STDEV.P(IF($E$5:$E$53=$E83,BO$5:BO$53))</f>
        <v>0</v>
      </c>
      <c r="BP84" s="90">
        <f t="array" ref="BP84">_xlfn.STDEV.P(IF($E$5:$E$53=$E83,BP$5:BP$53))</f>
        <v>0</v>
      </c>
      <c r="BQ84" s="115" t="s">
        <v>12</v>
      </c>
      <c r="BR84" s="83">
        <f t="array" ref="BR84">_xlfn.STDEV.P(IF($E$5:$E$53=$E83,BR$5:BR$53))</f>
        <v>0.22011625574785476</v>
      </c>
      <c r="BS84" s="83">
        <f t="array" ref="BS84">_xlfn.STDEV.P(IF($E$5:$E$53=$E83,BS$5:BS$53))</f>
        <v>0.21153859971419767</v>
      </c>
      <c r="BT84" s="83">
        <f t="array" ref="BT84">_xlfn.STDEV.P(IF($E$5:$E$53=$E83,BT$5:BT$53))</f>
        <v>0</v>
      </c>
      <c r="BU84" s="83">
        <f t="array" ref="BU84">_xlfn.STDEV.P(IF($E$5:$E$53=$E83,BU$5:BU$53))</f>
        <v>0.58063980370922397</v>
      </c>
      <c r="BV84" s="83">
        <f t="array" ref="BV84">_xlfn.STDEV.P(IF($E$5:$E$53=$E83,BV$5:BV$53))</f>
        <v>0.53529286491488226</v>
      </c>
      <c r="BW84" s="83">
        <f t="array" ref="BW84">_xlfn.STDEV.P(IF($E$5:$E$53=$E83,BW$5:BW$53))</f>
        <v>0.51631592792750558</v>
      </c>
      <c r="BX84" s="83">
        <f t="array" ref="BX84">_xlfn.STDEV.P(IF($E$5:$E$53=$E83,BX$5:BX$53))</f>
        <v>0.70992430333499457</v>
      </c>
      <c r="BY84" s="83">
        <f t="array" ref="BY84">_xlfn.STDEV.P(IF($E$5:$E$53=$E83,BY$5:BY$53))</f>
        <v>0.979419983692006</v>
      </c>
      <c r="BZ84" s="83">
        <f t="array" ref="BZ84">_xlfn.STDEV.P(IF($E$5:$E$53=$E83,BZ$5:BZ$53))</f>
        <v>1.1517862383764761</v>
      </c>
      <c r="CA84" s="83">
        <f t="array" ref="CA84">_xlfn.STDEV.P(IF($E$5:$E$53=$E83,CA$5:CA$53))</f>
        <v>1.4373187809079717</v>
      </c>
      <c r="CB84" s="83">
        <f t="array" ref="CB84">_xlfn.STDEV.P(IF($E$5:$E$53=$E83,CB$5:CB$53))</f>
        <v>1.8617071386853472</v>
      </c>
      <c r="CC84" s="83">
        <f t="array" ref="CC84">_xlfn.STDEV.P(IF($E$5:$E$53=$E83,CC$5:CC$53))</f>
        <v>3.5722749090369659</v>
      </c>
      <c r="CD84" s="83">
        <f t="array" ref="CD84">_xlfn.STDEV.P(IF($E$5:$E$53=$E83,CD$5:CD$53))</f>
        <v>3.7213896031165383</v>
      </c>
      <c r="CE84" s="83">
        <f t="array" ref="CE84">_xlfn.STDEV.P(IF($E$5:$E$53=$E83,CE$5:CE$53))</f>
        <v>4.0571770971576786</v>
      </c>
      <c r="CF84" s="83">
        <f t="array" ref="CF84">_xlfn.STDEV.P(IF($E$5:$E$53=$E83,CF$5:CF$53))</f>
        <v>6.4633290476158596</v>
      </c>
      <c r="CG84" s="83">
        <f t="array" ref="CG84">_xlfn.STDEV.P(IF($E$5:$E$53=$E83,CG$5:CG$53))</f>
        <v>7.1185461233031075</v>
      </c>
      <c r="CH84" s="83">
        <f t="array" ref="CH84">_xlfn.STDEV.P(IF($E$5:$E$53=$E83,CH$5:CH$53))</f>
        <v>9.4420701955803832</v>
      </c>
      <c r="CI84" s="83">
        <f t="array" ref="CI84">_xlfn.STDEV.P(IF($E$5:$E$53=$E83,CI$5:CI$53))</f>
        <v>4.2319477944239035</v>
      </c>
      <c r="CJ84" s="83">
        <f t="array" ref="CJ84">_xlfn.STDEV.P(IF($E$5:$E$53=$E83,CJ$5:CJ$53))</f>
        <v>4.8003588945369291</v>
      </c>
      <c r="CK84" s="83">
        <f t="array" ref="CK84">_xlfn.STDEV.P(IF($E$5:$E$53=$E83,CK$5:CK$53))</f>
        <v>3.4263984129017309</v>
      </c>
      <c r="CL84" s="83">
        <f t="array" ref="CL84">_xlfn.STDEV.P(IF($E$5:$E$53=$E83,CL$5:CL$53))</f>
        <v>4.024211043307572</v>
      </c>
      <c r="CM84" s="83">
        <f t="array" ref="CM84">_xlfn.STDEV.P(IF($E$5:$E$53=$E83,CM$5:CM$53))</f>
        <v>5.0139273259143806</v>
      </c>
      <c r="CN84" s="83">
        <f t="array" ref="CN84">_xlfn.STDEV.P(IF($E$5:$E$53=$E83,CN$5:CN$53))</f>
        <v>7.0436907294633029</v>
      </c>
      <c r="CO84" s="83">
        <f t="array" ref="CO84">_xlfn.STDEV.P(IF($E$5:$E$53=$E83,CO$5:CO$53))</f>
        <v>1.4792421200523955</v>
      </c>
      <c r="CP84" s="83">
        <f t="array" ref="CP84">_xlfn.STDEV.P(IF($E$5:$E$53=$E83,CP$5:CP$53))</f>
        <v>1.912015256754795</v>
      </c>
      <c r="CQ84" s="83">
        <f t="array" ref="CQ84">_xlfn.STDEV.P(IF($E$5:$E$53=$E83,CQ$5:CQ$53))</f>
        <v>2.5224519769439726</v>
      </c>
      <c r="CR84" s="83">
        <f t="array" ref="CR84">_xlfn.STDEV.P(IF($E$5:$E$53=$E83,CR$5:CR$53))</f>
        <v>2.7792938711295938</v>
      </c>
      <c r="CS84" s="83">
        <f t="array" ref="CS84">_xlfn.STDEV.P(IF($E$5:$E$53=$E83,CS$5:CS$53))</f>
        <v>3.0160925677622519</v>
      </c>
      <c r="CT84" s="83">
        <f t="array" ref="CT84">_xlfn.STDEV.P(IF($E$5:$E$53=$E83,CT$5:CT$53))</f>
        <v>4.4264713602304822</v>
      </c>
      <c r="CU84" s="83">
        <f t="array" ref="CU84">_xlfn.STDEV.P(IF($E$5:$E$53=$E83,CU$5:CU$53))</f>
        <v>0</v>
      </c>
      <c r="CV84" s="83" t="e">
        <f t="array" ref="CV84">_xlfn.STDEV.P(IF($E$5:$E$53=$E83,CV$5:CV$53))</f>
        <v>#DIV/0!</v>
      </c>
      <c r="CW84" s="83" t="e">
        <f t="array" ref="CW84">_xlfn.STDEV.P(IF($E$5:$E$53=$E83,CW$5:CW$53))</f>
        <v>#DIV/0!</v>
      </c>
      <c r="CX84" s="83" t="e">
        <f t="array" ref="CX84">_xlfn.STDEV.P(IF($E$5:$E$53=$E83,CX$5:CX$53))</f>
        <v>#DIV/0!</v>
      </c>
      <c r="CY84" s="83" t="e">
        <f t="array" ref="CY84">_xlfn.STDEV.P(IF($E$5:$E$53=$E83,CY$5:CY$53))</f>
        <v>#DIV/0!</v>
      </c>
      <c r="CZ84" s="83" t="e">
        <f t="array" ref="CZ84">_xlfn.STDEV.P(IF($E$5:$E$53=$E83,CZ$5:CZ$53))</f>
        <v>#DIV/0!</v>
      </c>
      <c r="DA84" s="83" t="e">
        <f t="array" ref="DA84">_xlfn.STDEV.P(IF($E$5:$E$53=$E83,DA$5:DA$53))</f>
        <v>#DIV/0!</v>
      </c>
      <c r="DB84" s="83" t="e">
        <f t="array" ref="DB84">_xlfn.STDEV.P(IF($E$5:$E$53=$E83,DB$5:DB$53))</f>
        <v>#DIV/0!</v>
      </c>
      <c r="DC84" s="83" t="e">
        <f t="array" ref="DC84">_xlfn.STDEV.P(IF($E$5:$E$53=$E83,DC$5:DC$53))</f>
        <v>#DIV/0!</v>
      </c>
      <c r="DD84" s="83" t="e">
        <f t="array" ref="DD84">_xlfn.STDEV.P(IF($E$5:$E$53=$E83,DD$5:DD$53))</f>
        <v>#DIV/0!</v>
      </c>
      <c r="DE84" s="83" t="e">
        <f t="array" ref="DE84">_xlfn.STDEV.P(IF($E$5:$E$53=$E83,DE$5:DE$53))</f>
        <v>#DIV/0!</v>
      </c>
      <c r="DF84" s="83" t="e">
        <f t="array" ref="DF84">_xlfn.STDEV.P(IF($E$5:$E$53=$E83,DF$5:DF$53))</f>
        <v>#DIV/0!</v>
      </c>
      <c r="DG84" s="83" t="e">
        <f t="array" ref="DG84">_xlfn.STDEV.P(IF($E$5:$E$53=$E83,DG$5:DG$53))</f>
        <v>#DIV/0!</v>
      </c>
      <c r="DH84" s="83" t="e">
        <f t="array" ref="DH84">_xlfn.STDEV.P(IF($E$5:$E$53=$E83,DH$5:DH$53))</f>
        <v>#DIV/0!</v>
      </c>
      <c r="DI84" s="83" t="e">
        <f t="array" ref="DI84">_xlfn.STDEV.P(IF($E$5:$E$53=$E83,DI$5:DI$53))</f>
        <v>#DIV/0!</v>
      </c>
    </row>
    <row r="85" spans="1:127" s="195" customFormat="1" ht="14.25" customHeight="1">
      <c r="A85" s="191"/>
      <c r="B85" s="192"/>
      <c r="C85" s="193"/>
      <c r="D85" s="192"/>
      <c r="E85" s="194"/>
      <c r="H85" s="196"/>
      <c r="I85" s="260"/>
      <c r="J85" s="260"/>
      <c r="K85" s="260"/>
      <c r="L85" s="260"/>
      <c r="M85" s="260"/>
      <c r="N85" s="260"/>
      <c r="O85" s="260"/>
      <c r="P85" s="260"/>
      <c r="Q85" s="260"/>
      <c r="R85" s="257"/>
      <c r="S85" s="261"/>
      <c r="T85" s="261"/>
      <c r="U85" s="261"/>
      <c r="V85" s="261"/>
      <c r="W85" s="260"/>
      <c r="X85" s="26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89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</row>
    <row r="86" spans="1:127" s="206" customFormat="1" ht="14.25" customHeight="1">
      <c r="A86" s="202"/>
      <c r="B86" s="203"/>
      <c r="C86" s="204"/>
      <c r="D86" s="203"/>
      <c r="E86" s="205"/>
      <c r="H86" s="207"/>
      <c r="I86" s="263"/>
      <c r="J86" s="263"/>
      <c r="K86" s="263"/>
      <c r="L86" s="263"/>
      <c r="M86" s="263"/>
      <c r="N86" s="263"/>
      <c r="O86" s="263"/>
      <c r="P86" s="263"/>
      <c r="Q86" s="263"/>
      <c r="R86" s="257"/>
      <c r="S86" s="264"/>
      <c r="T86" s="264"/>
      <c r="U86" s="264"/>
      <c r="V86" s="264"/>
      <c r="W86" s="263"/>
      <c r="X86" s="265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3"/>
      <c r="BG86" s="203"/>
      <c r="BH86" s="203"/>
      <c r="BI86" s="203"/>
      <c r="BJ86" s="203"/>
      <c r="BK86" s="203"/>
      <c r="BL86" s="203"/>
      <c r="BM86" s="203"/>
      <c r="BN86" s="203"/>
      <c r="BO86" s="203"/>
      <c r="BP86" s="203"/>
      <c r="BQ86" s="212"/>
      <c r="BR86" s="201"/>
      <c r="BS86" s="201"/>
      <c r="BT86" s="201"/>
      <c r="BU86" s="201"/>
      <c r="BV86" s="201"/>
      <c r="BW86" s="201"/>
      <c r="BX86" s="201"/>
      <c r="BY86" s="201"/>
      <c r="BZ86" s="201"/>
      <c r="CA86" s="201"/>
      <c r="CB86" s="201"/>
      <c r="CC86" s="201"/>
      <c r="CD86" s="201"/>
      <c r="CE86" s="201"/>
      <c r="CF86" s="201"/>
      <c r="CG86" s="201"/>
      <c r="CH86" s="201"/>
      <c r="CI86" s="201"/>
      <c r="CJ86" s="201"/>
      <c r="CK86" s="201"/>
      <c r="CL86" s="201"/>
      <c r="CM86" s="201"/>
      <c r="CN86" s="201"/>
      <c r="CO86" s="201"/>
      <c r="CP86" s="201"/>
      <c r="CQ86" s="201"/>
      <c r="CR86" s="201"/>
      <c r="CS86" s="201"/>
      <c r="CT86" s="201"/>
      <c r="CU86" s="201"/>
      <c r="CV86" s="201"/>
      <c r="CW86" s="201"/>
      <c r="CX86" s="201"/>
      <c r="CY86" s="201"/>
      <c r="CZ86" s="201"/>
      <c r="DA86" s="201"/>
      <c r="DB86" s="201"/>
      <c r="DC86" s="201"/>
      <c r="DD86" s="201"/>
      <c r="DE86" s="201"/>
      <c r="DF86" s="201"/>
      <c r="DG86" s="201"/>
      <c r="DH86" s="201"/>
      <c r="DI86" s="201"/>
    </row>
    <row r="87" spans="1:127" ht="15">
      <c r="A87" s="129"/>
      <c r="E87" s="58"/>
      <c r="H87" s="58"/>
      <c r="J87" s="63"/>
      <c r="K87" s="63"/>
      <c r="L87" s="63"/>
      <c r="N87" s="63"/>
      <c r="R87" s="176"/>
      <c r="S87" s="253"/>
      <c r="T87" s="253"/>
      <c r="U87" s="253"/>
      <c r="V87" s="253"/>
      <c r="W87" s="63"/>
    </row>
    <row r="88" spans="1:127" ht="14.25" customHeight="1">
      <c r="A88" s="129"/>
      <c r="E88" s="134" t="str">
        <f>'PTX_DOSE Groups'!C14</f>
        <v>Metronomic CP-PTX</v>
      </c>
      <c r="H88" s="134" t="str">
        <f>E88</f>
        <v>Metronomic CP-PTX</v>
      </c>
      <c r="I88" s="256">
        <f>AVERAGEIF($E$5:$E$53,$E88,I$5:I$53)</f>
        <v>27.4</v>
      </c>
      <c r="J88" s="256"/>
      <c r="K88" s="256"/>
      <c r="L88" s="256"/>
      <c r="M88" s="256">
        <f t="shared" ref="M88:W88" si="54">AVERAGEIF($E$5:$E$53,$E88,M$5:M$53)</f>
        <v>112.657584</v>
      </c>
      <c r="N88" s="256" t="e">
        <f t="shared" si="54"/>
        <v>#DIV/0!</v>
      </c>
      <c r="O88" s="256" t="e">
        <f t="shared" si="54"/>
        <v>#DIV/0!</v>
      </c>
      <c r="P88" s="256">
        <f t="shared" si="54"/>
        <v>37.552527999999995</v>
      </c>
      <c r="Q88" s="256" t="e">
        <f t="shared" si="54"/>
        <v>#DIV/0!</v>
      </c>
      <c r="R88" s="257" t="e">
        <f t="shared" si="54"/>
        <v>#DIV/0!</v>
      </c>
      <c r="S88" s="258">
        <f t="shared" si="54"/>
        <v>0</v>
      </c>
      <c r="T88" s="258">
        <f t="shared" si="54"/>
        <v>244</v>
      </c>
      <c r="U88" s="258">
        <f t="shared" si="54"/>
        <v>22.256658750228034</v>
      </c>
      <c r="V88" s="258">
        <f t="shared" si="54"/>
        <v>7.9651189689365536</v>
      </c>
      <c r="W88" s="256" t="e">
        <f t="shared" si="54"/>
        <v>#DIV/0!</v>
      </c>
      <c r="X88" s="81" t="s">
        <v>10</v>
      </c>
      <c r="Y88" s="87">
        <f t="shared" ref="Y88:BP88" si="55">AVERAGEIF($E$5:$E$53,$E88,Y$5:Y$53)</f>
        <v>56.531592000000003</v>
      </c>
      <c r="Z88" s="87">
        <f t="shared" si="55"/>
        <v>90.340848000000022</v>
      </c>
      <c r="AA88" s="87">
        <f t="shared" si="55"/>
        <v>112.657584</v>
      </c>
      <c r="AB88" s="87">
        <f t="shared" si="55"/>
        <v>133.73370399999999</v>
      </c>
      <c r="AC88" s="87">
        <f t="shared" si="55"/>
        <v>143.76980800000001</v>
      </c>
      <c r="AD88" s="87">
        <f t="shared" si="55"/>
        <v>173.33669600000002</v>
      </c>
      <c r="AE88" s="87">
        <f t="shared" si="55"/>
        <v>189.56672800000001</v>
      </c>
      <c r="AF88" s="87">
        <f t="shared" si="55"/>
        <v>272.30954400000002</v>
      </c>
      <c r="AG88" s="87">
        <f t="shared" si="55"/>
        <v>327.21790399999998</v>
      </c>
      <c r="AH88" s="87">
        <f t="shared" si="55"/>
        <v>473.23733599999997</v>
      </c>
      <c r="AI88" s="87">
        <f t="shared" si="55"/>
        <v>571.05068800000004</v>
      </c>
      <c r="AJ88" s="87">
        <f t="shared" si="55"/>
        <v>899.64898399999981</v>
      </c>
      <c r="AK88" s="87">
        <f t="shared" si="55"/>
        <v>1230.7783280000001</v>
      </c>
      <c r="AL88" s="87">
        <f t="shared" si="55"/>
        <v>1399.5054320000002</v>
      </c>
      <c r="AM88" s="87">
        <f t="shared" si="55"/>
        <v>1655.9632700000002</v>
      </c>
      <c r="AN88" s="87">
        <f t="shared" si="55"/>
        <v>1796.7996800000001</v>
      </c>
      <c r="AO88" s="87" t="e">
        <f t="shared" si="55"/>
        <v>#DIV/0!</v>
      </c>
      <c r="AP88" s="87" t="e">
        <f t="shared" si="55"/>
        <v>#DIV/0!</v>
      </c>
      <c r="AQ88" s="87" t="e">
        <f t="shared" si="55"/>
        <v>#DIV/0!</v>
      </c>
      <c r="AR88" s="87" t="e">
        <f t="shared" si="55"/>
        <v>#DIV/0!</v>
      </c>
      <c r="AS88" s="87" t="e">
        <f t="shared" si="55"/>
        <v>#DIV/0!</v>
      </c>
      <c r="AT88" s="87" t="e">
        <f t="shared" si="55"/>
        <v>#DIV/0!</v>
      </c>
      <c r="AU88" s="87" t="e">
        <f t="shared" si="55"/>
        <v>#DIV/0!</v>
      </c>
      <c r="AV88" s="87" t="e">
        <f t="shared" si="55"/>
        <v>#DIV/0!</v>
      </c>
      <c r="AW88" s="87" t="e">
        <f t="shared" si="55"/>
        <v>#DIV/0!</v>
      </c>
      <c r="AX88" s="87" t="e">
        <f t="shared" si="55"/>
        <v>#DIV/0!</v>
      </c>
      <c r="AY88" s="87" t="e">
        <f t="shared" si="55"/>
        <v>#DIV/0!</v>
      </c>
      <c r="AZ88" s="87" t="e">
        <f t="shared" si="55"/>
        <v>#DIV/0!</v>
      </c>
      <c r="BA88" s="87" t="e">
        <f t="shared" si="55"/>
        <v>#DIV/0!</v>
      </c>
      <c r="BB88" s="87" t="e">
        <f t="shared" si="55"/>
        <v>#DIV/0!</v>
      </c>
      <c r="BC88" s="87" t="e">
        <f t="shared" si="55"/>
        <v>#DIV/0!</v>
      </c>
      <c r="BD88" s="87" t="e">
        <f t="shared" si="55"/>
        <v>#DIV/0!</v>
      </c>
      <c r="BE88" s="87" t="e">
        <f t="shared" si="55"/>
        <v>#DIV/0!</v>
      </c>
      <c r="BF88" s="87" t="e">
        <f t="shared" si="55"/>
        <v>#DIV/0!</v>
      </c>
      <c r="BG88" s="87" t="e">
        <f t="shared" si="55"/>
        <v>#DIV/0!</v>
      </c>
      <c r="BH88" s="87" t="e">
        <f t="shared" si="55"/>
        <v>#DIV/0!</v>
      </c>
      <c r="BI88" s="87" t="e">
        <f t="shared" si="55"/>
        <v>#DIV/0!</v>
      </c>
      <c r="BJ88" s="87" t="e">
        <f t="shared" si="55"/>
        <v>#DIV/0!</v>
      </c>
      <c r="BK88" s="87" t="e">
        <f t="shared" si="55"/>
        <v>#DIV/0!</v>
      </c>
      <c r="BL88" s="87" t="e">
        <f t="shared" si="55"/>
        <v>#DIV/0!</v>
      </c>
      <c r="BM88" s="87" t="e">
        <f t="shared" si="55"/>
        <v>#DIV/0!</v>
      </c>
      <c r="BN88" s="87" t="e">
        <f t="shared" si="55"/>
        <v>#DIV/0!</v>
      </c>
      <c r="BO88" s="87" t="e">
        <f t="shared" si="55"/>
        <v>#DIV/0!</v>
      </c>
      <c r="BP88" s="87" t="e">
        <f t="shared" si="55"/>
        <v>#DIV/0!</v>
      </c>
      <c r="BQ88" s="114" t="s">
        <v>10</v>
      </c>
      <c r="BR88" s="82">
        <f t="shared" ref="BR88:DI88" si="56">AVERAGEIF($E$5:$E$53,$E88,BR$5:BR$53)</f>
        <v>0.47985325371936083</v>
      </c>
      <c r="BS88" s="82">
        <f t="shared" si="56"/>
        <v>0.82991991829141587</v>
      </c>
      <c r="BT88" s="82">
        <f t="shared" si="56"/>
        <v>1</v>
      </c>
      <c r="BU88" s="82">
        <f t="shared" si="56"/>
        <v>1.4502486991096872</v>
      </c>
      <c r="BV88" s="82">
        <f t="shared" si="56"/>
        <v>1.7258278368427842</v>
      </c>
      <c r="BW88" s="82">
        <f t="shared" si="56"/>
        <v>1.9982048137656476</v>
      </c>
      <c r="BX88" s="82">
        <f t="shared" si="56"/>
        <v>2.3740909598027988</v>
      </c>
      <c r="BY88" s="82">
        <f t="shared" si="56"/>
        <v>2.9713669438599308</v>
      </c>
      <c r="BZ88" s="82">
        <f t="shared" si="56"/>
        <v>3.8364478505667479</v>
      </c>
      <c r="CA88" s="82">
        <f t="shared" si="56"/>
        <v>5.0135635447526559</v>
      </c>
      <c r="CB88" s="82">
        <f t="shared" si="56"/>
        <v>6.6259493842389405</v>
      </c>
      <c r="CC88" s="82">
        <f t="shared" si="56"/>
        <v>10.379020161865357</v>
      </c>
      <c r="CD88" s="82">
        <f t="shared" si="56"/>
        <v>13.813483426253319</v>
      </c>
      <c r="CE88" s="82">
        <f t="shared" si="56"/>
        <v>15.77848916354176</v>
      </c>
      <c r="CF88" s="82">
        <f t="shared" si="56"/>
        <v>21.658469279714282</v>
      </c>
      <c r="CG88" s="82">
        <f t="shared" si="56"/>
        <v>38.191084806471622</v>
      </c>
      <c r="CH88" s="82" t="e">
        <f t="shared" si="56"/>
        <v>#DIV/0!</v>
      </c>
      <c r="CI88" s="82" t="e">
        <f t="shared" si="56"/>
        <v>#DIV/0!</v>
      </c>
      <c r="CJ88" s="82" t="e">
        <f t="shared" si="56"/>
        <v>#DIV/0!</v>
      </c>
      <c r="CK88" s="82" t="e">
        <f t="shared" si="56"/>
        <v>#DIV/0!</v>
      </c>
      <c r="CL88" s="82" t="e">
        <f t="shared" si="56"/>
        <v>#DIV/0!</v>
      </c>
      <c r="CM88" s="82" t="e">
        <f t="shared" si="56"/>
        <v>#DIV/0!</v>
      </c>
      <c r="CN88" s="82" t="e">
        <f t="shared" si="56"/>
        <v>#DIV/0!</v>
      </c>
      <c r="CO88" s="82" t="e">
        <f t="shared" si="56"/>
        <v>#DIV/0!</v>
      </c>
      <c r="CP88" s="82" t="e">
        <f t="shared" si="56"/>
        <v>#DIV/0!</v>
      </c>
      <c r="CQ88" s="82" t="e">
        <f t="shared" si="56"/>
        <v>#DIV/0!</v>
      </c>
      <c r="CR88" s="82" t="e">
        <f t="shared" si="56"/>
        <v>#DIV/0!</v>
      </c>
      <c r="CS88" s="82" t="e">
        <f t="shared" si="56"/>
        <v>#DIV/0!</v>
      </c>
      <c r="CT88" s="82" t="e">
        <f t="shared" si="56"/>
        <v>#DIV/0!</v>
      </c>
      <c r="CU88" s="82" t="e">
        <f t="shared" si="56"/>
        <v>#DIV/0!</v>
      </c>
      <c r="CV88" s="82" t="e">
        <f t="shared" si="56"/>
        <v>#DIV/0!</v>
      </c>
      <c r="CW88" s="82" t="e">
        <f t="shared" si="56"/>
        <v>#DIV/0!</v>
      </c>
      <c r="CX88" s="82" t="e">
        <f t="shared" si="56"/>
        <v>#DIV/0!</v>
      </c>
      <c r="CY88" s="82" t="e">
        <f t="shared" si="56"/>
        <v>#DIV/0!</v>
      </c>
      <c r="CZ88" s="82" t="e">
        <f t="shared" si="56"/>
        <v>#DIV/0!</v>
      </c>
      <c r="DA88" s="82" t="e">
        <f t="shared" si="56"/>
        <v>#DIV/0!</v>
      </c>
      <c r="DB88" s="82" t="e">
        <f t="shared" si="56"/>
        <v>#DIV/0!</v>
      </c>
      <c r="DC88" s="82" t="e">
        <f t="shared" si="56"/>
        <v>#DIV/0!</v>
      </c>
      <c r="DD88" s="82" t="e">
        <f t="shared" si="56"/>
        <v>#DIV/0!</v>
      </c>
      <c r="DE88" s="82" t="e">
        <f t="shared" si="56"/>
        <v>#DIV/0!</v>
      </c>
      <c r="DF88" s="82" t="e">
        <f t="shared" si="56"/>
        <v>#DIV/0!</v>
      </c>
      <c r="DG88" s="82" t="e">
        <f t="shared" si="56"/>
        <v>#DIV/0!</v>
      </c>
      <c r="DH88" s="82" t="e">
        <f t="shared" si="56"/>
        <v>#DIV/0!</v>
      </c>
      <c r="DI88" s="82" t="e">
        <f t="shared" si="56"/>
        <v>#DIV/0!</v>
      </c>
    </row>
    <row r="89" spans="1:127" ht="14.25" customHeight="1">
      <c r="A89" s="129"/>
      <c r="E89" s="134"/>
      <c r="H89" s="104"/>
      <c r="I89" s="256">
        <f t="array" ref="I89">_xlfn.STDEV.P(IF($E$5:$E$53=$E88,I$5:I$53))</f>
        <v>3.2954514106567943</v>
      </c>
      <c r="J89" s="256"/>
      <c r="K89" s="256"/>
      <c r="L89" s="256"/>
      <c r="M89" s="256">
        <f t="array" ref="M89">_xlfn.STDEV.P(IF($E$5:$E$53=$E88,M$5:M$53))</f>
        <v>44.552110957301892</v>
      </c>
      <c r="N89" s="256">
        <f t="array" ref="N89">_xlfn.STDEV.P(IF($E$5:$E$53=$E88,N$5:N$53))</f>
        <v>0</v>
      </c>
      <c r="O89" s="256">
        <f t="array" ref="O89">_xlfn.STDEV.P(IF($E$5:$E$53=$E88,O$5:O$53))</f>
        <v>0</v>
      </c>
      <c r="P89" s="256">
        <f t="array" ref="P89">_xlfn.STDEV.P(IF($E$5:$E$53=$E88,P$5:P$53))</f>
        <v>14.850703652433978</v>
      </c>
      <c r="Q89" s="256">
        <f t="array" ref="Q89">_xlfn.STDEV.P(IF($E$5:$E$53=$E88,Q$5:Q$53))</f>
        <v>0</v>
      </c>
      <c r="R89" s="257">
        <f t="array" ref="R89">_xlfn.STDEV.P(IF($E$5:$E$53=$E88,R$5:R$53))</f>
        <v>0</v>
      </c>
      <c r="S89" s="258">
        <f t="array" ref="S89">_xlfn.STDEV.P(IF($E$5:$E$53=$E88,S$5:S$53))</f>
        <v>0</v>
      </c>
      <c r="T89" s="258">
        <f t="array" ref="T89">_xlfn.STDEV.P(IF($E$5:$E$53=$E88,T$5:T$53))</f>
        <v>29.946619174791667</v>
      </c>
      <c r="U89" s="258">
        <f t="array" ref="U89">_xlfn.STDEV.P(IF($E$5:$E$53=$E88,U$5:U$53))</f>
        <v>7.627545743268431E-2</v>
      </c>
      <c r="V89" s="258">
        <f t="array" ref="V89">_xlfn.STDEV.P(IF($E$5:$E$53=$E88,V$5:V$53))</f>
        <v>6.9976004191937733</v>
      </c>
      <c r="W89" s="256">
        <f t="array" ref="W89">_xlfn.STDEV.P(IF($E$5:$E$53=$E88,W$5:W$53))</f>
        <v>0</v>
      </c>
      <c r="X89" s="81" t="s">
        <v>12</v>
      </c>
      <c r="Y89" s="90">
        <f t="array" ref="Y89">_xlfn.STDEV.P(IF($E$5:$E$53=$E88,Y$5:Y$53))</f>
        <v>28.25535333636472</v>
      </c>
      <c r="Z89" s="90">
        <f t="array" ref="Z89">_xlfn.STDEV.P(IF($E$5:$E$53=$E88,Z$5:Z$53))</f>
        <v>39.330419424606383</v>
      </c>
      <c r="AA89" s="90">
        <f t="array" ref="AA89">_xlfn.STDEV.P(IF($E$5:$E$53=$E88,AA$5:AA$53))</f>
        <v>44.552110957301892</v>
      </c>
      <c r="AB89" s="90">
        <f t="array" ref="AB89">_xlfn.STDEV.P(IF($E$5:$E$53=$E88,AB$5:AB$53))</f>
        <v>30.041894686748197</v>
      </c>
      <c r="AC89" s="90">
        <f t="array" ref="AC89">_xlfn.STDEV.P(IF($E$5:$E$53=$E88,AC$5:AC$53))</f>
        <v>20.165011430255635</v>
      </c>
      <c r="AD89" s="90">
        <f t="array" ref="AD89">_xlfn.STDEV.P(IF($E$5:$E$53=$E88,AD$5:AD$53))</f>
        <v>39.381785747152506</v>
      </c>
      <c r="AE89" s="90">
        <f t="array" ref="AE89">_xlfn.STDEV.P(IF($E$5:$E$53=$E88,AE$5:AE$53))</f>
        <v>17.91342185814246</v>
      </c>
      <c r="AF89" s="90">
        <f t="array" ref="AF89">_xlfn.STDEV.P(IF($E$5:$E$53=$E88,AF$5:AF$53))</f>
        <v>52.349676127979905</v>
      </c>
      <c r="AG89" s="90">
        <f t="array" ref="AG89">_xlfn.STDEV.P(IF($E$5:$E$53=$E88,AG$5:AG$53))</f>
        <v>41.997904442705668</v>
      </c>
      <c r="AH89" s="90">
        <f t="array" ref="AH89">_xlfn.STDEV.P(IF($E$5:$E$53=$E88,AH$5:AH$53))</f>
        <v>188.74258517262231</v>
      </c>
      <c r="AI89" s="90">
        <f t="array" ref="AI89">_xlfn.STDEV.P(IF($E$5:$E$53=$E88,AI$5:AI$53))</f>
        <v>79.12950972737238</v>
      </c>
      <c r="AJ89" s="90">
        <f t="array" ref="AJ89">_xlfn.STDEV.P(IF($E$5:$E$53=$E88,AJ$5:AJ$53))</f>
        <v>89.775004696060321</v>
      </c>
      <c r="AK89" s="90">
        <f t="array" ref="AK89">_xlfn.STDEV.P(IF($E$5:$E$53=$E88,AK$5:AK$53))</f>
        <v>241.52603911491184</v>
      </c>
      <c r="AL89" s="90">
        <f t="array" ref="AL89">_xlfn.STDEV.P(IF($E$5:$E$53=$E88,AL$5:AL$53))</f>
        <v>212.66115863872605</v>
      </c>
      <c r="AM89" s="90">
        <f t="array" ref="AM89">_xlfn.STDEV.P(IF($E$5:$E$53=$E88,AM$5:AM$53))</f>
        <v>707.23082622222228</v>
      </c>
      <c r="AN89" s="90">
        <f t="array" ref="AN89">_xlfn.STDEV.P(IF($E$5:$E$53=$E88,AN$5:AN$53))</f>
        <v>883.95513116286668</v>
      </c>
      <c r="AO89" s="90">
        <f t="array" ref="AO89">_xlfn.STDEV.P(IF($E$5:$E$53=$E88,AO$5:AO$53))</f>
        <v>0</v>
      </c>
      <c r="AP89" s="90">
        <f t="array" ref="AP89">_xlfn.STDEV.P(IF($E$5:$E$53=$E88,AP$5:AP$53))</f>
        <v>0</v>
      </c>
      <c r="AQ89" s="90">
        <f t="array" ref="AQ89">_xlfn.STDEV.P(IF($E$5:$E$53=$E88,AQ$5:AQ$53))</f>
        <v>0</v>
      </c>
      <c r="AR89" s="90">
        <f t="array" ref="AR89">_xlfn.STDEV.P(IF($E$5:$E$53=$E88,AR$5:AR$53))</f>
        <v>0</v>
      </c>
      <c r="AS89" s="90">
        <f t="array" ref="AS89">_xlfn.STDEV.P(IF($E$5:$E$53=$E88,AS$5:AS$53))</f>
        <v>0</v>
      </c>
      <c r="AT89" s="90">
        <f t="array" ref="AT89">_xlfn.STDEV.P(IF($E$5:$E$53=$E88,AT$5:AT$53))</f>
        <v>0</v>
      </c>
      <c r="AU89" s="90">
        <f t="array" ref="AU89">_xlfn.STDEV.P(IF($E$5:$E$53=$E88,AU$5:AU$53))</f>
        <v>0</v>
      </c>
      <c r="AV89" s="90">
        <f t="array" ref="AV89">_xlfn.STDEV.P(IF($E$5:$E$53=$E88,AV$5:AV$53))</f>
        <v>0</v>
      </c>
      <c r="AW89" s="90">
        <f t="array" ref="AW89">_xlfn.STDEV.P(IF($E$5:$E$53=$E88,AW$5:AW$53))</f>
        <v>0</v>
      </c>
      <c r="AX89" s="90">
        <f t="array" ref="AX89">_xlfn.STDEV.P(IF($E$5:$E$53=$E88,AX$5:AX$53))</f>
        <v>0</v>
      </c>
      <c r="AY89" s="90">
        <f t="array" ref="AY89">_xlfn.STDEV.P(IF($E$5:$E$53=$E88,AY$5:AY$53))</f>
        <v>0</v>
      </c>
      <c r="AZ89" s="90">
        <f t="array" ref="AZ89">_xlfn.STDEV.P(IF($E$5:$E$53=$E88,AZ$5:AZ$53))</f>
        <v>0</v>
      </c>
      <c r="BA89" s="90">
        <f t="array" ref="BA89">_xlfn.STDEV.P(IF($E$5:$E$53=$E88,BA$5:BA$53))</f>
        <v>0</v>
      </c>
      <c r="BB89" s="90">
        <f t="array" ref="BB89">_xlfn.STDEV.P(IF($E$5:$E$53=$E88,BB$5:BB$53))</f>
        <v>0</v>
      </c>
      <c r="BC89" s="90">
        <f t="array" ref="BC89">_xlfn.STDEV.P(IF($E$5:$E$53=$E88,BC$5:BC$53))</f>
        <v>0</v>
      </c>
      <c r="BD89" s="90">
        <f t="array" ref="BD89">_xlfn.STDEV.P(IF($E$5:$E$53=$E88,BD$5:BD$53))</f>
        <v>0</v>
      </c>
      <c r="BE89" s="90">
        <f t="array" ref="BE89">_xlfn.STDEV.P(IF($E$5:$E$53=$E88,BE$5:BE$53))</f>
        <v>0</v>
      </c>
      <c r="BF89" s="90">
        <f t="array" ref="BF89">_xlfn.STDEV.P(IF($E$5:$E$53=$E88,BF$5:BF$53))</f>
        <v>0</v>
      </c>
      <c r="BG89" s="90">
        <f t="array" ref="BG89">_xlfn.STDEV.P(IF($E$5:$E$53=$E88,BG$5:BG$53))</f>
        <v>0</v>
      </c>
      <c r="BH89" s="90">
        <f t="array" ref="BH89">_xlfn.STDEV.P(IF($E$5:$E$53=$E88,BH$5:BH$53))</f>
        <v>0</v>
      </c>
      <c r="BI89" s="90">
        <f t="array" ref="BI89">_xlfn.STDEV.P(IF($E$5:$E$53=$E88,BI$5:BI$53))</f>
        <v>0</v>
      </c>
      <c r="BJ89" s="90">
        <f t="array" ref="BJ89">_xlfn.STDEV.P(IF($E$5:$E$53=$E88,BJ$5:BJ$53))</f>
        <v>0</v>
      </c>
      <c r="BK89" s="90">
        <f t="array" ref="BK89">_xlfn.STDEV.P(IF($E$5:$E$53=$E88,BK$5:BK$53))</f>
        <v>0</v>
      </c>
      <c r="BL89" s="90">
        <f t="array" ref="BL89">_xlfn.STDEV.P(IF($E$5:$E$53=$E88,BL$5:BL$53))</f>
        <v>0</v>
      </c>
      <c r="BM89" s="90">
        <f t="array" ref="BM89">_xlfn.STDEV.P(IF($E$5:$E$53=$E88,BM$5:BM$53))</f>
        <v>0</v>
      </c>
      <c r="BN89" s="90">
        <f t="array" ref="BN89">_xlfn.STDEV.P(IF($E$5:$E$53=$E88,BN$5:BN$53))</f>
        <v>0</v>
      </c>
      <c r="BO89" s="90">
        <f t="array" ref="BO89">_xlfn.STDEV.P(IF($E$5:$E$53=$E88,BO$5:BO$53))</f>
        <v>0</v>
      </c>
      <c r="BP89" s="90">
        <f t="array" ref="BP89">_xlfn.STDEV.P(IF($E$5:$E$53=$E88,BP$5:BP$53))</f>
        <v>0</v>
      </c>
      <c r="BQ89" s="115" t="s">
        <v>12</v>
      </c>
      <c r="BR89" s="83">
        <f t="array" ref="BR89">_xlfn.STDEV.P(IF($E$5:$E$53=$E88,BR$5:BR$53))</f>
        <v>0.14873315571260351</v>
      </c>
      <c r="BS89" s="83">
        <f t="array" ref="BS89">_xlfn.STDEV.P(IF($E$5:$E$53=$E88,BS$5:BS$53))</f>
        <v>0.26295406510277519</v>
      </c>
      <c r="BT89" s="83">
        <f t="array" ref="BT89">_xlfn.STDEV.P(IF($E$5:$E$53=$E88,BT$5:BT$53))</f>
        <v>0</v>
      </c>
      <c r="BU89" s="83">
        <f t="array" ref="BU89">_xlfn.STDEV.P(IF($E$5:$E$53=$E88,BU$5:BU$53))</f>
        <v>0.68840612980444749</v>
      </c>
      <c r="BV89" s="83">
        <f t="array" ref="BV89">_xlfn.STDEV.P(IF($E$5:$E$53=$E88,BV$5:BV$53))</f>
        <v>1.1960855812779891</v>
      </c>
      <c r="BW89" s="83">
        <f t="array" ref="BW89">_xlfn.STDEV.P(IF($E$5:$E$53=$E88,BW$5:BW$53))</f>
        <v>1.1932287990826487</v>
      </c>
      <c r="BX89" s="83">
        <f t="array" ref="BX89">_xlfn.STDEV.P(IF($E$5:$E$53=$E88,BX$5:BX$53))</f>
        <v>1.845417489691539</v>
      </c>
      <c r="BY89" s="83">
        <f t="array" ref="BY89">_xlfn.STDEV.P(IF($E$5:$E$53=$E88,BY$5:BY$53))</f>
        <v>1.475399919555221</v>
      </c>
      <c r="BZ89" s="83">
        <f t="array" ref="BZ89">_xlfn.STDEV.P(IF($E$5:$E$53=$E88,BZ$5:BZ$53))</f>
        <v>2.510314256426545</v>
      </c>
      <c r="CA89" s="83">
        <f t="array" ref="CA89">_xlfn.STDEV.P(IF($E$5:$E$53=$E88,CA$5:CA$53))</f>
        <v>2.4282803826402612</v>
      </c>
      <c r="CB89" s="83">
        <f t="array" ref="CB89">_xlfn.STDEV.P(IF($E$5:$E$53=$E88,CB$5:CB$53))</f>
        <v>4.3000446575704663</v>
      </c>
      <c r="CC89" s="83">
        <f t="array" ref="CC89">_xlfn.STDEV.P(IF($E$5:$E$53=$E88,CC$5:CC$53))</f>
        <v>6.390329286799445</v>
      </c>
      <c r="CD89" s="83">
        <f t="array" ref="CD89">_xlfn.STDEV.P(IF($E$5:$E$53=$E88,CD$5:CD$53))</f>
        <v>7.8862944431682136</v>
      </c>
      <c r="CE89" s="83">
        <f t="array" ref="CE89">_xlfn.STDEV.P(IF($E$5:$E$53=$E88,CE$5:CE$53))</f>
        <v>9.1147830678248383</v>
      </c>
      <c r="CF89" s="83">
        <f t="array" ref="CF89">_xlfn.STDEV.P(IF($E$5:$E$53=$E88,CF$5:CF$53))</f>
        <v>15.357191139260951</v>
      </c>
      <c r="CG89" s="83">
        <f t="array" ref="CG89">_xlfn.STDEV.P(IF($E$5:$E$53=$E88,CG$5:CG$53))</f>
        <v>21.052916794168649</v>
      </c>
      <c r="CH89" s="83" t="e">
        <f t="array" ref="CH89">_xlfn.STDEV.P(IF($E$5:$E$53=$E88,CH$5:CH$53))</f>
        <v>#DIV/0!</v>
      </c>
      <c r="CI89" s="83" t="e">
        <f t="array" ref="CI89">_xlfn.STDEV.P(IF($E$5:$E$53=$E88,CI$5:CI$53))</f>
        <v>#DIV/0!</v>
      </c>
      <c r="CJ89" s="83" t="e">
        <f t="array" ref="CJ89">_xlfn.STDEV.P(IF($E$5:$E$53=$E88,CJ$5:CJ$53))</f>
        <v>#DIV/0!</v>
      </c>
      <c r="CK89" s="83" t="e">
        <f t="array" ref="CK89">_xlfn.STDEV.P(IF($E$5:$E$53=$E88,CK$5:CK$53))</f>
        <v>#DIV/0!</v>
      </c>
      <c r="CL89" s="83" t="e">
        <f t="array" ref="CL89">_xlfn.STDEV.P(IF($E$5:$E$53=$E88,CL$5:CL$53))</f>
        <v>#DIV/0!</v>
      </c>
      <c r="CM89" s="83" t="e">
        <f t="array" ref="CM89">_xlfn.STDEV.P(IF($E$5:$E$53=$E88,CM$5:CM$53))</f>
        <v>#DIV/0!</v>
      </c>
      <c r="CN89" s="83" t="e">
        <f t="array" ref="CN89">_xlfn.STDEV.P(IF($E$5:$E$53=$E88,CN$5:CN$53))</f>
        <v>#DIV/0!</v>
      </c>
      <c r="CO89" s="83" t="e">
        <f t="array" ref="CO89">_xlfn.STDEV.P(IF($E$5:$E$53=$E88,CO$5:CO$53))</f>
        <v>#DIV/0!</v>
      </c>
      <c r="CP89" s="83" t="e">
        <f t="array" ref="CP89">_xlfn.STDEV.P(IF($E$5:$E$53=$E88,CP$5:CP$53))</f>
        <v>#DIV/0!</v>
      </c>
      <c r="CQ89" s="83" t="e">
        <f t="array" ref="CQ89">_xlfn.STDEV.P(IF($E$5:$E$53=$E88,CQ$5:CQ$53))</f>
        <v>#DIV/0!</v>
      </c>
      <c r="CR89" s="83" t="e">
        <f t="array" ref="CR89">_xlfn.STDEV.P(IF($E$5:$E$53=$E88,CR$5:CR$53))</f>
        <v>#DIV/0!</v>
      </c>
      <c r="CS89" s="83" t="e">
        <f t="array" ref="CS89">_xlfn.STDEV.P(IF($E$5:$E$53=$E88,CS$5:CS$53))</f>
        <v>#DIV/0!</v>
      </c>
      <c r="CT89" s="83" t="e">
        <f t="array" ref="CT89">_xlfn.STDEV.P(IF($E$5:$E$53=$E88,CT$5:CT$53))</f>
        <v>#DIV/0!</v>
      </c>
      <c r="CU89" s="83" t="e">
        <f t="array" ref="CU89">_xlfn.STDEV.P(IF($E$5:$E$53=$E88,CU$5:CU$53))</f>
        <v>#DIV/0!</v>
      </c>
      <c r="CV89" s="83" t="e">
        <f t="array" ref="CV89">_xlfn.STDEV.P(IF($E$5:$E$53=$E88,CV$5:CV$53))</f>
        <v>#DIV/0!</v>
      </c>
      <c r="CW89" s="83" t="e">
        <f t="array" ref="CW89">_xlfn.STDEV.P(IF($E$5:$E$53=$E88,CW$5:CW$53))</f>
        <v>#DIV/0!</v>
      </c>
      <c r="CX89" s="83" t="e">
        <f t="array" ref="CX89">_xlfn.STDEV.P(IF($E$5:$E$53=$E88,CX$5:CX$53))</f>
        <v>#DIV/0!</v>
      </c>
      <c r="CY89" s="83" t="e">
        <f t="array" ref="CY89">_xlfn.STDEV.P(IF($E$5:$E$53=$E88,CY$5:CY$53))</f>
        <v>#DIV/0!</v>
      </c>
      <c r="CZ89" s="83" t="e">
        <f t="array" ref="CZ89">_xlfn.STDEV.P(IF($E$5:$E$53=$E88,CZ$5:CZ$53))</f>
        <v>#DIV/0!</v>
      </c>
      <c r="DA89" s="83" t="e">
        <f t="array" ref="DA89">_xlfn.STDEV.P(IF($E$5:$E$53=$E88,DA$5:DA$53))</f>
        <v>#DIV/0!</v>
      </c>
      <c r="DB89" s="83" t="e">
        <f t="array" ref="DB89">_xlfn.STDEV.P(IF($E$5:$E$53=$E88,DB$5:DB$53))</f>
        <v>#DIV/0!</v>
      </c>
      <c r="DC89" s="83" t="e">
        <f t="array" ref="DC89">_xlfn.STDEV.P(IF($E$5:$E$53=$E88,DC$5:DC$53))</f>
        <v>#DIV/0!</v>
      </c>
      <c r="DD89" s="83" t="e">
        <f t="array" ref="DD89">_xlfn.STDEV.P(IF($E$5:$E$53=$E88,DD$5:DD$53))</f>
        <v>#DIV/0!</v>
      </c>
      <c r="DE89" s="83" t="e">
        <f t="array" ref="DE89">_xlfn.STDEV.P(IF($E$5:$E$53=$E88,DE$5:DE$53))</f>
        <v>#DIV/0!</v>
      </c>
      <c r="DF89" s="83" t="e">
        <f t="array" ref="DF89">_xlfn.STDEV.P(IF($E$5:$E$53=$E88,DF$5:DF$53))</f>
        <v>#DIV/0!</v>
      </c>
      <c r="DG89" s="83" t="e">
        <f t="array" ref="DG89">_xlfn.STDEV.P(IF($E$5:$E$53=$E88,DG$5:DG$53))</f>
        <v>#DIV/0!</v>
      </c>
      <c r="DH89" s="83" t="e">
        <f t="array" ref="DH89">_xlfn.STDEV.P(IF($E$5:$E$53=$E88,DH$5:DH$53))</f>
        <v>#DIV/0!</v>
      </c>
      <c r="DI89" s="83" t="e">
        <f t="array" ref="DI89">_xlfn.STDEV.P(IF($E$5:$E$53=$E88,DI$5:DI$53))</f>
        <v>#DIV/0!</v>
      </c>
    </row>
    <row r="90" spans="1:127" ht="15">
      <c r="A90" s="129"/>
      <c r="E90" s="134"/>
      <c r="H90" s="58"/>
      <c r="J90" s="63"/>
      <c r="K90" s="63"/>
      <c r="L90" s="63"/>
      <c r="N90" s="63"/>
      <c r="R90" s="176"/>
      <c r="S90" s="253"/>
      <c r="T90" s="253"/>
      <c r="U90" s="253"/>
      <c r="V90" s="253"/>
      <c r="W90" s="63"/>
    </row>
    <row r="91" spans="1:127" ht="14.25" customHeight="1">
      <c r="A91" s="129"/>
      <c r="E91" s="134" t="str">
        <f>'PTX_DOSE Groups'!C15</f>
        <v>Metronomic Combotherapy</v>
      </c>
      <c r="H91" s="134" t="str">
        <f>E91</f>
        <v>Metronomic Combotherapy</v>
      </c>
      <c r="I91" s="256">
        <f>AVERAGEIF($E$5:$E$53,$E91,I$5:I$53)</f>
        <v>28.340000000000003</v>
      </c>
      <c r="J91" s="256"/>
      <c r="K91" s="256"/>
      <c r="L91" s="256"/>
      <c r="M91" s="256">
        <f t="shared" ref="M91:W91" si="57">AVERAGEIF($E$5:$E$53,$E91,M$5:M$53)</f>
        <v>108.670224</v>
      </c>
      <c r="N91" s="256">
        <f t="shared" si="57"/>
        <v>10.196428571428571</v>
      </c>
      <c r="O91" s="256">
        <f t="shared" si="57"/>
        <v>362.23408000000006</v>
      </c>
      <c r="P91" s="256">
        <f t="shared" si="57"/>
        <v>36.223408000000006</v>
      </c>
      <c r="Q91" s="256">
        <f t="shared" si="57"/>
        <v>339.4</v>
      </c>
      <c r="R91" s="257">
        <f t="shared" si="57"/>
        <v>0.91094009886519056</v>
      </c>
      <c r="S91" s="258">
        <f t="shared" si="57"/>
        <v>3.0364669962173023</v>
      </c>
      <c r="T91" s="258">
        <f t="shared" si="57"/>
        <v>252.2</v>
      </c>
      <c r="U91" s="258">
        <f t="shared" si="57"/>
        <v>22.247591446893335</v>
      </c>
      <c r="V91" s="258">
        <f t="shared" si="57"/>
        <v>6.5852827553655526</v>
      </c>
      <c r="W91" s="256" t="e">
        <f t="shared" si="57"/>
        <v>#DIV/0!</v>
      </c>
      <c r="X91" s="81" t="s">
        <v>10</v>
      </c>
      <c r="Y91" s="87">
        <f t="shared" ref="Y91:BP91" si="58">AVERAGEIF($E$5:$E$53,$E91,Y$5:Y$53)</f>
        <v>75.863111999999987</v>
      </c>
      <c r="Z91" s="87">
        <f t="shared" si="58"/>
        <v>86.045959999999994</v>
      </c>
      <c r="AA91" s="87">
        <f t="shared" si="58"/>
        <v>108.670224</v>
      </c>
      <c r="AB91" s="87">
        <f t="shared" si="58"/>
        <v>168.32639200000003</v>
      </c>
      <c r="AC91" s="87">
        <f t="shared" si="58"/>
        <v>170.23448000000002</v>
      </c>
      <c r="AD91" s="87">
        <f t="shared" si="58"/>
        <v>180.72641600000003</v>
      </c>
      <c r="AE91" s="87">
        <f t="shared" si="58"/>
        <v>134.21501599999999</v>
      </c>
      <c r="AF91" s="87">
        <f t="shared" si="58"/>
        <v>142.80499999999998</v>
      </c>
      <c r="AG91" s="87">
        <f t="shared" si="58"/>
        <v>176.53428000000002</v>
      </c>
      <c r="AH91" s="87">
        <f t="shared" si="58"/>
        <v>144.299688</v>
      </c>
      <c r="AI91" s="87">
        <f t="shared" si="58"/>
        <v>150.65575200000001</v>
      </c>
      <c r="AJ91" s="87">
        <f t="shared" si="58"/>
        <v>171.76733599999997</v>
      </c>
      <c r="AK91" s="87">
        <f t="shared" si="58"/>
        <v>170.82249600000003</v>
      </c>
      <c r="AL91" s="87">
        <f t="shared" si="58"/>
        <v>210.61362399999999</v>
      </c>
      <c r="AM91" s="87">
        <f t="shared" si="58"/>
        <v>292.17458399999998</v>
      </c>
      <c r="AN91" s="87">
        <f t="shared" si="58"/>
        <v>371.62923200000006</v>
      </c>
      <c r="AO91" s="87">
        <f t="shared" si="58"/>
        <v>472.34044000000006</v>
      </c>
      <c r="AP91" s="87">
        <f t="shared" si="58"/>
        <v>626.68132799999989</v>
      </c>
      <c r="AQ91" s="87">
        <f t="shared" si="58"/>
        <v>760.142968</v>
      </c>
      <c r="AR91" s="87">
        <f t="shared" si="58"/>
        <v>774.242976</v>
      </c>
      <c r="AS91" s="87">
        <f t="shared" si="58"/>
        <v>1044.301856</v>
      </c>
      <c r="AT91" s="87">
        <f t="shared" si="58"/>
        <v>1181.0374160000001</v>
      </c>
      <c r="AU91" s="87">
        <f t="shared" si="58"/>
        <v>1610.196848</v>
      </c>
      <c r="AV91" s="87">
        <f t="shared" si="58"/>
        <v>1292.9805200000001</v>
      </c>
      <c r="AW91" s="87">
        <f t="shared" si="58"/>
        <v>1064.375</v>
      </c>
      <c r="AX91" s="87">
        <f t="shared" si="58"/>
        <v>1294.9913600000002</v>
      </c>
      <c r="AY91" s="87">
        <f t="shared" si="58"/>
        <v>1922.2528</v>
      </c>
      <c r="AZ91" s="87" t="e">
        <f t="shared" si="58"/>
        <v>#DIV/0!</v>
      </c>
      <c r="BA91" s="87" t="e">
        <f t="shared" si="58"/>
        <v>#DIV/0!</v>
      </c>
      <c r="BB91" s="87" t="e">
        <f t="shared" si="58"/>
        <v>#DIV/0!</v>
      </c>
      <c r="BC91" s="87" t="e">
        <f t="shared" si="58"/>
        <v>#DIV/0!</v>
      </c>
      <c r="BD91" s="87" t="e">
        <f t="shared" si="58"/>
        <v>#DIV/0!</v>
      </c>
      <c r="BE91" s="87" t="e">
        <f t="shared" si="58"/>
        <v>#DIV/0!</v>
      </c>
      <c r="BF91" s="87" t="e">
        <f t="shared" si="58"/>
        <v>#DIV/0!</v>
      </c>
      <c r="BG91" s="87" t="e">
        <f t="shared" si="58"/>
        <v>#DIV/0!</v>
      </c>
      <c r="BH91" s="87" t="e">
        <f t="shared" si="58"/>
        <v>#DIV/0!</v>
      </c>
      <c r="BI91" s="87" t="e">
        <f t="shared" si="58"/>
        <v>#DIV/0!</v>
      </c>
      <c r="BJ91" s="87" t="e">
        <f t="shared" si="58"/>
        <v>#DIV/0!</v>
      </c>
      <c r="BK91" s="87" t="e">
        <f t="shared" si="58"/>
        <v>#DIV/0!</v>
      </c>
      <c r="BL91" s="87" t="e">
        <f t="shared" si="58"/>
        <v>#DIV/0!</v>
      </c>
      <c r="BM91" s="87" t="e">
        <f t="shared" si="58"/>
        <v>#DIV/0!</v>
      </c>
      <c r="BN91" s="87" t="e">
        <f t="shared" si="58"/>
        <v>#DIV/0!</v>
      </c>
      <c r="BO91" s="87" t="e">
        <f t="shared" si="58"/>
        <v>#DIV/0!</v>
      </c>
      <c r="BP91" s="87" t="e">
        <f t="shared" si="58"/>
        <v>#DIV/0!</v>
      </c>
      <c r="BQ91" s="114" t="s">
        <v>10</v>
      </c>
      <c r="BR91" s="82">
        <f t="shared" ref="BR91:DI91" si="59">AVERAGEIF($E$5:$E$53,$E91,BR$5:BR$53)</f>
        <v>0.73565878103899518</v>
      </c>
      <c r="BS91" s="82">
        <f t="shared" si="59"/>
        <v>0.77374715518246662</v>
      </c>
      <c r="BT91" s="82">
        <f t="shared" si="59"/>
        <v>1</v>
      </c>
      <c r="BU91" s="82">
        <f t="shared" si="59"/>
        <v>1.466793348370609</v>
      </c>
      <c r="BV91" s="82">
        <f t="shared" si="59"/>
        <v>1.6158580777863674</v>
      </c>
      <c r="BW91" s="82">
        <f t="shared" si="59"/>
        <v>1.7666596104279979</v>
      </c>
      <c r="BX91" s="82">
        <f t="shared" si="59"/>
        <v>1.2828557282241488</v>
      </c>
      <c r="BY91" s="82">
        <f t="shared" si="59"/>
        <v>1.2950115682057608</v>
      </c>
      <c r="BZ91" s="82">
        <f t="shared" si="59"/>
        <v>1.5740803716245031</v>
      </c>
      <c r="CA91" s="82">
        <f t="shared" si="59"/>
        <v>1.2986860747848812</v>
      </c>
      <c r="CB91" s="82">
        <f t="shared" si="59"/>
        <v>1.3915614471562392</v>
      </c>
      <c r="CC91" s="82">
        <f t="shared" si="59"/>
        <v>1.5448294698742242</v>
      </c>
      <c r="CD91" s="82">
        <f t="shared" si="59"/>
        <v>1.5899458981397487</v>
      </c>
      <c r="CE91" s="82">
        <f t="shared" si="59"/>
        <v>1.9129363989824681</v>
      </c>
      <c r="CF91" s="82">
        <f t="shared" si="59"/>
        <v>2.6049169045742602</v>
      </c>
      <c r="CG91" s="82">
        <f t="shared" si="59"/>
        <v>3.3421553932932171</v>
      </c>
      <c r="CH91" s="82">
        <f t="shared" si="59"/>
        <v>4.3671950965070554</v>
      </c>
      <c r="CI91" s="82">
        <f t="shared" si="59"/>
        <v>5.7663160338082333</v>
      </c>
      <c r="CJ91" s="82">
        <f t="shared" si="59"/>
        <v>7.1304652412482117</v>
      </c>
      <c r="CK91" s="82">
        <f t="shared" si="59"/>
        <v>7.3410149856199922</v>
      </c>
      <c r="CL91" s="82">
        <f t="shared" si="59"/>
        <v>9.7941308236679721</v>
      </c>
      <c r="CM91" s="82">
        <f t="shared" si="59"/>
        <v>11.087674619559083</v>
      </c>
      <c r="CN91" s="82">
        <f t="shared" si="59"/>
        <v>15.369155064404188</v>
      </c>
      <c r="CO91" s="82">
        <f t="shared" si="59"/>
        <v>12.713981733265104</v>
      </c>
      <c r="CP91" s="82">
        <f t="shared" si="59"/>
        <v>17.733376651505306</v>
      </c>
      <c r="CQ91" s="82">
        <f t="shared" si="59"/>
        <v>21.575637860082306</v>
      </c>
      <c r="CR91" s="82">
        <f t="shared" si="59"/>
        <v>32.026337448559673</v>
      </c>
      <c r="CS91" s="82" t="e">
        <f t="shared" si="59"/>
        <v>#DIV/0!</v>
      </c>
      <c r="CT91" s="82" t="e">
        <f t="shared" si="59"/>
        <v>#DIV/0!</v>
      </c>
      <c r="CU91" s="82" t="e">
        <f t="shared" si="59"/>
        <v>#DIV/0!</v>
      </c>
      <c r="CV91" s="82" t="e">
        <f t="shared" si="59"/>
        <v>#DIV/0!</v>
      </c>
      <c r="CW91" s="82" t="e">
        <f t="shared" si="59"/>
        <v>#DIV/0!</v>
      </c>
      <c r="CX91" s="82" t="e">
        <f t="shared" si="59"/>
        <v>#DIV/0!</v>
      </c>
      <c r="CY91" s="82" t="e">
        <f t="shared" si="59"/>
        <v>#DIV/0!</v>
      </c>
      <c r="CZ91" s="82" t="e">
        <f t="shared" si="59"/>
        <v>#DIV/0!</v>
      </c>
      <c r="DA91" s="82" t="e">
        <f t="shared" si="59"/>
        <v>#DIV/0!</v>
      </c>
      <c r="DB91" s="82" t="e">
        <f t="shared" si="59"/>
        <v>#DIV/0!</v>
      </c>
      <c r="DC91" s="82" t="e">
        <f t="shared" si="59"/>
        <v>#DIV/0!</v>
      </c>
      <c r="DD91" s="82" t="e">
        <f t="shared" si="59"/>
        <v>#DIV/0!</v>
      </c>
      <c r="DE91" s="82" t="e">
        <f t="shared" si="59"/>
        <v>#DIV/0!</v>
      </c>
      <c r="DF91" s="82" t="e">
        <f t="shared" si="59"/>
        <v>#DIV/0!</v>
      </c>
      <c r="DG91" s="82" t="e">
        <f t="shared" si="59"/>
        <v>#DIV/0!</v>
      </c>
      <c r="DH91" s="82" t="e">
        <f t="shared" si="59"/>
        <v>#DIV/0!</v>
      </c>
      <c r="DI91" s="82" t="e">
        <f t="shared" si="59"/>
        <v>#DIV/0!</v>
      </c>
    </row>
    <row r="92" spans="1:127" ht="14.25" customHeight="1">
      <c r="A92" s="129"/>
      <c r="E92" s="104"/>
      <c r="H92" s="104"/>
      <c r="I92" s="256">
        <f t="array" ref="I92">_xlfn.STDEV.P(IF($E$5:$E$53=$E91,I$5:I$53))</f>
        <v>2.444258578792351</v>
      </c>
      <c r="J92" s="256"/>
      <c r="K92" s="256"/>
      <c r="L92" s="256"/>
      <c r="M92" s="256">
        <f t="array" ref="M92">_xlfn.STDEV.P(IF($E$5:$E$53=$E91,M$5:M$53))</f>
        <v>34.555341821856516</v>
      </c>
      <c r="N92" s="256">
        <f t="array" ref="N92">_xlfn.STDEV.P(IF($E$5:$E$53=$E91,N$5:N$53))</f>
        <v>0</v>
      </c>
      <c r="O92" s="256">
        <f t="array" ref="O92">_xlfn.STDEV.P(IF($E$5:$E$53=$E91,O$5:O$53))</f>
        <v>115.18447273952147</v>
      </c>
      <c r="P92" s="256">
        <f t="array" ref="P92">_xlfn.STDEV.P(IF($E$5:$E$53=$E91,P$5:P$53))</f>
        <v>11.518447273952152</v>
      </c>
      <c r="Q92" s="256">
        <f t="array" ref="Q92">_xlfn.STDEV.P(IF($E$5:$E$53=$E91,Q$5:Q$53))</f>
        <v>139.46841936438514</v>
      </c>
      <c r="R92" s="257">
        <f t="array" ref="R92">_xlfn.STDEV.P(IF($E$5:$E$53=$E91,R$5:R$53))</f>
        <v>8.6539201222880544E-2</v>
      </c>
      <c r="S92" s="258">
        <f t="array" ref="S92">_xlfn.STDEV.P(IF($E$5:$E$53=$E91,S$5:S$53))</f>
        <v>0.28846400407626849</v>
      </c>
      <c r="T92" s="258">
        <f t="array" ref="T92">_xlfn.STDEV.P(IF($E$5:$E$53=$E91,T$5:T$53))</f>
        <v>21.767774346496708</v>
      </c>
      <c r="U92" s="258">
        <f t="array" ref="U92">_xlfn.STDEV.P(IF($E$5:$E$53=$E91,U$5:U$53))</f>
        <v>3.2541695126428794E-3</v>
      </c>
      <c r="V92" s="258">
        <f t="array" ref="V92">_xlfn.STDEV.P(IF($E$5:$E$53=$E91,V$5:V$53))</f>
        <v>2.8215755983608295</v>
      </c>
      <c r="W92" s="256">
        <f t="array" ref="W92">_xlfn.STDEV.P(IF($E$5:$E$53=$E91,W$5:W$53))</f>
        <v>0</v>
      </c>
      <c r="X92" s="81" t="s">
        <v>12</v>
      </c>
      <c r="Y92" s="90">
        <f t="array" ref="Y92">_xlfn.STDEV.P(IF($E$5:$E$53=$E91,Y$5:Y$53))</f>
        <v>28.010287153851472</v>
      </c>
      <c r="Z92" s="90">
        <f t="array" ref="Z92">_xlfn.STDEV.P(IF($E$5:$E$53=$E91,Z$5:Z$53))</f>
        <v>38.573779616190073</v>
      </c>
      <c r="AA92" s="90">
        <f t="array" ref="AA92">_xlfn.STDEV.P(IF($E$5:$E$53=$E91,AA$5:AA$53))</f>
        <v>34.555341821856516</v>
      </c>
      <c r="AB92" s="90">
        <f t="array" ref="AB92">_xlfn.STDEV.P(IF($E$5:$E$53=$E91,AB$5:AB$53))</f>
        <v>79.286136931445512</v>
      </c>
      <c r="AC92" s="90">
        <f t="array" ref="AC92">_xlfn.STDEV.P(IF($E$5:$E$53=$E91,AC$5:AC$53))</f>
        <v>45.987421064446778</v>
      </c>
      <c r="AD92" s="90">
        <f t="array" ref="AD92">_xlfn.STDEV.P(IF($E$5:$E$53=$E91,AD$5:AD$53))</f>
        <v>44.57850943438708</v>
      </c>
      <c r="AE92" s="90">
        <f t="array" ref="AE92">_xlfn.STDEV.P(IF($E$5:$E$53=$E91,AE$5:AE$53))</f>
        <v>35.396888381669811</v>
      </c>
      <c r="AF92" s="90">
        <f t="array" ref="AF92">_xlfn.STDEV.P(IF($E$5:$E$53=$E91,AF$5:AF$53))</f>
        <v>52.055607249552772</v>
      </c>
      <c r="AG92" s="90">
        <f t="array" ref="AG92">_xlfn.STDEV.P(IF($E$5:$E$53=$E91,AG$5:AG$53))</f>
        <v>75.217659158909868</v>
      </c>
      <c r="AH92" s="90">
        <f t="array" ref="AH92">_xlfn.STDEV.P(IF($E$5:$E$53=$E91,AH$5:AH$53))</f>
        <v>61.853755054028674</v>
      </c>
      <c r="AI92" s="90">
        <f t="array" ref="AI92">_xlfn.STDEV.P(IF($E$5:$E$53=$E91,AI$5:AI$53))</f>
        <v>54.305865594780229</v>
      </c>
      <c r="AJ92" s="90">
        <f t="array" ref="AJ92">_xlfn.STDEV.P(IF($E$5:$E$53=$E91,AJ$5:AJ$53))</f>
        <v>65.396899079912146</v>
      </c>
      <c r="AK92" s="90">
        <f t="array" ref="AK92">_xlfn.STDEV.P(IF($E$5:$E$53=$E91,AK$5:AK$53))</f>
        <v>64.543666078152569</v>
      </c>
      <c r="AL92" s="90">
        <f t="array" ref="AL92">_xlfn.STDEV.P(IF($E$5:$E$53=$E91,AL$5:AL$53))</f>
        <v>77.308423443822434</v>
      </c>
      <c r="AM92" s="90">
        <f t="array" ref="AM92">_xlfn.STDEV.P(IF($E$5:$E$53=$E91,AM$5:AM$53))</f>
        <v>143.09887481142565</v>
      </c>
      <c r="AN92" s="90">
        <f t="array" ref="AN92">_xlfn.STDEV.P(IF($E$5:$E$53=$E91,AN$5:AN$53))</f>
        <v>146.94474328287259</v>
      </c>
      <c r="AO92" s="90">
        <f t="array" ref="AO92">_xlfn.STDEV.P(IF($E$5:$E$53=$E91,AO$5:AO$53))</f>
        <v>189.0042989262337</v>
      </c>
      <c r="AP92" s="90">
        <f t="array" ref="AP92">_xlfn.STDEV.P(IF($E$5:$E$53=$E91,AP$5:AP$53))</f>
        <v>205.43000742949147</v>
      </c>
      <c r="AQ92" s="90">
        <f t="array" ref="AQ92">_xlfn.STDEV.P(IF($E$5:$E$53=$E91,AQ$5:AQ$53))</f>
        <v>207.88710871397731</v>
      </c>
      <c r="AR92" s="90">
        <f t="array" ref="AR92">_xlfn.STDEV.P(IF($E$5:$E$53=$E91,AR$5:AR$53))</f>
        <v>278.83114781371791</v>
      </c>
      <c r="AS92" s="90">
        <f t="array" ref="AS92">_xlfn.STDEV.P(IF($E$5:$E$53=$E91,AS$5:AS$53))</f>
        <v>318.99934057024478</v>
      </c>
      <c r="AT92" s="90">
        <f t="array" ref="AT92">_xlfn.STDEV.P(IF($E$5:$E$53=$E91,AT$5:AT$53))</f>
        <v>361.56121949532826</v>
      </c>
      <c r="AU92" s="90">
        <f t="array" ref="AU92">_xlfn.STDEV.P(IF($E$5:$E$53=$E91,AU$5:AU$53))</f>
        <v>444.16392835330174</v>
      </c>
      <c r="AV92" s="90">
        <f t="array" ref="AV92">_xlfn.STDEV.P(IF($E$5:$E$53=$E91,AV$5:AV$53))</f>
        <v>674.4422706955811</v>
      </c>
      <c r="AW92" s="90">
        <f t="array" ref="AW92">_xlfn.STDEV.P(IF($E$5:$E$53=$E91,AW$5:AW$53))</f>
        <v>425.75</v>
      </c>
      <c r="AX92" s="90">
        <f t="array" ref="AX92">_xlfn.STDEV.P(IF($E$5:$E$53=$E91,AX$5:AX$53))</f>
        <v>517.99654400000009</v>
      </c>
      <c r="AY92" s="90">
        <f t="array" ref="AY92">_xlfn.STDEV.P(IF($E$5:$E$53=$E91,AY$5:AY$53))</f>
        <v>768.90111999999999</v>
      </c>
      <c r="AZ92" s="90">
        <f t="array" ref="AZ92">_xlfn.STDEV.P(IF($E$5:$E$53=$E91,AZ$5:AZ$53))</f>
        <v>0</v>
      </c>
      <c r="BA92" s="90">
        <f t="array" ref="BA92">_xlfn.STDEV.P(IF($E$5:$E$53=$E91,BA$5:BA$53))</f>
        <v>0</v>
      </c>
      <c r="BB92" s="90">
        <f t="array" ref="BB92">_xlfn.STDEV.P(IF($E$5:$E$53=$E91,BB$5:BB$53))</f>
        <v>0</v>
      </c>
      <c r="BC92" s="90">
        <f t="array" ref="BC92">_xlfn.STDEV.P(IF($E$5:$E$53=$E91,BC$5:BC$53))</f>
        <v>0</v>
      </c>
      <c r="BD92" s="90">
        <f t="array" ref="BD92">_xlfn.STDEV.P(IF($E$5:$E$53=$E91,BD$5:BD$53))</f>
        <v>0</v>
      </c>
      <c r="BE92" s="90">
        <f t="array" ref="BE92">_xlfn.STDEV.P(IF($E$5:$E$53=$E91,BE$5:BE$53))</f>
        <v>0</v>
      </c>
      <c r="BF92" s="90">
        <f t="array" ref="BF92">_xlfn.STDEV.P(IF($E$5:$E$53=$E91,BF$5:BF$53))</f>
        <v>0</v>
      </c>
      <c r="BG92" s="90">
        <f t="array" ref="BG92">_xlfn.STDEV.P(IF($E$5:$E$53=$E91,BG$5:BG$53))</f>
        <v>0</v>
      </c>
      <c r="BH92" s="90">
        <f t="array" ref="BH92">_xlfn.STDEV.P(IF($E$5:$E$53=$E91,BH$5:BH$53))</f>
        <v>0</v>
      </c>
      <c r="BI92" s="90">
        <f t="array" ref="BI92">_xlfn.STDEV.P(IF($E$5:$E$53=$E91,BI$5:BI$53))</f>
        <v>0</v>
      </c>
      <c r="BJ92" s="90">
        <f t="array" ref="BJ92">_xlfn.STDEV.P(IF($E$5:$E$53=$E91,BJ$5:BJ$53))</f>
        <v>0</v>
      </c>
      <c r="BK92" s="90">
        <f t="array" ref="BK92">_xlfn.STDEV.P(IF($E$5:$E$53=$E91,BK$5:BK$53))</f>
        <v>0</v>
      </c>
      <c r="BL92" s="90">
        <f t="array" ref="BL92">_xlfn.STDEV.P(IF($E$5:$E$53=$E91,BL$5:BL$53))</f>
        <v>0</v>
      </c>
      <c r="BM92" s="90">
        <f t="array" ref="BM92">_xlfn.STDEV.P(IF($E$5:$E$53=$E91,BM$5:BM$53))</f>
        <v>0</v>
      </c>
      <c r="BN92" s="90">
        <f t="array" ref="BN92">_xlfn.STDEV.P(IF($E$5:$E$53=$E91,BN$5:BN$53))</f>
        <v>0</v>
      </c>
      <c r="BO92" s="90">
        <f t="array" ref="BO92">_xlfn.STDEV.P(IF($E$5:$E$53=$E91,BO$5:BO$53))</f>
        <v>0</v>
      </c>
      <c r="BP92" s="90">
        <f t="array" ref="BP92">_xlfn.STDEV.P(IF($E$5:$E$53=$E91,BP$5:BP$53))</f>
        <v>0</v>
      </c>
      <c r="BQ92" s="115" t="s">
        <v>12</v>
      </c>
      <c r="BR92" s="83">
        <f t="array" ref="BR92">_xlfn.STDEV.P(IF($E$5:$E$53=$E91,BR$5:BR$53))</f>
        <v>0.24737430451857903</v>
      </c>
      <c r="BS92" s="83">
        <f t="array" ref="BS92">_xlfn.STDEV.P(IF($E$5:$E$53=$E91,BS$5:BS$53))</f>
        <v>0.24204625492211762</v>
      </c>
      <c r="BT92" s="83">
        <f t="array" ref="BT92">_xlfn.STDEV.P(IF($E$5:$E$53=$E91,BT$5:BT$53))</f>
        <v>0</v>
      </c>
      <c r="BU92" s="83">
        <f t="array" ref="BU92">_xlfn.STDEV.P(IF($E$5:$E$53=$E91,BU$5:BU$53))</f>
        <v>0.43794870931705848</v>
      </c>
      <c r="BV92" s="83">
        <f t="array" ref="BV92">_xlfn.STDEV.P(IF($E$5:$E$53=$E91,BV$5:BV$53))</f>
        <v>0.30229524818638148</v>
      </c>
      <c r="BW92" s="83">
        <f t="array" ref="BW92">_xlfn.STDEV.P(IF($E$5:$E$53=$E91,BW$5:BW$53))</f>
        <v>0.46683907097752425</v>
      </c>
      <c r="BX92" s="83">
        <f t="array" ref="BX92">_xlfn.STDEV.P(IF($E$5:$E$53=$E91,BX$5:BX$53))</f>
        <v>0.28995684943579125</v>
      </c>
      <c r="BY92" s="83">
        <f t="array" ref="BY92">_xlfn.STDEV.P(IF($E$5:$E$53=$E91,BY$5:BY$53))</f>
        <v>0.19833085102812495</v>
      </c>
      <c r="BZ92" s="83">
        <f t="array" ref="BZ92">_xlfn.STDEV.P(IF($E$5:$E$53=$E91,BZ$5:BZ$53))</f>
        <v>0.20120468750482579</v>
      </c>
      <c r="CA92" s="83">
        <f t="array" ref="CA92">_xlfn.STDEV.P(IF($E$5:$E$53=$E91,CA$5:CA$53))</f>
        <v>0.28657348546504985</v>
      </c>
      <c r="CB92" s="83">
        <f t="array" ref="CB92">_xlfn.STDEV.P(IF($E$5:$E$53=$E91,CB$5:CB$53))</f>
        <v>0.4788523106462021</v>
      </c>
      <c r="CC92" s="83">
        <f t="array" ref="CC92">_xlfn.STDEV.P(IF($E$5:$E$53=$E91,CC$5:CC$53))</f>
        <v>0.19873369038337085</v>
      </c>
      <c r="CD92" s="83">
        <f t="array" ref="CD92">_xlfn.STDEV.P(IF($E$5:$E$53=$E91,CD$5:CD$53))</f>
        <v>0.53953254446417898</v>
      </c>
      <c r="CE92" s="83">
        <f t="array" ref="CE92">_xlfn.STDEV.P(IF($E$5:$E$53=$E91,CE$5:CE$53))</f>
        <v>0.38907724729946519</v>
      </c>
      <c r="CF92" s="83">
        <f t="array" ref="CF92">_xlfn.STDEV.P(IF($E$5:$E$53=$E91,CF$5:CF$53))</f>
        <v>0.99536834459763612</v>
      </c>
      <c r="CG92" s="83">
        <f t="array" ref="CG92">_xlfn.STDEV.P(IF($E$5:$E$53=$E91,CG$5:CG$53))</f>
        <v>0.76283631507132565</v>
      </c>
      <c r="CH92" s="83">
        <f t="array" ref="CH92">_xlfn.STDEV.P(IF($E$5:$E$53=$E91,CH$5:CH$53))</f>
        <v>1.7414848034710637</v>
      </c>
      <c r="CI92" s="83">
        <f t="array" ref="CI92">_xlfn.STDEV.P(IF($E$5:$E$53=$E91,CI$5:CI$53))</f>
        <v>1.2382857723144405</v>
      </c>
      <c r="CJ92" s="83">
        <f t="array" ref="CJ92">_xlfn.STDEV.P(IF($E$5:$E$53=$E91,CJ$5:CJ$53))</f>
        <v>1.3397925385962515</v>
      </c>
      <c r="CK92" s="83">
        <f t="array" ref="CK92">_xlfn.STDEV.P(IF($E$5:$E$53=$E91,CK$5:CK$53))</f>
        <v>2.3342511577312175</v>
      </c>
      <c r="CL92" s="83">
        <f t="array" ref="CL92">_xlfn.STDEV.P(IF($E$5:$E$53=$E91,CL$5:CL$53))</f>
        <v>2.4263255051565813</v>
      </c>
      <c r="CM92" s="83">
        <f t="array" ref="CM92">_xlfn.STDEV.P(IF($E$5:$E$53=$E91,CM$5:CM$53))</f>
        <v>2.7148370107447488</v>
      </c>
      <c r="CN92" s="83">
        <f t="array" ref="CN92">_xlfn.STDEV.P(IF($E$5:$E$53=$E91,CN$5:CN$53))</f>
        <v>3.8174162247859664</v>
      </c>
      <c r="CO92" s="83">
        <f t="array" ref="CO92">_xlfn.STDEV.P(IF($E$5:$E$53=$E91,CO$5:CO$53))</f>
        <v>2.7269712665183081</v>
      </c>
      <c r="CP92" s="83">
        <f t="array" ref="CP92">_xlfn.STDEV.P(IF($E$5:$E$53=$E91,CP$5:CP$53))</f>
        <v>0</v>
      </c>
      <c r="CQ92" s="83">
        <f t="array" ref="CQ92">_xlfn.STDEV.P(IF($E$5:$E$53=$E91,CQ$5:CQ$53))</f>
        <v>0</v>
      </c>
      <c r="CR92" s="83">
        <f t="array" ref="CR92">_xlfn.STDEV.P(IF($E$5:$E$53=$E91,CR$5:CR$53))</f>
        <v>0</v>
      </c>
      <c r="CS92" s="83" t="e">
        <f t="array" ref="CS92">_xlfn.STDEV.P(IF($E$5:$E$53=$E91,CS$5:CS$53))</f>
        <v>#DIV/0!</v>
      </c>
      <c r="CT92" s="83" t="e">
        <f t="array" ref="CT92">_xlfn.STDEV.P(IF($E$5:$E$53=$E91,CT$5:CT$53))</f>
        <v>#DIV/0!</v>
      </c>
      <c r="CU92" s="83" t="e">
        <f t="array" ref="CU92">_xlfn.STDEV.P(IF($E$5:$E$53=$E91,CU$5:CU$53))</f>
        <v>#DIV/0!</v>
      </c>
      <c r="CV92" s="83" t="e">
        <f t="array" ref="CV92">_xlfn.STDEV.P(IF($E$5:$E$53=$E91,CV$5:CV$53))</f>
        <v>#DIV/0!</v>
      </c>
      <c r="CW92" s="83" t="e">
        <f t="array" ref="CW92">_xlfn.STDEV.P(IF($E$5:$E$53=$E91,CW$5:CW$53))</f>
        <v>#DIV/0!</v>
      </c>
      <c r="CX92" s="83" t="e">
        <f t="array" ref="CX92">_xlfn.STDEV.P(IF($E$5:$E$53=$E91,CX$5:CX$53))</f>
        <v>#DIV/0!</v>
      </c>
      <c r="CY92" s="83" t="e">
        <f t="array" ref="CY92">_xlfn.STDEV.P(IF($E$5:$E$53=$E91,CY$5:CY$53))</f>
        <v>#DIV/0!</v>
      </c>
      <c r="CZ92" s="83" t="e">
        <f t="array" ref="CZ92">_xlfn.STDEV.P(IF($E$5:$E$53=$E91,CZ$5:CZ$53))</f>
        <v>#DIV/0!</v>
      </c>
      <c r="DA92" s="83" t="e">
        <f t="array" ref="DA92">_xlfn.STDEV.P(IF($E$5:$E$53=$E91,DA$5:DA$53))</f>
        <v>#DIV/0!</v>
      </c>
      <c r="DB92" s="83" t="e">
        <f t="array" ref="DB92">_xlfn.STDEV.P(IF($E$5:$E$53=$E91,DB$5:DB$53))</f>
        <v>#DIV/0!</v>
      </c>
      <c r="DC92" s="83" t="e">
        <f t="array" ref="DC92">_xlfn.STDEV.P(IF($E$5:$E$53=$E91,DC$5:DC$53))</f>
        <v>#DIV/0!</v>
      </c>
      <c r="DD92" s="83" t="e">
        <f t="array" ref="DD92">_xlfn.STDEV.P(IF($E$5:$E$53=$E91,DD$5:DD$53))</f>
        <v>#DIV/0!</v>
      </c>
      <c r="DE92" s="83" t="e">
        <f t="array" ref="DE92">_xlfn.STDEV.P(IF($E$5:$E$53=$E91,DE$5:DE$53))</f>
        <v>#DIV/0!</v>
      </c>
      <c r="DF92" s="83" t="e">
        <f t="array" ref="DF92">_xlfn.STDEV.P(IF($E$5:$E$53=$E91,DF$5:DF$53))</f>
        <v>#DIV/0!</v>
      </c>
      <c r="DG92" s="83" t="e">
        <f t="array" ref="DG92">_xlfn.STDEV.P(IF($E$5:$E$53=$E91,DG$5:DG$53))</f>
        <v>#DIV/0!</v>
      </c>
      <c r="DH92" s="83" t="e">
        <f t="array" ref="DH92">_xlfn.STDEV.P(IF($E$5:$E$53=$E91,DH$5:DH$53))</f>
        <v>#DIV/0!</v>
      </c>
      <c r="DI92" s="83" t="e">
        <f t="array" ref="DI92">_xlfn.STDEV.P(IF($E$5:$E$53=$E91,DI$5:DI$53))</f>
        <v>#DIV/0!</v>
      </c>
    </row>
    <row r="93" spans="1:127" ht="15">
      <c r="A93" s="129"/>
      <c r="E93" s="134"/>
      <c r="H93" s="58"/>
      <c r="J93" s="63"/>
      <c r="K93" s="63"/>
      <c r="L93" s="63"/>
      <c r="N93" s="63"/>
      <c r="R93" s="176"/>
      <c r="S93" s="253"/>
      <c r="T93" s="253"/>
      <c r="U93" s="253"/>
      <c r="V93" s="253"/>
      <c r="W93" s="63"/>
    </row>
    <row r="94" spans="1:127" ht="14.25" customHeight="1">
      <c r="A94" s="129"/>
      <c r="E94" s="134" t="str">
        <f>'PTX_DOSE Groups'!C16</f>
        <v>Excluded</v>
      </c>
      <c r="H94" s="134" t="str">
        <f>E94</f>
        <v>Excluded</v>
      </c>
      <c r="I94" s="256">
        <f>AVERAGEIF($E$5:$E$53,$E94,I$5:I$53)</f>
        <v>30.3</v>
      </c>
      <c r="J94" s="256"/>
      <c r="K94" s="256"/>
      <c r="L94" s="256"/>
      <c r="M94" s="256">
        <f t="shared" ref="M94:W94" si="60">AVERAGEIF($E$5:$E$53,$E94,M$5:M$53)</f>
        <v>30.576000000000001</v>
      </c>
      <c r="N94" s="256">
        <f t="shared" si="60"/>
        <v>10.196428571428571</v>
      </c>
      <c r="O94" s="256">
        <f t="shared" si="60"/>
        <v>101.92</v>
      </c>
      <c r="P94" s="256">
        <f t="shared" si="60"/>
        <v>10.192</v>
      </c>
      <c r="Q94" s="256">
        <f t="shared" si="60"/>
        <v>374</v>
      </c>
      <c r="R94" s="257" t="e">
        <f t="shared" si="60"/>
        <v>#DIV/0!</v>
      </c>
      <c r="S94" s="258">
        <f t="shared" si="60"/>
        <v>12.231815803244375</v>
      </c>
      <c r="T94" s="258">
        <f t="shared" si="60"/>
        <v>269</v>
      </c>
      <c r="U94" s="258">
        <f t="shared" si="60"/>
        <v>22.194719471947199</v>
      </c>
      <c r="V94" s="258">
        <f t="shared" si="60"/>
        <v>21.994374672946105</v>
      </c>
      <c r="W94" s="256" t="e">
        <f t="shared" si="60"/>
        <v>#DIV/0!</v>
      </c>
      <c r="X94" s="81" t="s">
        <v>10</v>
      </c>
      <c r="Y94" s="87">
        <f t="shared" ref="Y94:BP94" si="61">AVERAGEIF($E$5:$E$53,$E94,Y$5:Y$53)</f>
        <v>25.482599999999998</v>
      </c>
      <c r="Z94" s="87">
        <f t="shared" si="61"/>
        <v>33.789599999999993</v>
      </c>
      <c r="AA94" s="87">
        <f t="shared" si="61"/>
        <v>30.576000000000001</v>
      </c>
      <c r="AB94" s="87">
        <f t="shared" si="61"/>
        <v>58.566039999999994</v>
      </c>
      <c r="AC94" s="87">
        <f t="shared" si="61"/>
        <v>134.78400000000002</v>
      </c>
      <c r="AD94" s="87">
        <f t="shared" si="61"/>
        <v>194.76288</v>
      </c>
      <c r="AE94" s="87">
        <f t="shared" si="61"/>
        <v>129.44672</v>
      </c>
      <c r="AF94" s="87">
        <f t="shared" si="61"/>
        <v>132.17152000000002</v>
      </c>
      <c r="AG94" s="87">
        <f t="shared" si="61"/>
        <v>109.81620000000002</v>
      </c>
      <c r="AH94" s="87">
        <f t="shared" si="61"/>
        <v>210.91199999999998</v>
      </c>
      <c r="AI94" s="87">
        <f t="shared" si="61"/>
        <v>137.56912000000003</v>
      </c>
      <c r="AJ94" s="87">
        <f t="shared" si="61"/>
        <v>438.04800000000006</v>
      </c>
      <c r="AK94" s="87">
        <f t="shared" si="61"/>
        <v>464.60700000000003</v>
      </c>
      <c r="AL94" s="87">
        <f t="shared" si="61"/>
        <v>499.05335999999988</v>
      </c>
      <c r="AM94" s="87">
        <f t="shared" si="61"/>
        <v>648.54192</v>
      </c>
      <c r="AN94" s="87">
        <f t="shared" si="61"/>
        <v>904.02155999999991</v>
      </c>
      <c r="AO94" s="87">
        <f t="shared" si="61"/>
        <v>959.72032000000002</v>
      </c>
      <c r="AP94" s="87">
        <f t="shared" si="61"/>
        <v>1015.4310400000001</v>
      </c>
      <c r="AQ94" s="87">
        <f t="shared" si="61"/>
        <v>1336.2570000000001</v>
      </c>
      <c r="AR94" s="87">
        <f t="shared" si="61"/>
        <v>1400.568</v>
      </c>
      <c r="AS94" s="87">
        <f t="shared" si="61"/>
        <v>1953.9</v>
      </c>
      <c r="AT94" s="87" t="e">
        <f t="shared" si="61"/>
        <v>#DIV/0!</v>
      </c>
      <c r="AU94" s="87" t="e">
        <f t="shared" si="61"/>
        <v>#DIV/0!</v>
      </c>
      <c r="AV94" s="87" t="e">
        <f t="shared" si="61"/>
        <v>#DIV/0!</v>
      </c>
      <c r="AW94" s="87" t="e">
        <f t="shared" si="61"/>
        <v>#DIV/0!</v>
      </c>
      <c r="AX94" s="87" t="e">
        <f t="shared" si="61"/>
        <v>#DIV/0!</v>
      </c>
      <c r="AY94" s="87" t="e">
        <f t="shared" si="61"/>
        <v>#DIV/0!</v>
      </c>
      <c r="AZ94" s="87" t="e">
        <f t="shared" si="61"/>
        <v>#DIV/0!</v>
      </c>
      <c r="BA94" s="87" t="e">
        <f t="shared" si="61"/>
        <v>#DIV/0!</v>
      </c>
      <c r="BB94" s="87" t="e">
        <f t="shared" si="61"/>
        <v>#DIV/0!</v>
      </c>
      <c r="BC94" s="87" t="e">
        <f t="shared" si="61"/>
        <v>#DIV/0!</v>
      </c>
      <c r="BD94" s="87" t="e">
        <f t="shared" si="61"/>
        <v>#DIV/0!</v>
      </c>
      <c r="BE94" s="87" t="e">
        <f t="shared" si="61"/>
        <v>#DIV/0!</v>
      </c>
      <c r="BF94" s="87" t="e">
        <f t="shared" si="61"/>
        <v>#DIV/0!</v>
      </c>
      <c r="BG94" s="87" t="e">
        <f t="shared" si="61"/>
        <v>#DIV/0!</v>
      </c>
      <c r="BH94" s="87" t="e">
        <f t="shared" si="61"/>
        <v>#DIV/0!</v>
      </c>
      <c r="BI94" s="87" t="e">
        <f t="shared" si="61"/>
        <v>#DIV/0!</v>
      </c>
      <c r="BJ94" s="87" t="e">
        <f t="shared" si="61"/>
        <v>#DIV/0!</v>
      </c>
      <c r="BK94" s="87" t="e">
        <f t="shared" si="61"/>
        <v>#DIV/0!</v>
      </c>
      <c r="BL94" s="87" t="e">
        <f t="shared" si="61"/>
        <v>#DIV/0!</v>
      </c>
      <c r="BM94" s="87" t="e">
        <f t="shared" si="61"/>
        <v>#DIV/0!</v>
      </c>
      <c r="BN94" s="87" t="e">
        <f t="shared" si="61"/>
        <v>#DIV/0!</v>
      </c>
      <c r="BO94" s="87" t="e">
        <f t="shared" si="61"/>
        <v>#DIV/0!</v>
      </c>
      <c r="BP94" s="87" t="e">
        <f t="shared" si="61"/>
        <v>#DIV/0!</v>
      </c>
      <c r="BQ94" s="114" t="s">
        <v>10</v>
      </c>
      <c r="BR94" s="82">
        <f t="shared" ref="BR94:DI94" si="62">AVERAGEIF($E$5:$E$53,$E94,BR$5:BR$53)</f>
        <v>0.83341836734693875</v>
      </c>
      <c r="BS94" s="82">
        <f t="shared" si="62"/>
        <v>1.1051020408163263</v>
      </c>
      <c r="BT94" s="82">
        <f t="shared" si="62"/>
        <v>1</v>
      </c>
      <c r="BU94" s="82">
        <f t="shared" si="62"/>
        <v>1.9154251700680269</v>
      </c>
      <c r="BV94" s="82">
        <f t="shared" si="62"/>
        <v>4.4081632653061229</v>
      </c>
      <c r="BW94" s="82">
        <f t="shared" si="62"/>
        <v>6.3697959183673465</v>
      </c>
      <c r="BX94" s="82">
        <f t="shared" si="62"/>
        <v>4.233605442176871</v>
      </c>
      <c r="BY94" s="82">
        <f t="shared" si="62"/>
        <v>4.3227210884353742</v>
      </c>
      <c r="BZ94" s="82">
        <f t="shared" si="62"/>
        <v>3.5915816326530621</v>
      </c>
      <c r="CA94" s="82">
        <f t="shared" si="62"/>
        <v>6.8979591836734686</v>
      </c>
      <c r="CB94" s="82">
        <f t="shared" si="62"/>
        <v>4.499251700680273</v>
      </c>
      <c r="CC94" s="82">
        <f t="shared" si="62"/>
        <v>14.3265306122449</v>
      </c>
      <c r="CD94" s="82">
        <f t="shared" si="62"/>
        <v>15.19515306122449</v>
      </c>
      <c r="CE94" s="82">
        <f t="shared" si="62"/>
        <v>16.321734693877548</v>
      </c>
      <c r="CF94" s="82">
        <f t="shared" si="62"/>
        <v>21.210816326530612</v>
      </c>
      <c r="CG94" s="82">
        <f t="shared" si="62"/>
        <v>29.566377551020405</v>
      </c>
      <c r="CH94" s="82">
        <f t="shared" si="62"/>
        <v>31.388027210884353</v>
      </c>
      <c r="CI94" s="82">
        <f t="shared" si="62"/>
        <v>33.210068027210887</v>
      </c>
      <c r="CJ94" s="82">
        <f t="shared" si="62"/>
        <v>43.702806122448983</v>
      </c>
      <c r="CK94" s="82">
        <f t="shared" si="62"/>
        <v>45.806122448979593</v>
      </c>
      <c r="CL94" s="82">
        <f t="shared" si="62"/>
        <v>63.903061224489797</v>
      </c>
      <c r="CM94" s="82" t="e">
        <f t="shared" si="62"/>
        <v>#DIV/0!</v>
      </c>
      <c r="CN94" s="82" t="e">
        <f t="shared" si="62"/>
        <v>#DIV/0!</v>
      </c>
      <c r="CO94" s="82" t="e">
        <f t="shared" si="62"/>
        <v>#DIV/0!</v>
      </c>
      <c r="CP94" s="82" t="e">
        <f t="shared" si="62"/>
        <v>#DIV/0!</v>
      </c>
      <c r="CQ94" s="82" t="e">
        <f t="shared" si="62"/>
        <v>#DIV/0!</v>
      </c>
      <c r="CR94" s="82" t="e">
        <f t="shared" si="62"/>
        <v>#DIV/0!</v>
      </c>
      <c r="CS94" s="82" t="e">
        <f t="shared" si="62"/>
        <v>#DIV/0!</v>
      </c>
      <c r="CT94" s="82" t="e">
        <f t="shared" si="62"/>
        <v>#DIV/0!</v>
      </c>
      <c r="CU94" s="82" t="e">
        <f t="shared" si="62"/>
        <v>#DIV/0!</v>
      </c>
      <c r="CV94" s="82" t="e">
        <f t="shared" si="62"/>
        <v>#DIV/0!</v>
      </c>
      <c r="CW94" s="82" t="e">
        <f t="shared" si="62"/>
        <v>#DIV/0!</v>
      </c>
      <c r="CX94" s="82" t="e">
        <f t="shared" si="62"/>
        <v>#DIV/0!</v>
      </c>
      <c r="CY94" s="82" t="e">
        <f t="shared" si="62"/>
        <v>#DIV/0!</v>
      </c>
      <c r="CZ94" s="82" t="e">
        <f t="shared" si="62"/>
        <v>#DIV/0!</v>
      </c>
      <c r="DA94" s="82" t="e">
        <f t="shared" si="62"/>
        <v>#DIV/0!</v>
      </c>
      <c r="DB94" s="82" t="e">
        <f t="shared" si="62"/>
        <v>#DIV/0!</v>
      </c>
      <c r="DC94" s="82" t="e">
        <f t="shared" si="62"/>
        <v>#DIV/0!</v>
      </c>
      <c r="DD94" s="82" t="e">
        <f t="shared" si="62"/>
        <v>#DIV/0!</v>
      </c>
      <c r="DE94" s="82" t="e">
        <f t="shared" si="62"/>
        <v>#DIV/0!</v>
      </c>
      <c r="DF94" s="82" t="e">
        <f t="shared" si="62"/>
        <v>#DIV/0!</v>
      </c>
      <c r="DG94" s="82" t="e">
        <f t="shared" si="62"/>
        <v>#DIV/0!</v>
      </c>
      <c r="DH94" s="82" t="e">
        <f t="shared" si="62"/>
        <v>#DIV/0!</v>
      </c>
      <c r="DI94" s="82" t="e">
        <f t="shared" si="62"/>
        <v>#DIV/0!</v>
      </c>
    </row>
    <row r="95" spans="1:127" ht="14.25" customHeight="1">
      <c r="A95" s="129"/>
      <c r="E95" s="104"/>
      <c r="H95" s="104"/>
      <c r="I95" s="256">
        <f t="array" ref="I95">_xlfn.STDEV.P(IF($E$5:$E$53=$E94,I$5:I$53))</f>
        <v>0</v>
      </c>
      <c r="J95" s="256"/>
      <c r="K95" s="256"/>
      <c r="L95" s="256"/>
      <c r="M95" s="256">
        <f t="array" ref="M95">_xlfn.STDEV.P(IF($E$5:$E$53=$E94,M$5:M$53))</f>
        <v>0</v>
      </c>
      <c r="N95" s="256">
        <f t="array" ref="N95">_xlfn.STDEV.P(IF($E$5:$E$53=$E94,N$5:N$53))</f>
        <v>0</v>
      </c>
      <c r="O95" s="256">
        <f t="array" ref="O95">_xlfn.STDEV.P(IF($E$5:$E$53=$E94,O$5:O$53))</f>
        <v>0</v>
      </c>
      <c r="P95" s="256">
        <f t="array" ref="P95">_xlfn.STDEV.P(IF($E$5:$E$53=$E94,P$5:P$53))</f>
        <v>0</v>
      </c>
      <c r="Q95" s="256">
        <f t="array" ref="Q95">_xlfn.STDEV.P(IF($E$5:$E$53=$E94,Q$5:Q$53))</f>
        <v>0</v>
      </c>
      <c r="R95" s="257">
        <f t="array" ref="R95">_xlfn.STDEV.P(IF($E$5:$E$53=$E94,R$5:R$53))</f>
        <v>0</v>
      </c>
      <c r="S95" s="258">
        <f t="array" ref="S95">_xlfn.STDEV.P(IF($E$5:$E$53=$E94,S$5:S$53))</f>
        <v>0</v>
      </c>
      <c r="T95" s="258">
        <f t="array" ref="T95">_xlfn.STDEV.P(IF($E$5:$E$53=$E94,T$5:T$53))</f>
        <v>0</v>
      </c>
      <c r="U95" s="258">
        <f t="array" ref="U95">_xlfn.STDEV.P(IF($E$5:$E$53=$E94,U$5:U$53))</f>
        <v>0</v>
      </c>
      <c r="V95" s="258">
        <f t="array" ref="V95">_xlfn.STDEV.P(IF($E$5:$E$53=$E94,V$5:V$53))</f>
        <v>0</v>
      </c>
      <c r="W95" s="256">
        <f t="array" ref="W95">_xlfn.STDEV.P(IF($E$5:$E$53=$E94,W$5:W$53))</f>
        <v>0</v>
      </c>
      <c r="X95" s="81" t="s">
        <v>12</v>
      </c>
      <c r="Y95" s="90">
        <f t="array" ref="Y95">_xlfn.STDEV.P(IF($E$5:$E$53=$E94,Y$5:Y$53))</f>
        <v>0</v>
      </c>
      <c r="Z95" s="90">
        <f t="array" ref="Z95">_xlfn.STDEV.P(IF($E$5:$E$53=$E94,Z$5:Z$53))</f>
        <v>0</v>
      </c>
      <c r="AA95" s="90">
        <f t="array" ref="AA95">_xlfn.STDEV.P(IF($E$5:$E$53=$E94,AA$5:AA$53))</f>
        <v>0</v>
      </c>
      <c r="AB95" s="90">
        <f t="array" ref="AB95">_xlfn.STDEV.P(IF($E$5:$E$53=$E94,AB$5:AB$53))</f>
        <v>0</v>
      </c>
      <c r="AC95" s="90">
        <f t="array" ref="AC95">_xlfn.STDEV.P(IF($E$5:$E$53=$E94,AC$5:AC$53))</f>
        <v>0</v>
      </c>
      <c r="AD95" s="90">
        <f t="array" ref="AD95">_xlfn.STDEV.P(IF($E$5:$E$53=$E94,AD$5:AD$53))</f>
        <v>0</v>
      </c>
      <c r="AE95" s="90">
        <f t="array" ref="AE95">_xlfn.STDEV.P(IF($E$5:$E$53=$E94,AE$5:AE$53))</f>
        <v>0</v>
      </c>
      <c r="AF95" s="90">
        <f t="array" ref="AF95">_xlfn.STDEV.P(IF($E$5:$E$53=$E94,AF$5:AF$53))</f>
        <v>0</v>
      </c>
      <c r="AG95" s="90">
        <f t="array" ref="AG95">_xlfn.STDEV.P(IF($E$5:$E$53=$E94,AG$5:AG$53))</f>
        <v>0</v>
      </c>
      <c r="AH95" s="90">
        <f t="array" ref="AH95">_xlfn.STDEV.P(IF($E$5:$E$53=$E94,AH$5:AH$53))</f>
        <v>0</v>
      </c>
      <c r="AI95" s="90">
        <f t="array" ref="AI95">_xlfn.STDEV.P(IF($E$5:$E$53=$E94,AI$5:AI$53))</f>
        <v>0</v>
      </c>
      <c r="AJ95" s="90">
        <f t="array" ref="AJ95">_xlfn.STDEV.P(IF($E$5:$E$53=$E94,AJ$5:AJ$53))</f>
        <v>0</v>
      </c>
      <c r="AK95" s="90">
        <f t="array" ref="AK95">_xlfn.STDEV.P(IF($E$5:$E$53=$E94,AK$5:AK$53))</f>
        <v>0</v>
      </c>
      <c r="AL95" s="90">
        <f t="array" ref="AL95">_xlfn.STDEV.P(IF($E$5:$E$53=$E94,AL$5:AL$53))</f>
        <v>0</v>
      </c>
      <c r="AM95" s="90">
        <f t="array" ref="AM95">_xlfn.STDEV.P(IF($E$5:$E$53=$E94,AM$5:AM$53))</f>
        <v>0</v>
      </c>
      <c r="AN95" s="90">
        <f t="array" ref="AN95">_xlfn.STDEV.P(IF($E$5:$E$53=$E94,AN$5:AN$53))</f>
        <v>0</v>
      </c>
      <c r="AO95" s="90">
        <f t="array" ref="AO95">_xlfn.STDEV.P(IF($E$5:$E$53=$E94,AO$5:AO$53))</f>
        <v>0</v>
      </c>
      <c r="AP95" s="90">
        <f t="array" ref="AP95">_xlfn.STDEV.P(IF($E$5:$E$53=$E94,AP$5:AP$53))</f>
        <v>0</v>
      </c>
      <c r="AQ95" s="90">
        <f t="array" ref="AQ95">_xlfn.STDEV.P(IF($E$5:$E$53=$E94,AQ$5:AQ$53))</f>
        <v>0</v>
      </c>
      <c r="AR95" s="90">
        <f t="array" ref="AR95">_xlfn.STDEV.P(IF($E$5:$E$53=$E94,AR$5:AR$53))</f>
        <v>0</v>
      </c>
      <c r="AS95" s="90">
        <f t="array" ref="AS95">_xlfn.STDEV.P(IF($E$5:$E$53=$E94,AS$5:AS$53))</f>
        <v>0</v>
      </c>
      <c r="AT95" s="90">
        <f t="array" ref="AT95">_xlfn.STDEV.P(IF($E$5:$E$53=$E94,AT$5:AT$53))</f>
        <v>0</v>
      </c>
      <c r="AU95" s="90">
        <f t="array" ref="AU95">_xlfn.STDEV.P(IF($E$5:$E$53=$E94,AU$5:AU$53))</f>
        <v>0</v>
      </c>
      <c r="AV95" s="90">
        <f t="array" ref="AV95">_xlfn.STDEV.P(IF($E$5:$E$53=$E94,AV$5:AV$53))</f>
        <v>0</v>
      </c>
      <c r="AW95" s="90">
        <f t="array" ref="AW95">_xlfn.STDEV.P(IF($E$5:$E$53=$E94,AW$5:AW$53))</f>
        <v>0</v>
      </c>
      <c r="AX95" s="90">
        <f t="array" ref="AX95">_xlfn.STDEV.P(IF($E$5:$E$53=$E94,AX$5:AX$53))</f>
        <v>0</v>
      </c>
      <c r="AY95" s="90">
        <f t="array" ref="AY95">_xlfn.STDEV.P(IF($E$5:$E$53=$E94,AY$5:AY$53))</f>
        <v>0</v>
      </c>
      <c r="AZ95" s="90">
        <f t="array" ref="AZ95">_xlfn.STDEV.P(IF($E$5:$E$53=$E94,AZ$5:AZ$53))</f>
        <v>0</v>
      </c>
      <c r="BA95" s="90">
        <f t="array" ref="BA95">_xlfn.STDEV.P(IF($E$5:$E$53=$E94,BA$5:BA$53))</f>
        <v>0</v>
      </c>
      <c r="BB95" s="90">
        <f t="array" ref="BB95">_xlfn.STDEV.P(IF($E$5:$E$53=$E94,BB$5:BB$53))</f>
        <v>0</v>
      </c>
      <c r="BC95" s="90">
        <f t="array" ref="BC95">_xlfn.STDEV.P(IF($E$5:$E$53=$E94,BC$5:BC$53))</f>
        <v>0</v>
      </c>
      <c r="BD95" s="90">
        <f t="array" ref="BD95">_xlfn.STDEV.P(IF($E$5:$E$53=$E94,BD$5:BD$53))</f>
        <v>0</v>
      </c>
      <c r="BE95" s="90">
        <f t="array" ref="BE95">_xlfn.STDEV.P(IF($E$5:$E$53=$E94,BE$5:BE$53))</f>
        <v>0</v>
      </c>
      <c r="BF95" s="90">
        <f t="array" ref="BF95">_xlfn.STDEV.P(IF($E$5:$E$53=$E94,BF$5:BF$53))</f>
        <v>0</v>
      </c>
      <c r="BG95" s="90">
        <f t="array" ref="BG95">_xlfn.STDEV.P(IF($E$5:$E$53=$E94,BG$5:BG$53))</f>
        <v>0</v>
      </c>
      <c r="BH95" s="90">
        <f t="array" ref="BH95">_xlfn.STDEV.P(IF($E$5:$E$53=$E94,BH$5:BH$53))</f>
        <v>0</v>
      </c>
      <c r="BI95" s="90">
        <f t="array" ref="BI95">_xlfn.STDEV.P(IF($E$5:$E$53=$E94,BI$5:BI$53))</f>
        <v>0</v>
      </c>
      <c r="BJ95" s="90">
        <f t="array" ref="BJ95">_xlfn.STDEV.P(IF($E$5:$E$53=$E94,BJ$5:BJ$53))</f>
        <v>0</v>
      </c>
      <c r="BK95" s="90">
        <f t="array" ref="BK95">_xlfn.STDEV.P(IF($E$5:$E$53=$E94,BK$5:BK$53))</f>
        <v>0</v>
      </c>
      <c r="BL95" s="90">
        <f t="array" ref="BL95">_xlfn.STDEV.P(IF($E$5:$E$53=$E94,BL$5:BL$53))</f>
        <v>0</v>
      </c>
      <c r="BM95" s="90">
        <f t="array" ref="BM95">_xlfn.STDEV.P(IF($E$5:$E$53=$E94,BM$5:BM$53))</f>
        <v>0</v>
      </c>
      <c r="BN95" s="90">
        <f t="array" ref="BN95">_xlfn.STDEV.P(IF($E$5:$E$53=$E94,BN$5:BN$53))</f>
        <v>0</v>
      </c>
      <c r="BO95" s="90">
        <f t="array" ref="BO95">_xlfn.STDEV.P(IF($E$5:$E$53=$E94,BO$5:BO$53))</f>
        <v>0</v>
      </c>
      <c r="BP95" s="90">
        <f t="array" ref="BP95">_xlfn.STDEV.P(IF($E$5:$E$53=$E94,BP$5:BP$53))</f>
        <v>0</v>
      </c>
      <c r="BQ95" s="115" t="s">
        <v>12</v>
      </c>
      <c r="BR95" s="83">
        <f t="array" ref="BR95">_xlfn.STDEV.P(IF($E$5:$E$53=$E94,BR$5:BR$53))</f>
        <v>0</v>
      </c>
      <c r="BS95" s="83">
        <f t="array" ref="BS95">_xlfn.STDEV.P(IF($E$5:$E$53=$E94,BS$5:BS$53))</f>
        <v>0</v>
      </c>
      <c r="BT95" s="83">
        <f t="array" ref="BT95">_xlfn.STDEV.P(IF($E$5:$E$53=$E94,BT$5:BT$53))</f>
        <v>0</v>
      </c>
      <c r="BU95" s="83">
        <f t="array" ref="BU95">_xlfn.STDEV.P(IF($E$5:$E$53=$E94,BU$5:BU$53))</f>
        <v>0</v>
      </c>
      <c r="BV95" s="83">
        <f t="array" ref="BV95">_xlfn.STDEV.P(IF($E$5:$E$53=$E94,BV$5:BV$53))</f>
        <v>0</v>
      </c>
      <c r="BW95" s="83">
        <f t="array" ref="BW95">_xlfn.STDEV.P(IF($E$5:$E$53=$E94,BW$5:BW$53))</f>
        <v>0</v>
      </c>
      <c r="BX95" s="83">
        <f t="array" ref="BX95">_xlfn.STDEV.P(IF($E$5:$E$53=$E94,BX$5:BX$53))</f>
        <v>0</v>
      </c>
      <c r="BY95" s="83">
        <f t="array" ref="BY95">_xlfn.STDEV.P(IF($E$5:$E$53=$E94,BY$5:BY$53))</f>
        <v>0</v>
      </c>
      <c r="BZ95" s="83">
        <f t="array" ref="BZ95">_xlfn.STDEV.P(IF($E$5:$E$53=$E94,BZ$5:BZ$53))</f>
        <v>0</v>
      </c>
      <c r="CA95" s="83">
        <f t="array" ref="CA95">_xlfn.STDEV.P(IF($E$5:$E$53=$E94,CA$5:CA$53))</f>
        <v>0</v>
      </c>
      <c r="CB95" s="83">
        <f t="array" ref="CB95">_xlfn.STDEV.P(IF($E$5:$E$53=$E94,CB$5:CB$53))</f>
        <v>0</v>
      </c>
      <c r="CC95" s="83">
        <f t="array" ref="CC95">_xlfn.STDEV.P(IF($E$5:$E$53=$E94,CC$5:CC$53))</f>
        <v>0</v>
      </c>
      <c r="CD95" s="83">
        <f t="array" ref="CD95">_xlfn.STDEV.P(IF($E$5:$E$53=$E94,CD$5:CD$53))</f>
        <v>0</v>
      </c>
      <c r="CE95" s="83">
        <f t="array" ref="CE95">_xlfn.STDEV.P(IF($E$5:$E$53=$E94,CE$5:CE$53))</f>
        <v>0</v>
      </c>
      <c r="CF95" s="83">
        <f t="array" ref="CF95">_xlfn.STDEV.P(IF($E$5:$E$53=$E94,CF$5:CF$53))</f>
        <v>0</v>
      </c>
      <c r="CG95" s="83">
        <f t="array" ref="CG95">_xlfn.STDEV.P(IF($E$5:$E$53=$E94,CG$5:CG$53))</f>
        <v>0</v>
      </c>
      <c r="CH95" s="83">
        <f t="array" ref="CH95">_xlfn.STDEV.P(IF($E$5:$E$53=$E94,CH$5:CH$53))</f>
        <v>0</v>
      </c>
      <c r="CI95" s="83">
        <f t="array" ref="CI95">_xlfn.STDEV.P(IF($E$5:$E$53=$E94,CI$5:CI$53))</f>
        <v>0</v>
      </c>
      <c r="CJ95" s="83">
        <f t="array" ref="CJ95">_xlfn.STDEV.P(IF($E$5:$E$53=$E94,CJ$5:CJ$53))</f>
        <v>0</v>
      </c>
      <c r="CK95" s="83">
        <f t="array" ref="CK95">_xlfn.STDEV.P(IF($E$5:$E$53=$E94,CK$5:CK$53))</f>
        <v>0</v>
      </c>
      <c r="CL95" s="83">
        <f t="array" ref="CL95">_xlfn.STDEV.P(IF($E$5:$E$53=$E94,CL$5:CL$53))</f>
        <v>0</v>
      </c>
      <c r="CM95" s="83" t="e">
        <f t="array" ref="CM95">_xlfn.STDEV.P(IF($E$5:$E$53=$E94,CM$5:CM$53))</f>
        <v>#DIV/0!</v>
      </c>
      <c r="CN95" s="83" t="e">
        <f t="array" ref="CN95">_xlfn.STDEV.P(IF($E$5:$E$53=$E94,CN$5:CN$53))</f>
        <v>#DIV/0!</v>
      </c>
      <c r="CO95" s="83" t="e">
        <f t="array" ref="CO95">_xlfn.STDEV.P(IF($E$5:$E$53=$E94,CO$5:CO$53))</f>
        <v>#DIV/0!</v>
      </c>
      <c r="CP95" s="83" t="e">
        <f t="array" ref="CP95">_xlfn.STDEV.P(IF($E$5:$E$53=$E94,CP$5:CP$53))</f>
        <v>#DIV/0!</v>
      </c>
      <c r="CQ95" s="83" t="e">
        <f t="array" ref="CQ95">_xlfn.STDEV.P(IF($E$5:$E$53=$E94,CQ$5:CQ$53))</f>
        <v>#DIV/0!</v>
      </c>
      <c r="CR95" s="83" t="e">
        <f t="array" ref="CR95">_xlfn.STDEV.P(IF($E$5:$E$53=$E94,CR$5:CR$53))</f>
        <v>#DIV/0!</v>
      </c>
      <c r="CS95" s="83" t="e">
        <f t="array" ref="CS95">_xlfn.STDEV.P(IF($E$5:$E$53=$E94,CS$5:CS$53))</f>
        <v>#DIV/0!</v>
      </c>
      <c r="CT95" s="83" t="e">
        <f t="array" ref="CT95">_xlfn.STDEV.P(IF($E$5:$E$53=$E94,CT$5:CT$53))</f>
        <v>#DIV/0!</v>
      </c>
      <c r="CU95" s="83" t="e">
        <f t="array" ref="CU95">_xlfn.STDEV.P(IF($E$5:$E$53=$E94,CU$5:CU$53))</f>
        <v>#DIV/0!</v>
      </c>
      <c r="CV95" s="83" t="e">
        <f t="array" ref="CV95">_xlfn.STDEV.P(IF($E$5:$E$53=$E94,CV$5:CV$53))</f>
        <v>#DIV/0!</v>
      </c>
      <c r="CW95" s="83" t="e">
        <f t="array" ref="CW95">_xlfn.STDEV.P(IF($E$5:$E$53=$E94,CW$5:CW$53))</f>
        <v>#DIV/0!</v>
      </c>
      <c r="CX95" s="83" t="e">
        <f t="array" ref="CX95">_xlfn.STDEV.P(IF($E$5:$E$53=$E94,CX$5:CX$53))</f>
        <v>#DIV/0!</v>
      </c>
      <c r="CY95" s="83" t="e">
        <f t="array" ref="CY95">_xlfn.STDEV.P(IF($E$5:$E$53=$E94,CY$5:CY$53))</f>
        <v>#DIV/0!</v>
      </c>
      <c r="CZ95" s="83" t="e">
        <f t="array" ref="CZ95">_xlfn.STDEV.P(IF($E$5:$E$53=$E94,CZ$5:CZ$53))</f>
        <v>#DIV/0!</v>
      </c>
      <c r="DA95" s="83" t="e">
        <f t="array" ref="DA95">_xlfn.STDEV.P(IF($E$5:$E$53=$E94,DA$5:DA$53))</f>
        <v>#DIV/0!</v>
      </c>
      <c r="DB95" s="83" t="e">
        <f t="array" ref="DB95">_xlfn.STDEV.P(IF($E$5:$E$53=$E94,DB$5:DB$53))</f>
        <v>#DIV/0!</v>
      </c>
      <c r="DC95" s="83" t="e">
        <f t="array" ref="DC95">_xlfn.STDEV.P(IF($E$5:$E$53=$E94,DC$5:DC$53))</f>
        <v>#DIV/0!</v>
      </c>
      <c r="DD95" s="83" t="e">
        <f t="array" ref="DD95">_xlfn.STDEV.P(IF($E$5:$E$53=$E94,DD$5:DD$53))</f>
        <v>#DIV/0!</v>
      </c>
      <c r="DE95" s="83" t="e">
        <f t="array" ref="DE95">_xlfn.STDEV.P(IF($E$5:$E$53=$E94,DE$5:DE$53))</f>
        <v>#DIV/0!</v>
      </c>
      <c r="DF95" s="83" t="e">
        <f t="array" ref="DF95">_xlfn.STDEV.P(IF($E$5:$E$53=$E94,DF$5:DF$53))</f>
        <v>#DIV/0!</v>
      </c>
      <c r="DG95" s="83" t="e">
        <f t="array" ref="DG95">_xlfn.STDEV.P(IF($E$5:$E$53=$E94,DG$5:DG$53))</f>
        <v>#DIV/0!</v>
      </c>
      <c r="DH95" s="83" t="e">
        <f t="array" ref="DH95">_xlfn.STDEV.P(IF($E$5:$E$53=$E94,DH$5:DH$53))</f>
        <v>#DIV/0!</v>
      </c>
      <c r="DI95" s="83" t="e">
        <f t="array" ref="DI95">_xlfn.STDEV.P(IF($E$5:$E$53=$E94,DI$5:DI$53))</f>
        <v>#DIV/0!</v>
      </c>
    </row>
    <row r="96" spans="1:127" ht="15">
      <c r="A96" s="129"/>
      <c r="E96" s="134"/>
      <c r="H96" s="58"/>
      <c r="J96" s="63"/>
      <c r="K96" s="63"/>
      <c r="L96" s="63"/>
      <c r="N96" s="63"/>
      <c r="R96" s="176"/>
      <c r="S96" s="253"/>
      <c r="T96" s="253"/>
      <c r="U96" s="253"/>
      <c r="V96" s="253"/>
      <c r="W96" s="63"/>
    </row>
    <row r="97" spans="1:113" ht="14.25" customHeight="1">
      <c r="A97" s="129"/>
      <c r="E97" s="134" t="str">
        <f>'PTX_DOSE Groups'!C17</f>
        <v>Group 12</v>
      </c>
      <c r="H97" s="134" t="str">
        <f>E97</f>
        <v>Group 12</v>
      </c>
      <c r="I97" s="256" t="e">
        <f>AVERAGEIF($E$5:$E$53,$E97,I$5:I$53)</f>
        <v>#DIV/0!</v>
      </c>
      <c r="J97" s="256"/>
      <c r="K97" s="256"/>
      <c r="L97" s="256"/>
      <c r="M97" s="256" t="e">
        <f t="shared" ref="M97:W97" si="63">AVERAGEIF($E$5:$E$53,$E97,M$5:M$53)</f>
        <v>#DIV/0!</v>
      </c>
      <c r="N97" s="256" t="e">
        <f t="shared" si="63"/>
        <v>#DIV/0!</v>
      </c>
      <c r="O97" s="256" t="e">
        <f t="shared" si="63"/>
        <v>#DIV/0!</v>
      </c>
      <c r="P97" s="256" t="e">
        <f t="shared" si="63"/>
        <v>#DIV/0!</v>
      </c>
      <c r="Q97" s="256" t="e">
        <f t="shared" si="63"/>
        <v>#DIV/0!</v>
      </c>
      <c r="R97" s="257" t="e">
        <f t="shared" si="63"/>
        <v>#DIV/0!</v>
      </c>
      <c r="S97" s="258" t="e">
        <f t="shared" si="63"/>
        <v>#DIV/0!</v>
      </c>
      <c r="T97" s="258" t="e">
        <f t="shared" si="63"/>
        <v>#DIV/0!</v>
      </c>
      <c r="U97" s="258" t="e">
        <f t="shared" si="63"/>
        <v>#DIV/0!</v>
      </c>
      <c r="V97" s="258" t="e">
        <f t="shared" si="63"/>
        <v>#DIV/0!</v>
      </c>
      <c r="W97" s="256" t="e">
        <f t="shared" si="63"/>
        <v>#DIV/0!</v>
      </c>
      <c r="X97" s="81" t="s">
        <v>10</v>
      </c>
      <c r="Y97" s="87" t="e">
        <f t="shared" ref="Y97:BP97" si="64">AVERAGEIF($E$5:$E$53,$E97,Y$5:Y$53)</f>
        <v>#DIV/0!</v>
      </c>
      <c r="Z97" s="87" t="e">
        <f t="shared" si="64"/>
        <v>#DIV/0!</v>
      </c>
      <c r="AA97" s="87" t="e">
        <f t="shared" si="64"/>
        <v>#DIV/0!</v>
      </c>
      <c r="AB97" s="87" t="e">
        <f t="shared" si="64"/>
        <v>#DIV/0!</v>
      </c>
      <c r="AC97" s="87" t="e">
        <f t="shared" si="64"/>
        <v>#DIV/0!</v>
      </c>
      <c r="AD97" s="87" t="e">
        <f t="shared" si="64"/>
        <v>#DIV/0!</v>
      </c>
      <c r="AE97" s="87" t="e">
        <f t="shared" si="64"/>
        <v>#DIV/0!</v>
      </c>
      <c r="AF97" s="87" t="e">
        <f t="shared" si="64"/>
        <v>#DIV/0!</v>
      </c>
      <c r="AG97" s="87" t="e">
        <f t="shared" si="64"/>
        <v>#DIV/0!</v>
      </c>
      <c r="AH97" s="87" t="e">
        <f t="shared" si="64"/>
        <v>#DIV/0!</v>
      </c>
      <c r="AI97" s="87" t="e">
        <f t="shared" si="64"/>
        <v>#DIV/0!</v>
      </c>
      <c r="AJ97" s="87" t="e">
        <f t="shared" si="64"/>
        <v>#DIV/0!</v>
      </c>
      <c r="AK97" s="87" t="e">
        <f t="shared" si="64"/>
        <v>#DIV/0!</v>
      </c>
      <c r="AL97" s="87" t="e">
        <f t="shared" si="64"/>
        <v>#DIV/0!</v>
      </c>
      <c r="AM97" s="87" t="e">
        <f t="shared" si="64"/>
        <v>#DIV/0!</v>
      </c>
      <c r="AN97" s="87" t="e">
        <f t="shared" si="64"/>
        <v>#DIV/0!</v>
      </c>
      <c r="AO97" s="87" t="e">
        <f t="shared" si="64"/>
        <v>#DIV/0!</v>
      </c>
      <c r="AP97" s="87" t="e">
        <f t="shared" si="64"/>
        <v>#DIV/0!</v>
      </c>
      <c r="AQ97" s="87" t="e">
        <f t="shared" si="64"/>
        <v>#DIV/0!</v>
      </c>
      <c r="AR97" s="87" t="e">
        <f t="shared" si="64"/>
        <v>#DIV/0!</v>
      </c>
      <c r="AS97" s="87" t="e">
        <f t="shared" si="64"/>
        <v>#DIV/0!</v>
      </c>
      <c r="AT97" s="87" t="e">
        <f t="shared" si="64"/>
        <v>#DIV/0!</v>
      </c>
      <c r="AU97" s="87" t="e">
        <f t="shared" si="64"/>
        <v>#DIV/0!</v>
      </c>
      <c r="AV97" s="87" t="e">
        <f t="shared" si="64"/>
        <v>#DIV/0!</v>
      </c>
      <c r="AW97" s="87" t="e">
        <f t="shared" si="64"/>
        <v>#DIV/0!</v>
      </c>
      <c r="AX97" s="87" t="e">
        <f t="shared" si="64"/>
        <v>#DIV/0!</v>
      </c>
      <c r="AY97" s="87" t="e">
        <f t="shared" si="64"/>
        <v>#DIV/0!</v>
      </c>
      <c r="AZ97" s="87" t="e">
        <f t="shared" si="64"/>
        <v>#DIV/0!</v>
      </c>
      <c r="BA97" s="87" t="e">
        <f t="shared" si="64"/>
        <v>#DIV/0!</v>
      </c>
      <c r="BB97" s="87" t="e">
        <f t="shared" si="64"/>
        <v>#DIV/0!</v>
      </c>
      <c r="BC97" s="87" t="e">
        <f t="shared" si="64"/>
        <v>#DIV/0!</v>
      </c>
      <c r="BD97" s="87" t="e">
        <f t="shared" si="64"/>
        <v>#DIV/0!</v>
      </c>
      <c r="BE97" s="87" t="e">
        <f t="shared" si="64"/>
        <v>#DIV/0!</v>
      </c>
      <c r="BF97" s="87" t="e">
        <f t="shared" si="64"/>
        <v>#DIV/0!</v>
      </c>
      <c r="BG97" s="87" t="e">
        <f t="shared" si="64"/>
        <v>#DIV/0!</v>
      </c>
      <c r="BH97" s="87" t="e">
        <f t="shared" si="64"/>
        <v>#DIV/0!</v>
      </c>
      <c r="BI97" s="87" t="e">
        <f t="shared" si="64"/>
        <v>#DIV/0!</v>
      </c>
      <c r="BJ97" s="87" t="e">
        <f t="shared" si="64"/>
        <v>#DIV/0!</v>
      </c>
      <c r="BK97" s="87" t="e">
        <f t="shared" si="64"/>
        <v>#DIV/0!</v>
      </c>
      <c r="BL97" s="87" t="e">
        <f t="shared" si="64"/>
        <v>#DIV/0!</v>
      </c>
      <c r="BM97" s="87" t="e">
        <f t="shared" si="64"/>
        <v>#DIV/0!</v>
      </c>
      <c r="BN97" s="87" t="e">
        <f t="shared" si="64"/>
        <v>#DIV/0!</v>
      </c>
      <c r="BO97" s="87" t="e">
        <f t="shared" si="64"/>
        <v>#DIV/0!</v>
      </c>
      <c r="BP97" s="87" t="e">
        <f t="shared" si="64"/>
        <v>#DIV/0!</v>
      </c>
      <c r="BQ97" s="114" t="s">
        <v>10</v>
      </c>
      <c r="BR97" s="82" t="e">
        <f t="shared" ref="BR97:DI97" si="65">AVERAGEIF($E$5:$E$53,$E97,BR$5:BR$53)</f>
        <v>#DIV/0!</v>
      </c>
      <c r="BS97" s="82" t="e">
        <f t="shared" si="65"/>
        <v>#DIV/0!</v>
      </c>
      <c r="BT97" s="82" t="e">
        <f t="shared" si="65"/>
        <v>#DIV/0!</v>
      </c>
      <c r="BU97" s="82" t="e">
        <f t="shared" si="65"/>
        <v>#DIV/0!</v>
      </c>
      <c r="BV97" s="82" t="e">
        <f t="shared" si="65"/>
        <v>#DIV/0!</v>
      </c>
      <c r="BW97" s="82" t="e">
        <f t="shared" si="65"/>
        <v>#DIV/0!</v>
      </c>
      <c r="BX97" s="82" t="e">
        <f t="shared" si="65"/>
        <v>#DIV/0!</v>
      </c>
      <c r="BY97" s="82" t="e">
        <f t="shared" si="65"/>
        <v>#DIV/0!</v>
      </c>
      <c r="BZ97" s="82" t="e">
        <f t="shared" si="65"/>
        <v>#DIV/0!</v>
      </c>
      <c r="CA97" s="82" t="e">
        <f t="shared" si="65"/>
        <v>#DIV/0!</v>
      </c>
      <c r="CB97" s="82" t="e">
        <f t="shared" si="65"/>
        <v>#DIV/0!</v>
      </c>
      <c r="CC97" s="82" t="e">
        <f t="shared" si="65"/>
        <v>#DIV/0!</v>
      </c>
      <c r="CD97" s="82" t="e">
        <f t="shared" si="65"/>
        <v>#DIV/0!</v>
      </c>
      <c r="CE97" s="82" t="e">
        <f t="shared" si="65"/>
        <v>#DIV/0!</v>
      </c>
      <c r="CF97" s="82" t="e">
        <f t="shared" si="65"/>
        <v>#DIV/0!</v>
      </c>
      <c r="CG97" s="82" t="e">
        <f t="shared" si="65"/>
        <v>#DIV/0!</v>
      </c>
      <c r="CH97" s="82" t="e">
        <f t="shared" si="65"/>
        <v>#DIV/0!</v>
      </c>
      <c r="CI97" s="82" t="e">
        <f t="shared" si="65"/>
        <v>#DIV/0!</v>
      </c>
      <c r="CJ97" s="82" t="e">
        <f t="shared" si="65"/>
        <v>#DIV/0!</v>
      </c>
      <c r="CK97" s="82" t="e">
        <f t="shared" si="65"/>
        <v>#DIV/0!</v>
      </c>
      <c r="CL97" s="82" t="e">
        <f t="shared" si="65"/>
        <v>#DIV/0!</v>
      </c>
      <c r="CM97" s="82" t="e">
        <f t="shared" si="65"/>
        <v>#DIV/0!</v>
      </c>
      <c r="CN97" s="82" t="e">
        <f t="shared" si="65"/>
        <v>#DIV/0!</v>
      </c>
      <c r="CO97" s="82" t="e">
        <f t="shared" si="65"/>
        <v>#DIV/0!</v>
      </c>
      <c r="CP97" s="82" t="e">
        <f t="shared" si="65"/>
        <v>#DIV/0!</v>
      </c>
      <c r="CQ97" s="82" t="e">
        <f t="shared" si="65"/>
        <v>#DIV/0!</v>
      </c>
      <c r="CR97" s="82" t="e">
        <f t="shared" si="65"/>
        <v>#DIV/0!</v>
      </c>
      <c r="CS97" s="82" t="e">
        <f t="shared" si="65"/>
        <v>#DIV/0!</v>
      </c>
      <c r="CT97" s="82" t="e">
        <f t="shared" si="65"/>
        <v>#DIV/0!</v>
      </c>
      <c r="CU97" s="82" t="e">
        <f t="shared" si="65"/>
        <v>#DIV/0!</v>
      </c>
      <c r="CV97" s="82" t="e">
        <f t="shared" si="65"/>
        <v>#DIV/0!</v>
      </c>
      <c r="CW97" s="82" t="e">
        <f t="shared" si="65"/>
        <v>#DIV/0!</v>
      </c>
      <c r="CX97" s="82" t="e">
        <f t="shared" si="65"/>
        <v>#DIV/0!</v>
      </c>
      <c r="CY97" s="82" t="e">
        <f t="shared" si="65"/>
        <v>#DIV/0!</v>
      </c>
      <c r="CZ97" s="82" t="e">
        <f t="shared" si="65"/>
        <v>#DIV/0!</v>
      </c>
      <c r="DA97" s="82" t="e">
        <f t="shared" si="65"/>
        <v>#DIV/0!</v>
      </c>
      <c r="DB97" s="82" t="e">
        <f t="shared" si="65"/>
        <v>#DIV/0!</v>
      </c>
      <c r="DC97" s="82" t="e">
        <f t="shared" si="65"/>
        <v>#DIV/0!</v>
      </c>
      <c r="DD97" s="82" t="e">
        <f t="shared" si="65"/>
        <v>#DIV/0!</v>
      </c>
      <c r="DE97" s="82" t="e">
        <f t="shared" si="65"/>
        <v>#DIV/0!</v>
      </c>
      <c r="DF97" s="82" t="e">
        <f t="shared" si="65"/>
        <v>#DIV/0!</v>
      </c>
      <c r="DG97" s="82" t="e">
        <f t="shared" si="65"/>
        <v>#DIV/0!</v>
      </c>
      <c r="DH97" s="82" t="e">
        <f t="shared" si="65"/>
        <v>#DIV/0!</v>
      </c>
      <c r="DI97" s="82" t="e">
        <f t="shared" si="65"/>
        <v>#DIV/0!</v>
      </c>
    </row>
    <row r="98" spans="1:113" ht="14.25" customHeight="1">
      <c r="A98" s="129"/>
      <c r="E98" s="104"/>
      <c r="H98" s="104"/>
      <c r="I98" s="256" t="e">
        <f t="array" ref="I98">_xlfn.STDEV.P(IF($E$5:$E$53=$E97,I$5:I$53))</f>
        <v>#DIV/0!</v>
      </c>
      <c r="J98" s="256"/>
      <c r="K98" s="256"/>
      <c r="L98" s="256"/>
      <c r="M98" s="256" t="e">
        <f t="array" ref="M98">_xlfn.STDEV.P(IF($E$5:$E$53=$E97,M$5:M$53))</f>
        <v>#DIV/0!</v>
      </c>
      <c r="N98" s="256" t="e">
        <f t="array" ref="N98">_xlfn.STDEV.P(IF($E$5:$E$53=$E97,N$5:N$53))</f>
        <v>#DIV/0!</v>
      </c>
      <c r="O98" s="256" t="e">
        <f t="array" ref="O98">_xlfn.STDEV.P(IF($E$5:$E$53=$E97,O$5:O$53))</f>
        <v>#DIV/0!</v>
      </c>
      <c r="P98" s="256" t="e">
        <f t="array" ref="P98">_xlfn.STDEV.P(IF($E$5:$E$53=$E97,P$5:P$53))</f>
        <v>#DIV/0!</v>
      </c>
      <c r="Q98" s="256" t="e">
        <f t="array" ref="Q98">_xlfn.STDEV.P(IF($E$5:$E$53=$E97,Q$5:Q$53))</f>
        <v>#DIV/0!</v>
      </c>
      <c r="R98" s="257" t="e">
        <f t="array" ref="R98">_xlfn.STDEV.P(IF($E$5:$E$53=$E97,R$5:R$53))</f>
        <v>#DIV/0!</v>
      </c>
      <c r="S98" s="258" t="e">
        <f t="array" ref="S98">_xlfn.STDEV.P(IF($E$5:$E$53=$E97,S$5:S$53))</f>
        <v>#DIV/0!</v>
      </c>
      <c r="T98" s="258" t="e">
        <f t="array" ref="T98">_xlfn.STDEV.P(IF($E$5:$E$53=$E97,T$5:T$53))</f>
        <v>#DIV/0!</v>
      </c>
      <c r="U98" s="258" t="e">
        <f t="array" ref="U98">_xlfn.STDEV.P(IF($E$5:$E$53=$E97,U$5:U$53))</f>
        <v>#DIV/0!</v>
      </c>
      <c r="V98" s="258" t="e">
        <f t="array" ref="V98">_xlfn.STDEV.P(IF($E$5:$E$53=$E97,V$5:V$53))</f>
        <v>#DIV/0!</v>
      </c>
      <c r="W98" s="256" t="e">
        <f t="array" ref="W98">_xlfn.STDEV.P(IF($E$5:$E$53=$E97,W$5:W$53))</f>
        <v>#DIV/0!</v>
      </c>
      <c r="X98" s="81" t="s">
        <v>12</v>
      </c>
      <c r="Y98" s="90" t="e">
        <f t="array" ref="Y98">_xlfn.STDEV.P(IF($E$5:$E$53=$E97,Y$5:Y$53))</f>
        <v>#DIV/0!</v>
      </c>
      <c r="Z98" s="90" t="e">
        <f t="array" ref="Z98">_xlfn.STDEV.P(IF($E$5:$E$53=$E97,Z$5:Z$53))</f>
        <v>#DIV/0!</v>
      </c>
      <c r="AA98" s="90" t="e">
        <f t="array" ref="AA98">_xlfn.STDEV.P(IF($E$5:$E$53=$E97,AA$5:AA$53))</f>
        <v>#DIV/0!</v>
      </c>
      <c r="AB98" s="90" t="e">
        <f t="array" ref="AB98">_xlfn.STDEV.P(IF($E$5:$E$53=$E97,AB$5:AB$53))</f>
        <v>#DIV/0!</v>
      </c>
      <c r="AC98" s="90" t="e">
        <f t="array" ref="AC98">_xlfn.STDEV.P(IF($E$5:$E$53=$E97,AC$5:AC$53))</f>
        <v>#DIV/0!</v>
      </c>
      <c r="AD98" s="90" t="e">
        <f t="array" ref="AD98">_xlfn.STDEV.P(IF($E$5:$E$53=$E97,AD$5:AD$53))</f>
        <v>#DIV/0!</v>
      </c>
      <c r="AE98" s="90" t="e">
        <f t="array" ref="AE98">_xlfn.STDEV.P(IF($E$5:$E$53=$E97,AE$5:AE$53))</f>
        <v>#DIV/0!</v>
      </c>
      <c r="AF98" s="90" t="e">
        <f t="array" ref="AF98">_xlfn.STDEV.P(IF($E$5:$E$53=$E97,AF$5:AF$53))</f>
        <v>#DIV/0!</v>
      </c>
      <c r="AG98" s="90" t="e">
        <f t="array" ref="AG98">_xlfn.STDEV.P(IF($E$5:$E$53=$E97,AG$5:AG$53))</f>
        <v>#DIV/0!</v>
      </c>
      <c r="AH98" s="90" t="e">
        <f t="array" ref="AH98">_xlfn.STDEV.P(IF($E$5:$E$53=$E97,AH$5:AH$53))</f>
        <v>#DIV/0!</v>
      </c>
      <c r="AI98" s="90" t="e">
        <f t="array" ref="AI98">_xlfn.STDEV.P(IF($E$5:$E$53=$E97,AI$5:AI$53))</f>
        <v>#DIV/0!</v>
      </c>
      <c r="AJ98" s="90" t="e">
        <f t="array" ref="AJ98">_xlfn.STDEV.P(IF($E$5:$E$53=$E97,AJ$5:AJ$53))</f>
        <v>#DIV/0!</v>
      </c>
      <c r="AK98" s="90" t="e">
        <f t="array" ref="AK98">_xlfn.STDEV.P(IF($E$5:$E$53=$E97,AK$5:AK$53))</f>
        <v>#DIV/0!</v>
      </c>
      <c r="AL98" s="90" t="e">
        <f t="array" ref="AL98">_xlfn.STDEV.P(IF($E$5:$E$53=$E97,AL$5:AL$53))</f>
        <v>#DIV/0!</v>
      </c>
      <c r="AM98" s="90" t="e">
        <f t="array" ref="AM98">_xlfn.STDEV.P(IF($E$5:$E$53=$E97,AM$5:AM$53))</f>
        <v>#DIV/0!</v>
      </c>
      <c r="AN98" s="90" t="e">
        <f t="array" ref="AN98">_xlfn.STDEV.P(IF($E$5:$E$53=$E97,AN$5:AN$53))</f>
        <v>#DIV/0!</v>
      </c>
      <c r="AO98" s="90" t="e">
        <f t="array" ref="AO98">_xlfn.STDEV.P(IF($E$5:$E$53=$E97,AO$5:AO$53))</f>
        <v>#DIV/0!</v>
      </c>
      <c r="AP98" s="90" t="e">
        <f t="array" ref="AP98">_xlfn.STDEV.P(IF($E$5:$E$53=$E97,AP$5:AP$53))</f>
        <v>#DIV/0!</v>
      </c>
      <c r="AQ98" s="90" t="e">
        <f t="array" ref="AQ98">_xlfn.STDEV.P(IF($E$5:$E$53=$E97,AQ$5:AQ$53))</f>
        <v>#DIV/0!</v>
      </c>
      <c r="AR98" s="90" t="e">
        <f t="array" ref="AR98">_xlfn.STDEV.P(IF($E$5:$E$53=$E97,AR$5:AR$53))</f>
        <v>#DIV/0!</v>
      </c>
      <c r="AS98" s="90" t="e">
        <f t="array" ref="AS98">_xlfn.STDEV.P(IF($E$5:$E$53=$E97,AS$5:AS$53))</f>
        <v>#DIV/0!</v>
      </c>
      <c r="AT98" s="90" t="e">
        <f t="array" ref="AT98">_xlfn.STDEV.P(IF($E$5:$E$53=$E97,AT$5:AT$53))</f>
        <v>#DIV/0!</v>
      </c>
      <c r="AU98" s="90" t="e">
        <f t="array" ref="AU98">_xlfn.STDEV.P(IF($E$5:$E$53=$E97,AU$5:AU$53))</f>
        <v>#DIV/0!</v>
      </c>
      <c r="AV98" s="90" t="e">
        <f t="array" ref="AV98">_xlfn.STDEV.P(IF($E$5:$E$53=$E97,AV$5:AV$53))</f>
        <v>#DIV/0!</v>
      </c>
      <c r="AW98" s="90" t="e">
        <f t="array" ref="AW98">_xlfn.STDEV.P(IF($E$5:$E$53=$E97,AW$5:AW$53))</f>
        <v>#DIV/0!</v>
      </c>
      <c r="AX98" s="90" t="e">
        <f t="array" ref="AX98">_xlfn.STDEV.P(IF($E$5:$E$53=$E97,AX$5:AX$53))</f>
        <v>#DIV/0!</v>
      </c>
      <c r="AY98" s="90" t="e">
        <f t="array" ref="AY98">_xlfn.STDEV.P(IF($E$5:$E$53=$E97,AY$5:AY$53))</f>
        <v>#DIV/0!</v>
      </c>
      <c r="AZ98" s="90" t="e">
        <f t="array" ref="AZ98">_xlfn.STDEV.P(IF($E$5:$E$53=$E97,AZ$5:AZ$53))</f>
        <v>#DIV/0!</v>
      </c>
      <c r="BA98" s="90" t="e">
        <f t="array" ref="BA98">_xlfn.STDEV.P(IF($E$5:$E$53=$E97,BA$5:BA$53))</f>
        <v>#DIV/0!</v>
      </c>
      <c r="BB98" s="90" t="e">
        <f t="array" ref="BB98">_xlfn.STDEV.P(IF($E$5:$E$53=$E97,BB$5:BB$53))</f>
        <v>#DIV/0!</v>
      </c>
      <c r="BC98" s="90" t="e">
        <f t="array" ref="BC98">_xlfn.STDEV.P(IF($E$5:$E$53=$E97,BC$5:BC$53))</f>
        <v>#DIV/0!</v>
      </c>
      <c r="BD98" s="90" t="e">
        <f t="array" ref="BD98">_xlfn.STDEV.P(IF($E$5:$E$53=$E97,BD$5:BD$53))</f>
        <v>#DIV/0!</v>
      </c>
      <c r="BE98" s="90" t="e">
        <f t="array" ref="BE98">_xlfn.STDEV.P(IF($E$5:$E$53=$E97,BE$5:BE$53))</f>
        <v>#DIV/0!</v>
      </c>
      <c r="BF98" s="90" t="e">
        <f t="array" ref="BF98">_xlfn.STDEV.P(IF($E$5:$E$53=$E97,BF$5:BF$53))</f>
        <v>#DIV/0!</v>
      </c>
      <c r="BG98" s="90" t="e">
        <f t="array" ref="BG98">_xlfn.STDEV.P(IF($E$5:$E$53=$E97,BG$5:BG$53))</f>
        <v>#DIV/0!</v>
      </c>
      <c r="BH98" s="90" t="e">
        <f t="array" ref="BH98">_xlfn.STDEV.P(IF($E$5:$E$53=$E97,BH$5:BH$53))</f>
        <v>#DIV/0!</v>
      </c>
      <c r="BI98" s="90" t="e">
        <f t="array" ref="BI98">_xlfn.STDEV.P(IF($E$5:$E$53=$E97,BI$5:BI$53))</f>
        <v>#DIV/0!</v>
      </c>
      <c r="BJ98" s="90" t="e">
        <f t="array" ref="BJ98">_xlfn.STDEV.P(IF($E$5:$E$53=$E97,BJ$5:BJ$53))</f>
        <v>#DIV/0!</v>
      </c>
      <c r="BK98" s="90" t="e">
        <f t="array" ref="BK98">_xlfn.STDEV.P(IF($E$5:$E$53=$E97,BK$5:BK$53))</f>
        <v>#DIV/0!</v>
      </c>
      <c r="BL98" s="90" t="e">
        <f t="array" ref="BL98">_xlfn.STDEV.P(IF($E$5:$E$53=$E97,BL$5:BL$53))</f>
        <v>#DIV/0!</v>
      </c>
      <c r="BM98" s="90" t="e">
        <f t="array" ref="BM98">_xlfn.STDEV.P(IF($E$5:$E$53=$E97,BM$5:BM$53))</f>
        <v>#DIV/0!</v>
      </c>
      <c r="BN98" s="90" t="e">
        <f t="array" ref="BN98">_xlfn.STDEV.P(IF($E$5:$E$53=$E97,BN$5:BN$53))</f>
        <v>#DIV/0!</v>
      </c>
      <c r="BO98" s="90" t="e">
        <f t="array" ref="BO98">_xlfn.STDEV.P(IF($E$5:$E$53=$E97,BO$5:BO$53))</f>
        <v>#DIV/0!</v>
      </c>
      <c r="BP98" s="90" t="e">
        <f t="array" ref="BP98">_xlfn.STDEV.P(IF($E$5:$E$53=$E97,BP$5:BP$53))</f>
        <v>#DIV/0!</v>
      </c>
      <c r="BQ98" s="115" t="s">
        <v>12</v>
      </c>
      <c r="BR98" s="83" t="e">
        <f t="array" ref="BR98">_xlfn.STDEV.P(IF($E$5:$E$53=$E97,BR$5:BR$53))</f>
        <v>#DIV/0!</v>
      </c>
      <c r="BS98" s="83" t="e">
        <f t="array" ref="BS98">_xlfn.STDEV.P(IF($E$5:$E$53=$E97,BS$5:BS$53))</f>
        <v>#DIV/0!</v>
      </c>
      <c r="BT98" s="83" t="e">
        <f t="array" ref="BT98">_xlfn.STDEV.P(IF($E$5:$E$53=$E97,BT$5:BT$53))</f>
        <v>#DIV/0!</v>
      </c>
      <c r="BU98" s="83" t="e">
        <f t="array" ref="BU98">_xlfn.STDEV.P(IF($E$5:$E$53=$E97,BU$5:BU$53))</f>
        <v>#DIV/0!</v>
      </c>
      <c r="BV98" s="83" t="e">
        <f t="array" ref="BV98">_xlfn.STDEV.P(IF($E$5:$E$53=$E97,BV$5:BV$53))</f>
        <v>#DIV/0!</v>
      </c>
      <c r="BW98" s="83" t="e">
        <f t="array" ref="BW98">_xlfn.STDEV.P(IF($E$5:$E$53=$E97,BW$5:BW$53))</f>
        <v>#DIV/0!</v>
      </c>
      <c r="BX98" s="83" t="e">
        <f t="array" ref="BX98">_xlfn.STDEV.P(IF($E$5:$E$53=$E97,BX$5:BX$53))</f>
        <v>#DIV/0!</v>
      </c>
      <c r="BY98" s="83" t="e">
        <f t="array" ref="BY98">_xlfn.STDEV.P(IF($E$5:$E$53=$E97,BY$5:BY$53))</f>
        <v>#DIV/0!</v>
      </c>
      <c r="BZ98" s="83" t="e">
        <f t="array" ref="BZ98">_xlfn.STDEV.P(IF($E$5:$E$53=$E97,BZ$5:BZ$53))</f>
        <v>#DIV/0!</v>
      </c>
      <c r="CA98" s="83" t="e">
        <f t="array" ref="CA98">_xlfn.STDEV.P(IF($E$5:$E$53=$E97,CA$5:CA$53))</f>
        <v>#DIV/0!</v>
      </c>
      <c r="CB98" s="83" t="e">
        <f t="array" ref="CB98">_xlfn.STDEV.P(IF($E$5:$E$53=$E97,CB$5:CB$53))</f>
        <v>#DIV/0!</v>
      </c>
      <c r="CC98" s="83" t="e">
        <f t="array" ref="CC98">_xlfn.STDEV.P(IF($E$5:$E$53=$E97,CC$5:CC$53))</f>
        <v>#DIV/0!</v>
      </c>
      <c r="CD98" s="83" t="e">
        <f t="array" ref="CD98">_xlfn.STDEV.P(IF($E$5:$E$53=$E97,CD$5:CD$53))</f>
        <v>#DIV/0!</v>
      </c>
      <c r="CE98" s="83" t="e">
        <f t="array" ref="CE98">_xlfn.STDEV.P(IF($E$5:$E$53=$E97,CE$5:CE$53))</f>
        <v>#DIV/0!</v>
      </c>
      <c r="CF98" s="83" t="e">
        <f t="array" ref="CF98">_xlfn.STDEV.P(IF($E$5:$E$53=$E97,CF$5:CF$53))</f>
        <v>#DIV/0!</v>
      </c>
      <c r="CG98" s="83" t="e">
        <f t="array" ref="CG98">_xlfn.STDEV.P(IF($E$5:$E$53=$E97,CG$5:CG$53))</f>
        <v>#DIV/0!</v>
      </c>
      <c r="CH98" s="83" t="e">
        <f t="array" ref="CH98">_xlfn.STDEV.P(IF($E$5:$E$53=$E97,CH$5:CH$53))</f>
        <v>#DIV/0!</v>
      </c>
      <c r="CI98" s="83" t="e">
        <f t="array" ref="CI98">_xlfn.STDEV.P(IF($E$5:$E$53=$E97,CI$5:CI$53))</f>
        <v>#DIV/0!</v>
      </c>
      <c r="CJ98" s="83" t="e">
        <f t="array" ref="CJ98">_xlfn.STDEV.P(IF($E$5:$E$53=$E97,CJ$5:CJ$53))</f>
        <v>#DIV/0!</v>
      </c>
      <c r="CK98" s="83" t="e">
        <f t="array" ref="CK98">_xlfn.STDEV.P(IF($E$5:$E$53=$E97,CK$5:CK$53))</f>
        <v>#DIV/0!</v>
      </c>
      <c r="CL98" s="83" t="e">
        <f t="array" ref="CL98">_xlfn.STDEV.P(IF($E$5:$E$53=$E97,CL$5:CL$53))</f>
        <v>#DIV/0!</v>
      </c>
      <c r="CM98" s="83" t="e">
        <f t="array" ref="CM98">_xlfn.STDEV.P(IF($E$5:$E$53=$E97,CM$5:CM$53))</f>
        <v>#DIV/0!</v>
      </c>
      <c r="CN98" s="83" t="e">
        <f t="array" ref="CN98">_xlfn.STDEV.P(IF($E$5:$E$53=$E97,CN$5:CN$53))</f>
        <v>#DIV/0!</v>
      </c>
      <c r="CO98" s="83" t="e">
        <f t="array" ref="CO98">_xlfn.STDEV.P(IF($E$5:$E$53=$E97,CO$5:CO$53))</f>
        <v>#DIV/0!</v>
      </c>
      <c r="CP98" s="83" t="e">
        <f t="array" ref="CP98">_xlfn.STDEV.P(IF($E$5:$E$53=$E97,CP$5:CP$53))</f>
        <v>#DIV/0!</v>
      </c>
      <c r="CQ98" s="83" t="e">
        <f t="array" ref="CQ98">_xlfn.STDEV.P(IF($E$5:$E$53=$E97,CQ$5:CQ$53))</f>
        <v>#DIV/0!</v>
      </c>
      <c r="CR98" s="83" t="e">
        <f t="array" ref="CR98">_xlfn.STDEV.P(IF($E$5:$E$53=$E97,CR$5:CR$53))</f>
        <v>#DIV/0!</v>
      </c>
      <c r="CS98" s="83" t="e">
        <f t="array" ref="CS98">_xlfn.STDEV.P(IF($E$5:$E$53=$E97,CS$5:CS$53))</f>
        <v>#DIV/0!</v>
      </c>
      <c r="CT98" s="83" t="e">
        <f t="array" ref="CT98">_xlfn.STDEV.P(IF($E$5:$E$53=$E97,CT$5:CT$53))</f>
        <v>#DIV/0!</v>
      </c>
      <c r="CU98" s="83" t="e">
        <f t="array" ref="CU98">_xlfn.STDEV.P(IF($E$5:$E$53=$E97,CU$5:CU$53))</f>
        <v>#DIV/0!</v>
      </c>
      <c r="CV98" s="83" t="e">
        <f t="array" ref="CV98">_xlfn.STDEV.P(IF($E$5:$E$53=$E97,CV$5:CV$53))</f>
        <v>#DIV/0!</v>
      </c>
      <c r="CW98" s="83" t="e">
        <f t="array" ref="CW98">_xlfn.STDEV.P(IF($E$5:$E$53=$E97,CW$5:CW$53))</f>
        <v>#DIV/0!</v>
      </c>
      <c r="CX98" s="83" t="e">
        <f t="array" ref="CX98">_xlfn.STDEV.P(IF($E$5:$E$53=$E97,CX$5:CX$53))</f>
        <v>#DIV/0!</v>
      </c>
      <c r="CY98" s="83" t="e">
        <f t="array" ref="CY98">_xlfn.STDEV.P(IF($E$5:$E$53=$E97,CY$5:CY$53))</f>
        <v>#DIV/0!</v>
      </c>
      <c r="CZ98" s="83" t="e">
        <f t="array" ref="CZ98">_xlfn.STDEV.P(IF($E$5:$E$53=$E97,CZ$5:CZ$53))</f>
        <v>#DIV/0!</v>
      </c>
      <c r="DA98" s="83" t="e">
        <f t="array" ref="DA98">_xlfn.STDEV.P(IF($E$5:$E$53=$E97,DA$5:DA$53))</f>
        <v>#DIV/0!</v>
      </c>
      <c r="DB98" s="83" t="e">
        <f t="array" ref="DB98">_xlfn.STDEV.P(IF($E$5:$E$53=$E97,DB$5:DB$53))</f>
        <v>#DIV/0!</v>
      </c>
      <c r="DC98" s="83" t="e">
        <f t="array" ref="DC98">_xlfn.STDEV.P(IF($E$5:$E$53=$E97,DC$5:DC$53))</f>
        <v>#DIV/0!</v>
      </c>
      <c r="DD98" s="83" t="e">
        <f t="array" ref="DD98">_xlfn.STDEV.P(IF($E$5:$E$53=$E97,DD$5:DD$53))</f>
        <v>#DIV/0!</v>
      </c>
      <c r="DE98" s="83" t="e">
        <f t="array" ref="DE98">_xlfn.STDEV.P(IF($E$5:$E$53=$E97,DE$5:DE$53))</f>
        <v>#DIV/0!</v>
      </c>
      <c r="DF98" s="83" t="e">
        <f t="array" ref="DF98">_xlfn.STDEV.P(IF($E$5:$E$53=$E97,DF$5:DF$53))</f>
        <v>#DIV/0!</v>
      </c>
      <c r="DG98" s="83" t="e">
        <f t="array" ref="DG98">_xlfn.STDEV.P(IF($E$5:$E$53=$E97,DG$5:DG$53))</f>
        <v>#DIV/0!</v>
      </c>
      <c r="DH98" s="83" t="e">
        <f t="array" ref="DH98">_xlfn.STDEV.P(IF($E$5:$E$53=$E97,DH$5:DH$53))</f>
        <v>#DIV/0!</v>
      </c>
      <c r="DI98" s="83" t="e">
        <f t="array" ref="DI98">_xlfn.STDEV.P(IF($E$5:$E$53=$E97,DI$5:DI$53))</f>
        <v>#DIV/0!</v>
      </c>
    </row>
    <row r="99" spans="1:113" ht="15">
      <c r="A99" s="129"/>
      <c r="E99" s="134"/>
      <c r="H99" s="58"/>
      <c r="J99" s="63"/>
      <c r="K99" s="63"/>
      <c r="L99" s="63"/>
      <c r="N99" s="63"/>
      <c r="R99" s="176"/>
      <c r="S99" s="253"/>
      <c r="T99" s="253"/>
      <c r="U99" s="253"/>
      <c r="V99" s="253"/>
      <c r="W99" s="63"/>
    </row>
    <row r="100" spans="1:113" ht="14.25" customHeight="1">
      <c r="A100" s="129"/>
      <c r="E100" s="134" t="str">
        <f>'PTX_DOSE Groups'!C18</f>
        <v>Group 13</v>
      </c>
      <c r="H100" s="134" t="str">
        <f>E100</f>
        <v>Group 13</v>
      </c>
      <c r="I100" s="256" t="e">
        <f>AVERAGEIF($E$5:$E$53,$E100,I$5:I$53)</f>
        <v>#DIV/0!</v>
      </c>
      <c r="J100" s="256"/>
      <c r="K100" s="256"/>
      <c r="L100" s="256"/>
      <c r="M100" s="256" t="e">
        <f t="shared" ref="M100:W100" si="66">AVERAGEIF($E$5:$E$53,$E100,M$5:M$53)</f>
        <v>#DIV/0!</v>
      </c>
      <c r="N100" s="256" t="e">
        <f t="shared" si="66"/>
        <v>#DIV/0!</v>
      </c>
      <c r="O100" s="256" t="e">
        <f t="shared" si="66"/>
        <v>#DIV/0!</v>
      </c>
      <c r="P100" s="256" t="e">
        <f t="shared" si="66"/>
        <v>#DIV/0!</v>
      </c>
      <c r="Q100" s="256" t="e">
        <f t="shared" si="66"/>
        <v>#DIV/0!</v>
      </c>
      <c r="R100" s="257" t="e">
        <f t="shared" si="66"/>
        <v>#DIV/0!</v>
      </c>
      <c r="S100" s="258" t="e">
        <f t="shared" si="66"/>
        <v>#DIV/0!</v>
      </c>
      <c r="T100" s="258" t="e">
        <f t="shared" si="66"/>
        <v>#DIV/0!</v>
      </c>
      <c r="U100" s="258" t="e">
        <f t="shared" si="66"/>
        <v>#DIV/0!</v>
      </c>
      <c r="V100" s="258" t="e">
        <f t="shared" si="66"/>
        <v>#DIV/0!</v>
      </c>
      <c r="W100" s="256" t="e">
        <f t="shared" si="66"/>
        <v>#DIV/0!</v>
      </c>
      <c r="X100" s="81" t="s">
        <v>10</v>
      </c>
      <c r="Y100" s="87" t="e">
        <f t="shared" ref="Y100:BP100" si="67">AVERAGEIF($E$5:$E$53,$E100,Y$5:Y$53)</f>
        <v>#DIV/0!</v>
      </c>
      <c r="Z100" s="87" t="e">
        <f t="shared" si="67"/>
        <v>#DIV/0!</v>
      </c>
      <c r="AA100" s="87" t="e">
        <f t="shared" si="67"/>
        <v>#DIV/0!</v>
      </c>
      <c r="AB100" s="87" t="e">
        <f t="shared" si="67"/>
        <v>#DIV/0!</v>
      </c>
      <c r="AC100" s="87" t="e">
        <f t="shared" si="67"/>
        <v>#DIV/0!</v>
      </c>
      <c r="AD100" s="87" t="e">
        <f t="shared" si="67"/>
        <v>#DIV/0!</v>
      </c>
      <c r="AE100" s="87" t="e">
        <f t="shared" si="67"/>
        <v>#DIV/0!</v>
      </c>
      <c r="AF100" s="87" t="e">
        <f t="shared" si="67"/>
        <v>#DIV/0!</v>
      </c>
      <c r="AG100" s="87" t="e">
        <f t="shared" si="67"/>
        <v>#DIV/0!</v>
      </c>
      <c r="AH100" s="87" t="e">
        <f t="shared" si="67"/>
        <v>#DIV/0!</v>
      </c>
      <c r="AI100" s="87" t="e">
        <f t="shared" si="67"/>
        <v>#DIV/0!</v>
      </c>
      <c r="AJ100" s="87" t="e">
        <f t="shared" si="67"/>
        <v>#DIV/0!</v>
      </c>
      <c r="AK100" s="87" t="e">
        <f t="shared" si="67"/>
        <v>#DIV/0!</v>
      </c>
      <c r="AL100" s="87" t="e">
        <f t="shared" si="67"/>
        <v>#DIV/0!</v>
      </c>
      <c r="AM100" s="87" t="e">
        <f t="shared" si="67"/>
        <v>#DIV/0!</v>
      </c>
      <c r="AN100" s="87" t="e">
        <f t="shared" si="67"/>
        <v>#DIV/0!</v>
      </c>
      <c r="AO100" s="87" t="e">
        <f t="shared" si="67"/>
        <v>#DIV/0!</v>
      </c>
      <c r="AP100" s="87" t="e">
        <f t="shared" si="67"/>
        <v>#DIV/0!</v>
      </c>
      <c r="AQ100" s="87" t="e">
        <f t="shared" si="67"/>
        <v>#DIV/0!</v>
      </c>
      <c r="AR100" s="87" t="e">
        <f t="shared" si="67"/>
        <v>#DIV/0!</v>
      </c>
      <c r="AS100" s="87" t="e">
        <f t="shared" si="67"/>
        <v>#DIV/0!</v>
      </c>
      <c r="AT100" s="87" t="e">
        <f t="shared" si="67"/>
        <v>#DIV/0!</v>
      </c>
      <c r="AU100" s="87" t="e">
        <f t="shared" si="67"/>
        <v>#DIV/0!</v>
      </c>
      <c r="AV100" s="87" t="e">
        <f t="shared" si="67"/>
        <v>#DIV/0!</v>
      </c>
      <c r="AW100" s="87" t="e">
        <f t="shared" si="67"/>
        <v>#DIV/0!</v>
      </c>
      <c r="AX100" s="87" t="e">
        <f t="shared" si="67"/>
        <v>#DIV/0!</v>
      </c>
      <c r="AY100" s="87" t="e">
        <f t="shared" si="67"/>
        <v>#DIV/0!</v>
      </c>
      <c r="AZ100" s="87" t="e">
        <f t="shared" si="67"/>
        <v>#DIV/0!</v>
      </c>
      <c r="BA100" s="87" t="e">
        <f t="shared" si="67"/>
        <v>#DIV/0!</v>
      </c>
      <c r="BB100" s="87" t="e">
        <f t="shared" si="67"/>
        <v>#DIV/0!</v>
      </c>
      <c r="BC100" s="87" t="e">
        <f t="shared" si="67"/>
        <v>#DIV/0!</v>
      </c>
      <c r="BD100" s="87" t="e">
        <f t="shared" si="67"/>
        <v>#DIV/0!</v>
      </c>
      <c r="BE100" s="87" t="e">
        <f t="shared" si="67"/>
        <v>#DIV/0!</v>
      </c>
      <c r="BF100" s="87" t="e">
        <f t="shared" si="67"/>
        <v>#DIV/0!</v>
      </c>
      <c r="BG100" s="87" t="e">
        <f t="shared" si="67"/>
        <v>#DIV/0!</v>
      </c>
      <c r="BH100" s="87" t="e">
        <f t="shared" si="67"/>
        <v>#DIV/0!</v>
      </c>
      <c r="BI100" s="87" t="e">
        <f t="shared" si="67"/>
        <v>#DIV/0!</v>
      </c>
      <c r="BJ100" s="87" t="e">
        <f t="shared" si="67"/>
        <v>#DIV/0!</v>
      </c>
      <c r="BK100" s="87" t="e">
        <f t="shared" si="67"/>
        <v>#DIV/0!</v>
      </c>
      <c r="BL100" s="87" t="e">
        <f t="shared" si="67"/>
        <v>#DIV/0!</v>
      </c>
      <c r="BM100" s="87" t="e">
        <f t="shared" si="67"/>
        <v>#DIV/0!</v>
      </c>
      <c r="BN100" s="87" t="e">
        <f t="shared" si="67"/>
        <v>#DIV/0!</v>
      </c>
      <c r="BO100" s="87" t="e">
        <f t="shared" si="67"/>
        <v>#DIV/0!</v>
      </c>
      <c r="BP100" s="87" t="e">
        <f t="shared" si="67"/>
        <v>#DIV/0!</v>
      </c>
      <c r="BQ100" s="114" t="s">
        <v>10</v>
      </c>
      <c r="BR100" s="82" t="e">
        <f t="shared" ref="BR100:DI100" si="68">AVERAGEIF($E$5:$E$53,$E100,BR$5:BR$53)</f>
        <v>#DIV/0!</v>
      </c>
      <c r="BS100" s="82" t="e">
        <f t="shared" si="68"/>
        <v>#DIV/0!</v>
      </c>
      <c r="BT100" s="82" t="e">
        <f t="shared" si="68"/>
        <v>#DIV/0!</v>
      </c>
      <c r="BU100" s="82" t="e">
        <f t="shared" si="68"/>
        <v>#DIV/0!</v>
      </c>
      <c r="BV100" s="82" t="e">
        <f t="shared" si="68"/>
        <v>#DIV/0!</v>
      </c>
      <c r="BW100" s="82" t="e">
        <f t="shared" si="68"/>
        <v>#DIV/0!</v>
      </c>
      <c r="BX100" s="82" t="e">
        <f t="shared" si="68"/>
        <v>#DIV/0!</v>
      </c>
      <c r="BY100" s="82" t="e">
        <f t="shared" si="68"/>
        <v>#DIV/0!</v>
      </c>
      <c r="BZ100" s="82" t="e">
        <f t="shared" si="68"/>
        <v>#DIV/0!</v>
      </c>
      <c r="CA100" s="82" t="e">
        <f t="shared" si="68"/>
        <v>#DIV/0!</v>
      </c>
      <c r="CB100" s="82" t="e">
        <f t="shared" si="68"/>
        <v>#DIV/0!</v>
      </c>
      <c r="CC100" s="82" t="e">
        <f t="shared" si="68"/>
        <v>#DIV/0!</v>
      </c>
      <c r="CD100" s="82" t="e">
        <f t="shared" si="68"/>
        <v>#DIV/0!</v>
      </c>
      <c r="CE100" s="82" t="e">
        <f t="shared" si="68"/>
        <v>#DIV/0!</v>
      </c>
      <c r="CF100" s="82" t="e">
        <f t="shared" si="68"/>
        <v>#DIV/0!</v>
      </c>
      <c r="CG100" s="82" t="e">
        <f t="shared" si="68"/>
        <v>#DIV/0!</v>
      </c>
      <c r="CH100" s="82" t="e">
        <f t="shared" si="68"/>
        <v>#DIV/0!</v>
      </c>
      <c r="CI100" s="82" t="e">
        <f t="shared" si="68"/>
        <v>#DIV/0!</v>
      </c>
      <c r="CJ100" s="82" t="e">
        <f t="shared" si="68"/>
        <v>#DIV/0!</v>
      </c>
      <c r="CK100" s="82" t="e">
        <f t="shared" si="68"/>
        <v>#DIV/0!</v>
      </c>
      <c r="CL100" s="82" t="e">
        <f t="shared" si="68"/>
        <v>#DIV/0!</v>
      </c>
      <c r="CM100" s="82" t="e">
        <f t="shared" si="68"/>
        <v>#DIV/0!</v>
      </c>
      <c r="CN100" s="82" t="e">
        <f t="shared" si="68"/>
        <v>#DIV/0!</v>
      </c>
      <c r="CO100" s="82" t="e">
        <f t="shared" si="68"/>
        <v>#DIV/0!</v>
      </c>
      <c r="CP100" s="82" t="e">
        <f t="shared" si="68"/>
        <v>#DIV/0!</v>
      </c>
      <c r="CQ100" s="82" t="e">
        <f t="shared" si="68"/>
        <v>#DIV/0!</v>
      </c>
      <c r="CR100" s="82" t="e">
        <f t="shared" si="68"/>
        <v>#DIV/0!</v>
      </c>
      <c r="CS100" s="82" t="e">
        <f t="shared" si="68"/>
        <v>#DIV/0!</v>
      </c>
      <c r="CT100" s="82" t="e">
        <f t="shared" si="68"/>
        <v>#DIV/0!</v>
      </c>
      <c r="CU100" s="82" t="e">
        <f t="shared" si="68"/>
        <v>#DIV/0!</v>
      </c>
      <c r="CV100" s="82" t="e">
        <f t="shared" si="68"/>
        <v>#DIV/0!</v>
      </c>
      <c r="CW100" s="82" t="e">
        <f t="shared" si="68"/>
        <v>#DIV/0!</v>
      </c>
      <c r="CX100" s="82" t="e">
        <f t="shared" si="68"/>
        <v>#DIV/0!</v>
      </c>
      <c r="CY100" s="82" t="e">
        <f t="shared" si="68"/>
        <v>#DIV/0!</v>
      </c>
      <c r="CZ100" s="82" t="e">
        <f t="shared" si="68"/>
        <v>#DIV/0!</v>
      </c>
      <c r="DA100" s="82" t="e">
        <f t="shared" si="68"/>
        <v>#DIV/0!</v>
      </c>
      <c r="DB100" s="82" t="e">
        <f t="shared" si="68"/>
        <v>#DIV/0!</v>
      </c>
      <c r="DC100" s="82" t="e">
        <f t="shared" si="68"/>
        <v>#DIV/0!</v>
      </c>
      <c r="DD100" s="82" t="e">
        <f t="shared" si="68"/>
        <v>#DIV/0!</v>
      </c>
      <c r="DE100" s="82" t="e">
        <f t="shared" si="68"/>
        <v>#DIV/0!</v>
      </c>
      <c r="DF100" s="82" t="e">
        <f t="shared" si="68"/>
        <v>#DIV/0!</v>
      </c>
      <c r="DG100" s="82" t="e">
        <f t="shared" si="68"/>
        <v>#DIV/0!</v>
      </c>
      <c r="DH100" s="82" t="e">
        <f t="shared" si="68"/>
        <v>#DIV/0!</v>
      </c>
      <c r="DI100" s="82" t="e">
        <f t="shared" si="68"/>
        <v>#DIV/0!</v>
      </c>
    </row>
    <row r="101" spans="1:113" ht="14.25" customHeight="1">
      <c r="A101" s="129"/>
      <c r="E101" s="104"/>
      <c r="H101" s="104"/>
      <c r="I101" s="256" t="e">
        <f t="array" ref="I101">_xlfn.STDEV.P(IF($E$5:$E$53=$E100,I$5:I$53))</f>
        <v>#DIV/0!</v>
      </c>
      <c r="J101" s="256"/>
      <c r="K101" s="256"/>
      <c r="L101" s="256"/>
      <c r="M101" s="256" t="e">
        <f t="array" ref="M101">_xlfn.STDEV.P(IF($E$5:$E$53=$E100,M$5:M$53))</f>
        <v>#DIV/0!</v>
      </c>
      <c r="N101" s="256" t="e">
        <f t="array" ref="N101">_xlfn.STDEV.P(IF($E$5:$E$53=$E100,N$5:N$53))</f>
        <v>#DIV/0!</v>
      </c>
      <c r="O101" s="256" t="e">
        <f t="array" ref="O101">_xlfn.STDEV.P(IF($E$5:$E$53=$E100,O$5:O$53))</f>
        <v>#DIV/0!</v>
      </c>
      <c r="P101" s="256" t="e">
        <f t="array" ref="P101">_xlfn.STDEV.P(IF($E$5:$E$53=$E100,P$5:P$53))</f>
        <v>#DIV/0!</v>
      </c>
      <c r="Q101" s="256" t="e">
        <f t="array" ref="Q101">_xlfn.STDEV.P(IF($E$5:$E$53=$E100,Q$5:Q$53))</f>
        <v>#DIV/0!</v>
      </c>
      <c r="R101" s="257" t="e">
        <f t="array" ref="R101">_xlfn.STDEV.P(IF($E$5:$E$53=$E100,R$5:R$53))</f>
        <v>#DIV/0!</v>
      </c>
      <c r="S101" s="258" t="e">
        <f t="array" ref="S101">_xlfn.STDEV.P(IF($E$5:$E$53=$E100,S$5:S$53))</f>
        <v>#DIV/0!</v>
      </c>
      <c r="T101" s="258" t="e">
        <f t="array" ref="T101">_xlfn.STDEV.P(IF($E$5:$E$53=$E100,T$5:T$53))</f>
        <v>#DIV/0!</v>
      </c>
      <c r="U101" s="258" t="e">
        <f t="array" ref="U101">_xlfn.STDEV.P(IF($E$5:$E$53=$E100,U$5:U$53))</f>
        <v>#DIV/0!</v>
      </c>
      <c r="V101" s="258" t="e">
        <f t="array" ref="V101">_xlfn.STDEV.P(IF($E$5:$E$53=$E100,V$5:V$53))</f>
        <v>#DIV/0!</v>
      </c>
      <c r="W101" s="256" t="e">
        <f t="array" ref="W101">_xlfn.STDEV.P(IF($E$5:$E$53=$E100,W$5:W$53))</f>
        <v>#DIV/0!</v>
      </c>
      <c r="X101" s="81" t="s">
        <v>12</v>
      </c>
      <c r="Y101" s="90" t="e">
        <f t="array" ref="Y101">_xlfn.STDEV.P(IF($E$5:$E$53=$E100,Y$5:Y$53))</f>
        <v>#DIV/0!</v>
      </c>
      <c r="Z101" s="90" t="e">
        <f t="array" ref="Z101">_xlfn.STDEV.P(IF($E$5:$E$53=$E100,Z$5:Z$53))</f>
        <v>#DIV/0!</v>
      </c>
      <c r="AA101" s="90" t="e">
        <f t="array" ref="AA101">_xlfn.STDEV.P(IF($E$5:$E$53=$E100,AA$5:AA$53))</f>
        <v>#DIV/0!</v>
      </c>
      <c r="AB101" s="90" t="e">
        <f t="array" ref="AB101">_xlfn.STDEV.P(IF($E$5:$E$53=$E100,AB$5:AB$53))</f>
        <v>#DIV/0!</v>
      </c>
      <c r="AC101" s="90" t="e">
        <f t="array" ref="AC101">_xlfn.STDEV.P(IF($E$5:$E$53=$E100,AC$5:AC$53))</f>
        <v>#DIV/0!</v>
      </c>
      <c r="AD101" s="90" t="e">
        <f t="array" ref="AD101">_xlfn.STDEV.P(IF($E$5:$E$53=$E100,AD$5:AD$53))</f>
        <v>#DIV/0!</v>
      </c>
      <c r="AE101" s="90" t="e">
        <f t="array" ref="AE101">_xlfn.STDEV.P(IF($E$5:$E$53=$E100,AE$5:AE$53))</f>
        <v>#DIV/0!</v>
      </c>
      <c r="AF101" s="90" t="e">
        <f t="array" ref="AF101">_xlfn.STDEV.P(IF($E$5:$E$53=$E100,AF$5:AF$53))</f>
        <v>#DIV/0!</v>
      </c>
      <c r="AG101" s="90" t="e">
        <f t="array" ref="AG101">_xlfn.STDEV.P(IF($E$5:$E$53=$E100,AG$5:AG$53))</f>
        <v>#DIV/0!</v>
      </c>
      <c r="AH101" s="90" t="e">
        <f t="array" ref="AH101">_xlfn.STDEV.P(IF($E$5:$E$53=$E100,AH$5:AH$53))</f>
        <v>#DIV/0!</v>
      </c>
      <c r="AI101" s="90" t="e">
        <f t="array" ref="AI101">_xlfn.STDEV.P(IF($E$5:$E$53=$E100,AI$5:AI$53))</f>
        <v>#DIV/0!</v>
      </c>
      <c r="AJ101" s="90" t="e">
        <f t="array" ref="AJ101">_xlfn.STDEV.P(IF($E$5:$E$53=$E100,AJ$5:AJ$53))</f>
        <v>#DIV/0!</v>
      </c>
      <c r="AK101" s="90" t="e">
        <f t="array" ref="AK101">_xlfn.STDEV.P(IF($E$5:$E$53=$E100,AK$5:AK$53))</f>
        <v>#DIV/0!</v>
      </c>
      <c r="AL101" s="90" t="e">
        <f t="array" ref="AL101">_xlfn.STDEV.P(IF($E$5:$E$53=$E100,AL$5:AL$53))</f>
        <v>#DIV/0!</v>
      </c>
      <c r="AM101" s="90" t="e">
        <f t="array" ref="AM101">_xlfn.STDEV.P(IF($E$5:$E$53=$E100,AM$5:AM$53))</f>
        <v>#DIV/0!</v>
      </c>
      <c r="AN101" s="90" t="e">
        <f t="array" ref="AN101">_xlfn.STDEV.P(IF($E$5:$E$53=$E100,AN$5:AN$53))</f>
        <v>#DIV/0!</v>
      </c>
      <c r="AO101" s="90" t="e">
        <f t="array" ref="AO101">_xlfn.STDEV.P(IF($E$5:$E$53=$E100,AO$5:AO$53))</f>
        <v>#DIV/0!</v>
      </c>
      <c r="AP101" s="90" t="e">
        <f t="array" ref="AP101">_xlfn.STDEV.P(IF($E$5:$E$53=$E100,AP$5:AP$53))</f>
        <v>#DIV/0!</v>
      </c>
      <c r="AQ101" s="90" t="e">
        <f t="array" ref="AQ101">_xlfn.STDEV.P(IF($E$5:$E$53=$E100,AQ$5:AQ$53))</f>
        <v>#DIV/0!</v>
      </c>
      <c r="AR101" s="90" t="e">
        <f t="array" ref="AR101">_xlfn.STDEV.P(IF($E$5:$E$53=$E100,AR$5:AR$53))</f>
        <v>#DIV/0!</v>
      </c>
      <c r="AS101" s="90" t="e">
        <f t="array" ref="AS101">_xlfn.STDEV.P(IF($E$5:$E$53=$E100,AS$5:AS$53))</f>
        <v>#DIV/0!</v>
      </c>
      <c r="AT101" s="90" t="e">
        <f t="array" ref="AT101">_xlfn.STDEV.P(IF($E$5:$E$53=$E100,AT$5:AT$53))</f>
        <v>#DIV/0!</v>
      </c>
      <c r="AU101" s="90" t="e">
        <f t="array" ref="AU101">_xlfn.STDEV.P(IF($E$5:$E$53=$E100,AU$5:AU$53))</f>
        <v>#DIV/0!</v>
      </c>
      <c r="AV101" s="90" t="e">
        <f t="array" ref="AV101">_xlfn.STDEV.P(IF($E$5:$E$53=$E100,AV$5:AV$53))</f>
        <v>#DIV/0!</v>
      </c>
      <c r="AW101" s="90" t="e">
        <f t="array" ref="AW101">_xlfn.STDEV.P(IF($E$5:$E$53=$E100,AW$5:AW$53))</f>
        <v>#DIV/0!</v>
      </c>
      <c r="AX101" s="90" t="e">
        <f t="array" ref="AX101">_xlfn.STDEV.P(IF($E$5:$E$53=$E100,AX$5:AX$53))</f>
        <v>#DIV/0!</v>
      </c>
      <c r="AY101" s="90" t="e">
        <f t="array" ref="AY101">_xlfn.STDEV.P(IF($E$5:$E$53=$E100,AY$5:AY$53))</f>
        <v>#DIV/0!</v>
      </c>
      <c r="AZ101" s="90" t="e">
        <f t="array" ref="AZ101">_xlfn.STDEV.P(IF($E$5:$E$53=$E100,AZ$5:AZ$53))</f>
        <v>#DIV/0!</v>
      </c>
      <c r="BA101" s="90" t="e">
        <f t="array" ref="BA101">_xlfn.STDEV.P(IF($E$5:$E$53=$E100,BA$5:BA$53))</f>
        <v>#DIV/0!</v>
      </c>
      <c r="BB101" s="90" t="e">
        <f t="array" ref="BB101">_xlfn.STDEV.P(IF($E$5:$E$53=$E100,BB$5:BB$53))</f>
        <v>#DIV/0!</v>
      </c>
      <c r="BC101" s="90" t="e">
        <f t="array" ref="BC101">_xlfn.STDEV.P(IF($E$5:$E$53=$E100,BC$5:BC$53))</f>
        <v>#DIV/0!</v>
      </c>
      <c r="BD101" s="90" t="e">
        <f t="array" ref="BD101">_xlfn.STDEV.P(IF($E$5:$E$53=$E100,BD$5:BD$53))</f>
        <v>#DIV/0!</v>
      </c>
      <c r="BE101" s="90" t="e">
        <f t="array" ref="BE101">_xlfn.STDEV.P(IF($E$5:$E$53=$E100,BE$5:BE$53))</f>
        <v>#DIV/0!</v>
      </c>
      <c r="BF101" s="90" t="e">
        <f t="array" ref="BF101">_xlfn.STDEV.P(IF($E$5:$E$53=$E100,BF$5:BF$53))</f>
        <v>#DIV/0!</v>
      </c>
      <c r="BG101" s="90" t="e">
        <f t="array" ref="BG101">_xlfn.STDEV.P(IF($E$5:$E$53=$E100,BG$5:BG$53))</f>
        <v>#DIV/0!</v>
      </c>
      <c r="BH101" s="90" t="e">
        <f t="array" ref="BH101">_xlfn.STDEV.P(IF($E$5:$E$53=$E100,BH$5:BH$53))</f>
        <v>#DIV/0!</v>
      </c>
      <c r="BI101" s="90" t="e">
        <f t="array" ref="BI101">_xlfn.STDEV.P(IF($E$5:$E$53=$E100,BI$5:BI$53))</f>
        <v>#DIV/0!</v>
      </c>
      <c r="BJ101" s="90" t="e">
        <f t="array" ref="BJ101">_xlfn.STDEV.P(IF($E$5:$E$53=$E100,BJ$5:BJ$53))</f>
        <v>#DIV/0!</v>
      </c>
      <c r="BK101" s="90" t="e">
        <f t="array" ref="BK101">_xlfn.STDEV.P(IF($E$5:$E$53=$E100,BK$5:BK$53))</f>
        <v>#DIV/0!</v>
      </c>
      <c r="BL101" s="90" t="e">
        <f t="array" ref="BL101">_xlfn.STDEV.P(IF($E$5:$E$53=$E100,BL$5:BL$53))</f>
        <v>#DIV/0!</v>
      </c>
      <c r="BM101" s="90" t="e">
        <f t="array" ref="BM101">_xlfn.STDEV.P(IF($E$5:$E$53=$E100,BM$5:BM$53))</f>
        <v>#DIV/0!</v>
      </c>
      <c r="BN101" s="90" t="e">
        <f t="array" ref="BN101">_xlfn.STDEV.P(IF($E$5:$E$53=$E100,BN$5:BN$53))</f>
        <v>#DIV/0!</v>
      </c>
      <c r="BO101" s="90" t="e">
        <f t="array" ref="BO101">_xlfn.STDEV.P(IF($E$5:$E$53=$E100,BO$5:BO$53))</f>
        <v>#DIV/0!</v>
      </c>
      <c r="BP101" s="90" t="e">
        <f t="array" ref="BP101">_xlfn.STDEV.P(IF($E$5:$E$53=$E100,BP$5:BP$53))</f>
        <v>#DIV/0!</v>
      </c>
      <c r="BQ101" s="115" t="s">
        <v>12</v>
      </c>
      <c r="BR101" s="83" t="e">
        <f t="array" ref="BR101">_xlfn.STDEV.P(IF($E$5:$E$53=$E100,BR$5:BR$53))</f>
        <v>#DIV/0!</v>
      </c>
      <c r="BS101" s="83" t="e">
        <f t="array" ref="BS101">_xlfn.STDEV.P(IF($E$5:$E$53=$E100,BS$5:BS$53))</f>
        <v>#DIV/0!</v>
      </c>
      <c r="BT101" s="83" t="e">
        <f t="array" ref="BT101">_xlfn.STDEV.P(IF($E$5:$E$53=$E100,BT$5:BT$53))</f>
        <v>#DIV/0!</v>
      </c>
      <c r="BU101" s="83" t="e">
        <f t="array" ref="BU101">_xlfn.STDEV.P(IF($E$5:$E$53=$E100,BU$5:BU$53))</f>
        <v>#DIV/0!</v>
      </c>
      <c r="BV101" s="83" t="e">
        <f t="array" ref="BV101">_xlfn.STDEV.P(IF($E$5:$E$53=$E100,BV$5:BV$53))</f>
        <v>#DIV/0!</v>
      </c>
      <c r="BW101" s="83" t="e">
        <f t="array" ref="BW101">_xlfn.STDEV.P(IF($E$5:$E$53=$E100,BW$5:BW$53))</f>
        <v>#DIV/0!</v>
      </c>
      <c r="BX101" s="83" t="e">
        <f t="array" ref="BX101">_xlfn.STDEV.P(IF($E$5:$E$53=$E100,BX$5:BX$53))</f>
        <v>#DIV/0!</v>
      </c>
      <c r="BY101" s="83" t="e">
        <f t="array" ref="BY101">_xlfn.STDEV.P(IF($E$5:$E$53=$E100,BY$5:BY$53))</f>
        <v>#DIV/0!</v>
      </c>
      <c r="BZ101" s="83" t="e">
        <f t="array" ref="BZ101">_xlfn.STDEV.P(IF($E$5:$E$53=$E100,BZ$5:BZ$53))</f>
        <v>#DIV/0!</v>
      </c>
      <c r="CA101" s="83" t="e">
        <f t="array" ref="CA101">_xlfn.STDEV.P(IF($E$5:$E$53=$E100,CA$5:CA$53))</f>
        <v>#DIV/0!</v>
      </c>
      <c r="CB101" s="83" t="e">
        <f t="array" ref="CB101">_xlfn.STDEV.P(IF($E$5:$E$53=$E100,CB$5:CB$53))</f>
        <v>#DIV/0!</v>
      </c>
      <c r="CC101" s="83" t="e">
        <f t="array" ref="CC101">_xlfn.STDEV.P(IF($E$5:$E$53=$E100,CC$5:CC$53))</f>
        <v>#DIV/0!</v>
      </c>
      <c r="CD101" s="83" t="e">
        <f t="array" ref="CD101">_xlfn.STDEV.P(IF($E$5:$E$53=$E100,CD$5:CD$53))</f>
        <v>#DIV/0!</v>
      </c>
      <c r="CE101" s="83" t="e">
        <f t="array" ref="CE101">_xlfn.STDEV.P(IF($E$5:$E$53=$E100,CE$5:CE$53))</f>
        <v>#DIV/0!</v>
      </c>
      <c r="CF101" s="83" t="e">
        <f t="array" ref="CF101">_xlfn.STDEV.P(IF($E$5:$E$53=$E100,CF$5:CF$53))</f>
        <v>#DIV/0!</v>
      </c>
      <c r="CG101" s="83" t="e">
        <f t="array" ref="CG101">_xlfn.STDEV.P(IF($E$5:$E$53=$E100,CG$5:CG$53))</f>
        <v>#DIV/0!</v>
      </c>
      <c r="CH101" s="83" t="e">
        <f t="array" ref="CH101">_xlfn.STDEV.P(IF($E$5:$E$53=$E100,CH$5:CH$53))</f>
        <v>#DIV/0!</v>
      </c>
      <c r="CI101" s="83" t="e">
        <f t="array" ref="CI101">_xlfn.STDEV.P(IF($E$5:$E$53=$E100,CI$5:CI$53))</f>
        <v>#DIV/0!</v>
      </c>
      <c r="CJ101" s="83" t="e">
        <f t="array" ref="CJ101">_xlfn.STDEV.P(IF($E$5:$E$53=$E100,CJ$5:CJ$53))</f>
        <v>#DIV/0!</v>
      </c>
      <c r="CK101" s="83" t="e">
        <f t="array" ref="CK101">_xlfn.STDEV.P(IF($E$5:$E$53=$E100,CK$5:CK$53))</f>
        <v>#DIV/0!</v>
      </c>
      <c r="CL101" s="83" t="e">
        <f t="array" ref="CL101">_xlfn.STDEV.P(IF($E$5:$E$53=$E100,CL$5:CL$53))</f>
        <v>#DIV/0!</v>
      </c>
      <c r="CM101" s="83" t="e">
        <f t="array" ref="CM101">_xlfn.STDEV.P(IF($E$5:$E$53=$E100,CM$5:CM$53))</f>
        <v>#DIV/0!</v>
      </c>
      <c r="CN101" s="83" t="e">
        <f t="array" ref="CN101">_xlfn.STDEV.P(IF($E$5:$E$53=$E100,CN$5:CN$53))</f>
        <v>#DIV/0!</v>
      </c>
      <c r="CO101" s="83" t="e">
        <f t="array" ref="CO101">_xlfn.STDEV.P(IF($E$5:$E$53=$E100,CO$5:CO$53))</f>
        <v>#DIV/0!</v>
      </c>
      <c r="CP101" s="83" t="e">
        <f t="array" ref="CP101">_xlfn.STDEV.P(IF($E$5:$E$53=$E100,CP$5:CP$53))</f>
        <v>#DIV/0!</v>
      </c>
      <c r="CQ101" s="83" t="e">
        <f t="array" ref="CQ101">_xlfn.STDEV.P(IF($E$5:$E$53=$E100,CQ$5:CQ$53))</f>
        <v>#DIV/0!</v>
      </c>
      <c r="CR101" s="83" t="e">
        <f t="array" ref="CR101">_xlfn.STDEV.P(IF($E$5:$E$53=$E100,CR$5:CR$53))</f>
        <v>#DIV/0!</v>
      </c>
      <c r="CS101" s="83" t="e">
        <f t="array" ref="CS101">_xlfn.STDEV.P(IF($E$5:$E$53=$E100,CS$5:CS$53))</f>
        <v>#DIV/0!</v>
      </c>
      <c r="CT101" s="83" t="e">
        <f t="array" ref="CT101">_xlfn.STDEV.P(IF($E$5:$E$53=$E100,CT$5:CT$53))</f>
        <v>#DIV/0!</v>
      </c>
      <c r="CU101" s="83" t="e">
        <f t="array" ref="CU101">_xlfn.STDEV.P(IF($E$5:$E$53=$E100,CU$5:CU$53))</f>
        <v>#DIV/0!</v>
      </c>
      <c r="CV101" s="83" t="e">
        <f t="array" ref="CV101">_xlfn.STDEV.P(IF($E$5:$E$53=$E100,CV$5:CV$53))</f>
        <v>#DIV/0!</v>
      </c>
      <c r="CW101" s="83" t="e">
        <f t="array" ref="CW101">_xlfn.STDEV.P(IF($E$5:$E$53=$E100,CW$5:CW$53))</f>
        <v>#DIV/0!</v>
      </c>
      <c r="CX101" s="83" t="e">
        <f t="array" ref="CX101">_xlfn.STDEV.P(IF($E$5:$E$53=$E100,CX$5:CX$53))</f>
        <v>#DIV/0!</v>
      </c>
      <c r="CY101" s="83" t="e">
        <f t="array" ref="CY101">_xlfn.STDEV.P(IF($E$5:$E$53=$E100,CY$5:CY$53))</f>
        <v>#DIV/0!</v>
      </c>
      <c r="CZ101" s="83" t="e">
        <f t="array" ref="CZ101">_xlfn.STDEV.P(IF($E$5:$E$53=$E100,CZ$5:CZ$53))</f>
        <v>#DIV/0!</v>
      </c>
      <c r="DA101" s="83" t="e">
        <f t="array" ref="DA101">_xlfn.STDEV.P(IF($E$5:$E$53=$E100,DA$5:DA$53))</f>
        <v>#DIV/0!</v>
      </c>
      <c r="DB101" s="83" t="e">
        <f t="array" ref="DB101">_xlfn.STDEV.P(IF($E$5:$E$53=$E100,DB$5:DB$53))</f>
        <v>#DIV/0!</v>
      </c>
      <c r="DC101" s="83" t="e">
        <f t="array" ref="DC101">_xlfn.STDEV.P(IF($E$5:$E$53=$E100,DC$5:DC$53))</f>
        <v>#DIV/0!</v>
      </c>
      <c r="DD101" s="83" t="e">
        <f t="array" ref="DD101">_xlfn.STDEV.P(IF($E$5:$E$53=$E100,DD$5:DD$53))</f>
        <v>#DIV/0!</v>
      </c>
      <c r="DE101" s="83" t="e">
        <f t="array" ref="DE101">_xlfn.STDEV.P(IF($E$5:$E$53=$E100,DE$5:DE$53))</f>
        <v>#DIV/0!</v>
      </c>
      <c r="DF101" s="83" t="e">
        <f t="array" ref="DF101">_xlfn.STDEV.P(IF($E$5:$E$53=$E100,DF$5:DF$53))</f>
        <v>#DIV/0!</v>
      </c>
      <c r="DG101" s="83" t="e">
        <f t="array" ref="DG101">_xlfn.STDEV.P(IF($E$5:$E$53=$E100,DG$5:DG$53))</f>
        <v>#DIV/0!</v>
      </c>
      <c r="DH101" s="83" t="e">
        <f t="array" ref="DH101">_xlfn.STDEV.P(IF($E$5:$E$53=$E100,DH$5:DH$53))</f>
        <v>#DIV/0!</v>
      </c>
      <c r="DI101" s="83" t="e">
        <f t="array" ref="DI101">_xlfn.STDEV.P(IF($E$5:$E$53=$E100,DI$5:DI$53))</f>
        <v>#DIV/0!</v>
      </c>
    </row>
    <row r="102" spans="1:113" ht="15">
      <c r="A102" s="129"/>
      <c r="E102" s="134"/>
      <c r="H102" s="58"/>
      <c r="J102" s="63"/>
      <c r="K102" s="63"/>
      <c r="L102" s="63"/>
      <c r="N102" s="63"/>
      <c r="R102" s="176"/>
      <c r="S102" s="253"/>
      <c r="T102" s="253"/>
      <c r="U102" s="253"/>
      <c r="V102" s="253"/>
      <c r="W102" s="63"/>
    </row>
    <row r="103" spans="1:113" ht="14.25" customHeight="1">
      <c r="A103" s="129"/>
      <c r="E103" s="134" t="str">
        <f>'PTX_DOSE Groups'!C19</f>
        <v>Group 14</v>
      </c>
      <c r="H103" s="134" t="str">
        <f>E103</f>
        <v>Group 14</v>
      </c>
      <c r="I103" s="256" t="e">
        <f>AVERAGEIF($E$5:$E$53,$E103,I$5:I$53)</f>
        <v>#DIV/0!</v>
      </c>
      <c r="J103" s="256"/>
      <c r="K103" s="256"/>
      <c r="L103" s="256"/>
      <c r="M103" s="256" t="e">
        <f t="shared" ref="M103:W103" si="69">AVERAGEIF($E$5:$E$53,$E103,M$5:M$53)</f>
        <v>#DIV/0!</v>
      </c>
      <c r="N103" s="256" t="e">
        <f t="shared" si="69"/>
        <v>#DIV/0!</v>
      </c>
      <c r="O103" s="256" t="e">
        <f t="shared" si="69"/>
        <v>#DIV/0!</v>
      </c>
      <c r="P103" s="256" t="e">
        <f t="shared" si="69"/>
        <v>#DIV/0!</v>
      </c>
      <c r="Q103" s="256" t="e">
        <f t="shared" si="69"/>
        <v>#DIV/0!</v>
      </c>
      <c r="R103" s="257" t="e">
        <f t="shared" si="69"/>
        <v>#DIV/0!</v>
      </c>
      <c r="S103" s="258" t="e">
        <f t="shared" si="69"/>
        <v>#DIV/0!</v>
      </c>
      <c r="T103" s="258" t="e">
        <f t="shared" si="69"/>
        <v>#DIV/0!</v>
      </c>
      <c r="U103" s="258" t="e">
        <f t="shared" si="69"/>
        <v>#DIV/0!</v>
      </c>
      <c r="V103" s="258" t="e">
        <f t="shared" si="69"/>
        <v>#DIV/0!</v>
      </c>
      <c r="W103" s="256" t="e">
        <f t="shared" si="69"/>
        <v>#DIV/0!</v>
      </c>
      <c r="X103" s="81" t="s">
        <v>10</v>
      </c>
      <c r="Y103" s="87" t="e">
        <f t="shared" ref="Y103:BP103" si="70">AVERAGEIF($E$5:$E$53,$E103,Y$5:Y$53)</f>
        <v>#DIV/0!</v>
      </c>
      <c r="Z103" s="87" t="e">
        <f t="shared" si="70"/>
        <v>#DIV/0!</v>
      </c>
      <c r="AA103" s="87" t="e">
        <f t="shared" si="70"/>
        <v>#DIV/0!</v>
      </c>
      <c r="AB103" s="87" t="e">
        <f t="shared" si="70"/>
        <v>#DIV/0!</v>
      </c>
      <c r="AC103" s="87" t="e">
        <f t="shared" si="70"/>
        <v>#DIV/0!</v>
      </c>
      <c r="AD103" s="87" t="e">
        <f t="shared" si="70"/>
        <v>#DIV/0!</v>
      </c>
      <c r="AE103" s="87" t="e">
        <f t="shared" si="70"/>
        <v>#DIV/0!</v>
      </c>
      <c r="AF103" s="87" t="e">
        <f t="shared" si="70"/>
        <v>#DIV/0!</v>
      </c>
      <c r="AG103" s="87" t="e">
        <f t="shared" si="70"/>
        <v>#DIV/0!</v>
      </c>
      <c r="AH103" s="87" t="e">
        <f t="shared" si="70"/>
        <v>#DIV/0!</v>
      </c>
      <c r="AI103" s="87" t="e">
        <f t="shared" si="70"/>
        <v>#DIV/0!</v>
      </c>
      <c r="AJ103" s="87" t="e">
        <f t="shared" si="70"/>
        <v>#DIV/0!</v>
      </c>
      <c r="AK103" s="87" t="e">
        <f t="shared" si="70"/>
        <v>#DIV/0!</v>
      </c>
      <c r="AL103" s="87" t="e">
        <f t="shared" si="70"/>
        <v>#DIV/0!</v>
      </c>
      <c r="AM103" s="87" t="e">
        <f t="shared" si="70"/>
        <v>#DIV/0!</v>
      </c>
      <c r="AN103" s="87" t="e">
        <f t="shared" si="70"/>
        <v>#DIV/0!</v>
      </c>
      <c r="AO103" s="87" t="e">
        <f t="shared" si="70"/>
        <v>#DIV/0!</v>
      </c>
      <c r="AP103" s="87" t="e">
        <f t="shared" si="70"/>
        <v>#DIV/0!</v>
      </c>
      <c r="AQ103" s="87" t="e">
        <f t="shared" si="70"/>
        <v>#DIV/0!</v>
      </c>
      <c r="AR103" s="87" t="e">
        <f t="shared" si="70"/>
        <v>#DIV/0!</v>
      </c>
      <c r="AS103" s="87" t="e">
        <f t="shared" si="70"/>
        <v>#DIV/0!</v>
      </c>
      <c r="AT103" s="87" t="e">
        <f t="shared" si="70"/>
        <v>#DIV/0!</v>
      </c>
      <c r="AU103" s="87" t="e">
        <f t="shared" si="70"/>
        <v>#DIV/0!</v>
      </c>
      <c r="AV103" s="87" t="e">
        <f t="shared" si="70"/>
        <v>#DIV/0!</v>
      </c>
      <c r="AW103" s="87" t="e">
        <f t="shared" si="70"/>
        <v>#DIV/0!</v>
      </c>
      <c r="AX103" s="87" t="e">
        <f t="shared" si="70"/>
        <v>#DIV/0!</v>
      </c>
      <c r="AY103" s="87" t="e">
        <f t="shared" si="70"/>
        <v>#DIV/0!</v>
      </c>
      <c r="AZ103" s="87" t="e">
        <f t="shared" si="70"/>
        <v>#DIV/0!</v>
      </c>
      <c r="BA103" s="87" t="e">
        <f t="shared" si="70"/>
        <v>#DIV/0!</v>
      </c>
      <c r="BB103" s="87" t="e">
        <f t="shared" si="70"/>
        <v>#DIV/0!</v>
      </c>
      <c r="BC103" s="87" t="e">
        <f t="shared" si="70"/>
        <v>#DIV/0!</v>
      </c>
      <c r="BD103" s="87" t="e">
        <f t="shared" si="70"/>
        <v>#DIV/0!</v>
      </c>
      <c r="BE103" s="87" t="e">
        <f t="shared" si="70"/>
        <v>#DIV/0!</v>
      </c>
      <c r="BF103" s="87" t="e">
        <f t="shared" si="70"/>
        <v>#DIV/0!</v>
      </c>
      <c r="BG103" s="87" t="e">
        <f t="shared" si="70"/>
        <v>#DIV/0!</v>
      </c>
      <c r="BH103" s="87" t="e">
        <f t="shared" si="70"/>
        <v>#DIV/0!</v>
      </c>
      <c r="BI103" s="87" t="e">
        <f t="shared" si="70"/>
        <v>#DIV/0!</v>
      </c>
      <c r="BJ103" s="87" t="e">
        <f t="shared" si="70"/>
        <v>#DIV/0!</v>
      </c>
      <c r="BK103" s="87" t="e">
        <f t="shared" si="70"/>
        <v>#DIV/0!</v>
      </c>
      <c r="BL103" s="87" t="e">
        <f t="shared" si="70"/>
        <v>#DIV/0!</v>
      </c>
      <c r="BM103" s="87" t="e">
        <f t="shared" si="70"/>
        <v>#DIV/0!</v>
      </c>
      <c r="BN103" s="87" t="e">
        <f t="shared" si="70"/>
        <v>#DIV/0!</v>
      </c>
      <c r="BO103" s="87" t="e">
        <f t="shared" si="70"/>
        <v>#DIV/0!</v>
      </c>
      <c r="BP103" s="87" t="e">
        <f t="shared" si="70"/>
        <v>#DIV/0!</v>
      </c>
      <c r="BQ103" s="114" t="s">
        <v>10</v>
      </c>
      <c r="BR103" s="82" t="e">
        <f t="shared" ref="BR103:DI103" si="71">AVERAGEIF($E$5:$E$53,$E103,BR$5:BR$53)</f>
        <v>#DIV/0!</v>
      </c>
      <c r="BS103" s="82" t="e">
        <f t="shared" si="71"/>
        <v>#DIV/0!</v>
      </c>
      <c r="BT103" s="82" t="e">
        <f t="shared" si="71"/>
        <v>#DIV/0!</v>
      </c>
      <c r="BU103" s="82" t="e">
        <f t="shared" si="71"/>
        <v>#DIV/0!</v>
      </c>
      <c r="BV103" s="82" t="e">
        <f t="shared" si="71"/>
        <v>#DIV/0!</v>
      </c>
      <c r="BW103" s="82" t="e">
        <f t="shared" si="71"/>
        <v>#DIV/0!</v>
      </c>
      <c r="BX103" s="82" t="e">
        <f t="shared" si="71"/>
        <v>#DIV/0!</v>
      </c>
      <c r="BY103" s="82" t="e">
        <f t="shared" si="71"/>
        <v>#DIV/0!</v>
      </c>
      <c r="BZ103" s="82" t="e">
        <f t="shared" si="71"/>
        <v>#DIV/0!</v>
      </c>
      <c r="CA103" s="82" t="e">
        <f t="shared" si="71"/>
        <v>#DIV/0!</v>
      </c>
      <c r="CB103" s="82" t="e">
        <f t="shared" si="71"/>
        <v>#DIV/0!</v>
      </c>
      <c r="CC103" s="82" t="e">
        <f t="shared" si="71"/>
        <v>#DIV/0!</v>
      </c>
      <c r="CD103" s="82" t="e">
        <f t="shared" si="71"/>
        <v>#DIV/0!</v>
      </c>
      <c r="CE103" s="82" t="e">
        <f t="shared" si="71"/>
        <v>#DIV/0!</v>
      </c>
      <c r="CF103" s="82" t="e">
        <f t="shared" si="71"/>
        <v>#DIV/0!</v>
      </c>
      <c r="CG103" s="82" t="e">
        <f t="shared" si="71"/>
        <v>#DIV/0!</v>
      </c>
      <c r="CH103" s="82" t="e">
        <f t="shared" si="71"/>
        <v>#DIV/0!</v>
      </c>
      <c r="CI103" s="82" t="e">
        <f t="shared" si="71"/>
        <v>#DIV/0!</v>
      </c>
      <c r="CJ103" s="82" t="e">
        <f t="shared" si="71"/>
        <v>#DIV/0!</v>
      </c>
      <c r="CK103" s="82" t="e">
        <f t="shared" si="71"/>
        <v>#DIV/0!</v>
      </c>
      <c r="CL103" s="82" t="e">
        <f t="shared" si="71"/>
        <v>#DIV/0!</v>
      </c>
      <c r="CM103" s="82" t="e">
        <f t="shared" si="71"/>
        <v>#DIV/0!</v>
      </c>
      <c r="CN103" s="82" t="e">
        <f t="shared" si="71"/>
        <v>#DIV/0!</v>
      </c>
      <c r="CO103" s="82" t="e">
        <f t="shared" si="71"/>
        <v>#DIV/0!</v>
      </c>
      <c r="CP103" s="82" t="e">
        <f t="shared" si="71"/>
        <v>#DIV/0!</v>
      </c>
      <c r="CQ103" s="82" t="e">
        <f t="shared" si="71"/>
        <v>#DIV/0!</v>
      </c>
      <c r="CR103" s="82" t="e">
        <f t="shared" si="71"/>
        <v>#DIV/0!</v>
      </c>
      <c r="CS103" s="82" t="e">
        <f t="shared" si="71"/>
        <v>#DIV/0!</v>
      </c>
      <c r="CT103" s="82" t="e">
        <f t="shared" si="71"/>
        <v>#DIV/0!</v>
      </c>
      <c r="CU103" s="82" t="e">
        <f t="shared" si="71"/>
        <v>#DIV/0!</v>
      </c>
      <c r="CV103" s="82" t="e">
        <f t="shared" si="71"/>
        <v>#DIV/0!</v>
      </c>
      <c r="CW103" s="82" t="e">
        <f t="shared" si="71"/>
        <v>#DIV/0!</v>
      </c>
      <c r="CX103" s="82" t="e">
        <f t="shared" si="71"/>
        <v>#DIV/0!</v>
      </c>
      <c r="CY103" s="82" t="e">
        <f t="shared" si="71"/>
        <v>#DIV/0!</v>
      </c>
      <c r="CZ103" s="82" t="e">
        <f t="shared" si="71"/>
        <v>#DIV/0!</v>
      </c>
      <c r="DA103" s="82" t="e">
        <f t="shared" si="71"/>
        <v>#DIV/0!</v>
      </c>
      <c r="DB103" s="82" t="e">
        <f t="shared" si="71"/>
        <v>#DIV/0!</v>
      </c>
      <c r="DC103" s="82" t="e">
        <f t="shared" si="71"/>
        <v>#DIV/0!</v>
      </c>
      <c r="DD103" s="82" t="e">
        <f t="shared" si="71"/>
        <v>#DIV/0!</v>
      </c>
      <c r="DE103" s="82" t="e">
        <f t="shared" si="71"/>
        <v>#DIV/0!</v>
      </c>
      <c r="DF103" s="82" t="e">
        <f t="shared" si="71"/>
        <v>#DIV/0!</v>
      </c>
      <c r="DG103" s="82" t="e">
        <f t="shared" si="71"/>
        <v>#DIV/0!</v>
      </c>
      <c r="DH103" s="82" t="e">
        <f t="shared" si="71"/>
        <v>#DIV/0!</v>
      </c>
      <c r="DI103" s="82" t="e">
        <f t="shared" si="71"/>
        <v>#DIV/0!</v>
      </c>
    </row>
    <row r="104" spans="1:113" ht="14.25" customHeight="1">
      <c r="A104" s="129"/>
      <c r="E104" s="104"/>
      <c r="H104" s="104"/>
      <c r="I104" s="256" t="e">
        <f t="array" ref="I104">_xlfn.STDEV.P(IF($E$5:$E$53=$E103,I$5:I$53))</f>
        <v>#DIV/0!</v>
      </c>
      <c r="J104" s="256"/>
      <c r="K104" s="256"/>
      <c r="L104" s="256"/>
      <c r="M104" s="256" t="e">
        <f t="array" ref="M104">_xlfn.STDEV.P(IF($E$5:$E$53=$E103,M$5:M$53))</f>
        <v>#DIV/0!</v>
      </c>
      <c r="N104" s="256" t="e">
        <f t="array" ref="N104">_xlfn.STDEV.P(IF($E$5:$E$53=$E103,N$5:N$53))</f>
        <v>#DIV/0!</v>
      </c>
      <c r="O104" s="256" t="e">
        <f t="array" ref="O104">_xlfn.STDEV.P(IF($E$5:$E$53=$E103,O$5:O$53))</f>
        <v>#DIV/0!</v>
      </c>
      <c r="P104" s="256" t="e">
        <f t="array" ref="P104">_xlfn.STDEV.P(IF($E$5:$E$53=$E103,P$5:P$53))</f>
        <v>#DIV/0!</v>
      </c>
      <c r="Q104" s="256" t="e">
        <f t="array" ref="Q104">_xlfn.STDEV.P(IF($E$5:$E$53=$E103,Q$5:Q$53))</f>
        <v>#DIV/0!</v>
      </c>
      <c r="R104" s="257" t="e">
        <f t="array" ref="R104">_xlfn.STDEV.P(IF($E$5:$E$53=$E103,R$5:R$53))</f>
        <v>#DIV/0!</v>
      </c>
      <c r="S104" s="258" t="e">
        <f t="array" ref="S104">_xlfn.STDEV.P(IF($E$5:$E$53=$E103,S$5:S$53))</f>
        <v>#DIV/0!</v>
      </c>
      <c r="T104" s="258" t="e">
        <f t="array" ref="T104">_xlfn.STDEV.P(IF($E$5:$E$53=$E103,T$5:T$53))</f>
        <v>#DIV/0!</v>
      </c>
      <c r="U104" s="258" t="e">
        <f t="array" ref="U104">_xlfn.STDEV.P(IF($E$5:$E$53=$E103,U$5:U$53))</f>
        <v>#DIV/0!</v>
      </c>
      <c r="V104" s="258" t="e">
        <f t="array" ref="V104">_xlfn.STDEV.P(IF($E$5:$E$53=$E103,V$5:V$53))</f>
        <v>#DIV/0!</v>
      </c>
      <c r="W104" s="256" t="e">
        <f t="array" ref="W104">_xlfn.STDEV.P(IF($E$5:$E$53=$E103,W$5:W$53))</f>
        <v>#DIV/0!</v>
      </c>
      <c r="X104" s="81" t="s">
        <v>12</v>
      </c>
      <c r="Y104" s="90" t="e">
        <f t="array" ref="Y104">_xlfn.STDEV.P(IF($E$5:$E$53=$E103,Y$5:Y$53))</f>
        <v>#DIV/0!</v>
      </c>
      <c r="Z104" s="90" t="e">
        <f t="array" ref="Z104">_xlfn.STDEV.P(IF($E$5:$E$53=$E103,Z$5:Z$53))</f>
        <v>#DIV/0!</v>
      </c>
      <c r="AA104" s="90" t="e">
        <f t="array" ref="AA104">_xlfn.STDEV.P(IF($E$5:$E$53=$E103,AA$5:AA$53))</f>
        <v>#DIV/0!</v>
      </c>
      <c r="AB104" s="90" t="e">
        <f t="array" ref="AB104">_xlfn.STDEV.P(IF($E$5:$E$53=$E103,AB$5:AB$53))</f>
        <v>#DIV/0!</v>
      </c>
      <c r="AC104" s="90" t="e">
        <f t="array" ref="AC104">_xlfn.STDEV.P(IF($E$5:$E$53=$E103,AC$5:AC$53))</f>
        <v>#DIV/0!</v>
      </c>
      <c r="AD104" s="90" t="e">
        <f t="array" ref="AD104">_xlfn.STDEV.P(IF($E$5:$E$53=$E103,AD$5:AD$53))</f>
        <v>#DIV/0!</v>
      </c>
      <c r="AE104" s="90" t="e">
        <f t="array" ref="AE104">_xlfn.STDEV.P(IF($E$5:$E$53=$E103,AE$5:AE$53))</f>
        <v>#DIV/0!</v>
      </c>
      <c r="AF104" s="90" t="e">
        <f t="array" ref="AF104">_xlfn.STDEV.P(IF($E$5:$E$53=$E103,AF$5:AF$53))</f>
        <v>#DIV/0!</v>
      </c>
      <c r="AG104" s="90" t="e">
        <f t="array" ref="AG104">_xlfn.STDEV.P(IF($E$5:$E$53=$E103,AG$5:AG$53))</f>
        <v>#DIV/0!</v>
      </c>
      <c r="AH104" s="90" t="e">
        <f t="array" ref="AH104">_xlfn.STDEV.P(IF($E$5:$E$53=$E103,AH$5:AH$53))</f>
        <v>#DIV/0!</v>
      </c>
      <c r="AI104" s="90" t="e">
        <f t="array" ref="AI104">_xlfn.STDEV.P(IF($E$5:$E$53=$E103,AI$5:AI$53))</f>
        <v>#DIV/0!</v>
      </c>
      <c r="AJ104" s="90" t="e">
        <f t="array" ref="AJ104">_xlfn.STDEV.P(IF($E$5:$E$53=$E103,AJ$5:AJ$53))</f>
        <v>#DIV/0!</v>
      </c>
      <c r="AK104" s="90" t="e">
        <f t="array" ref="AK104">_xlfn.STDEV.P(IF($E$5:$E$53=$E103,AK$5:AK$53))</f>
        <v>#DIV/0!</v>
      </c>
      <c r="AL104" s="90" t="e">
        <f t="array" ref="AL104">_xlfn.STDEV.P(IF($E$5:$E$53=$E103,AL$5:AL$53))</f>
        <v>#DIV/0!</v>
      </c>
      <c r="AM104" s="90" t="e">
        <f t="array" ref="AM104">_xlfn.STDEV.P(IF($E$5:$E$53=$E103,AM$5:AM$53))</f>
        <v>#DIV/0!</v>
      </c>
      <c r="AN104" s="90" t="e">
        <f t="array" ref="AN104">_xlfn.STDEV.P(IF($E$5:$E$53=$E103,AN$5:AN$53))</f>
        <v>#DIV/0!</v>
      </c>
      <c r="AO104" s="90" t="e">
        <f t="array" ref="AO104">_xlfn.STDEV.P(IF($E$5:$E$53=$E103,AO$5:AO$53))</f>
        <v>#DIV/0!</v>
      </c>
      <c r="AP104" s="90" t="e">
        <f t="array" ref="AP104">_xlfn.STDEV.P(IF($E$5:$E$53=$E103,AP$5:AP$53))</f>
        <v>#DIV/0!</v>
      </c>
      <c r="AQ104" s="90" t="e">
        <f t="array" ref="AQ104">_xlfn.STDEV.P(IF($E$5:$E$53=$E103,AQ$5:AQ$53))</f>
        <v>#DIV/0!</v>
      </c>
      <c r="AR104" s="90" t="e">
        <f t="array" ref="AR104">_xlfn.STDEV.P(IF($E$5:$E$53=$E103,AR$5:AR$53))</f>
        <v>#DIV/0!</v>
      </c>
      <c r="AS104" s="90" t="e">
        <f t="array" ref="AS104">_xlfn.STDEV.P(IF($E$5:$E$53=$E103,AS$5:AS$53))</f>
        <v>#DIV/0!</v>
      </c>
      <c r="AT104" s="90" t="e">
        <f t="array" ref="AT104">_xlfn.STDEV.P(IF($E$5:$E$53=$E103,AT$5:AT$53))</f>
        <v>#DIV/0!</v>
      </c>
      <c r="AU104" s="90" t="e">
        <f t="array" ref="AU104">_xlfn.STDEV.P(IF($E$5:$E$53=$E103,AU$5:AU$53))</f>
        <v>#DIV/0!</v>
      </c>
      <c r="AV104" s="90" t="e">
        <f t="array" ref="AV104">_xlfn.STDEV.P(IF($E$5:$E$53=$E103,AV$5:AV$53))</f>
        <v>#DIV/0!</v>
      </c>
      <c r="AW104" s="90" t="e">
        <f t="array" ref="AW104">_xlfn.STDEV.P(IF($E$5:$E$53=$E103,AW$5:AW$53))</f>
        <v>#DIV/0!</v>
      </c>
      <c r="AX104" s="90" t="e">
        <f t="array" ref="AX104">_xlfn.STDEV.P(IF($E$5:$E$53=$E103,AX$5:AX$53))</f>
        <v>#DIV/0!</v>
      </c>
      <c r="AY104" s="90" t="e">
        <f t="array" ref="AY104">_xlfn.STDEV.P(IF($E$5:$E$53=$E103,AY$5:AY$53))</f>
        <v>#DIV/0!</v>
      </c>
      <c r="AZ104" s="90" t="e">
        <f t="array" ref="AZ104">_xlfn.STDEV.P(IF($E$5:$E$53=$E103,AZ$5:AZ$53))</f>
        <v>#DIV/0!</v>
      </c>
      <c r="BA104" s="90" t="e">
        <f t="array" ref="BA104">_xlfn.STDEV.P(IF($E$5:$E$53=$E103,BA$5:BA$53))</f>
        <v>#DIV/0!</v>
      </c>
      <c r="BB104" s="90" t="e">
        <f t="array" ref="BB104">_xlfn.STDEV.P(IF($E$5:$E$53=$E103,BB$5:BB$53))</f>
        <v>#DIV/0!</v>
      </c>
      <c r="BC104" s="90" t="e">
        <f t="array" ref="BC104">_xlfn.STDEV.P(IF($E$5:$E$53=$E103,BC$5:BC$53))</f>
        <v>#DIV/0!</v>
      </c>
      <c r="BD104" s="90" t="e">
        <f t="array" ref="BD104">_xlfn.STDEV.P(IF($E$5:$E$53=$E103,BD$5:BD$53))</f>
        <v>#DIV/0!</v>
      </c>
      <c r="BE104" s="90" t="e">
        <f t="array" ref="BE104">_xlfn.STDEV.P(IF($E$5:$E$53=$E103,BE$5:BE$53))</f>
        <v>#DIV/0!</v>
      </c>
      <c r="BF104" s="90" t="e">
        <f t="array" ref="BF104">_xlfn.STDEV.P(IF($E$5:$E$53=$E103,BF$5:BF$53))</f>
        <v>#DIV/0!</v>
      </c>
      <c r="BG104" s="90" t="e">
        <f t="array" ref="BG104">_xlfn.STDEV.P(IF($E$5:$E$53=$E103,BG$5:BG$53))</f>
        <v>#DIV/0!</v>
      </c>
      <c r="BH104" s="90" t="e">
        <f t="array" ref="BH104">_xlfn.STDEV.P(IF($E$5:$E$53=$E103,BH$5:BH$53))</f>
        <v>#DIV/0!</v>
      </c>
      <c r="BI104" s="90" t="e">
        <f t="array" ref="BI104">_xlfn.STDEV.P(IF($E$5:$E$53=$E103,BI$5:BI$53))</f>
        <v>#DIV/0!</v>
      </c>
      <c r="BJ104" s="90" t="e">
        <f t="array" ref="BJ104">_xlfn.STDEV.P(IF($E$5:$E$53=$E103,BJ$5:BJ$53))</f>
        <v>#DIV/0!</v>
      </c>
      <c r="BK104" s="90" t="e">
        <f t="array" ref="BK104">_xlfn.STDEV.P(IF($E$5:$E$53=$E103,BK$5:BK$53))</f>
        <v>#DIV/0!</v>
      </c>
      <c r="BL104" s="90" t="e">
        <f t="array" ref="BL104">_xlfn.STDEV.P(IF($E$5:$E$53=$E103,BL$5:BL$53))</f>
        <v>#DIV/0!</v>
      </c>
      <c r="BM104" s="90" t="e">
        <f t="array" ref="BM104">_xlfn.STDEV.P(IF($E$5:$E$53=$E103,BM$5:BM$53))</f>
        <v>#DIV/0!</v>
      </c>
      <c r="BN104" s="90" t="e">
        <f t="array" ref="BN104">_xlfn.STDEV.P(IF($E$5:$E$53=$E103,BN$5:BN$53))</f>
        <v>#DIV/0!</v>
      </c>
      <c r="BO104" s="90" t="e">
        <f t="array" ref="BO104">_xlfn.STDEV.P(IF($E$5:$E$53=$E103,BO$5:BO$53))</f>
        <v>#DIV/0!</v>
      </c>
      <c r="BP104" s="90" t="e">
        <f t="array" ref="BP104">_xlfn.STDEV.P(IF($E$5:$E$53=$E103,BP$5:BP$53))</f>
        <v>#DIV/0!</v>
      </c>
      <c r="BQ104" s="115" t="s">
        <v>12</v>
      </c>
      <c r="BR104" s="83" t="e">
        <f t="array" ref="BR104">_xlfn.STDEV.P(IF($E$5:$E$53=$E103,BR$5:BR$53))</f>
        <v>#DIV/0!</v>
      </c>
      <c r="BS104" s="83" t="e">
        <f t="array" ref="BS104">_xlfn.STDEV.P(IF($E$5:$E$53=$E103,BS$5:BS$53))</f>
        <v>#DIV/0!</v>
      </c>
      <c r="BT104" s="83" t="e">
        <f t="array" ref="BT104">_xlfn.STDEV.P(IF($E$5:$E$53=$E103,BT$5:BT$53))</f>
        <v>#DIV/0!</v>
      </c>
      <c r="BU104" s="83" t="e">
        <f t="array" ref="BU104">_xlfn.STDEV.P(IF($E$5:$E$53=$E103,BU$5:BU$53))</f>
        <v>#DIV/0!</v>
      </c>
      <c r="BV104" s="83" t="e">
        <f t="array" ref="BV104">_xlfn.STDEV.P(IF($E$5:$E$53=$E103,BV$5:BV$53))</f>
        <v>#DIV/0!</v>
      </c>
      <c r="BW104" s="83" t="e">
        <f t="array" ref="BW104">_xlfn.STDEV.P(IF($E$5:$E$53=$E103,BW$5:BW$53))</f>
        <v>#DIV/0!</v>
      </c>
      <c r="BX104" s="83" t="e">
        <f t="array" ref="BX104">_xlfn.STDEV.P(IF($E$5:$E$53=$E103,BX$5:BX$53))</f>
        <v>#DIV/0!</v>
      </c>
      <c r="BY104" s="83" t="e">
        <f t="array" ref="BY104">_xlfn.STDEV.P(IF($E$5:$E$53=$E103,BY$5:BY$53))</f>
        <v>#DIV/0!</v>
      </c>
      <c r="BZ104" s="83" t="e">
        <f t="array" ref="BZ104">_xlfn.STDEV.P(IF($E$5:$E$53=$E103,BZ$5:BZ$53))</f>
        <v>#DIV/0!</v>
      </c>
      <c r="CA104" s="83" t="e">
        <f t="array" ref="CA104">_xlfn.STDEV.P(IF($E$5:$E$53=$E103,CA$5:CA$53))</f>
        <v>#DIV/0!</v>
      </c>
      <c r="CB104" s="83" t="e">
        <f t="array" ref="CB104">_xlfn.STDEV.P(IF($E$5:$E$53=$E103,CB$5:CB$53))</f>
        <v>#DIV/0!</v>
      </c>
      <c r="CC104" s="83" t="e">
        <f t="array" ref="CC104">_xlfn.STDEV.P(IF($E$5:$E$53=$E103,CC$5:CC$53))</f>
        <v>#DIV/0!</v>
      </c>
      <c r="CD104" s="83" t="e">
        <f t="array" ref="CD104">_xlfn.STDEV.P(IF($E$5:$E$53=$E103,CD$5:CD$53))</f>
        <v>#DIV/0!</v>
      </c>
      <c r="CE104" s="83" t="e">
        <f t="array" ref="CE104">_xlfn.STDEV.P(IF($E$5:$E$53=$E103,CE$5:CE$53))</f>
        <v>#DIV/0!</v>
      </c>
      <c r="CF104" s="83" t="e">
        <f t="array" ref="CF104">_xlfn.STDEV.P(IF($E$5:$E$53=$E103,CF$5:CF$53))</f>
        <v>#DIV/0!</v>
      </c>
      <c r="CG104" s="83" t="e">
        <f t="array" ref="CG104">_xlfn.STDEV.P(IF($E$5:$E$53=$E103,CG$5:CG$53))</f>
        <v>#DIV/0!</v>
      </c>
      <c r="CH104" s="83" t="e">
        <f t="array" ref="CH104">_xlfn.STDEV.P(IF($E$5:$E$53=$E103,CH$5:CH$53))</f>
        <v>#DIV/0!</v>
      </c>
      <c r="CI104" s="83" t="e">
        <f t="array" ref="CI104">_xlfn.STDEV.P(IF($E$5:$E$53=$E103,CI$5:CI$53))</f>
        <v>#DIV/0!</v>
      </c>
      <c r="CJ104" s="83" t="e">
        <f t="array" ref="CJ104">_xlfn.STDEV.P(IF($E$5:$E$53=$E103,CJ$5:CJ$53))</f>
        <v>#DIV/0!</v>
      </c>
      <c r="CK104" s="83" t="e">
        <f t="array" ref="CK104">_xlfn.STDEV.P(IF($E$5:$E$53=$E103,CK$5:CK$53))</f>
        <v>#DIV/0!</v>
      </c>
      <c r="CL104" s="83" t="e">
        <f t="array" ref="CL104">_xlfn.STDEV.P(IF($E$5:$E$53=$E103,CL$5:CL$53))</f>
        <v>#DIV/0!</v>
      </c>
      <c r="CM104" s="83" t="e">
        <f t="array" ref="CM104">_xlfn.STDEV.P(IF($E$5:$E$53=$E103,CM$5:CM$53))</f>
        <v>#DIV/0!</v>
      </c>
      <c r="CN104" s="83" t="e">
        <f t="array" ref="CN104">_xlfn.STDEV.P(IF($E$5:$E$53=$E103,CN$5:CN$53))</f>
        <v>#DIV/0!</v>
      </c>
      <c r="CO104" s="83" t="e">
        <f t="array" ref="CO104">_xlfn.STDEV.P(IF($E$5:$E$53=$E103,CO$5:CO$53))</f>
        <v>#DIV/0!</v>
      </c>
      <c r="CP104" s="83" t="e">
        <f t="array" ref="CP104">_xlfn.STDEV.P(IF($E$5:$E$53=$E103,CP$5:CP$53))</f>
        <v>#DIV/0!</v>
      </c>
      <c r="CQ104" s="83" t="e">
        <f t="array" ref="CQ104">_xlfn.STDEV.P(IF($E$5:$E$53=$E103,CQ$5:CQ$53))</f>
        <v>#DIV/0!</v>
      </c>
      <c r="CR104" s="83" t="e">
        <f t="array" ref="CR104">_xlfn.STDEV.P(IF($E$5:$E$53=$E103,CR$5:CR$53))</f>
        <v>#DIV/0!</v>
      </c>
      <c r="CS104" s="83" t="e">
        <f t="array" ref="CS104">_xlfn.STDEV.P(IF($E$5:$E$53=$E103,CS$5:CS$53))</f>
        <v>#DIV/0!</v>
      </c>
      <c r="CT104" s="83" t="e">
        <f t="array" ref="CT104">_xlfn.STDEV.P(IF($E$5:$E$53=$E103,CT$5:CT$53))</f>
        <v>#DIV/0!</v>
      </c>
      <c r="CU104" s="83" t="e">
        <f t="array" ref="CU104">_xlfn.STDEV.P(IF($E$5:$E$53=$E103,CU$5:CU$53))</f>
        <v>#DIV/0!</v>
      </c>
      <c r="CV104" s="83" t="e">
        <f t="array" ref="CV104">_xlfn.STDEV.P(IF($E$5:$E$53=$E103,CV$5:CV$53))</f>
        <v>#DIV/0!</v>
      </c>
      <c r="CW104" s="83" t="e">
        <f t="array" ref="CW104">_xlfn.STDEV.P(IF($E$5:$E$53=$E103,CW$5:CW$53))</f>
        <v>#DIV/0!</v>
      </c>
      <c r="CX104" s="83" t="e">
        <f t="array" ref="CX104">_xlfn.STDEV.P(IF($E$5:$E$53=$E103,CX$5:CX$53))</f>
        <v>#DIV/0!</v>
      </c>
      <c r="CY104" s="83" t="e">
        <f t="array" ref="CY104">_xlfn.STDEV.P(IF($E$5:$E$53=$E103,CY$5:CY$53))</f>
        <v>#DIV/0!</v>
      </c>
      <c r="CZ104" s="83" t="e">
        <f t="array" ref="CZ104">_xlfn.STDEV.P(IF($E$5:$E$53=$E103,CZ$5:CZ$53))</f>
        <v>#DIV/0!</v>
      </c>
      <c r="DA104" s="83" t="e">
        <f t="array" ref="DA104">_xlfn.STDEV.P(IF($E$5:$E$53=$E103,DA$5:DA$53))</f>
        <v>#DIV/0!</v>
      </c>
      <c r="DB104" s="83" t="e">
        <f t="array" ref="DB104">_xlfn.STDEV.P(IF($E$5:$E$53=$E103,DB$5:DB$53))</f>
        <v>#DIV/0!</v>
      </c>
      <c r="DC104" s="83" t="e">
        <f t="array" ref="DC104">_xlfn.STDEV.P(IF($E$5:$E$53=$E103,DC$5:DC$53))</f>
        <v>#DIV/0!</v>
      </c>
      <c r="DD104" s="83" t="e">
        <f t="array" ref="DD104">_xlfn.STDEV.P(IF($E$5:$E$53=$E103,DD$5:DD$53))</f>
        <v>#DIV/0!</v>
      </c>
      <c r="DE104" s="83" t="e">
        <f t="array" ref="DE104">_xlfn.STDEV.P(IF($E$5:$E$53=$E103,DE$5:DE$53))</f>
        <v>#DIV/0!</v>
      </c>
      <c r="DF104" s="83" t="e">
        <f t="array" ref="DF104">_xlfn.STDEV.P(IF($E$5:$E$53=$E103,DF$5:DF$53))</f>
        <v>#DIV/0!</v>
      </c>
      <c r="DG104" s="83" t="e">
        <f t="array" ref="DG104">_xlfn.STDEV.P(IF($E$5:$E$53=$E103,DG$5:DG$53))</f>
        <v>#DIV/0!</v>
      </c>
      <c r="DH104" s="83" t="e">
        <f t="array" ref="DH104">_xlfn.STDEV.P(IF($E$5:$E$53=$E103,DH$5:DH$53))</f>
        <v>#DIV/0!</v>
      </c>
      <c r="DI104" s="83" t="e">
        <f t="array" ref="DI104">_xlfn.STDEV.P(IF($E$5:$E$53=$E103,DI$5:DI$53))</f>
        <v>#DIV/0!</v>
      </c>
    </row>
    <row r="105" spans="1:113">
      <c r="J105" s="63"/>
      <c r="K105" s="63"/>
      <c r="L105" s="63"/>
      <c r="N105" s="63"/>
      <c r="R105" s="176"/>
      <c r="S105" s="253"/>
      <c r="T105" s="253"/>
      <c r="U105" s="253"/>
      <c r="V105" s="253"/>
      <c r="W105" s="63"/>
    </row>
    <row r="106" spans="1:113" ht="14.25" customHeight="1">
      <c r="A106" s="129"/>
      <c r="E106" s="134" t="str">
        <f>'PTX_DOSE Groups'!C20</f>
        <v>Group 15</v>
      </c>
      <c r="H106" s="134" t="str">
        <f>E106</f>
        <v>Group 15</v>
      </c>
      <c r="I106" s="256" t="e">
        <f>AVERAGEIF($E$5:$E$53,$E106,I$5:I$53)</f>
        <v>#DIV/0!</v>
      </c>
      <c r="J106" s="256"/>
      <c r="K106" s="256"/>
      <c r="L106" s="256"/>
      <c r="M106" s="256" t="e">
        <f t="shared" ref="M106:W106" si="72">AVERAGEIF($E$5:$E$53,$E106,M$5:M$53)</f>
        <v>#DIV/0!</v>
      </c>
      <c r="N106" s="256" t="e">
        <f t="shared" si="72"/>
        <v>#DIV/0!</v>
      </c>
      <c r="O106" s="256" t="e">
        <f t="shared" si="72"/>
        <v>#DIV/0!</v>
      </c>
      <c r="P106" s="256" t="e">
        <f t="shared" si="72"/>
        <v>#DIV/0!</v>
      </c>
      <c r="Q106" s="256" t="e">
        <f t="shared" si="72"/>
        <v>#DIV/0!</v>
      </c>
      <c r="R106" s="257" t="e">
        <f t="shared" si="72"/>
        <v>#DIV/0!</v>
      </c>
      <c r="S106" s="258" t="e">
        <f t="shared" si="72"/>
        <v>#DIV/0!</v>
      </c>
      <c r="T106" s="258" t="e">
        <f t="shared" si="72"/>
        <v>#DIV/0!</v>
      </c>
      <c r="U106" s="258" t="e">
        <f t="shared" si="72"/>
        <v>#DIV/0!</v>
      </c>
      <c r="V106" s="258" t="e">
        <f t="shared" si="72"/>
        <v>#DIV/0!</v>
      </c>
      <c r="W106" s="256" t="e">
        <f t="shared" si="72"/>
        <v>#DIV/0!</v>
      </c>
      <c r="X106" s="81" t="s">
        <v>10</v>
      </c>
      <c r="Y106" s="87" t="e">
        <f t="shared" ref="Y106:BP106" si="73">AVERAGEIF($E$5:$E$53,$E106,Y$5:Y$53)</f>
        <v>#DIV/0!</v>
      </c>
      <c r="Z106" s="87" t="e">
        <f t="shared" si="73"/>
        <v>#DIV/0!</v>
      </c>
      <c r="AA106" s="87" t="e">
        <f t="shared" si="73"/>
        <v>#DIV/0!</v>
      </c>
      <c r="AB106" s="87" t="e">
        <f t="shared" si="73"/>
        <v>#DIV/0!</v>
      </c>
      <c r="AC106" s="87" t="e">
        <f t="shared" si="73"/>
        <v>#DIV/0!</v>
      </c>
      <c r="AD106" s="87" t="e">
        <f t="shared" si="73"/>
        <v>#DIV/0!</v>
      </c>
      <c r="AE106" s="87" t="e">
        <f t="shared" si="73"/>
        <v>#DIV/0!</v>
      </c>
      <c r="AF106" s="87" t="e">
        <f t="shared" si="73"/>
        <v>#DIV/0!</v>
      </c>
      <c r="AG106" s="87" t="e">
        <f t="shared" si="73"/>
        <v>#DIV/0!</v>
      </c>
      <c r="AH106" s="87" t="e">
        <f t="shared" si="73"/>
        <v>#DIV/0!</v>
      </c>
      <c r="AI106" s="87" t="e">
        <f t="shared" si="73"/>
        <v>#DIV/0!</v>
      </c>
      <c r="AJ106" s="87" t="e">
        <f t="shared" si="73"/>
        <v>#DIV/0!</v>
      </c>
      <c r="AK106" s="87" t="e">
        <f t="shared" si="73"/>
        <v>#DIV/0!</v>
      </c>
      <c r="AL106" s="87" t="e">
        <f t="shared" si="73"/>
        <v>#DIV/0!</v>
      </c>
      <c r="AM106" s="87" t="e">
        <f t="shared" si="73"/>
        <v>#DIV/0!</v>
      </c>
      <c r="AN106" s="87" t="e">
        <f t="shared" si="73"/>
        <v>#DIV/0!</v>
      </c>
      <c r="AO106" s="87" t="e">
        <f t="shared" si="73"/>
        <v>#DIV/0!</v>
      </c>
      <c r="AP106" s="87" t="e">
        <f t="shared" si="73"/>
        <v>#DIV/0!</v>
      </c>
      <c r="AQ106" s="87" t="e">
        <f t="shared" si="73"/>
        <v>#DIV/0!</v>
      </c>
      <c r="AR106" s="87" t="e">
        <f t="shared" si="73"/>
        <v>#DIV/0!</v>
      </c>
      <c r="AS106" s="87" t="e">
        <f t="shared" si="73"/>
        <v>#DIV/0!</v>
      </c>
      <c r="AT106" s="87" t="e">
        <f t="shared" si="73"/>
        <v>#DIV/0!</v>
      </c>
      <c r="AU106" s="87" t="e">
        <f t="shared" si="73"/>
        <v>#DIV/0!</v>
      </c>
      <c r="AV106" s="87" t="e">
        <f t="shared" si="73"/>
        <v>#DIV/0!</v>
      </c>
      <c r="AW106" s="87" t="e">
        <f t="shared" si="73"/>
        <v>#DIV/0!</v>
      </c>
      <c r="AX106" s="87" t="e">
        <f t="shared" si="73"/>
        <v>#DIV/0!</v>
      </c>
      <c r="AY106" s="87" t="e">
        <f t="shared" si="73"/>
        <v>#DIV/0!</v>
      </c>
      <c r="AZ106" s="87" t="e">
        <f t="shared" si="73"/>
        <v>#DIV/0!</v>
      </c>
      <c r="BA106" s="87" t="e">
        <f t="shared" si="73"/>
        <v>#DIV/0!</v>
      </c>
      <c r="BB106" s="87" t="e">
        <f t="shared" si="73"/>
        <v>#DIV/0!</v>
      </c>
      <c r="BC106" s="87" t="e">
        <f t="shared" si="73"/>
        <v>#DIV/0!</v>
      </c>
      <c r="BD106" s="87" t="e">
        <f t="shared" si="73"/>
        <v>#DIV/0!</v>
      </c>
      <c r="BE106" s="87" t="e">
        <f t="shared" si="73"/>
        <v>#DIV/0!</v>
      </c>
      <c r="BF106" s="87" t="e">
        <f t="shared" si="73"/>
        <v>#DIV/0!</v>
      </c>
      <c r="BG106" s="87" t="e">
        <f t="shared" si="73"/>
        <v>#DIV/0!</v>
      </c>
      <c r="BH106" s="87" t="e">
        <f t="shared" si="73"/>
        <v>#DIV/0!</v>
      </c>
      <c r="BI106" s="87" t="e">
        <f t="shared" si="73"/>
        <v>#DIV/0!</v>
      </c>
      <c r="BJ106" s="87" t="e">
        <f t="shared" si="73"/>
        <v>#DIV/0!</v>
      </c>
      <c r="BK106" s="87" t="e">
        <f t="shared" si="73"/>
        <v>#DIV/0!</v>
      </c>
      <c r="BL106" s="87" t="e">
        <f t="shared" si="73"/>
        <v>#DIV/0!</v>
      </c>
      <c r="BM106" s="87" t="e">
        <f t="shared" si="73"/>
        <v>#DIV/0!</v>
      </c>
      <c r="BN106" s="87" t="e">
        <f t="shared" si="73"/>
        <v>#DIV/0!</v>
      </c>
      <c r="BO106" s="87" t="e">
        <f t="shared" si="73"/>
        <v>#DIV/0!</v>
      </c>
      <c r="BP106" s="87" t="e">
        <f t="shared" si="73"/>
        <v>#DIV/0!</v>
      </c>
      <c r="BQ106" s="114" t="s">
        <v>10</v>
      </c>
      <c r="BR106" s="82" t="e">
        <f t="shared" ref="BR106:DI106" si="74">AVERAGEIF($E$5:$E$53,$E106,BR$5:BR$53)</f>
        <v>#DIV/0!</v>
      </c>
      <c r="BS106" s="82" t="e">
        <f t="shared" si="74"/>
        <v>#DIV/0!</v>
      </c>
      <c r="BT106" s="82" t="e">
        <f t="shared" si="74"/>
        <v>#DIV/0!</v>
      </c>
      <c r="BU106" s="82" t="e">
        <f t="shared" si="74"/>
        <v>#DIV/0!</v>
      </c>
      <c r="BV106" s="82" t="e">
        <f t="shared" si="74"/>
        <v>#DIV/0!</v>
      </c>
      <c r="BW106" s="82" t="e">
        <f t="shared" si="74"/>
        <v>#DIV/0!</v>
      </c>
      <c r="BX106" s="82" t="e">
        <f t="shared" si="74"/>
        <v>#DIV/0!</v>
      </c>
      <c r="BY106" s="82" t="e">
        <f t="shared" si="74"/>
        <v>#DIV/0!</v>
      </c>
      <c r="BZ106" s="82" t="e">
        <f t="shared" si="74"/>
        <v>#DIV/0!</v>
      </c>
      <c r="CA106" s="82" t="e">
        <f t="shared" si="74"/>
        <v>#DIV/0!</v>
      </c>
      <c r="CB106" s="82" t="e">
        <f t="shared" si="74"/>
        <v>#DIV/0!</v>
      </c>
      <c r="CC106" s="82" t="e">
        <f t="shared" si="74"/>
        <v>#DIV/0!</v>
      </c>
      <c r="CD106" s="82" t="e">
        <f t="shared" si="74"/>
        <v>#DIV/0!</v>
      </c>
      <c r="CE106" s="82" t="e">
        <f t="shared" si="74"/>
        <v>#DIV/0!</v>
      </c>
      <c r="CF106" s="82" t="e">
        <f t="shared" si="74"/>
        <v>#DIV/0!</v>
      </c>
      <c r="CG106" s="82" t="e">
        <f t="shared" si="74"/>
        <v>#DIV/0!</v>
      </c>
      <c r="CH106" s="82" t="e">
        <f t="shared" si="74"/>
        <v>#DIV/0!</v>
      </c>
      <c r="CI106" s="82" t="e">
        <f t="shared" si="74"/>
        <v>#DIV/0!</v>
      </c>
      <c r="CJ106" s="82" t="e">
        <f t="shared" si="74"/>
        <v>#DIV/0!</v>
      </c>
      <c r="CK106" s="82" t="e">
        <f t="shared" si="74"/>
        <v>#DIV/0!</v>
      </c>
      <c r="CL106" s="82" t="e">
        <f t="shared" si="74"/>
        <v>#DIV/0!</v>
      </c>
      <c r="CM106" s="82" t="e">
        <f t="shared" si="74"/>
        <v>#DIV/0!</v>
      </c>
      <c r="CN106" s="82" t="e">
        <f t="shared" si="74"/>
        <v>#DIV/0!</v>
      </c>
      <c r="CO106" s="82" t="e">
        <f t="shared" si="74"/>
        <v>#DIV/0!</v>
      </c>
      <c r="CP106" s="82" t="e">
        <f t="shared" si="74"/>
        <v>#DIV/0!</v>
      </c>
      <c r="CQ106" s="82" t="e">
        <f t="shared" si="74"/>
        <v>#DIV/0!</v>
      </c>
      <c r="CR106" s="82" t="e">
        <f t="shared" si="74"/>
        <v>#DIV/0!</v>
      </c>
      <c r="CS106" s="82" t="e">
        <f t="shared" si="74"/>
        <v>#DIV/0!</v>
      </c>
      <c r="CT106" s="82" t="e">
        <f t="shared" si="74"/>
        <v>#DIV/0!</v>
      </c>
      <c r="CU106" s="82" t="e">
        <f t="shared" si="74"/>
        <v>#DIV/0!</v>
      </c>
      <c r="CV106" s="82" t="e">
        <f t="shared" si="74"/>
        <v>#DIV/0!</v>
      </c>
      <c r="CW106" s="82" t="e">
        <f t="shared" si="74"/>
        <v>#DIV/0!</v>
      </c>
      <c r="CX106" s="82" t="e">
        <f t="shared" si="74"/>
        <v>#DIV/0!</v>
      </c>
      <c r="CY106" s="82" t="e">
        <f t="shared" si="74"/>
        <v>#DIV/0!</v>
      </c>
      <c r="CZ106" s="82" t="e">
        <f t="shared" si="74"/>
        <v>#DIV/0!</v>
      </c>
      <c r="DA106" s="82" t="e">
        <f t="shared" si="74"/>
        <v>#DIV/0!</v>
      </c>
      <c r="DB106" s="82" t="e">
        <f t="shared" si="74"/>
        <v>#DIV/0!</v>
      </c>
      <c r="DC106" s="82" t="e">
        <f t="shared" si="74"/>
        <v>#DIV/0!</v>
      </c>
      <c r="DD106" s="82" t="e">
        <f t="shared" si="74"/>
        <v>#DIV/0!</v>
      </c>
      <c r="DE106" s="82" t="e">
        <f t="shared" si="74"/>
        <v>#DIV/0!</v>
      </c>
      <c r="DF106" s="82" t="e">
        <f t="shared" si="74"/>
        <v>#DIV/0!</v>
      </c>
      <c r="DG106" s="82" t="e">
        <f t="shared" si="74"/>
        <v>#DIV/0!</v>
      </c>
      <c r="DH106" s="82" t="e">
        <f t="shared" si="74"/>
        <v>#DIV/0!</v>
      </c>
      <c r="DI106" s="82" t="e">
        <f t="shared" si="74"/>
        <v>#DIV/0!</v>
      </c>
    </row>
    <row r="107" spans="1:113" ht="14.25" customHeight="1">
      <c r="A107" s="129"/>
      <c r="E107" s="104"/>
      <c r="H107" s="104"/>
      <c r="I107" s="256" t="e">
        <f t="array" ref="I107">_xlfn.STDEV.P(IF($E$5:$E$53=$E106,I$5:I$53))</f>
        <v>#DIV/0!</v>
      </c>
      <c r="J107" s="256"/>
      <c r="K107" s="256"/>
      <c r="L107" s="256"/>
      <c r="M107" s="256" t="e">
        <f t="array" ref="M107">_xlfn.STDEV.P(IF($E$5:$E$53=$E106,M$5:M$53))</f>
        <v>#DIV/0!</v>
      </c>
      <c r="N107" s="256" t="e">
        <f t="array" ref="N107">_xlfn.STDEV.P(IF($E$5:$E$53=$E106,N$5:N$53))</f>
        <v>#DIV/0!</v>
      </c>
      <c r="O107" s="256" t="e">
        <f t="array" ref="O107">_xlfn.STDEV.P(IF($E$5:$E$53=$E106,O$5:O$53))</f>
        <v>#DIV/0!</v>
      </c>
      <c r="P107" s="256" t="e">
        <f t="array" ref="P107">_xlfn.STDEV.P(IF($E$5:$E$53=$E106,P$5:P$53))</f>
        <v>#DIV/0!</v>
      </c>
      <c r="Q107" s="256" t="e">
        <f t="array" ref="Q107">_xlfn.STDEV.P(IF($E$5:$E$53=$E106,Q$5:Q$53))</f>
        <v>#DIV/0!</v>
      </c>
      <c r="R107" s="257" t="e">
        <f t="array" ref="R107">_xlfn.STDEV.P(IF($E$5:$E$53=$E106,R$5:R$53))</f>
        <v>#DIV/0!</v>
      </c>
      <c r="S107" s="258" t="e">
        <f t="array" ref="S107">_xlfn.STDEV.P(IF($E$5:$E$53=$E106,S$5:S$53))</f>
        <v>#DIV/0!</v>
      </c>
      <c r="T107" s="258" t="e">
        <f t="array" ref="T107">_xlfn.STDEV.P(IF($E$5:$E$53=$E106,T$5:T$53))</f>
        <v>#DIV/0!</v>
      </c>
      <c r="U107" s="258" t="e">
        <f t="array" ref="U107">_xlfn.STDEV.P(IF($E$5:$E$53=$E106,U$5:U$53))</f>
        <v>#DIV/0!</v>
      </c>
      <c r="V107" s="258" t="e">
        <f t="array" ref="V107">_xlfn.STDEV.P(IF($E$5:$E$53=$E106,V$5:V$53))</f>
        <v>#DIV/0!</v>
      </c>
      <c r="W107" s="256" t="e">
        <f t="array" ref="W107">_xlfn.STDEV.P(IF($E$5:$E$53=$E106,W$5:W$53))</f>
        <v>#DIV/0!</v>
      </c>
      <c r="X107" s="81" t="s">
        <v>12</v>
      </c>
      <c r="Y107" s="90" t="e">
        <f t="array" ref="Y107">_xlfn.STDEV.P(IF($E$5:$E$53=$E106,Y$5:Y$53))</f>
        <v>#DIV/0!</v>
      </c>
      <c r="Z107" s="90" t="e">
        <f t="array" ref="Z107">_xlfn.STDEV.P(IF($E$5:$E$53=$E106,Z$5:Z$53))</f>
        <v>#DIV/0!</v>
      </c>
      <c r="AA107" s="90" t="e">
        <f t="array" ref="AA107">_xlfn.STDEV.P(IF($E$5:$E$53=$E106,AA$5:AA$53))</f>
        <v>#DIV/0!</v>
      </c>
      <c r="AB107" s="90" t="e">
        <f t="array" ref="AB107">_xlfn.STDEV.P(IF($E$5:$E$53=$E106,AB$5:AB$53))</f>
        <v>#DIV/0!</v>
      </c>
      <c r="AC107" s="90" t="e">
        <f t="array" ref="AC107">_xlfn.STDEV.P(IF($E$5:$E$53=$E106,AC$5:AC$53))</f>
        <v>#DIV/0!</v>
      </c>
      <c r="AD107" s="90" t="e">
        <f t="array" ref="AD107">_xlfn.STDEV.P(IF($E$5:$E$53=$E106,AD$5:AD$53))</f>
        <v>#DIV/0!</v>
      </c>
      <c r="AE107" s="90" t="e">
        <f t="array" ref="AE107">_xlfn.STDEV.P(IF($E$5:$E$53=$E106,AE$5:AE$53))</f>
        <v>#DIV/0!</v>
      </c>
      <c r="AF107" s="90" t="e">
        <f t="array" ref="AF107">_xlfn.STDEV.P(IF($E$5:$E$53=$E106,AF$5:AF$53))</f>
        <v>#DIV/0!</v>
      </c>
      <c r="AG107" s="90" t="e">
        <f t="array" ref="AG107">_xlfn.STDEV.P(IF($E$5:$E$53=$E106,AG$5:AG$53))</f>
        <v>#DIV/0!</v>
      </c>
      <c r="AH107" s="90" t="e">
        <f t="array" ref="AH107">_xlfn.STDEV.P(IF($E$5:$E$53=$E106,AH$5:AH$53))</f>
        <v>#DIV/0!</v>
      </c>
      <c r="AI107" s="90" t="e">
        <f t="array" ref="AI107">_xlfn.STDEV.P(IF($E$5:$E$53=$E106,AI$5:AI$53))</f>
        <v>#DIV/0!</v>
      </c>
      <c r="AJ107" s="90" t="e">
        <f t="array" ref="AJ107">_xlfn.STDEV.P(IF($E$5:$E$53=$E106,AJ$5:AJ$53))</f>
        <v>#DIV/0!</v>
      </c>
      <c r="AK107" s="90" t="e">
        <f t="array" ref="AK107">_xlfn.STDEV.P(IF($E$5:$E$53=$E106,AK$5:AK$53))</f>
        <v>#DIV/0!</v>
      </c>
      <c r="AL107" s="90" t="e">
        <f t="array" ref="AL107">_xlfn.STDEV.P(IF($E$5:$E$53=$E106,AL$5:AL$53))</f>
        <v>#DIV/0!</v>
      </c>
      <c r="AM107" s="90" t="e">
        <f t="array" ref="AM107">_xlfn.STDEV.P(IF($E$5:$E$53=$E106,AM$5:AM$53))</f>
        <v>#DIV/0!</v>
      </c>
      <c r="AN107" s="90" t="e">
        <f t="array" ref="AN107">_xlfn.STDEV.P(IF($E$5:$E$53=$E106,AN$5:AN$53))</f>
        <v>#DIV/0!</v>
      </c>
      <c r="AO107" s="90" t="e">
        <f t="array" ref="AO107">_xlfn.STDEV.P(IF($E$5:$E$53=$E106,AO$5:AO$53))</f>
        <v>#DIV/0!</v>
      </c>
      <c r="AP107" s="90" t="e">
        <f t="array" ref="AP107">_xlfn.STDEV.P(IF($E$5:$E$53=$E106,AP$5:AP$53))</f>
        <v>#DIV/0!</v>
      </c>
      <c r="AQ107" s="90" t="e">
        <f t="array" ref="AQ107">_xlfn.STDEV.P(IF($E$5:$E$53=$E106,AQ$5:AQ$53))</f>
        <v>#DIV/0!</v>
      </c>
      <c r="AR107" s="90" t="e">
        <f t="array" ref="AR107">_xlfn.STDEV.P(IF($E$5:$E$53=$E106,AR$5:AR$53))</f>
        <v>#DIV/0!</v>
      </c>
      <c r="AS107" s="90" t="e">
        <f t="array" ref="AS107">_xlfn.STDEV.P(IF($E$5:$E$53=$E106,AS$5:AS$53))</f>
        <v>#DIV/0!</v>
      </c>
      <c r="AT107" s="90" t="e">
        <f t="array" ref="AT107">_xlfn.STDEV.P(IF($E$5:$E$53=$E106,AT$5:AT$53))</f>
        <v>#DIV/0!</v>
      </c>
      <c r="AU107" s="90" t="e">
        <f t="array" ref="AU107">_xlfn.STDEV.P(IF($E$5:$E$53=$E106,AU$5:AU$53))</f>
        <v>#DIV/0!</v>
      </c>
      <c r="AV107" s="90" t="e">
        <f t="array" ref="AV107">_xlfn.STDEV.P(IF($E$5:$E$53=$E106,AV$5:AV$53))</f>
        <v>#DIV/0!</v>
      </c>
      <c r="AW107" s="90" t="e">
        <f t="array" ref="AW107">_xlfn.STDEV.P(IF($E$5:$E$53=$E106,AW$5:AW$53))</f>
        <v>#DIV/0!</v>
      </c>
      <c r="AX107" s="90" t="e">
        <f t="array" ref="AX107">_xlfn.STDEV.P(IF($E$5:$E$53=$E106,AX$5:AX$53))</f>
        <v>#DIV/0!</v>
      </c>
      <c r="AY107" s="90" t="e">
        <f t="array" ref="AY107">_xlfn.STDEV.P(IF($E$5:$E$53=$E106,AY$5:AY$53))</f>
        <v>#DIV/0!</v>
      </c>
      <c r="AZ107" s="90" t="e">
        <f t="array" ref="AZ107">_xlfn.STDEV.P(IF($E$5:$E$53=$E106,AZ$5:AZ$53))</f>
        <v>#DIV/0!</v>
      </c>
      <c r="BA107" s="90" t="e">
        <f t="array" ref="BA107">_xlfn.STDEV.P(IF($E$5:$E$53=$E106,BA$5:BA$53))</f>
        <v>#DIV/0!</v>
      </c>
      <c r="BB107" s="90" t="e">
        <f t="array" ref="BB107">_xlfn.STDEV.P(IF($E$5:$E$53=$E106,BB$5:BB$53))</f>
        <v>#DIV/0!</v>
      </c>
      <c r="BC107" s="90" t="e">
        <f t="array" ref="BC107">_xlfn.STDEV.P(IF($E$5:$E$53=$E106,BC$5:BC$53))</f>
        <v>#DIV/0!</v>
      </c>
      <c r="BD107" s="90" t="e">
        <f t="array" ref="BD107">_xlfn.STDEV.P(IF($E$5:$E$53=$E106,BD$5:BD$53))</f>
        <v>#DIV/0!</v>
      </c>
      <c r="BE107" s="90" t="e">
        <f t="array" ref="BE107">_xlfn.STDEV.P(IF($E$5:$E$53=$E106,BE$5:BE$53))</f>
        <v>#DIV/0!</v>
      </c>
      <c r="BF107" s="90" t="e">
        <f t="array" ref="BF107">_xlfn.STDEV.P(IF($E$5:$E$53=$E106,BF$5:BF$53))</f>
        <v>#DIV/0!</v>
      </c>
      <c r="BG107" s="90" t="e">
        <f t="array" ref="BG107">_xlfn.STDEV.P(IF($E$5:$E$53=$E106,BG$5:BG$53))</f>
        <v>#DIV/0!</v>
      </c>
      <c r="BH107" s="90" t="e">
        <f t="array" ref="BH107">_xlfn.STDEV.P(IF($E$5:$E$53=$E106,BH$5:BH$53))</f>
        <v>#DIV/0!</v>
      </c>
      <c r="BI107" s="90" t="e">
        <f t="array" ref="BI107">_xlfn.STDEV.P(IF($E$5:$E$53=$E106,BI$5:BI$53))</f>
        <v>#DIV/0!</v>
      </c>
      <c r="BJ107" s="90" t="e">
        <f t="array" ref="BJ107">_xlfn.STDEV.P(IF($E$5:$E$53=$E106,BJ$5:BJ$53))</f>
        <v>#DIV/0!</v>
      </c>
      <c r="BK107" s="90" t="e">
        <f t="array" ref="BK107">_xlfn.STDEV.P(IF($E$5:$E$53=$E106,BK$5:BK$53))</f>
        <v>#DIV/0!</v>
      </c>
      <c r="BL107" s="90" t="e">
        <f t="array" ref="BL107">_xlfn.STDEV.P(IF($E$5:$E$53=$E106,BL$5:BL$53))</f>
        <v>#DIV/0!</v>
      </c>
      <c r="BM107" s="90" t="e">
        <f t="array" ref="BM107">_xlfn.STDEV.P(IF($E$5:$E$53=$E106,BM$5:BM$53))</f>
        <v>#DIV/0!</v>
      </c>
      <c r="BN107" s="90" t="e">
        <f t="array" ref="BN107">_xlfn.STDEV.P(IF($E$5:$E$53=$E106,BN$5:BN$53))</f>
        <v>#DIV/0!</v>
      </c>
      <c r="BO107" s="90" t="e">
        <f t="array" ref="BO107">_xlfn.STDEV.P(IF($E$5:$E$53=$E106,BO$5:BO$53))</f>
        <v>#DIV/0!</v>
      </c>
      <c r="BP107" s="90" t="e">
        <f t="array" ref="BP107">_xlfn.STDEV.P(IF($E$5:$E$53=$E106,BP$5:BP$53))</f>
        <v>#DIV/0!</v>
      </c>
      <c r="BQ107" s="115" t="s">
        <v>12</v>
      </c>
      <c r="BR107" s="83" t="e">
        <f t="array" ref="BR107">_xlfn.STDEV.P(IF($E$5:$E$53=$E106,BR$5:BR$53))</f>
        <v>#DIV/0!</v>
      </c>
      <c r="BS107" s="83" t="e">
        <f t="array" ref="BS107">_xlfn.STDEV.P(IF($E$5:$E$53=$E106,BS$5:BS$53))</f>
        <v>#DIV/0!</v>
      </c>
      <c r="BT107" s="83" t="e">
        <f t="array" ref="BT107">_xlfn.STDEV.P(IF($E$5:$E$53=$E106,BT$5:BT$53))</f>
        <v>#DIV/0!</v>
      </c>
      <c r="BU107" s="83" t="e">
        <f t="array" ref="BU107">_xlfn.STDEV.P(IF($E$5:$E$53=$E106,BU$5:BU$53))</f>
        <v>#DIV/0!</v>
      </c>
      <c r="BV107" s="83" t="e">
        <f t="array" ref="BV107">_xlfn.STDEV.P(IF($E$5:$E$53=$E106,BV$5:BV$53))</f>
        <v>#DIV/0!</v>
      </c>
      <c r="BW107" s="83" t="e">
        <f t="array" ref="BW107">_xlfn.STDEV.P(IF($E$5:$E$53=$E106,BW$5:BW$53))</f>
        <v>#DIV/0!</v>
      </c>
      <c r="BX107" s="83" t="e">
        <f t="array" ref="BX107">_xlfn.STDEV.P(IF($E$5:$E$53=$E106,BX$5:BX$53))</f>
        <v>#DIV/0!</v>
      </c>
      <c r="BY107" s="83" t="e">
        <f t="array" ref="BY107">_xlfn.STDEV.P(IF($E$5:$E$53=$E106,BY$5:BY$53))</f>
        <v>#DIV/0!</v>
      </c>
      <c r="BZ107" s="83" t="e">
        <f t="array" ref="BZ107">_xlfn.STDEV.P(IF($E$5:$E$53=$E106,BZ$5:BZ$53))</f>
        <v>#DIV/0!</v>
      </c>
      <c r="CA107" s="83" t="e">
        <f t="array" ref="CA107">_xlfn.STDEV.P(IF($E$5:$E$53=$E106,CA$5:CA$53))</f>
        <v>#DIV/0!</v>
      </c>
      <c r="CB107" s="83" t="e">
        <f t="array" ref="CB107">_xlfn.STDEV.P(IF($E$5:$E$53=$E106,CB$5:CB$53))</f>
        <v>#DIV/0!</v>
      </c>
      <c r="CC107" s="83" t="e">
        <f t="array" ref="CC107">_xlfn.STDEV.P(IF($E$5:$E$53=$E106,CC$5:CC$53))</f>
        <v>#DIV/0!</v>
      </c>
      <c r="CD107" s="83" t="e">
        <f t="array" ref="CD107">_xlfn.STDEV.P(IF($E$5:$E$53=$E106,CD$5:CD$53))</f>
        <v>#DIV/0!</v>
      </c>
      <c r="CE107" s="83" t="e">
        <f t="array" ref="CE107">_xlfn.STDEV.P(IF($E$5:$E$53=$E106,CE$5:CE$53))</f>
        <v>#DIV/0!</v>
      </c>
      <c r="CF107" s="83" t="e">
        <f t="array" ref="CF107">_xlfn.STDEV.P(IF($E$5:$E$53=$E106,CF$5:CF$53))</f>
        <v>#DIV/0!</v>
      </c>
      <c r="CG107" s="83" t="e">
        <f t="array" ref="CG107">_xlfn.STDEV.P(IF($E$5:$E$53=$E106,CG$5:CG$53))</f>
        <v>#DIV/0!</v>
      </c>
      <c r="CH107" s="83" t="e">
        <f t="array" ref="CH107">_xlfn.STDEV.P(IF($E$5:$E$53=$E106,CH$5:CH$53))</f>
        <v>#DIV/0!</v>
      </c>
      <c r="CI107" s="83" t="e">
        <f t="array" ref="CI107">_xlfn.STDEV.P(IF($E$5:$E$53=$E106,CI$5:CI$53))</f>
        <v>#DIV/0!</v>
      </c>
      <c r="CJ107" s="83" t="e">
        <f t="array" ref="CJ107">_xlfn.STDEV.P(IF($E$5:$E$53=$E106,CJ$5:CJ$53))</f>
        <v>#DIV/0!</v>
      </c>
      <c r="CK107" s="83" t="e">
        <f t="array" ref="CK107">_xlfn.STDEV.P(IF($E$5:$E$53=$E106,CK$5:CK$53))</f>
        <v>#DIV/0!</v>
      </c>
      <c r="CL107" s="83" t="e">
        <f t="array" ref="CL107">_xlfn.STDEV.P(IF($E$5:$E$53=$E106,CL$5:CL$53))</f>
        <v>#DIV/0!</v>
      </c>
      <c r="CM107" s="83" t="e">
        <f t="array" ref="CM107">_xlfn.STDEV.P(IF($E$5:$E$53=$E106,CM$5:CM$53))</f>
        <v>#DIV/0!</v>
      </c>
      <c r="CN107" s="83" t="e">
        <f t="array" ref="CN107">_xlfn.STDEV.P(IF($E$5:$E$53=$E106,CN$5:CN$53))</f>
        <v>#DIV/0!</v>
      </c>
      <c r="CO107" s="83" t="e">
        <f t="array" ref="CO107">_xlfn.STDEV.P(IF($E$5:$E$53=$E106,CO$5:CO$53))</f>
        <v>#DIV/0!</v>
      </c>
      <c r="CP107" s="83" t="e">
        <f t="array" ref="CP107">_xlfn.STDEV.P(IF($E$5:$E$53=$E106,CP$5:CP$53))</f>
        <v>#DIV/0!</v>
      </c>
      <c r="CQ107" s="83" t="e">
        <f t="array" ref="CQ107">_xlfn.STDEV.P(IF($E$5:$E$53=$E106,CQ$5:CQ$53))</f>
        <v>#DIV/0!</v>
      </c>
      <c r="CR107" s="83" t="e">
        <f t="array" ref="CR107">_xlfn.STDEV.P(IF($E$5:$E$53=$E106,CR$5:CR$53))</f>
        <v>#DIV/0!</v>
      </c>
      <c r="CS107" s="83" t="e">
        <f t="array" ref="CS107">_xlfn.STDEV.P(IF($E$5:$E$53=$E106,CS$5:CS$53))</f>
        <v>#DIV/0!</v>
      </c>
      <c r="CT107" s="83" t="e">
        <f t="array" ref="CT107">_xlfn.STDEV.P(IF($E$5:$E$53=$E106,CT$5:CT$53))</f>
        <v>#DIV/0!</v>
      </c>
      <c r="CU107" s="83" t="e">
        <f t="array" ref="CU107">_xlfn.STDEV.P(IF($E$5:$E$53=$E106,CU$5:CU$53))</f>
        <v>#DIV/0!</v>
      </c>
      <c r="CV107" s="83" t="e">
        <f t="array" ref="CV107">_xlfn.STDEV.P(IF($E$5:$E$53=$E106,CV$5:CV$53))</f>
        <v>#DIV/0!</v>
      </c>
      <c r="CW107" s="83" t="e">
        <f t="array" ref="CW107">_xlfn.STDEV.P(IF($E$5:$E$53=$E106,CW$5:CW$53))</f>
        <v>#DIV/0!</v>
      </c>
      <c r="CX107" s="83" t="e">
        <f t="array" ref="CX107">_xlfn.STDEV.P(IF($E$5:$E$53=$E106,CX$5:CX$53))</f>
        <v>#DIV/0!</v>
      </c>
      <c r="CY107" s="83" t="e">
        <f t="array" ref="CY107">_xlfn.STDEV.P(IF($E$5:$E$53=$E106,CY$5:CY$53))</f>
        <v>#DIV/0!</v>
      </c>
      <c r="CZ107" s="83" t="e">
        <f t="array" ref="CZ107">_xlfn.STDEV.P(IF($E$5:$E$53=$E106,CZ$5:CZ$53))</f>
        <v>#DIV/0!</v>
      </c>
      <c r="DA107" s="83" t="e">
        <f t="array" ref="DA107">_xlfn.STDEV.P(IF($E$5:$E$53=$E106,DA$5:DA$53))</f>
        <v>#DIV/0!</v>
      </c>
      <c r="DB107" s="83" t="e">
        <f t="array" ref="DB107">_xlfn.STDEV.P(IF($E$5:$E$53=$E106,DB$5:DB$53))</f>
        <v>#DIV/0!</v>
      </c>
      <c r="DC107" s="83" t="e">
        <f t="array" ref="DC107">_xlfn.STDEV.P(IF($E$5:$E$53=$E106,DC$5:DC$53))</f>
        <v>#DIV/0!</v>
      </c>
      <c r="DD107" s="83" t="e">
        <f t="array" ref="DD107">_xlfn.STDEV.P(IF($E$5:$E$53=$E106,DD$5:DD$53))</f>
        <v>#DIV/0!</v>
      </c>
      <c r="DE107" s="83" t="e">
        <f t="array" ref="DE107">_xlfn.STDEV.P(IF($E$5:$E$53=$E106,DE$5:DE$53))</f>
        <v>#DIV/0!</v>
      </c>
      <c r="DF107" s="83" t="e">
        <f t="array" ref="DF107">_xlfn.STDEV.P(IF($E$5:$E$53=$E106,DF$5:DF$53))</f>
        <v>#DIV/0!</v>
      </c>
      <c r="DG107" s="83" t="e">
        <f t="array" ref="DG107">_xlfn.STDEV.P(IF($E$5:$E$53=$E106,DG$5:DG$53))</f>
        <v>#DIV/0!</v>
      </c>
      <c r="DH107" s="83" t="e">
        <f t="array" ref="DH107">_xlfn.STDEV.P(IF($E$5:$E$53=$E106,DH$5:DH$53))</f>
        <v>#DIV/0!</v>
      </c>
      <c r="DI107" s="83" t="e">
        <f t="array" ref="DI107">_xlfn.STDEV.P(IF($E$5:$E$53=$E106,DI$5:DI$53))</f>
        <v>#DIV/0!</v>
      </c>
    </row>
    <row r="108" spans="1:113" ht="15">
      <c r="A108" s="129"/>
      <c r="E108" s="134"/>
      <c r="H108" s="58"/>
      <c r="J108" s="63"/>
      <c r="K108" s="63"/>
      <c r="L108" s="63"/>
      <c r="N108" s="63"/>
      <c r="R108" s="176"/>
      <c r="S108" s="253"/>
      <c r="T108" s="253"/>
      <c r="U108" s="253"/>
      <c r="V108" s="253"/>
      <c r="W108" s="63"/>
    </row>
    <row r="109" spans="1:113" ht="14.25" customHeight="1">
      <c r="A109" s="129"/>
      <c r="E109" s="134" t="str">
        <f>'PTX_DOSE Groups'!C21</f>
        <v>Group 16</v>
      </c>
      <c r="H109" s="134" t="str">
        <f>E109</f>
        <v>Group 16</v>
      </c>
      <c r="I109" s="256" t="e">
        <f>AVERAGEIF($E$5:$E$53,$E109,I$5:I$53)</f>
        <v>#DIV/0!</v>
      </c>
      <c r="J109" s="256"/>
      <c r="K109" s="256"/>
      <c r="L109" s="256"/>
      <c r="M109" s="256" t="e">
        <f t="shared" ref="M109:W109" si="75">AVERAGEIF($E$5:$E$53,$E109,M$5:M$53)</f>
        <v>#DIV/0!</v>
      </c>
      <c r="N109" s="256" t="e">
        <f t="shared" si="75"/>
        <v>#DIV/0!</v>
      </c>
      <c r="O109" s="256" t="e">
        <f t="shared" si="75"/>
        <v>#DIV/0!</v>
      </c>
      <c r="P109" s="256" t="e">
        <f t="shared" si="75"/>
        <v>#DIV/0!</v>
      </c>
      <c r="Q109" s="256" t="e">
        <f t="shared" si="75"/>
        <v>#DIV/0!</v>
      </c>
      <c r="R109" s="257" t="e">
        <f t="shared" si="75"/>
        <v>#DIV/0!</v>
      </c>
      <c r="S109" s="258" t="e">
        <f t="shared" si="75"/>
        <v>#DIV/0!</v>
      </c>
      <c r="T109" s="258" t="e">
        <f t="shared" si="75"/>
        <v>#DIV/0!</v>
      </c>
      <c r="U109" s="258" t="e">
        <f t="shared" si="75"/>
        <v>#DIV/0!</v>
      </c>
      <c r="V109" s="258" t="e">
        <f t="shared" si="75"/>
        <v>#DIV/0!</v>
      </c>
      <c r="W109" s="256" t="e">
        <f t="shared" si="75"/>
        <v>#DIV/0!</v>
      </c>
      <c r="X109" s="81" t="s">
        <v>10</v>
      </c>
      <c r="Y109" s="87" t="e">
        <f t="shared" ref="Y109:BP109" si="76">AVERAGEIF($E$5:$E$53,$E109,Y$5:Y$53)</f>
        <v>#DIV/0!</v>
      </c>
      <c r="Z109" s="87" t="e">
        <f t="shared" si="76"/>
        <v>#DIV/0!</v>
      </c>
      <c r="AA109" s="87" t="e">
        <f t="shared" si="76"/>
        <v>#DIV/0!</v>
      </c>
      <c r="AB109" s="87" t="e">
        <f t="shared" si="76"/>
        <v>#DIV/0!</v>
      </c>
      <c r="AC109" s="87" t="e">
        <f t="shared" si="76"/>
        <v>#DIV/0!</v>
      </c>
      <c r="AD109" s="87" t="e">
        <f t="shared" si="76"/>
        <v>#DIV/0!</v>
      </c>
      <c r="AE109" s="87" t="e">
        <f t="shared" si="76"/>
        <v>#DIV/0!</v>
      </c>
      <c r="AF109" s="87" t="e">
        <f t="shared" si="76"/>
        <v>#DIV/0!</v>
      </c>
      <c r="AG109" s="87" t="e">
        <f t="shared" si="76"/>
        <v>#DIV/0!</v>
      </c>
      <c r="AH109" s="87" t="e">
        <f t="shared" si="76"/>
        <v>#DIV/0!</v>
      </c>
      <c r="AI109" s="87" t="e">
        <f t="shared" si="76"/>
        <v>#DIV/0!</v>
      </c>
      <c r="AJ109" s="87" t="e">
        <f t="shared" si="76"/>
        <v>#DIV/0!</v>
      </c>
      <c r="AK109" s="87" t="e">
        <f t="shared" si="76"/>
        <v>#DIV/0!</v>
      </c>
      <c r="AL109" s="87" t="e">
        <f t="shared" si="76"/>
        <v>#DIV/0!</v>
      </c>
      <c r="AM109" s="87" t="e">
        <f t="shared" si="76"/>
        <v>#DIV/0!</v>
      </c>
      <c r="AN109" s="87" t="e">
        <f t="shared" si="76"/>
        <v>#DIV/0!</v>
      </c>
      <c r="AO109" s="87" t="e">
        <f t="shared" si="76"/>
        <v>#DIV/0!</v>
      </c>
      <c r="AP109" s="87" t="e">
        <f t="shared" si="76"/>
        <v>#DIV/0!</v>
      </c>
      <c r="AQ109" s="87" t="e">
        <f t="shared" si="76"/>
        <v>#DIV/0!</v>
      </c>
      <c r="AR109" s="87" t="e">
        <f t="shared" si="76"/>
        <v>#DIV/0!</v>
      </c>
      <c r="AS109" s="87" t="e">
        <f t="shared" si="76"/>
        <v>#DIV/0!</v>
      </c>
      <c r="AT109" s="87" t="e">
        <f t="shared" si="76"/>
        <v>#DIV/0!</v>
      </c>
      <c r="AU109" s="87" t="e">
        <f t="shared" si="76"/>
        <v>#DIV/0!</v>
      </c>
      <c r="AV109" s="87" t="e">
        <f t="shared" si="76"/>
        <v>#DIV/0!</v>
      </c>
      <c r="AW109" s="87" t="e">
        <f t="shared" si="76"/>
        <v>#DIV/0!</v>
      </c>
      <c r="AX109" s="87" t="e">
        <f t="shared" si="76"/>
        <v>#DIV/0!</v>
      </c>
      <c r="AY109" s="87" t="e">
        <f t="shared" si="76"/>
        <v>#DIV/0!</v>
      </c>
      <c r="AZ109" s="87" t="e">
        <f t="shared" si="76"/>
        <v>#DIV/0!</v>
      </c>
      <c r="BA109" s="87" t="e">
        <f t="shared" si="76"/>
        <v>#DIV/0!</v>
      </c>
      <c r="BB109" s="87" t="e">
        <f t="shared" si="76"/>
        <v>#DIV/0!</v>
      </c>
      <c r="BC109" s="87" t="e">
        <f t="shared" si="76"/>
        <v>#DIV/0!</v>
      </c>
      <c r="BD109" s="87" t="e">
        <f t="shared" si="76"/>
        <v>#DIV/0!</v>
      </c>
      <c r="BE109" s="87" t="e">
        <f t="shared" si="76"/>
        <v>#DIV/0!</v>
      </c>
      <c r="BF109" s="87" t="e">
        <f t="shared" si="76"/>
        <v>#DIV/0!</v>
      </c>
      <c r="BG109" s="87" t="e">
        <f t="shared" si="76"/>
        <v>#DIV/0!</v>
      </c>
      <c r="BH109" s="87" t="e">
        <f t="shared" si="76"/>
        <v>#DIV/0!</v>
      </c>
      <c r="BI109" s="87" t="e">
        <f t="shared" si="76"/>
        <v>#DIV/0!</v>
      </c>
      <c r="BJ109" s="87" t="e">
        <f t="shared" si="76"/>
        <v>#DIV/0!</v>
      </c>
      <c r="BK109" s="87" t="e">
        <f t="shared" si="76"/>
        <v>#DIV/0!</v>
      </c>
      <c r="BL109" s="87" t="e">
        <f t="shared" si="76"/>
        <v>#DIV/0!</v>
      </c>
      <c r="BM109" s="87" t="e">
        <f t="shared" si="76"/>
        <v>#DIV/0!</v>
      </c>
      <c r="BN109" s="87" t="e">
        <f t="shared" si="76"/>
        <v>#DIV/0!</v>
      </c>
      <c r="BO109" s="87" t="e">
        <f t="shared" si="76"/>
        <v>#DIV/0!</v>
      </c>
      <c r="BP109" s="87" t="e">
        <f t="shared" si="76"/>
        <v>#DIV/0!</v>
      </c>
      <c r="BQ109" s="114" t="s">
        <v>10</v>
      </c>
      <c r="BR109" s="82" t="e">
        <f t="shared" ref="BR109:DI109" si="77">AVERAGEIF($E$5:$E$53,$E109,BR$5:BR$53)</f>
        <v>#DIV/0!</v>
      </c>
      <c r="BS109" s="82" t="e">
        <f t="shared" si="77"/>
        <v>#DIV/0!</v>
      </c>
      <c r="BT109" s="82" t="e">
        <f t="shared" si="77"/>
        <v>#DIV/0!</v>
      </c>
      <c r="BU109" s="82" t="e">
        <f t="shared" si="77"/>
        <v>#DIV/0!</v>
      </c>
      <c r="BV109" s="82" t="e">
        <f t="shared" si="77"/>
        <v>#DIV/0!</v>
      </c>
      <c r="BW109" s="82" t="e">
        <f t="shared" si="77"/>
        <v>#DIV/0!</v>
      </c>
      <c r="BX109" s="82" t="e">
        <f t="shared" si="77"/>
        <v>#DIV/0!</v>
      </c>
      <c r="BY109" s="82" t="e">
        <f t="shared" si="77"/>
        <v>#DIV/0!</v>
      </c>
      <c r="BZ109" s="82" t="e">
        <f t="shared" si="77"/>
        <v>#DIV/0!</v>
      </c>
      <c r="CA109" s="82" t="e">
        <f t="shared" si="77"/>
        <v>#DIV/0!</v>
      </c>
      <c r="CB109" s="82" t="e">
        <f t="shared" si="77"/>
        <v>#DIV/0!</v>
      </c>
      <c r="CC109" s="82" t="e">
        <f t="shared" si="77"/>
        <v>#DIV/0!</v>
      </c>
      <c r="CD109" s="82" t="e">
        <f t="shared" si="77"/>
        <v>#DIV/0!</v>
      </c>
      <c r="CE109" s="82" t="e">
        <f t="shared" si="77"/>
        <v>#DIV/0!</v>
      </c>
      <c r="CF109" s="82" t="e">
        <f t="shared" si="77"/>
        <v>#DIV/0!</v>
      </c>
      <c r="CG109" s="82" t="e">
        <f t="shared" si="77"/>
        <v>#DIV/0!</v>
      </c>
      <c r="CH109" s="82" t="e">
        <f t="shared" si="77"/>
        <v>#DIV/0!</v>
      </c>
      <c r="CI109" s="82" t="e">
        <f t="shared" si="77"/>
        <v>#DIV/0!</v>
      </c>
      <c r="CJ109" s="82" t="e">
        <f t="shared" si="77"/>
        <v>#DIV/0!</v>
      </c>
      <c r="CK109" s="82" t="e">
        <f t="shared" si="77"/>
        <v>#DIV/0!</v>
      </c>
      <c r="CL109" s="82" t="e">
        <f t="shared" si="77"/>
        <v>#DIV/0!</v>
      </c>
      <c r="CM109" s="82" t="e">
        <f t="shared" si="77"/>
        <v>#DIV/0!</v>
      </c>
      <c r="CN109" s="82" t="e">
        <f t="shared" si="77"/>
        <v>#DIV/0!</v>
      </c>
      <c r="CO109" s="82" t="e">
        <f t="shared" si="77"/>
        <v>#DIV/0!</v>
      </c>
      <c r="CP109" s="82" t="e">
        <f t="shared" si="77"/>
        <v>#DIV/0!</v>
      </c>
      <c r="CQ109" s="82" t="e">
        <f t="shared" si="77"/>
        <v>#DIV/0!</v>
      </c>
      <c r="CR109" s="82" t="e">
        <f t="shared" si="77"/>
        <v>#DIV/0!</v>
      </c>
      <c r="CS109" s="82" t="e">
        <f t="shared" si="77"/>
        <v>#DIV/0!</v>
      </c>
      <c r="CT109" s="82" t="e">
        <f t="shared" si="77"/>
        <v>#DIV/0!</v>
      </c>
      <c r="CU109" s="82" t="e">
        <f t="shared" si="77"/>
        <v>#DIV/0!</v>
      </c>
      <c r="CV109" s="82" t="e">
        <f t="shared" si="77"/>
        <v>#DIV/0!</v>
      </c>
      <c r="CW109" s="82" t="e">
        <f t="shared" si="77"/>
        <v>#DIV/0!</v>
      </c>
      <c r="CX109" s="82" t="e">
        <f t="shared" si="77"/>
        <v>#DIV/0!</v>
      </c>
      <c r="CY109" s="82" t="e">
        <f t="shared" si="77"/>
        <v>#DIV/0!</v>
      </c>
      <c r="CZ109" s="82" t="e">
        <f t="shared" si="77"/>
        <v>#DIV/0!</v>
      </c>
      <c r="DA109" s="82" t="e">
        <f t="shared" si="77"/>
        <v>#DIV/0!</v>
      </c>
      <c r="DB109" s="82" t="e">
        <f t="shared" si="77"/>
        <v>#DIV/0!</v>
      </c>
      <c r="DC109" s="82" t="e">
        <f t="shared" si="77"/>
        <v>#DIV/0!</v>
      </c>
      <c r="DD109" s="82" t="e">
        <f t="shared" si="77"/>
        <v>#DIV/0!</v>
      </c>
      <c r="DE109" s="82" t="e">
        <f t="shared" si="77"/>
        <v>#DIV/0!</v>
      </c>
      <c r="DF109" s="82" t="e">
        <f t="shared" si="77"/>
        <v>#DIV/0!</v>
      </c>
      <c r="DG109" s="82" t="e">
        <f t="shared" si="77"/>
        <v>#DIV/0!</v>
      </c>
      <c r="DH109" s="82" t="e">
        <f t="shared" si="77"/>
        <v>#DIV/0!</v>
      </c>
      <c r="DI109" s="82" t="e">
        <f t="shared" si="77"/>
        <v>#DIV/0!</v>
      </c>
    </row>
    <row r="110" spans="1:113" ht="14.25" customHeight="1">
      <c r="A110" s="129"/>
      <c r="E110" s="104"/>
      <c r="H110" s="104"/>
      <c r="I110" s="256" t="e">
        <f t="array" ref="I110">_xlfn.STDEV.P(IF($E$5:$E$53=$E109,I$5:I$53))</f>
        <v>#DIV/0!</v>
      </c>
      <c r="J110" s="256"/>
      <c r="K110" s="256"/>
      <c r="L110" s="256"/>
      <c r="M110" s="256" t="e">
        <f t="array" ref="M110">_xlfn.STDEV.P(IF($E$5:$E$53=$E109,M$5:M$53))</f>
        <v>#DIV/0!</v>
      </c>
      <c r="N110" s="256" t="e">
        <f t="array" ref="N110">_xlfn.STDEV.P(IF($E$5:$E$53=$E109,N$5:N$53))</f>
        <v>#DIV/0!</v>
      </c>
      <c r="O110" s="256" t="e">
        <f t="array" ref="O110">_xlfn.STDEV.P(IF($E$5:$E$53=$E109,O$5:O$53))</f>
        <v>#DIV/0!</v>
      </c>
      <c r="P110" s="256" t="e">
        <f t="array" ref="P110">_xlfn.STDEV.P(IF($E$5:$E$53=$E109,P$5:P$53))</f>
        <v>#DIV/0!</v>
      </c>
      <c r="Q110" s="256" t="e">
        <f t="array" ref="Q110">_xlfn.STDEV.P(IF($E$5:$E$53=$E109,Q$5:Q$53))</f>
        <v>#DIV/0!</v>
      </c>
      <c r="R110" s="257" t="e">
        <f t="array" ref="R110">_xlfn.STDEV.P(IF($E$5:$E$53=$E109,R$5:R$53))</f>
        <v>#DIV/0!</v>
      </c>
      <c r="S110" s="258" t="e">
        <f t="array" ref="S110">_xlfn.STDEV.P(IF($E$5:$E$53=$E109,S$5:S$53))</f>
        <v>#DIV/0!</v>
      </c>
      <c r="T110" s="258" t="e">
        <f t="array" ref="T110">_xlfn.STDEV.P(IF($E$5:$E$53=$E109,T$5:T$53))</f>
        <v>#DIV/0!</v>
      </c>
      <c r="U110" s="258" t="e">
        <f t="array" ref="U110">_xlfn.STDEV.P(IF($E$5:$E$53=$E109,U$5:U$53))</f>
        <v>#DIV/0!</v>
      </c>
      <c r="V110" s="258" t="e">
        <f t="array" ref="V110">_xlfn.STDEV.P(IF($E$5:$E$53=$E109,V$5:V$53))</f>
        <v>#DIV/0!</v>
      </c>
      <c r="W110" s="256" t="e">
        <f t="array" ref="W110">_xlfn.STDEV.P(IF($E$5:$E$53=$E109,W$5:W$53))</f>
        <v>#DIV/0!</v>
      </c>
      <c r="X110" s="81" t="s">
        <v>12</v>
      </c>
      <c r="Y110" s="90" t="e">
        <f t="array" ref="Y110">_xlfn.STDEV.P(IF($E$5:$E$53=$E109,Y$5:Y$53))</f>
        <v>#DIV/0!</v>
      </c>
      <c r="Z110" s="90" t="e">
        <f t="array" ref="Z110">_xlfn.STDEV.P(IF($E$5:$E$53=$E109,Z$5:Z$53))</f>
        <v>#DIV/0!</v>
      </c>
      <c r="AA110" s="90" t="e">
        <f t="array" ref="AA110">_xlfn.STDEV.P(IF($E$5:$E$53=$E109,AA$5:AA$53))</f>
        <v>#DIV/0!</v>
      </c>
      <c r="AB110" s="90" t="e">
        <f t="array" ref="AB110">_xlfn.STDEV.P(IF($E$5:$E$53=$E109,AB$5:AB$53))</f>
        <v>#DIV/0!</v>
      </c>
      <c r="AC110" s="90" t="e">
        <f t="array" ref="AC110">_xlfn.STDEV.P(IF($E$5:$E$53=$E109,AC$5:AC$53))</f>
        <v>#DIV/0!</v>
      </c>
      <c r="AD110" s="90" t="e">
        <f t="array" ref="AD110">_xlfn.STDEV.P(IF($E$5:$E$53=$E109,AD$5:AD$53))</f>
        <v>#DIV/0!</v>
      </c>
      <c r="AE110" s="90" t="e">
        <f t="array" ref="AE110">_xlfn.STDEV.P(IF($E$5:$E$53=$E109,AE$5:AE$53))</f>
        <v>#DIV/0!</v>
      </c>
      <c r="AF110" s="90" t="e">
        <f t="array" ref="AF110">_xlfn.STDEV.P(IF($E$5:$E$53=$E109,AF$5:AF$53))</f>
        <v>#DIV/0!</v>
      </c>
      <c r="AG110" s="90" t="e">
        <f t="array" ref="AG110">_xlfn.STDEV.P(IF($E$5:$E$53=$E109,AG$5:AG$53))</f>
        <v>#DIV/0!</v>
      </c>
      <c r="AH110" s="90" t="e">
        <f t="array" ref="AH110">_xlfn.STDEV.P(IF($E$5:$E$53=$E109,AH$5:AH$53))</f>
        <v>#DIV/0!</v>
      </c>
      <c r="AI110" s="90" t="e">
        <f t="array" ref="AI110">_xlfn.STDEV.P(IF($E$5:$E$53=$E109,AI$5:AI$53))</f>
        <v>#DIV/0!</v>
      </c>
      <c r="AJ110" s="90" t="e">
        <f t="array" ref="AJ110">_xlfn.STDEV.P(IF($E$5:$E$53=$E109,AJ$5:AJ$53))</f>
        <v>#DIV/0!</v>
      </c>
      <c r="AK110" s="90" t="e">
        <f t="array" ref="AK110">_xlfn.STDEV.P(IF($E$5:$E$53=$E109,AK$5:AK$53))</f>
        <v>#DIV/0!</v>
      </c>
      <c r="AL110" s="90" t="e">
        <f t="array" ref="AL110">_xlfn.STDEV.P(IF($E$5:$E$53=$E109,AL$5:AL$53))</f>
        <v>#DIV/0!</v>
      </c>
      <c r="AM110" s="90" t="e">
        <f t="array" ref="AM110">_xlfn.STDEV.P(IF($E$5:$E$53=$E109,AM$5:AM$53))</f>
        <v>#DIV/0!</v>
      </c>
      <c r="AN110" s="90" t="e">
        <f t="array" ref="AN110">_xlfn.STDEV.P(IF($E$5:$E$53=$E109,AN$5:AN$53))</f>
        <v>#DIV/0!</v>
      </c>
      <c r="AO110" s="90" t="e">
        <f t="array" ref="AO110">_xlfn.STDEV.P(IF($E$5:$E$53=$E109,AO$5:AO$53))</f>
        <v>#DIV/0!</v>
      </c>
      <c r="AP110" s="90" t="e">
        <f t="array" ref="AP110">_xlfn.STDEV.P(IF($E$5:$E$53=$E109,AP$5:AP$53))</f>
        <v>#DIV/0!</v>
      </c>
      <c r="AQ110" s="90" t="e">
        <f t="array" ref="AQ110">_xlfn.STDEV.P(IF($E$5:$E$53=$E109,AQ$5:AQ$53))</f>
        <v>#DIV/0!</v>
      </c>
      <c r="AR110" s="90" t="e">
        <f t="array" ref="AR110">_xlfn.STDEV.P(IF($E$5:$E$53=$E109,AR$5:AR$53))</f>
        <v>#DIV/0!</v>
      </c>
      <c r="AS110" s="90" t="e">
        <f t="array" ref="AS110">_xlfn.STDEV.P(IF($E$5:$E$53=$E109,AS$5:AS$53))</f>
        <v>#DIV/0!</v>
      </c>
      <c r="AT110" s="90" t="e">
        <f t="array" ref="AT110">_xlfn.STDEV.P(IF($E$5:$E$53=$E109,AT$5:AT$53))</f>
        <v>#DIV/0!</v>
      </c>
      <c r="AU110" s="90" t="e">
        <f t="array" ref="AU110">_xlfn.STDEV.P(IF($E$5:$E$53=$E109,AU$5:AU$53))</f>
        <v>#DIV/0!</v>
      </c>
      <c r="AV110" s="90" t="e">
        <f t="array" ref="AV110">_xlfn.STDEV.P(IF($E$5:$E$53=$E109,AV$5:AV$53))</f>
        <v>#DIV/0!</v>
      </c>
      <c r="AW110" s="90" t="e">
        <f t="array" ref="AW110">_xlfn.STDEV.P(IF($E$5:$E$53=$E109,AW$5:AW$53))</f>
        <v>#DIV/0!</v>
      </c>
      <c r="AX110" s="90" t="e">
        <f t="array" ref="AX110">_xlfn.STDEV.P(IF($E$5:$E$53=$E109,AX$5:AX$53))</f>
        <v>#DIV/0!</v>
      </c>
      <c r="AY110" s="90" t="e">
        <f t="array" ref="AY110">_xlfn.STDEV.P(IF($E$5:$E$53=$E109,AY$5:AY$53))</f>
        <v>#DIV/0!</v>
      </c>
      <c r="AZ110" s="90" t="e">
        <f t="array" ref="AZ110">_xlfn.STDEV.P(IF($E$5:$E$53=$E109,AZ$5:AZ$53))</f>
        <v>#DIV/0!</v>
      </c>
      <c r="BA110" s="90" t="e">
        <f t="array" ref="BA110">_xlfn.STDEV.P(IF($E$5:$E$53=$E109,BA$5:BA$53))</f>
        <v>#DIV/0!</v>
      </c>
      <c r="BB110" s="90" t="e">
        <f t="array" ref="BB110">_xlfn.STDEV.P(IF($E$5:$E$53=$E109,BB$5:BB$53))</f>
        <v>#DIV/0!</v>
      </c>
      <c r="BC110" s="90" t="e">
        <f t="array" ref="BC110">_xlfn.STDEV.P(IF($E$5:$E$53=$E109,BC$5:BC$53))</f>
        <v>#DIV/0!</v>
      </c>
      <c r="BD110" s="90" t="e">
        <f t="array" ref="BD110">_xlfn.STDEV.P(IF($E$5:$E$53=$E109,BD$5:BD$53))</f>
        <v>#DIV/0!</v>
      </c>
      <c r="BE110" s="90" t="e">
        <f t="array" ref="BE110">_xlfn.STDEV.P(IF($E$5:$E$53=$E109,BE$5:BE$53))</f>
        <v>#DIV/0!</v>
      </c>
      <c r="BF110" s="90" t="e">
        <f t="array" ref="BF110">_xlfn.STDEV.P(IF($E$5:$E$53=$E109,BF$5:BF$53))</f>
        <v>#DIV/0!</v>
      </c>
      <c r="BG110" s="90" t="e">
        <f t="array" ref="BG110">_xlfn.STDEV.P(IF($E$5:$E$53=$E109,BG$5:BG$53))</f>
        <v>#DIV/0!</v>
      </c>
      <c r="BH110" s="90" t="e">
        <f t="array" ref="BH110">_xlfn.STDEV.P(IF($E$5:$E$53=$E109,BH$5:BH$53))</f>
        <v>#DIV/0!</v>
      </c>
      <c r="BI110" s="90" t="e">
        <f t="array" ref="BI110">_xlfn.STDEV.P(IF($E$5:$E$53=$E109,BI$5:BI$53))</f>
        <v>#DIV/0!</v>
      </c>
      <c r="BJ110" s="90" t="e">
        <f t="array" ref="BJ110">_xlfn.STDEV.P(IF($E$5:$E$53=$E109,BJ$5:BJ$53))</f>
        <v>#DIV/0!</v>
      </c>
      <c r="BK110" s="90" t="e">
        <f t="array" ref="BK110">_xlfn.STDEV.P(IF($E$5:$E$53=$E109,BK$5:BK$53))</f>
        <v>#DIV/0!</v>
      </c>
      <c r="BL110" s="90" t="e">
        <f t="array" ref="BL110">_xlfn.STDEV.P(IF($E$5:$E$53=$E109,BL$5:BL$53))</f>
        <v>#DIV/0!</v>
      </c>
      <c r="BM110" s="90" t="e">
        <f t="array" ref="BM110">_xlfn.STDEV.P(IF($E$5:$E$53=$E109,BM$5:BM$53))</f>
        <v>#DIV/0!</v>
      </c>
      <c r="BN110" s="90" t="e">
        <f t="array" ref="BN110">_xlfn.STDEV.P(IF($E$5:$E$53=$E109,BN$5:BN$53))</f>
        <v>#DIV/0!</v>
      </c>
      <c r="BO110" s="90" t="e">
        <f t="array" ref="BO110">_xlfn.STDEV.P(IF($E$5:$E$53=$E109,BO$5:BO$53))</f>
        <v>#DIV/0!</v>
      </c>
      <c r="BP110" s="90" t="e">
        <f t="array" ref="BP110">_xlfn.STDEV.P(IF($E$5:$E$53=$E109,BP$5:BP$53))</f>
        <v>#DIV/0!</v>
      </c>
      <c r="BQ110" s="115" t="s">
        <v>12</v>
      </c>
      <c r="BR110" s="83" t="e">
        <f t="array" ref="BR110">_xlfn.STDEV.P(IF($E$5:$E$53=$E109,BR$5:BR$53))</f>
        <v>#DIV/0!</v>
      </c>
      <c r="BS110" s="83" t="e">
        <f t="array" ref="BS110">_xlfn.STDEV.P(IF($E$5:$E$53=$E109,BS$5:BS$53))</f>
        <v>#DIV/0!</v>
      </c>
      <c r="BT110" s="83" t="e">
        <f t="array" ref="BT110">_xlfn.STDEV.P(IF($E$5:$E$53=$E109,BT$5:BT$53))</f>
        <v>#DIV/0!</v>
      </c>
      <c r="BU110" s="83" t="e">
        <f t="array" ref="BU110">_xlfn.STDEV.P(IF($E$5:$E$53=$E109,BU$5:BU$53))</f>
        <v>#DIV/0!</v>
      </c>
      <c r="BV110" s="83" t="e">
        <f t="array" ref="BV110">_xlfn.STDEV.P(IF($E$5:$E$53=$E109,BV$5:BV$53))</f>
        <v>#DIV/0!</v>
      </c>
      <c r="BW110" s="83" t="e">
        <f t="array" ref="BW110">_xlfn.STDEV.P(IF($E$5:$E$53=$E109,BW$5:BW$53))</f>
        <v>#DIV/0!</v>
      </c>
      <c r="BX110" s="83" t="e">
        <f t="array" ref="BX110">_xlfn.STDEV.P(IF($E$5:$E$53=$E109,BX$5:BX$53))</f>
        <v>#DIV/0!</v>
      </c>
      <c r="BY110" s="83" t="e">
        <f t="array" ref="BY110">_xlfn.STDEV.P(IF($E$5:$E$53=$E109,BY$5:BY$53))</f>
        <v>#DIV/0!</v>
      </c>
      <c r="BZ110" s="83" t="e">
        <f t="array" ref="BZ110">_xlfn.STDEV.P(IF($E$5:$E$53=$E109,BZ$5:BZ$53))</f>
        <v>#DIV/0!</v>
      </c>
      <c r="CA110" s="83" t="e">
        <f t="array" ref="CA110">_xlfn.STDEV.P(IF($E$5:$E$53=$E109,CA$5:CA$53))</f>
        <v>#DIV/0!</v>
      </c>
      <c r="CB110" s="83" t="e">
        <f t="array" ref="CB110">_xlfn.STDEV.P(IF($E$5:$E$53=$E109,CB$5:CB$53))</f>
        <v>#DIV/0!</v>
      </c>
      <c r="CC110" s="83" t="e">
        <f t="array" ref="CC110">_xlfn.STDEV.P(IF($E$5:$E$53=$E109,CC$5:CC$53))</f>
        <v>#DIV/0!</v>
      </c>
      <c r="CD110" s="83" t="e">
        <f t="array" ref="CD110">_xlfn.STDEV.P(IF($E$5:$E$53=$E109,CD$5:CD$53))</f>
        <v>#DIV/0!</v>
      </c>
      <c r="CE110" s="83" t="e">
        <f t="array" ref="CE110">_xlfn.STDEV.P(IF($E$5:$E$53=$E109,CE$5:CE$53))</f>
        <v>#DIV/0!</v>
      </c>
      <c r="CF110" s="83" t="e">
        <f t="array" ref="CF110">_xlfn.STDEV.P(IF($E$5:$E$53=$E109,CF$5:CF$53))</f>
        <v>#DIV/0!</v>
      </c>
      <c r="CG110" s="83" t="e">
        <f t="array" ref="CG110">_xlfn.STDEV.P(IF($E$5:$E$53=$E109,CG$5:CG$53))</f>
        <v>#DIV/0!</v>
      </c>
      <c r="CH110" s="83" t="e">
        <f t="array" ref="CH110">_xlfn.STDEV.P(IF($E$5:$E$53=$E109,CH$5:CH$53))</f>
        <v>#DIV/0!</v>
      </c>
      <c r="CI110" s="83" t="e">
        <f t="array" ref="CI110">_xlfn.STDEV.P(IF($E$5:$E$53=$E109,CI$5:CI$53))</f>
        <v>#DIV/0!</v>
      </c>
      <c r="CJ110" s="83" t="e">
        <f t="array" ref="CJ110">_xlfn.STDEV.P(IF($E$5:$E$53=$E109,CJ$5:CJ$53))</f>
        <v>#DIV/0!</v>
      </c>
      <c r="CK110" s="83" t="e">
        <f t="array" ref="CK110">_xlfn.STDEV.P(IF($E$5:$E$53=$E109,CK$5:CK$53))</f>
        <v>#DIV/0!</v>
      </c>
      <c r="CL110" s="83" t="e">
        <f t="array" ref="CL110">_xlfn.STDEV.P(IF($E$5:$E$53=$E109,CL$5:CL$53))</f>
        <v>#DIV/0!</v>
      </c>
      <c r="CM110" s="83" t="e">
        <f t="array" ref="CM110">_xlfn.STDEV.P(IF($E$5:$E$53=$E109,CM$5:CM$53))</f>
        <v>#DIV/0!</v>
      </c>
      <c r="CN110" s="83" t="e">
        <f t="array" ref="CN110">_xlfn.STDEV.P(IF($E$5:$E$53=$E109,CN$5:CN$53))</f>
        <v>#DIV/0!</v>
      </c>
      <c r="CO110" s="83" t="e">
        <f t="array" ref="CO110">_xlfn.STDEV.P(IF($E$5:$E$53=$E109,CO$5:CO$53))</f>
        <v>#DIV/0!</v>
      </c>
      <c r="CP110" s="83" t="e">
        <f t="array" ref="CP110">_xlfn.STDEV.P(IF($E$5:$E$53=$E109,CP$5:CP$53))</f>
        <v>#DIV/0!</v>
      </c>
      <c r="CQ110" s="83" t="e">
        <f t="array" ref="CQ110">_xlfn.STDEV.P(IF($E$5:$E$53=$E109,CQ$5:CQ$53))</f>
        <v>#DIV/0!</v>
      </c>
      <c r="CR110" s="83" t="e">
        <f t="array" ref="CR110">_xlfn.STDEV.P(IF($E$5:$E$53=$E109,CR$5:CR$53))</f>
        <v>#DIV/0!</v>
      </c>
      <c r="CS110" s="83" t="e">
        <f t="array" ref="CS110">_xlfn.STDEV.P(IF($E$5:$E$53=$E109,CS$5:CS$53))</f>
        <v>#DIV/0!</v>
      </c>
      <c r="CT110" s="83" t="e">
        <f t="array" ref="CT110">_xlfn.STDEV.P(IF($E$5:$E$53=$E109,CT$5:CT$53))</f>
        <v>#DIV/0!</v>
      </c>
      <c r="CU110" s="83" t="e">
        <f t="array" ref="CU110">_xlfn.STDEV.P(IF($E$5:$E$53=$E109,CU$5:CU$53))</f>
        <v>#DIV/0!</v>
      </c>
      <c r="CV110" s="83" t="e">
        <f t="array" ref="CV110">_xlfn.STDEV.P(IF($E$5:$E$53=$E109,CV$5:CV$53))</f>
        <v>#DIV/0!</v>
      </c>
      <c r="CW110" s="83" t="e">
        <f t="array" ref="CW110">_xlfn.STDEV.P(IF($E$5:$E$53=$E109,CW$5:CW$53))</f>
        <v>#DIV/0!</v>
      </c>
      <c r="CX110" s="83" t="e">
        <f t="array" ref="CX110">_xlfn.STDEV.P(IF($E$5:$E$53=$E109,CX$5:CX$53))</f>
        <v>#DIV/0!</v>
      </c>
      <c r="CY110" s="83" t="e">
        <f t="array" ref="CY110">_xlfn.STDEV.P(IF($E$5:$E$53=$E109,CY$5:CY$53))</f>
        <v>#DIV/0!</v>
      </c>
      <c r="CZ110" s="83" t="e">
        <f t="array" ref="CZ110">_xlfn.STDEV.P(IF($E$5:$E$53=$E109,CZ$5:CZ$53))</f>
        <v>#DIV/0!</v>
      </c>
      <c r="DA110" s="83" t="e">
        <f t="array" ref="DA110">_xlfn.STDEV.P(IF($E$5:$E$53=$E109,DA$5:DA$53))</f>
        <v>#DIV/0!</v>
      </c>
      <c r="DB110" s="83" t="e">
        <f t="array" ref="DB110">_xlfn.STDEV.P(IF($E$5:$E$53=$E109,DB$5:DB$53))</f>
        <v>#DIV/0!</v>
      </c>
      <c r="DC110" s="83" t="e">
        <f t="array" ref="DC110">_xlfn.STDEV.P(IF($E$5:$E$53=$E109,DC$5:DC$53))</f>
        <v>#DIV/0!</v>
      </c>
      <c r="DD110" s="83" t="e">
        <f t="array" ref="DD110">_xlfn.STDEV.P(IF($E$5:$E$53=$E109,DD$5:DD$53))</f>
        <v>#DIV/0!</v>
      </c>
      <c r="DE110" s="83" t="e">
        <f t="array" ref="DE110">_xlfn.STDEV.P(IF($E$5:$E$53=$E109,DE$5:DE$53))</f>
        <v>#DIV/0!</v>
      </c>
      <c r="DF110" s="83" t="e">
        <f t="array" ref="DF110">_xlfn.STDEV.P(IF($E$5:$E$53=$E109,DF$5:DF$53))</f>
        <v>#DIV/0!</v>
      </c>
      <c r="DG110" s="83" t="e">
        <f t="array" ref="DG110">_xlfn.STDEV.P(IF($E$5:$E$53=$E109,DG$5:DG$53))</f>
        <v>#DIV/0!</v>
      </c>
      <c r="DH110" s="83" t="e">
        <f t="array" ref="DH110">_xlfn.STDEV.P(IF($E$5:$E$53=$E109,DH$5:DH$53))</f>
        <v>#DIV/0!</v>
      </c>
      <c r="DI110" s="83" t="e">
        <f t="array" ref="DI110">_xlfn.STDEV.P(IF($E$5:$E$53=$E109,DI$5:DI$53))</f>
        <v>#DIV/0!</v>
      </c>
    </row>
    <row r="111" spans="1:113">
      <c r="R111" s="147"/>
      <c r="S111" s="267"/>
    </row>
    <row r="112" spans="1:113">
      <c r="R112" s="147"/>
      <c r="S112" s="267"/>
    </row>
    <row r="113" spans="18:19">
      <c r="R113" s="147"/>
      <c r="S113" s="267"/>
    </row>
    <row r="114" spans="18:19">
      <c r="R114" s="147"/>
      <c r="S114" s="267"/>
    </row>
    <row r="115" spans="18:19">
      <c r="R115" s="147"/>
      <c r="S115" s="267"/>
    </row>
    <row r="116" spans="18:19">
      <c r="R116" s="147"/>
      <c r="S116" s="267"/>
    </row>
    <row r="117" spans="18:19">
      <c r="R117" s="147"/>
      <c r="S117" s="267"/>
    </row>
    <row r="118" spans="18:19">
      <c r="R118" s="147"/>
      <c r="S118" s="267"/>
    </row>
    <row r="119" spans="18:19">
      <c r="R119" s="147"/>
      <c r="S119" s="267"/>
    </row>
    <row r="120" spans="18:19">
      <c r="R120" s="147"/>
      <c r="S120" s="267"/>
    </row>
    <row r="121" spans="18:19">
      <c r="R121" s="147"/>
      <c r="S121" s="267"/>
    </row>
    <row r="122" spans="18:19">
      <c r="R122" s="147"/>
      <c r="S122" s="267"/>
    </row>
    <row r="123" spans="18:19">
      <c r="R123" s="147"/>
      <c r="S123" s="267"/>
    </row>
    <row r="124" spans="18:19">
      <c r="R124" s="147"/>
      <c r="S124" s="267"/>
    </row>
    <row r="125" spans="18:19">
      <c r="R125" s="147"/>
      <c r="S125" s="267"/>
    </row>
    <row r="126" spans="18:19">
      <c r="R126" s="147"/>
      <c r="S126" s="267"/>
    </row>
    <row r="127" spans="18:19">
      <c r="R127" s="147"/>
      <c r="S127" s="267"/>
    </row>
    <row r="128" spans="18:19">
      <c r="R128" s="147"/>
      <c r="S128" s="267"/>
    </row>
    <row r="129" spans="18:19">
      <c r="R129" s="147"/>
      <c r="S129" s="267"/>
    </row>
    <row r="130" spans="18:19">
      <c r="R130" s="147"/>
      <c r="S130" s="267"/>
    </row>
    <row r="131" spans="18:19">
      <c r="R131" s="147"/>
      <c r="S131" s="267"/>
    </row>
    <row r="132" spans="18:19">
      <c r="R132" s="147"/>
      <c r="S132" s="267"/>
    </row>
    <row r="133" spans="18:19">
      <c r="R133" s="147"/>
      <c r="S133" s="267"/>
    </row>
    <row r="134" spans="18:19">
      <c r="R134" s="147"/>
      <c r="S134" s="267"/>
    </row>
    <row r="135" spans="18:19">
      <c r="R135" s="147"/>
      <c r="S135" s="267"/>
    </row>
    <row r="136" spans="18:19">
      <c r="R136" s="147"/>
      <c r="S136" s="267"/>
    </row>
    <row r="137" spans="18:19">
      <c r="R137" s="147"/>
      <c r="S137" s="267"/>
    </row>
    <row r="138" spans="18:19">
      <c r="R138" s="147"/>
      <c r="S138" s="267"/>
    </row>
    <row r="139" spans="18:19">
      <c r="R139" s="147"/>
      <c r="S139" s="267"/>
    </row>
    <row r="140" spans="18:19">
      <c r="R140" s="147"/>
      <c r="S140" s="267"/>
    </row>
    <row r="141" spans="18:19">
      <c r="R141" s="147"/>
      <c r="S141" s="267"/>
    </row>
    <row r="142" spans="18:19">
      <c r="R142" s="147"/>
      <c r="S142" s="267"/>
    </row>
    <row r="143" spans="18:19">
      <c r="R143" s="147"/>
      <c r="S143" s="267"/>
    </row>
    <row r="144" spans="18:19">
      <c r="R144" s="147"/>
      <c r="S144" s="267"/>
    </row>
    <row r="145" spans="18:19">
      <c r="R145" s="147"/>
      <c r="S145" s="267"/>
    </row>
    <row r="146" spans="18:19">
      <c r="R146" s="147"/>
      <c r="S146" s="267"/>
    </row>
    <row r="147" spans="18:19">
      <c r="R147" s="147"/>
      <c r="S147" s="267"/>
    </row>
    <row r="148" spans="18:19">
      <c r="R148" s="147"/>
      <c r="S148" s="267"/>
    </row>
    <row r="149" spans="18:19">
      <c r="R149" s="147"/>
      <c r="S149" s="267"/>
    </row>
    <row r="150" spans="18:19">
      <c r="R150" s="147"/>
      <c r="S150" s="267"/>
    </row>
    <row r="151" spans="18:19">
      <c r="R151" s="147"/>
      <c r="S151" s="267"/>
    </row>
    <row r="152" spans="18:19">
      <c r="R152" s="147"/>
      <c r="S152" s="267"/>
    </row>
    <row r="153" spans="18:19">
      <c r="R153" s="147"/>
      <c r="S153" s="267"/>
    </row>
    <row r="154" spans="18:19">
      <c r="R154" s="147"/>
      <c r="S154" s="267"/>
    </row>
    <row r="155" spans="18:19">
      <c r="R155" s="147"/>
      <c r="S155" s="267"/>
    </row>
    <row r="156" spans="18:19">
      <c r="R156" s="147"/>
      <c r="S156" s="267"/>
    </row>
    <row r="157" spans="18:19">
      <c r="R157" s="147"/>
      <c r="S157" s="267"/>
    </row>
    <row r="158" spans="18:19">
      <c r="R158" s="147"/>
      <c r="S158" s="267"/>
    </row>
    <row r="159" spans="18:19">
      <c r="R159" s="147"/>
      <c r="S159" s="267"/>
    </row>
    <row r="160" spans="18:19">
      <c r="R160" s="147"/>
      <c r="S160" s="267"/>
    </row>
    <row r="161" spans="18:19">
      <c r="R161" s="147"/>
      <c r="S161" s="267"/>
    </row>
    <row r="162" spans="18:19">
      <c r="R162" s="147"/>
      <c r="S162" s="267"/>
    </row>
    <row r="163" spans="18:19">
      <c r="S163" s="267"/>
    </row>
    <row r="164" spans="18:19">
      <c r="S164" s="267"/>
    </row>
    <row r="165" spans="18:19">
      <c r="S165" s="267"/>
    </row>
    <row r="166" spans="18:19">
      <c r="S166" s="267"/>
    </row>
    <row r="167" spans="18:19">
      <c r="S167" s="267"/>
    </row>
    <row r="168" spans="18:19">
      <c r="S168" s="267"/>
    </row>
    <row r="169" spans="18:19">
      <c r="S169" s="267"/>
    </row>
    <row r="170" spans="18:19">
      <c r="S170" s="267"/>
    </row>
    <row r="171" spans="18:19">
      <c r="S171" s="267"/>
    </row>
    <row r="172" spans="18:19">
      <c r="S172" s="267"/>
    </row>
    <row r="173" spans="18:19">
      <c r="S173" s="267"/>
    </row>
    <row r="174" spans="18:19">
      <c r="S174" s="267"/>
    </row>
    <row r="175" spans="18:19">
      <c r="S175" s="267"/>
    </row>
    <row r="176" spans="18:19">
      <c r="S176" s="267"/>
    </row>
    <row r="177" spans="19:19">
      <c r="S177" s="267"/>
    </row>
    <row r="178" spans="19:19">
      <c r="S178" s="267"/>
    </row>
    <row r="179" spans="19:19">
      <c r="S179" s="267"/>
    </row>
    <row r="180" spans="19:19">
      <c r="S180" s="267"/>
    </row>
    <row r="181" spans="19:19">
      <c r="S181" s="267"/>
    </row>
    <row r="182" spans="19:19">
      <c r="S182" s="267"/>
    </row>
    <row r="183" spans="19:19">
      <c r="S183" s="267"/>
    </row>
    <row r="184" spans="19:19">
      <c r="S184" s="267"/>
    </row>
    <row r="185" spans="19:19">
      <c r="S185" s="267"/>
    </row>
    <row r="186" spans="19:19">
      <c r="S186" s="267"/>
    </row>
    <row r="187" spans="19:19">
      <c r="S187" s="267"/>
    </row>
    <row r="188" spans="19:19">
      <c r="S188" s="267"/>
    </row>
    <row r="189" spans="19:19">
      <c r="S189" s="267"/>
    </row>
    <row r="190" spans="19:19">
      <c r="S190" s="267"/>
    </row>
  </sheetData>
  <autoFilter ref="A4:DI53" xr:uid="{00000000-0009-0000-0000-000000000000}">
    <sortState xmlns:xlrd2="http://schemas.microsoft.com/office/spreadsheetml/2017/richdata2" ref="A5:CY54">
      <sortCondition ref="B4:B54"/>
    </sortState>
  </autoFilter>
  <mergeCells count="3">
    <mergeCell ref="F2:G3"/>
    <mergeCell ref="H2:W3"/>
    <mergeCell ref="H55:H56"/>
  </mergeCells>
  <conditionalFormatting sqref="Y5:AN53">
    <cfRule type="cellIs" dxfId="5" priority="3" operator="greaterThan">
      <formula>1650</formula>
    </cfRule>
    <cfRule type="cellIs" dxfId="4" priority="4" operator="between">
      <formula>1000</formula>
      <formula>1650</formula>
    </cfRule>
  </conditionalFormatting>
  <conditionalFormatting sqref="AO5:BP53">
    <cfRule type="cellIs" dxfId="3" priority="1" operator="greaterThan">
      <formula>1650</formula>
    </cfRule>
    <cfRule type="cellIs" dxfId="2" priority="2" operator="between">
      <formula>1000</formula>
      <formula>1650</formula>
    </cfRule>
  </conditionalFormatting>
  <dataValidations count="1">
    <dataValidation type="list" allowBlank="1" showInputMessage="1" showErrorMessage="1" sqref="E58:E1048576 E5:E53" xr:uid="{DF60C1E2-163F-4ECC-9FCF-3C261048B3E6}">
      <formula1>PTX_DOSE_Groups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0FE098-E97F-45DA-B02A-9D502AB33F4A}">
          <x14:formula1>
            <xm:f>'PTX_DOSE Groups'!$C$6:$C$21</xm:f>
          </x14:formula1>
          <xm:sqref>H58:H104 H106:H110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0242-E1A5-4D39-AA98-4078ACEFAE07}">
  <dimension ref="A1:CV104"/>
  <sheetViews>
    <sheetView showGridLines="0" workbookViewId="0">
      <pane xSplit="5" ySplit="4" topLeftCell="F5" activePane="bottomRight" state="frozen"/>
      <selection activeCell="AA20" sqref="AA20"/>
      <selection pane="topRight" activeCell="AA20" sqref="AA20"/>
      <selection pane="bottomLeft" activeCell="AA20" sqref="AA20"/>
      <selection pane="bottomRight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22.85546875" style="50" hidden="1" customWidth="1" outlineLevel="1"/>
    <col min="5" max="5" width="22.85546875" style="59" customWidth="1" collapsed="1"/>
    <col min="6" max="6" width="12.7109375" style="62" customWidth="1"/>
    <col min="7" max="7" width="12.7109375" style="63" hidden="1" customWidth="1" outlineLevel="1"/>
    <col min="8" max="8" width="13.85546875" style="62" customWidth="1" collapsed="1"/>
    <col min="9" max="9" width="9.140625" style="63" hidden="1" customWidth="1" outlineLevel="1"/>
    <col min="10" max="10" width="7.85546875" style="50" customWidth="1" collapsed="1"/>
    <col min="11" max="12" width="8.5703125" style="50" customWidth="1"/>
    <col min="13" max="54" width="8.5703125" style="50" customWidth="1" outlineLevel="1"/>
    <col min="55" max="55" width="6.140625" style="50" bestFit="1" customWidth="1"/>
    <col min="56" max="57" width="8.5703125" style="50" customWidth="1"/>
    <col min="58" max="99" width="8.5703125" style="50" customWidth="1" outlineLevel="1"/>
    <col min="100" max="16384" width="9.140625" style="59"/>
  </cols>
  <sheetData>
    <row r="1" spans="1:100" s="7" customFormat="1" ht="25.5">
      <c r="A1" s="6" t="s">
        <v>96</v>
      </c>
      <c r="C1" s="8"/>
      <c r="D1" s="9"/>
      <c r="F1" s="10"/>
      <c r="G1" s="11"/>
      <c r="H1" s="10"/>
      <c r="I1" s="11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</row>
    <row r="2" spans="1:100" s="56" customFormat="1" ht="15.75" customHeight="1">
      <c r="A2" s="269" t="s">
        <v>39</v>
      </c>
      <c r="B2" s="222"/>
      <c r="C2" s="223"/>
      <c r="D2" s="222"/>
      <c r="E2" s="16"/>
      <c r="F2" s="275" t="s">
        <v>14</v>
      </c>
      <c r="G2" s="285"/>
      <c r="H2" s="275" t="s">
        <v>0</v>
      </c>
      <c r="I2" s="285"/>
      <c r="J2" s="17"/>
      <c r="K2" s="269" t="s">
        <v>18</v>
      </c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4"/>
      <c r="BC2" s="225"/>
      <c r="BD2" s="269" t="s">
        <v>69</v>
      </c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4"/>
      <c r="CV2" s="55"/>
    </row>
    <row r="3" spans="1:100" s="72" customFormat="1" ht="15.75">
      <c r="A3" s="226"/>
      <c r="B3" s="227"/>
      <c r="C3" s="228"/>
      <c r="D3" s="227"/>
      <c r="E3" s="68"/>
      <c r="F3" s="275"/>
      <c r="G3" s="285"/>
      <c r="H3" s="275"/>
      <c r="I3" s="285"/>
      <c r="J3" s="69" t="s">
        <v>15</v>
      </c>
      <c r="K3" s="229">
        <v>42466</v>
      </c>
      <c r="L3" s="229">
        <v>42467</v>
      </c>
      <c r="M3" s="229">
        <v>42468</v>
      </c>
      <c r="N3" s="229">
        <v>42469</v>
      </c>
      <c r="O3" s="229">
        <v>42470</v>
      </c>
      <c r="P3" s="229">
        <v>42472</v>
      </c>
      <c r="Q3" s="229">
        <v>42474</v>
      </c>
      <c r="R3" s="229">
        <v>42476</v>
      </c>
      <c r="S3" s="229">
        <v>42478</v>
      </c>
      <c r="T3" s="229">
        <v>42480</v>
      </c>
      <c r="U3" s="229">
        <v>42482</v>
      </c>
      <c r="V3" s="229">
        <v>42485</v>
      </c>
      <c r="W3" s="229">
        <v>42487</v>
      </c>
      <c r="X3" s="229">
        <v>42489</v>
      </c>
      <c r="Y3" s="229">
        <v>42491</v>
      </c>
      <c r="Z3" s="229">
        <v>42493</v>
      </c>
      <c r="AA3" s="229">
        <v>42495</v>
      </c>
      <c r="AB3" s="229">
        <v>42497</v>
      </c>
      <c r="AC3" s="229">
        <v>42499</v>
      </c>
      <c r="AD3" s="229">
        <v>42501</v>
      </c>
      <c r="AE3" s="229">
        <v>42504</v>
      </c>
      <c r="AF3" s="229">
        <v>42506</v>
      </c>
      <c r="AG3" s="229">
        <v>42509</v>
      </c>
      <c r="AH3" s="229">
        <v>42512</v>
      </c>
      <c r="AI3" s="229">
        <v>42514</v>
      </c>
      <c r="AJ3" s="229">
        <v>42517</v>
      </c>
      <c r="AK3" s="229">
        <v>42520</v>
      </c>
      <c r="AL3" s="229">
        <v>42522</v>
      </c>
      <c r="AM3" s="229">
        <v>42524</v>
      </c>
      <c r="AN3" s="229">
        <v>42527</v>
      </c>
      <c r="AO3" s="229">
        <v>42530</v>
      </c>
      <c r="AP3" s="229">
        <v>42533</v>
      </c>
      <c r="AQ3" s="229">
        <v>42538</v>
      </c>
      <c r="AR3" s="229">
        <v>42541</v>
      </c>
      <c r="AS3" s="229">
        <v>42543</v>
      </c>
      <c r="AT3" s="229">
        <v>42549</v>
      </c>
      <c r="AU3" s="229">
        <v>42551</v>
      </c>
      <c r="AV3" s="229">
        <v>42555</v>
      </c>
      <c r="AW3" s="229">
        <v>42559</v>
      </c>
      <c r="AX3" s="229">
        <v>42564</v>
      </c>
      <c r="AY3" s="229">
        <v>42566</v>
      </c>
      <c r="AZ3" s="229"/>
      <c r="BA3" s="229"/>
      <c r="BB3" s="229"/>
      <c r="BC3" s="70" t="s">
        <v>15</v>
      </c>
      <c r="BD3" s="229">
        <f t="shared" ref="BD3:BS4" si="0">IF(ISBLANK(K3)="TRUE","",K3)</f>
        <v>42466</v>
      </c>
      <c r="BE3" s="229">
        <f t="shared" si="0"/>
        <v>42467</v>
      </c>
      <c r="BF3" s="229">
        <f t="shared" si="0"/>
        <v>42468</v>
      </c>
      <c r="BG3" s="229">
        <f t="shared" si="0"/>
        <v>42469</v>
      </c>
      <c r="BH3" s="229">
        <f t="shared" si="0"/>
        <v>42470</v>
      </c>
      <c r="BI3" s="229">
        <f t="shared" si="0"/>
        <v>42472</v>
      </c>
      <c r="BJ3" s="229">
        <f t="shared" si="0"/>
        <v>42474</v>
      </c>
      <c r="BK3" s="229">
        <f t="shared" si="0"/>
        <v>42476</v>
      </c>
      <c r="BL3" s="229">
        <f t="shared" si="0"/>
        <v>42478</v>
      </c>
      <c r="BM3" s="229">
        <f t="shared" si="0"/>
        <v>42480</v>
      </c>
      <c r="BN3" s="229">
        <f t="shared" si="0"/>
        <v>42482</v>
      </c>
      <c r="BO3" s="229">
        <f t="shared" si="0"/>
        <v>42485</v>
      </c>
      <c r="BP3" s="229">
        <f t="shared" si="0"/>
        <v>42487</v>
      </c>
      <c r="BQ3" s="229">
        <f t="shared" si="0"/>
        <v>42489</v>
      </c>
      <c r="BR3" s="229">
        <f t="shared" si="0"/>
        <v>42491</v>
      </c>
      <c r="BS3" s="229">
        <f t="shared" si="0"/>
        <v>42493</v>
      </c>
      <c r="BT3" s="229">
        <f t="shared" ref="BT3:CI4" si="1">IF(ISBLANK(AA3)="TRUE","",AA3)</f>
        <v>42495</v>
      </c>
      <c r="BU3" s="229">
        <f t="shared" si="1"/>
        <v>42497</v>
      </c>
      <c r="BV3" s="229">
        <f t="shared" si="1"/>
        <v>42499</v>
      </c>
      <c r="BW3" s="229">
        <f t="shared" si="1"/>
        <v>42501</v>
      </c>
      <c r="BX3" s="229">
        <f t="shared" si="1"/>
        <v>42504</v>
      </c>
      <c r="BY3" s="229">
        <f t="shared" si="1"/>
        <v>42506</v>
      </c>
      <c r="BZ3" s="229">
        <f t="shared" si="1"/>
        <v>42509</v>
      </c>
      <c r="CA3" s="229">
        <f t="shared" si="1"/>
        <v>42512</v>
      </c>
      <c r="CB3" s="229">
        <f t="shared" si="1"/>
        <v>42514</v>
      </c>
      <c r="CC3" s="229">
        <f t="shared" si="1"/>
        <v>42517</v>
      </c>
      <c r="CD3" s="229">
        <f t="shared" si="1"/>
        <v>42520</v>
      </c>
      <c r="CE3" s="229">
        <f t="shared" si="1"/>
        <v>42522</v>
      </c>
      <c r="CF3" s="229">
        <f t="shared" si="1"/>
        <v>42524</v>
      </c>
      <c r="CG3" s="229">
        <f t="shared" si="1"/>
        <v>42527</v>
      </c>
      <c r="CH3" s="229">
        <f t="shared" si="1"/>
        <v>42530</v>
      </c>
      <c r="CI3" s="229">
        <f t="shared" si="1"/>
        <v>42533</v>
      </c>
      <c r="CJ3" s="229">
        <f t="shared" ref="CI3:CU4" si="2">IF(ISBLANK(AQ3)="TRUE","",AQ3)</f>
        <v>42538</v>
      </c>
      <c r="CK3" s="229">
        <f t="shared" si="2"/>
        <v>42541</v>
      </c>
      <c r="CL3" s="229">
        <f t="shared" si="2"/>
        <v>42543</v>
      </c>
      <c r="CM3" s="229">
        <f t="shared" si="2"/>
        <v>42549</v>
      </c>
      <c r="CN3" s="229">
        <f t="shared" si="2"/>
        <v>42551</v>
      </c>
      <c r="CO3" s="229">
        <f t="shared" si="2"/>
        <v>42555</v>
      </c>
      <c r="CP3" s="229">
        <f t="shared" si="2"/>
        <v>42559</v>
      </c>
      <c r="CQ3" s="229">
        <f t="shared" si="2"/>
        <v>42564</v>
      </c>
      <c r="CR3" s="229">
        <f t="shared" si="2"/>
        <v>42566</v>
      </c>
      <c r="CS3" s="229">
        <f t="shared" si="2"/>
        <v>0</v>
      </c>
      <c r="CT3" s="229">
        <f t="shared" si="2"/>
        <v>0</v>
      </c>
      <c r="CU3" s="229">
        <f t="shared" si="2"/>
        <v>0</v>
      </c>
      <c r="CV3" s="71"/>
    </row>
    <row r="4" spans="1:100" s="58" customFormat="1" ht="15.75" customHeight="1">
      <c r="A4" s="230" t="s">
        <v>6</v>
      </c>
      <c r="B4" s="213" t="s">
        <v>7</v>
      </c>
      <c r="C4" s="231" t="s">
        <v>8</v>
      </c>
      <c r="D4" s="230" t="s">
        <v>17</v>
      </c>
      <c r="E4" s="21" t="s">
        <v>11</v>
      </c>
      <c r="F4" s="22" t="s">
        <v>1</v>
      </c>
      <c r="G4" s="232" t="s">
        <v>2</v>
      </c>
      <c r="H4" s="22" t="s">
        <v>1</v>
      </c>
      <c r="I4" s="232" t="s">
        <v>2</v>
      </c>
      <c r="J4" s="25" t="s">
        <v>9</v>
      </c>
      <c r="K4" s="270">
        <f>K3-$H5</f>
        <v>-2</v>
      </c>
      <c r="L4" s="270">
        <f>L3-$H5</f>
        <v>-1</v>
      </c>
      <c r="M4" s="270">
        <f t="shared" ref="M4:BB4" si="3">M3-$H5</f>
        <v>0</v>
      </c>
      <c r="N4" s="270">
        <f t="shared" si="3"/>
        <v>1</v>
      </c>
      <c r="O4" s="270">
        <f t="shared" si="3"/>
        <v>2</v>
      </c>
      <c r="P4" s="270">
        <f t="shared" si="3"/>
        <v>4</v>
      </c>
      <c r="Q4" s="270">
        <f t="shared" si="3"/>
        <v>6</v>
      </c>
      <c r="R4" s="270">
        <f t="shared" si="3"/>
        <v>8</v>
      </c>
      <c r="S4" s="270">
        <f t="shared" si="3"/>
        <v>10</v>
      </c>
      <c r="T4" s="270">
        <f t="shared" si="3"/>
        <v>12</v>
      </c>
      <c r="U4" s="270">
        <f t="shared" si="3"/>
        <v>14</v>
      </c>
      <c r="V4" s="270">
        <f t="shared" si="3"/>
        <v>17</v>
      </c>
      <c r="W4" s="270">
        <f t="shared" si="3"/>
        <v>19</v>
      </c>
      <c r="X4" s="270">
        <f t="shared" si="3"/>
        <v>21</v>
      </c>
      <c r="Y4" s="270">
        <f t="shared" si="3"/>
        <v>23</v>
      </c>
      <c r="Z4" s="270">
        <f t="shared" si="3"/>
        <v>25</v>
      </c>
      <c r="AA4" s="270">
        <f t="shared" si="3"/>
        <v>27</v>
      </c>
      <c r="AB4" s="270">
        <f t="shared" si="3"/>
        <v>29</v>
      </c>
      <c r="AC4" s="270">
        <f t="shared" si="3"/>
        <v>31</v>
      </c>
      <c r="AD4" s="270">
        <f t="shared" si="3"/>
        <v>33</v>
      </c>
      <c r="AE4" s="270">
        <f t="shared" si="3"/>
        <v>36</v>
      </c>
      <c r="AF4" s="270">
        <f t="shared" si="3"/>
        <v>38</v>
      </c>
      <c r="AG4" s="270">
        <f t="shared" si="3"/>
        <v>41</v>
      </c>
      <c r="AH4" s="270">
        <f t="shared" si="3"/>
        <v>44</v>
      </c>
      <c r="AI4" s="270">
        <f t="shared" si="3"/>
        <v>46</v>
      </c>
      <c r="AJ4" s="270">
        <f t="shared" si="3"/>
        <v>49</v>
      </c>
      <c r="AK4" s="270">
        <f t="shared" si="3"/>
        <v>52</v>
      </c>
      <c r="AL4" s="270">
        <f t="shared" si="3"/>
        <v>54</v>
      </c>
      <c r="AM4" s="270">
        <f t="shared" si="3"/>
        <v>56</v>
      </c>
      <c r="AN4" s="270">
        <f t="shared" si="3"/>
        <v>59</v>
      </c>
      <c r="AO4" s="270">
        <f t="shared" si="3"/>
        <v>62</v>
      </c>
      <c r="AP4" s="270">
        <f t="shared" si="3"/>
        <v>65</v>
      </c>
      <c r="AQ4" s="270">
        <f t="shared" si="3"/>
        <v>70</v>
      </c>
      <c r="AR4" s="270">
        <f t="shared" si="3"/>
        <v>73</v>
      </c>
      <c r="AS4" s="270">
        <f t="shared" si="3"/>
        <v>75</v>
      </c>
      <c r="AT4" s="270">
        <f t="shared" si="3"/>
        <v>81</v>
      </c>
      <c r="AU4" s="270">
        <f t="shared" si="3"/>
        <v>83</v>
      </c>
      <c r="AV4" s="270">
        <f t="shared" si="3"/>
        <v>87</v>
      </c>
      <c r="AW4" s="270">
        <f t="shared" si="3"/>
        <v>91</v>
      </c>
      <c r="AX4" s="270">
        <f t="shared" si="3"/>
        <v>96</v>
      </c>
      <c r="AY4" s="270">
        <f t="shared" si="3"/>
        <v>98</v>
      </c>
      <c r="AZ4" s="270">
        <f t="shared" si="3"/>
        <v>-42468</v>
      </c>
      <c r="BA4" s="270">
        <f t="shared" si="3"/>
        <v>-42468</v>
      </c>
      <c r="BB4" s="270">
        <f t="shared" si="3"/>
        <v>-42468</v>
      </c>
      <c r="BC4" s="26" t="s">
        <v>9</v>
      </c>
      <c r="BD4" s="213">
        <f t="shared" si="0"/>
        <v>-2</v>
      </c>
      <c r="BE4" s="213">
        <f t="shared" si="0"/>
        <v>-1</v>
      </c>
      <c r="BF4" s="213">
        <f t="shared" si="0"/>
        <v>0</v>
      </c>
      <c r="BG4" s="213">
        <f t="shared" si="0"/>
        <v>1</v>
      </c>
      <c r="BH4" s="213">
        <f t="shared" si="0"/>
        <v>2</v>
      </c>
      <c r="BI4" s="213">
        <f t="shared" si="0"/>
        <v>4</v>
      </c>
      <c r="BJ4" s="213">
        <f t="shared" si="0"/>
        <v>6</v>
      </c>
      <c r="BK4" s="213">
        <f t="shared" si="0"/>
        <v>8</v>
      </c>
      <c r="BL4" s="213">
        <f t="shared" si="0"/>
        <v>10</v>
      </c>
      <c r="BM4" s="213">
        <f t="shared" si="0"/>
        <v>12</v>
      </c>
      <c r="BN4" s="213">
        <f t="shared" si="0"/>
        <v>14</v>
      </c>
      <c r="BO4" s="213">
        <f t="shared" si="0"/>
        <v>17</v>
      </c>
      <c r="BP4" s="213">
        <f t="shared" si="0"/>
        <v>19</v>
      </c>
      <c r="BQ4" s="213">
        <f t="shared" si="0"/>
        <v>21</v>
      </c>
      <c r="BR4" s="213">
        <f t="shared" si="0"/>
        <v>23</v>
      </c>
      <c r="BS4" s="213">
        <f t="shared" si="0"/>
        <v>25</v>
      </c>
      <c r="BT4" s="213">
        <f t="shared" si="1"/>
        <v>27</v>
      </c>
      <c r="BU4" s="213">
        <f t="shared" si="1"/>
        <v>29</v>
      </c>
      <c r="BV4" s="213">
        <f t="shared" si="1"/>
        <v>31</v>
      </c>
      <c r="BW4" s="213">
        <f t="shared" si="1"/>
        <v>33</v>
      </c>
      <c r="BX4" s="213">
        <f t="shared" si="1"/>
        <v>36</v>
      </c>
      <c r="BY4" s="213">
        <f t="shared" si="1"/>
        <v>38</v>
      </c>
      <c r="BZ4" s="213">
        <f t="shared" si="1"/>
        <v>41</v>
      </c>
      <c r="CA4" s="213">
        <f t="shared" si="1"/>
        <v>44</v>
      </c>
      <c r="CB4" s="213">
        <f t="shared" si="1"/>
        <v>46</v>
      </c>
      <c r="CC4" s="213">
        <f t="shared" si="1"/>
        <v>49</v>
      </c>
      <c r="CD4" s="213">
        <f t="shared" si="1"/>
        <v>52</v>
      </c>
      <c r="CE4" s="213">
        <f t="shared" si="1"/>
        <v>54</v>
      </c>
      <c r="CF4" s="213">
        <f t="shared" si="1"/>
        <v>56</v>
      </c>
      <c r="CG4" s="213">
        <f t="shared" si="1"/>
        <v>59</v>
      </c>
      <c r="CH4" s="213">
        <f t="shared" si="1"/>
        <v>62</v>
      </c>
      <c r="CI4" s="213">
        <f t="shared" si="2"/>
        <v>65</v>
      </c>
      <c r="CJ4" s="213">
        <f t="shared" si="2"/>
        <v>70</v>
      </c>
      <c r="CK4" s="213">
        <f t="shared" si="2"/>
        <v>73</v>
      </c>
      <c r="CL4" s="213">
        <f t="shared" si="2"/>
        <v>75</v>
      </c>
      <c r="CM4" s="213">
        <f t="shared" si="2"/>
        <v>81</v>
      </c>
      <c r="CN4" s="213">
        <f t="shared" si="2"/>
        <v>83</v>
      </c>
      <c r="CO4" s="213">
        <f t="shared" si="2"/>
        <v>87</v>
      </c>
      <c r="CP4" s="213">
        <f t="shared" si="2"/>
        <v>91</v>
      </c>
      <c r="CQ4" s="213">
        <f t="shared" si="2"/>
        <v>96</v>
      </c>
      <c r="CR4" s="213">
        <f t="shared" si="2"/>
        <v>98</v>
      </c>
      <c r="CS4" s="213">
        <f t="shared" si="2"/>
        <v>-42468</v>
      </c>
      <c r="CT4" s="213">
        <f t="shared" si="2"/>
        <v>-42468</v>
      </c>
      <c r="CU4" s="213">
        <f t="shared" si="2"/>
        <v>-42468</v>
      </c>
      <c r="CV4" s="57"/>
    </row>
    <row r="5" spans="1:100">
      <c r="A5" s="27">
        <v>975081</v>
      </c>
      <c r="B5" s="28">
        <v>11</v>
      </c>
      <c r="C5" s="29" t="str">
        <f t="shared" ref="C5:C53" si="4">CONCATENATE(A5,"-",B5)</f>
        <v>975081-11</v>
      </c>
      <c r="D5" s="28" t="s">
        <v>80</v>
      </c>
      <c r="E5" s="30" t="s">
        <v>81</v>
      </c>
      <c r="F5" s="31">
        <v>42458</v>
      </c>
      <c r="G5" s="32"/>
      <c r="H5" s="31">
        <v>42468</v>
      </c>
      <c r="I5" s="32">
        <v>30.3</v>
      </c>
      <c r="J5" s="35"/>
      <c r="K5" s="87">
        <v>29.1</v>
      </c>
      <c r="L5" s="87">
        <v>29.9</v>
      </c>
      <c r="M5" s="87">
        <v>30.3</v>
      </c>
      <c r="N5" s="87">
        <v>29.6</v>
      </c>
      <c r="O5" s="87">
        <v>29</v>
      </c>
      <c r="P5" s="87">
        <v>29.8</v>
      </c>
      <c r="Q5" s="87">
        <v>30.9</v>
      </c>
      <c r="R5" s="87">
        <v>30.1</v>
      </c>
      <c r="S5" s="87">
        <v>30.4</v>
      </c>
      <c r="T5" s="87">
        <v>30.3</v>
      </c>
      <c r="U5" s="87">
        <v>30.6</v>
      </c>
      <c r="V5" s="87">
        <v>29.9</v>
      </c>
      <c r="W5" s="87">
        <v>30.6</v>
      </c>
      <c r="X5" s="87">
        <v>30.5</v>
      </c>
      <c r="Y5" s="87">
        <v>30.5</v>
      </c>
      <c r="Z5" s="87">
        <v>29.1</v>
      </c>
      <c r="AA5" s="87">
        <v>28.5</v>
      </c>
      <c r="AB5" s="87">
        <v>29.3</v>
      </c>
      <c r="AC5" s="87">
        <v>29.3</v>
      </c>
      <c r="AD5" s="87">
        <v>30.4</v>
      </c>
      <c r="AE5" s="87">
        <v>30.2</v>
      </c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36"/>
      <c r="BD5" s="86">
        <f t="shared" ref="BD5:BS20" si="5">IF(OR(ISERROR(K5/$I5)=TRUE,ISBLANK(K5)=TRUE),"",K5/$I5)</f>
        <v>0.96039603960396047</v>
      </c>
      <c r="BE5" s="86">
        <f t="shared" si="5"/>
        <v>0.98679867986798675</v>
      </c>
      <c r="BF5" s="86">
        <f t="shared" si="5"/>
        <v>1</v>
      </c>
      <c r="BG5" s="86">
        <f t="shared" si="5"/>
        <v>0.97689768976897695</v>
      </c>
      <c r="BH5" s="86">
        <f t="shared" si="5"/>
        <v>0.95709570957095702</v>
      </c>
      <c r="BI5" s="86">
        <f t="shared" si="5"/>
        <v>0.98349834983498352</v>
      </c>
      <c r="BJ5" s="86">
        <f t="shared" si="5"/>
        <v>1.0198019801980198</v>
      </c>
      <c r="BK5" s="86">
        <f t="shared" si="5"/>
        <v>0.99339933993399343</v>
      </c>
      <c r="BL5" s="86">
        <f t="shared" si="5"/>
        <v>1.0033003300330032</v>
      </c>
      <c r="BM5" s="86">
        <f t="shared" si="5"/>
        <v>1</v>
      </c>
      <c r="BN5" s="86">
        <f t="shared" si="5"/>
        <v>1.0099009900990099</v>
      </c>
      <c r="BO5" s="86">
        <f t="shared" si="5"/>
        <v>0.98679867986798675</v>
      </c>
      <c r="BP5" s="86">
        <f t="shared" si="5"/>
        <v>1.0099009900990099</v>
      </c>
      <c r="BQ5" s="86">
        <f t="shared" si="5"/>
        <v>1.0066006600660067</v>
      </c>
      <c r="BR5" s="86">
        <f t="shared" si="5"/>
        <v>1.0066006600660067</v>
      </c>
      <c r="BS5" s="86">
        <f t="shared" si="5"/>
        <v>0.96039603960396047</v>
      </c>
      <c r="BT5" s="86">
        <f t="shared" ref="BT5:CI20" si="6">IF(OR(ISERROR(AA5/$I5)=TRUE,ISBLANK(AA5)=TRUE),"",AA5/$I5)</f>
        <v>0.94059405940594054</v>
      </c>
      <c r="BU5" s="86">
        <f t="shared" si="6"/>
        <v>0.96699669966996704</v>
      </c>
      <c r="BV5" s="86">
        <f t="shared" si="6"/>
        <v>0.96699669966996704</v>
      </c>
      <c r="BW5" s="86">
        <f t="shared" si="6"/>
        <v>1.0033003300330032</v>
      </c>
      <c r="BX5" s="86">
        <f t="shared" si="6"/>
        <v>0.99669966996699666</v>
      </c>
      <c r="BY5" s="86" t="str">
        <f t="shared" si="6"/>
        <v/>
      </c>
      <c r="BZ5" s="86" t="str">
        <f t="shared" si="6"/>
        <v/>
      </c>
      <c r="CA5" s="86" t="str">
        <f t="shared" si="6"/>
        <v/>
      </c>
      <c r="CB5" s="86" t="str">
        <f t="shared" si="6"/>
        <v/>
      </c>
      <c r="CC5" s="86" t="str">
        <f t="shared" si="6"/>
        <v/>
      </c>
      <c r="CD5" s="86" t="str">
        <f t="shared" si="6"/>
        <v/>
      </c>
      <c r="CE5" s="86" t="str">
        <f t="shared" si="6"/>
        <v/>
      </c>
      <c r="CF5" s="86" t="str">
        <f t="shared" si="6"/>
        <v/>
      </c>
      <c r="CG5" s="86" t="str">
        <f t="shared" si="6"/>
        <v/>
      </c>
      <c r="CH5" s="86" t="str">
        <f t="shared" si="6"/>
        <v/>
      </c>
      <c r="CI5" s="86" t="str">
        <f t="shared" si="6"/>
        <v/>
      </c>
      <c r="CJ5" s="86" t="str">
        <f t="shared" ref="CJ5:CU26" si="7">IF(OR(ISERROR(AQ5/$I5)=TRUE,ISBLANK(AQ5)=TRUE),"",AQ5/$I5)</f>
        <v/>
      </c>
      <c r="CK5" s="86" t="str">
        <f t="shared" si="7"/>
        <v/>
      </c>
      <c r="CL5" s="86" t="str">
        <f t="shared" si="7"/>
        <v/>
      </c>
      <c r="CM5" s="86" t="str">
        <f t="shared" si="7"/>
        <v/>
      </c>
      <c r="CN5" s="86" t="str">
        <f t="shared" si="7"/>
        <v/>
      </c>
      <c r="CO5" s="86" t="str">
        <f t="shared" si="7"/>
        <v/>
      </c>
      <c r="CP5" s="86" t="str">
        <f t="shared" si="7"/>
        <v/>
      </c>
      <c r="CQ5" s="86" t="str">
        <f t="shared" si="7"/>
        <v/>
      </c>
      <c r="CR5" s="86" t="str">
        <f t="shared" si="7"/>
        <v/>
      </c>
      <c r="CS5" s="86" t="str">
        <f t="shared" si="7"/>
        <v/>
      </c>
      <c r="CT5" s="86" t="str">
        <f t="shared" si="7"/>
        <v/>
      </c>
      <c r="CU5" s="86" t="str">
        <f t="shared" si="7"/>
        <v/>
      </c>
      <c r="CV5" s="3"/>
    </row>
    <row r="6" spans="1:100">
      <c r="A6" s="27">
        <v>975081</v>
      </c>
      <c r="B6" s="1">
        <v>12</v>
      </c>
      <c r="C6" s="29" t="str">
        <f t="shared" si="4"/>
        <v>975081-12</v>
      </c>
      <c r="D6" s="28" t="s">
        <v>80</v>
      </c>
      <c r="E6" s="37" t="s">
        <v>82</v>
      </c>
      <c r="F6" s="31">
        <v>42458</v>
      </c>
      <c r="G6" s="38"/>
      <c r="H6" s="31">
        <v>42468</v>
      </c>
      <c r="I6" s="38">
        <v>32.200000000000003</v>
      </c>
      <c r="J6" s="40"/>
      <c r="K6" s="87">
        <v>30.7</v>
      </c>
      <c r="L6" s="93">
        <v>32</v>
      </c>
      <c r="M6" s="93">
        <v>32.200000000000003</v>
      </c>
      <c r="N6" s="93">
        <v>31.5</v>
      </c>
      <c r="O6" s="93">
        <v>31.7</v>
      </c>
      <c r="P6" s="93">
        <v>32.5</v>
      </c>
      <c r="Q6" s="93">
        <v>33.200000000000003</v>
      </c>
      <c r="R6" s="93">
        <v>32.200000000000003</v>
      </c>
      <c r="S6" s="93">
        <v>32.5</v>
      </c>
      <c r="T6" s="93">
        <v>31</v>
      </c>
      <c r="U6" s="93">
        <v>32.700000000000003</v>
      </c>
      <c r="V6" s="93">
        <v>31.4</v>
      </c>
      <c r="W6" s="93">
        <v>31.9</v>
      </c>
      <c r="X6" s="93">
        <v>32</v>
      </c>
      <c r="Y6" s="93">
        <v>31.5</v>
      </c>
      <c r="Z6" s="93">
        <v>31.1</v>
      </c>
      <c r="AA6" s="93">
        <v>30.3</v>
      </c>
      <c r="AB6" s="93">
        <v>31.7</v>
      </c>
      <c r="AC6" s="93">
        <v>30.9</v>
      </c>
      <c r="AD6" s="93">
        <v>32.4</v>
      </c>
      <c r="AE6" s="93">
        <v>31.7</v>
      </c>
      <c r="AF6" s="93">
        <v>32</v>
      </c>
      <c r="AG6" s="93">
        <v>31.6</v>
      </c>
      <c r="AH6" s="93">
        <v>33.1</v>
      </c>
      <c r="AI6" s="93">
        <v>31.7</v>
      </c>
      <c r="AJ6" s="93">
        <v>31.9</v>
      </c>
      <c r="AK6" s="93">
        <v>32.299999999999997</v>
      </c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2"/>
      <c r="BD6" s="82">
        <f t="shared" si="5"/>
        <v>0.95341614906832284</v>
      </c>
      <c r="BE6" s="82">
        <f t="shared" si="5"/>
        <v>0.99378881987577627</v>
      </c>
      <c r="BF6" s="82">
        <f t="shared" si="5"/>
        <v>1</v>
      </c>
      <c r="BG6" s="82">
        <f t="shared" si="5"/>
        <v>0.97826086956521729</v>
      </c>
      <c r="BH6" s="82">
        <f t="shared" si="5"/>
        <v>0.98447204968944091</v>
      </c>
      <c r="BI6" s="82">
        <f t="shared" si="5"/>
        <v>1.0093167701863353</v>
      </c>
      <c r="BJ6" s="82">
        <f t="shared" si="5"/>
        <v>1.031055900621118</v>
      </c>
      <c r="BK6" s="82">
        <f t="shared" si="5"/>
        <v>1</v>
      </c>
      <c r="BL6" s="82">
        <f t="shared" si="5"/>
        <v>1.0093167701863353</v>
      </c>
      <c r="BM6" s="82">
        <f t="shared" si="5"/>
        <v>0.96273291925465831</v>
      </c>
      <c r="BN6" s="82">
        <f t="shared" si="5"/>
        <v>1.015527950310559</v>
      </c>
      <c r="BO6" s="82">
        <f t="shared" si="5"/>
        <v>0.97515527950310543</v>
      </c>
      <c r="BP6" s="82">
        <f t="shared" si="5"/>
        <v>0.99068322981366441</v>
      </c>
      <c r="BQ6" s="82">
        <f t="shared" si="5"/>
        <v>0.99378881987577627</v>
      </c>
      <c r="BR6" s="82">
        <f t="shared" si="5"/>
        <v>0.97826086956521729</v>
      </c>
      <c r="BS6" s="82">
        <f t="shared" si="5"/>
        <v>0.96583850931677018</v>
      </c>
      <c r="BT6" s="82">
        <f t="shared" si="6"/>
        <v>0.94099378881987572</v>
      </c>
      <c r="BU6" s="82">
        <f t="shared" si="6"/>
        <v>0.98447204968944091</v>
      </c>
      <c r="BV6" s="82">
        <f t="shared" si="6"/>
        <v>0.95962732919254645</v>
      </c>
      <c r="BW6" s="82">
        <f t="shared" si="6"/>
        <v>1.0062111801242235</v>
      </c>
      <c r="BX6" s="82">
        <f t="shared" si="6"/>
        <v>0.98447204968944091</v>
      </c>
      <c r="BY6" s="82">
        <f t="shared" si="6"/>
        <v>0.99378881987577627</v>
      </c>
      <c r="BZ6" s="82">
        <f t="shared" si="6"/>
        <v>0.98136645962732916</v>
      </c>
      <c r="CA6" s="82">
        <f t="shared" si="6"/>
        <v>1.0279503105590062</v>
      </c>
      <c r="CB6" s="82">
        <f t="shared" si="6"/>
        <v>0.98447204968944091</v>
      </c>
      <c r="CC6" s="82">
        <f t="shared" si="6"/>
        <v>0.99068322981366441</v>
      </c>
      <c r="CD6" s="82">
        <f t="shared" si="6"/>
        <v>1.0031055900621115</v>
      </c>
      <c r="CE6" s="82" t="str">
        <f t="shared" si="6"/>
        <v/>
      </c>
      <c r="CF6" s="82" t="str">
        <f t="shared" si="6"/>
        <v/>
      </c>
      <c r="CG6" s="82" t="str">
        <f t="shared" si="6"/>
        <v/>
      </c>
      <c r="CH6" s="82" t="str">
        <f t="shared" si="6"/>
        <v/>
      </c>
      <c r="CI6" s="82" t="str">
        <f t="shared" si="6"/>
        <v/>
      </c>
      <c r="CJ6" s="82" t="str">
        <f t="shared" si="7"/>
        <v/>
      </c>
      <c r="CK6" s="82" t="str">
        <f t="shared" si="7"/>
        <v/>
      </c>
      <c r="CL6" s="82" t="str">
        <f t="shared" si="7"/>
        <v/>
      </c>
      <c r="CM6" s="82" t="str">
        <f t="shared" si="7"/>
        <v/>
      </c>
      <c r="CN6" s="82" t="str">
        <f t="shared" si="7"/>
        <v/>
      </c>
      <c r="CO6" s="82" t="str">
        <f t="shared" si="7"/>
        <v/>
      </c>
      <c r="CP6" s="82" t="str">
        <f t="shared" si="7"/>
        <v/>
      </c>
      <c r="CQ6" s="82" t="str">
        <f t="shared" si="7"/>
        <v/>
      </c>
      <c r="CR6" s="82" t="str">
        <f t="shared" si="7"/>
        <v/>
      </c>
      <c r="CS6" s="82" t="str">
        <f t="shared" si="7"/>
        <v/>
      </c>
      <c r="CT6" s="82" t="str">
        <f t="shared" si="7"/>
        <v/>
      </c>
      <c r="CU6" s="82" t="str">
        <f t="shared" si="7"/>
        <v/>
      </c>
      <c r="CV6" s="3"/>
    </row>
    <row r="7" spans="1:100">
      <c r="A7" s="27">
        <v>975081</v>
      </c>
      <c r="B7" s="1">
        <v>13</v>
      </c>
      <c r="C7" s="29" t="str">
        <f t="shared" si="4"/>
        <v>975081-13</v>
      </c>
      <c r="D7" s="28" t="s">
        <v>80</v>
      </c>
      <c r="E7" s="37" t="s">
        <v>82</v>
      </c>
      <c r="F7" s="31">
        <v>42458</v>
      </c>
      <c r="G7" s="38"/>
      <c r="H7" s="31">
        <v>42468</v>
      </c>
      <c r="I7" s="38">
        <v>28</v>
      </c>
      <c r="J7" s="40"/>
      <c r="K7" s="87">
        <v>26.5</v>
      </c>
      <c r="L7" s="93">
        <v>27.9</v>
      </c>
      <c r="M7" s="93">
        <v>28</v>
      </c>
      <c r="N7" s="93">
        <v>27.6</v>
      </c>
      <c r="O7" s="93">
        <v>27.9</v>
      </c>
      <c r="P7" s="93">
        <v>28.9</v>
      </c>
      <c r="Q7" s="93">
        <v>29.4</v>
      </c>
      <c r="R7" s="93">
        <v>28.4</v>
      </c>
      <c r="S7" s="93">
        <v>28.6</v>
      </c>
      <c r="T7" s="93">
        <v>28.4</v>
      </c>
      <c r="U7" s="93">
        <v>29.6</v>
      </c>
      <c r="V7" s="93">
        <v>28.5</v>
      </c>
      <c r="W7" s="93">
        <v>29.4</v>
      </c>
      <c r="X7" s="93">
        <v>29</v>
      </c>
      <c r="Y7" s="93">
        <v>28.9</v>
      </c>
      <c r="Z7" s="93">
        <v>28.3</v>
      </c>
      <c r="AA7" s="93">
        <v>28.6</v>
      </c>
      <c r="AB7" s="93">
        <v>29.1</v>
      </c>
      <c r="AC7" s="93">
        <v>28.9</v>
      </c>
      <c r="AD7" s="93">
        <v>29.7</v>
      </c>
      <c r="AE7" s="93">
        <v>29.1</v>
      </c>
      <c r="AF7" s="93">
        <v>29.5</v>
      </c>
      <c r="AG7" s="93">
        <v>28.5</v>
      </c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2"/>
      <c r="BD7" s="82">
        <f t="shared" si="5"/>
        <v>0.9464285714285714</v>
      </c>
      <c r="BE7" s="82">
        <f t="shared" si="5"/>
        <v>0.99642857142857133</v>
      </c>
      <c r="BF7" s="82">
        <f t="shared" si="5"/>
        <v>1</v>
      </c>
      <c r="BG7" s="82">
        <f t="shared" si="5"/>
        <v>0.98571428571428577</v>
      </c>
      <c r="BH7" s="82">
        <f t="shared" si="5"/>
        <v>0.99642857142857133</v>
      </c>
      <c r="BI7" s="82">
        <f t="shared" si="5"/>
        <v>1.032142857142857</v>
      </c>
      <c r="BJ7" s="82">
        <f t="shared" si="5"/>
        <v>1.05</v>
      </c>
      <c r="BK7" s="82">
        <f t="shared" si="5"/>
        <v>1.0142857142857142</v>
      </c>
      <c r="BL7" s="82">
        <f t="shared" si="5"/>
        <v>1.0214285714285716</v>
      </c>
      <c r="BM7" s="82">
        <f t="shared" si="5"/>
        <v>1.0142857142857142</v>
      </c>
      <c r="BN7" s="82">
        <f t="shared" si="5"/>
        <v>1.0571428571428572</v>
      </c>
      <c r="BO7" s="82">
        <f t="shared" si="5"/>
        <v>1.0178571428571428</v>
      </c>
      <c r="BP7" s="82">
        <f t="shared" si="5"/>
        <v>1.05</v>
      </c>
      <c r="BQ7" s="82">
        <f t="shared" si="5"/>
        <v>1.0357142857142858</v>
      </c>
      <c r="BR7" s="82">
        <f t="shared" si="5"/>
        <v>1.032142857142857</v>
      </c>
      <c r="BS7" s="82">
        <f t="shared" si="5"/>
        <v>1.0107142857142857</v>
      </c>
      <c r="BT7" s="82">
        <f t="shared" si="6"/>
        <v>1.0214285714285716</v>
      </c>
      <c r="BU7" s="82">
        <f t="shared" si="6"/>
        <v>1.0392857142857144</v>
      </c>
      <c r="BV7" s="82">
        <f t="shared" si="6"/>
        <v>1.032142857142857</v>
      </c>
      <c r="BW7" s="82">
        <f t="shared" si="6"/>
        <v>1.0607142857142857</v>
      </c>
      <c r="BX7" s="82">
        <f t="shared" si="6"/>
        <v>1.0392857142857144</v>
      </c>
      <c r="BY7" s="82">
        <f t="shared" si="6"/>
        <v>1.0535714285714286</v>
      </c>
      <c r="BZ7" s="82">
        <f t="shared" si="6"/>
        <v>1.0178571428571428</v>
      </c>
      <c r="CA7" s="82" t="str">
        <f t="shared" si="6"/>
        <v/>
      </c>
      <c r="CB7" s="82" t="str">
        <f t="shared" si="6"/>
        <v/>
      </c>
      <c r="CC7" s="82" t="str">
        <f t="shared" si="6"/>
        <v/>
      </c>
      <c r="CD7" s="82" t="str">
        <f t="shared" si="6"/>
        <v/>
      </c>
      <c r="CE7" s="82" t="str">
        <f t="shared" si="6"/>
        <v/>
      </c>
      <c r="CF7" s="82" t="str">
        <f t="shared" si="6"/>
        <v/>
      </c>
      <c r="CG7" s="82" t="str">
        <f t="shared" si="6"/>
        <v/>
      </c>
      <c r="CH7" s="82" t="str">
        <f t="shared" si="6"/>
        <v/>
      </c>
      <c r="CI7" s="82" t="str">
        <f t="shared" si="6"/>
        <v/>
      </c>
      <c r="CJ7" s="82" t="str">
        <f t="shared" si="7"/>
        <v/>
      </c>
      <c r="CK7" s="82" t="str">
        <f t="shared" si="7"/>
        <v/>
      </c>
      <c r="CL7" s="82" t="str">
        <f t="shared" si="7"/>
        <v/>
      </c>
      <c r="CM7" s="82" t="str">
        <f t="shared" si="7"/>
        <v/>
      </c>
      <c r="CN7" s="82" t="str">
        <f t="shared" si="7"/>
        <v/>
      </c>
      <c r="CO7" s="82" t="str">
        <f t="shared" si="7"/>
        <v/>
      </c>
      <c r="CP7" s="82" t="str">
        <f t="shared" si="7"/>
        <v/>
      </c>
      <c r="CQ7" s="82" t="str">
        <f t="shared" si="7"/>
        <v/>
      </c>
      <c r="CR7" s="82" t="str">
        <f t="shared" si="7"/>
        <v/>
      </c>
      <c r="CS7" s="82" t="str">
        <f t="shared" si="7"/>
        <v/>
      </c>
      <c r="CT7" s="82" t="str">
        <f t="shared" si="7"/>
        <v/>
      </c>
      <c r="CU7" s="82" t="str">
        <f t="shared" si="7"/>
        <v/>
      </c>
      <c r="CV7" s="3"/>
    </row>
    <row r="8" spans="1:100">
      <c r="A8" s="27">
        <v>975081</v>
      </c>
      <c r="B8" s="1">
        <v>14</v>
      </c>
      <c r="C8" s="29" t="str">
        <f t="shared" si="4"/>
        <v>975081-14</v>
      </c>
      <c r="D8" s="28" t="s">
        <v>80</v>
      </c>
      <c r="E8" s="37" t="s">
        <v>34</v>
      </c>
      <c r="F8" s="31">
        <v>42458</v>
      </c>
      <c r="G8" s="38"/>
      <c r="H8" s="31">
        <v>42468</v>
      </c>
      <c r="I8" s="38">
        <v>28.2</v>
      </c>
      <c r="J8" s="40"/>
      <c r="K8" s="87">
        <v>27.7</v>
      </c>
      <c r="L8" s="93">
        <v>28.6</v>
      </c>
      <c r="M8" s="93">
        <v>28.2</v>
      </c>
      <c r="N8" s="93">
        <v>29.4</v>
      </c>
      <c r="O8" s="93">
        <v>28.4</v>
      </c>
      <c r="P8" s="93">
        <v>29</v>
      </c>
      <c r="Q8" s="93">
        <v>29.9</v>
      </c>
      <c r="R8" s="93">
        <v>29.1</v>
      </c>
      <c r="S8" s="93">
        <v>28.5</v>
      </c>
      <c r="T8" s="93">
        <v>27.9</v>
      </c>
      <c r="U8" s="93">
        <v>28.5</v>
      </c>
      <c r="V8" s="93">
        <v>26.2</v>
      </c>
      <c r="W8" s="93">
        <v>26.7</v>
      </c>
      <c r="X8" s="93">
        <v>25.5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2"/>
      <c r="BD8" s="82">
        <f t="shared" si="5"/>
        <v>0.98226950354609932</v>
      </c>
      <c r="BE8" s="82">
        <f t="shared" si="5"/>
        <v>1.0141843971631206</v>
      </c>
      <c r="BF8" s="82">
        <f t="shared" si="5"/>
        <v>1</v>
      </c>
      <c r="BG8" s="82">
        <f t="shared" si="5"/>
        <v>1.0425531914893618</v>
      </c>
      <c r="BH8" s="82">
        <f t="shared" si="5"/>
        <v>1.0070921985815602</v>
      </c>
      <c r="BI8" s="82">
        <f t="shared" si="5"/>
        <v>1.0283687943262412</v>
      </c>
      <c r="BJ8" s="82">
        <f t="shared" si="5"/>
        <v>1.0602836879432624</v>
      </c>
      <c r="BK8" s="82">
        <f t="shared" si="5"/>
        <v>1.0319148936170213</v>
      </c>
      <c r="BL8" s="82">
        <f t="shared" si="5"/>
        <v>1.0106382978723405</v>
      </c>
      <c r="BM8" s="82">
        <f t="shared" si="5"/>
        <v>0.9893617021276595</v>
      </c>
      <c r="BN8" s="82">
        <f t="shared" si="5"/>
        <v>1.0106382978723405</v>
      </c>
      <c r="BO8" s="82">
        <f t="shared" si="5"/>
        <v>0.92907801418439717</v>
      </c>
      <c r="BP8" s="82">
        <f t="shared" si="5"/>
        <v>0.94680851063829785</v>
      </c>
      <c r="BQ8" s="82">
        <f t="shared" si="5"/>
        <v>0.9042553191489362</v>
      </c>
      <c r="BR8" s="82" t="str">
        <f t="shared" si="5"/>
        <v/>
      </c>
      <c r="BS8" s="82" t="str">
        <f t="shared" si="5"/>
        <v/>
      </c>
      <c r="BT8" s="82" t="str">
        <f t="shared" si="6"/>
        <v/>
      </c>
      <c r="BU8" s="82" t="str">
        <f t="shared" si="6"/>
        <v/>
      </c>
      <c r="BV8" s="82" t="str">
        <f t="shared" si="6"/>
        <v/>
      </c>
      <c r="BW8" s="82" t="str">
        <f t="shared" si="6"/>
        <v/>
      </c>
      <c r="BX8" s="82" t="str">
        <f t="shared" si="6"/>
        <v/>
      </c>
      <c r="BY8" s="82" t="str">
        <f t="shared" si="6"/>
        <v/>
      </c>
      <c r="BZ8" s="82" t="str">
        <f t="shared" si="6"/>
        <v/>
      </c>
      <c r="CA8" s="82" t="str">
        <f t="shared" si="6"/>
        <v/>
      </c>
      <c r="CB8" s="82" t="str">
        <f t="shared" si="6"/>
        <v/>
      </c>
      <c r="CC8" s="82" t="str">
        <f t="shared" si="6"/>
        <v/>
      </c>
      <c r="CD8" s="82" t="str">
        <f t="shared" si="6"/>
        <v/>
      </c>
      <c r="CE8" s="82" t="str">
        <f t="shared" si="6"/>
        <v/>
      </c>
      <c r="CF8" s="82" t="str">
        <f t="shared" si="6"/>
        <v/>
      </c>
      <c r="CG8" s="82" t="str">
        <f t="shared" si="6"/>
        <v/>
      </c>
      <c r="CH8" s="82" t="str">
        <f t="shared" si="6"/>
        <v/>
      </c>
      <c r="CI8" s="82" t="str">
        <f t="shared" si="6"/>
        <v/>
      </c>
      <c r="CJ8" s="82" t="str">
        <f t="shared" si="7"/>
        <v/>
      </c>
      <c r="CK8" s="82" t="str">
        <f t="shared" si="7"/>
        <v/>
      </c>
      <c r="CL8" s="82" t="str">
        <f t="shared" si="7"/>
        <v/>
      </c>
      <c r="CM8" s="82" t="str">
        <f t="shared" si="7"/>
        <v/>
      </c>
      <c r="CN8" s="82" t="str">
        <f t="shared" si="7"/>
        <v/>
      </c>
      <c r="CO8" s="82" t="str">
        <f t="shared" si="7"/>
        <v/>
      </c>
      <c r="CP8" s="82" t="str">
        <f t="shared" si="7"/>
        <v/>
      </c>
      <c r="CQ8" s="82" t="str">
        <f t="shared" si="7"/>
        <v/>
      </c>
      <c r="CR8" s="82" t="str">
        <f t="shared" si="7"/>
        <v/>
      </c>
      <c r="CS8" s="82" t="str">
        <f t="shared" si="7"/>
        <v/>
      </c>
      <c r="CT8" s="82" t="str">
        <f t="shared" si="7"/>
        <v/>
      </c>
      <c r="CU8" s="82" t="str">
        <f t="shared" si="7"/>
        <v/>
      </c>
      <c r="CV8" s="3"/>
    </row>
    <row r="9" spans="1:100">
      <c r="A9" s="27">
        <v>975081</v>
      </c>
      <c r="B9" s="1">
        <v>15</v>
      </c>
      <c r="C9" s="29" t="str">
        <f t="shared" si="4"/>
        <v>975081-15</v>
      </c>
      <c r="D9" s="28" t="s">
        <v>80</v>
      </c>
      <c r="E9" s="37" t="s">
        <v>83</v>
      </c>
      <c r="F9" s="31">
        <v>42458</v>
      </c>
      <c r="G9" s="38"/>
      <c r="H9" s="31">
        <v>42468</v>
      </c>
      <c r="I9" s="38">
        <v>27</v>
      </c>
      <c r="J9" s="40"/>
      <c r="K9" s="87">
        <v>26.5</v>
      </c>
      <c r="L9" s="93">
        <v>27.7</v>
      </c>
      <c r="M9" s="93">
        <v>27</v>
      </c>
      <c r="N9" s="93">
        <v>27</v>
      </c>
      <c r="O9" s="93">
        <v>26.5</v>
      </c>
      <c r="P9" s="93">
        <v>27</v>
      </c>
      <c r="Q9" s="93">
        <v>27.8</v>
      </c>
      <c r="R9" s="93">
        <v>27.6</v>
      </c>
      <c r="S9" s="93">
        <v>26.9</v>
      </c>
      <c r="T9" s="93">
        <v>27.2</v>
      </c>
      <c r="U9" s="93">
        <v>26.4</v>
      </c>
      <c r="V9" s="93">
        <v>25.4</v>
      </c>
      <c r="W9" s="93">
        <v>26.2</v>
      </c>
      <c r="X9" s="93">
        <v>26.2</v>
      </c>
      <c r="Y9" s="93">
        <v>25.7</v>
      </c>
      <c r="Z9" s="93">
        <v>25.2</v>
      </c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2"/>
      <c r="BD9" s="82">
        <f t="shared" si="5"/>
        <v>0.98148148148148151</v>
      </c>
      <c r="BE9" s="82">
        <f t="shared" si="5"/>
        <v>1.0259259259259259</v>
      </c>
      <c r="BF9" s="82">
        <f t="shared" si="5"/>
        <v>1</v>
      </c>
      <c r="BG9" s="82">
        <f t="shared" si="5"/>
        <v>1</v>
      </c>
      <c r="BH9" s="82">
        <f t="shared" si="5"/>
        <v>0.98148148148148151</v>
      </c>
      <c r="BI9" s="82">
        <f t="shared" si="5"/>
        <v>1</v>
      </c>
      <c r="BJ9" s="82">
        <f t="shared" si="5"/>
        <v>1.0296296296296297</v>
      </c>
      <c r="BK9" s="82">
        <f t="shared" si="5"/>
        <v>1.0222222222222224</v>
      </c>
      <c r="BL9" s="82">
        <f t="shared" si="5"/>
        <v>0.99629629629629624</v>
      </c>
      <c r="BM9" s="82">
        <f t="shared" si="5"/>
        <v>1.0074074074074073</v>
      </c>
      <c r="BN9" s="82">
        <f t="shared" si="5"/>
        <v>0.97777777777777775</v>
      </c>
      <c r="BO9" s="82">
        <f t="shared" si="5"/>
        <v>0.94074074074074066</v>
      </c>
      <c r="BP9" s="82">
        <f t="shared" si="5"/>
        <v>0.97037037037037033</v>
      </c>
      <c r="BQ9" s="82">
        <f t="shared" si="5"/>
        <v>0.97037037037037033</v>
      </c>
      <c r="BR9" s="82">
        <f t="shared" si="5"/>
        <v>0.95185185185185184</v>
      </c>
      <c r="BS9" s="82">
        <f t="shared" si="5"/>
        <v>0.93333333333333335</v>
      </c>
      <c r="BT9" s="82" t="str">
        <f t="shared" si="6"/>
        <v/>
      </c>
      <c r="BU9" s="82" t="str">
        <f t="shared" si="6"/>
        <v/>
      </c>
      <c r="BV9" s="82" t="str">
        <f t="shared" si="6"/>
        <v/>
      </c>
      <c r="BW9" s="82" t="str">
        <f t="shared" si="6"/>
        <v/>
      </c>
      <c r="BX9" s="82" t="str">
        <f t="shared" si="6"/>
        <v/>
      </c>
      <c r="BY9" s="82" t="str">
        <f t="shared" si="6"/>
        <v/>
      </c>
      <c r="BZ9" s="82" t="str">
        <f t="shared" si="6"/>
        <v/>
      </c>
      <c r="CA9" s="82" t="str">
        <f t="shared" si="6"/>
        <v/>
      </c>
      <c r="CB9" s="82" t="str">
        <f t="shared" si="6"/>
        <v/>
      </c>
      <c r="CC9" s="82" t="str">
        <f t="shared" si="6"/>
        <v/>
      </c>
      <c r="CD9" s="82" t="str">
        <f t="shared" si="6"/>
        <v/>
      </c>
      <c r="CE9" s="82" t="str">
        <f t="shared" si="6"/>
        <v/>
      </c>
      <c r="CF9" s="82" t="str">
        <f t="shared" si="6"/>
        <v/>
      </c>
      <c r="CG9" s="82" t="str">
        <f t="shared" si="6"/>
        <v/>
      </c>
      <c r="CH9" s="82" t="str">
        <f t="shared" si="6"/>
        <v/>
      </c>
      <c r="CI9" s="82" t="str">
        <f t="shared" si="6"/>
        <v/>
      </c>
      <c r="CJ9" s="82" t="str">
        <f t="shared" si="7"/>
        <v/>
      </c>
      <c r="CK9" s="82" t="str">
        <f t="shared" si="7"/>
        <v/>
      </c>
      <c r="CL9" s="82" t="str">
        <f t="shared" si="7"/>
        <v/>
      </c>
      <c r="CM9" s="82" t="str">
        <f t="shared" si="7"/>
        <v/>
      </c>
      <c r="CN9" s="82" t="str">
        <f t="shared" si="7"/>
        <v/>
      </c>
      <c r="CO9" s="82" t="str">
        <f t="shared" si="7"/>
        <v/>
      </c>
      <c r="CP9" s="82" t="str">
        <f t="shared" si="7"/>
        <v/>
      </c>
      <c r="CQ9" s="82" t="str">
        <f t="shared" si="7"/>
        <v/>
      </c>
      <c r="CR9" s="82" t="str">
        <f t="shared" si="7"/>
        <v/>
      </c>
      <c r="CS9" s="82" t="str">
        <f t="shared" si="7"/>
        <v/>
      </c>
      <c r="CT9" s="82" t="str">
        <f t="shared" si="7"/>
        <v/>
      </c>
      <c r="CU9" s="82" t="str">
        <f t="shared" si="7"/>
        <v/>
      </c>
      <c r="CV9" s="3"/>
    </row>
    <row r="10" spans="1:100">
      <c r="A10" s="41">
        <v>975080</v>
      </c>
      <c r="B10" s="1">
        <v>21</v>
      </c>
      <c r="C10" s="29" t="str">
        <f t="shared" si="4"/>
        <v>975080-21</v>
      </c>
      <c r="D10" s="28" t="s">
        <v>80</v>
      </c>
      <c r="E10" s="37" t="s">
        <v>84</v>
      </c>
      <c r="F10" s="31">
        <v>42458</v>
      </c>
      <c r="G10" s="38"/>
      <c r="H10" s="31">
        <v>42468</v>
      </c>
      <c r="I10" s="38">
        <v>31.8</v>
      </c>
      <c r="J10" s="40"/>
      <c r="K10" s="87">
        <v>30.7</v>
      </c>
      <c r="L10" s="93">
        <v>32.1</v>
      </c>
      <c r="M10" s="93">
        <v>31.8</v>
      </c>
      <c r="N10" s="93">
        <v>32.1</v>
      </c>
      <c r="O10" s="93">
        <v>31.7</v>
      </c>
      <c r="P10" s="93">
        <v>31.4</v>
      </c>
      <c r="Q10" s="93">
        <v>32.5</v>
      </c>
      <c r="R10" s="93">
        <v>30.5</v>
      </c>
      <c r="S10" s="93">
        <v>31.3</v>
      </c>
      <c r="T10" s="93">
        <v>31.1</v>
      </c>
      <c r="U10" s="93">
        <v>32.1</v>
      </c>
      <c r="V10" s="93">
        <v>31.2</v>
      </c>
      <c r="W10" s="93">
        <v>32</v>
      </c>
      <c r="X10" s="93">
        <v>31.2</v>
      </c>
      <c r="Y10" s="93">
        <v>30.4</v>
      </c>
      <c r="Z10" s="93">
        <v>30</v>
      </c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2"/>
      <c r="BD10" s="82">
        <f t="shared" si="5"/>
        <v>0.96540880503144655</v>
      </c>
      <c r="BE10" s="82">
        <f t="shared" si="5"/>
        <v>1.0094339622641511</v>
      </c>
      <c r="BF10" s="82">
        <f t="shared" si="5"/>
        <v>1</v>
      </c>
      <c r="BG10" s="82">
        <f t="shared" si="5"/>
        <v>1.0094339622641511</v>
      </c>
      <c r="BH10" s="82">
        <f t="shared" si="5"/>
        <v>0.99685534591194969</v>
      </c>
      <c r="BI10" s="82">
        <f t="shared" si="5"/>
        <v>0.98742138364779863</v>
      </c>
      <c r="BJ10" s="82">
        <f t="shared" si="5"/>
        <v>1.0220125786163521</v>
      </c>
      <c r="BK10" s="82">
        <f t="shared" si="5"/>
        <v>0.95911949685534592</v>
      </c>
      <c r="BL10" s="82">
        <f t="shared" si="5"/>
        <v>0.98427672955974843</v>
      </c>
      <c r="BM10" s="82">
        <f t="shared" si="5"/>
        <v>0.9779874213836478</v>
      </c>
      <c r="BN10" s="82">
        <f t="shared" si="5"/>
        <v>1.0094339622641511</v>
      </c>
      <c r="BO10" s="82">
        <f t="shared" si="5"/>
        <v>0.98113207547169812</v>
      </c>
      <c r="BP10" s="82">
        <f t="shared" si="5"/>
        <v>1.0062893081761006</v>
      </c>
      <c r="BQ10" s="82">
        <f t="shared" si="5"/>
        <v>0.98113207547169812</v>
      </c>
      <c r="BR10" s="82">
        <f t="shared" si="5"/>
        <v>0.9559748427672955</v>
      </c>
      <c r="BS10" s="82">
        <f t="shared" si="5"/>
        <v>0.94339622641509435</v>
      </c>
      <c r="BT10" s="82" t="str">
        <f t="shared" si="6"/>
        <v/>
      </c>
      <c r="BU10" s="82" t="str">
        <f t="shared" si="6"/>
        <v/>
      </c>
      <c r="BV10" s="82" t="str">
        <f t="shared" si="6"/>
        <v/>
      </c>
      <c r="BW10" s="82" t="str">
        <f t="shared" si="6"/>
        <v/>
      </c>
      <c r="BX10" s="82" t="str">
        <f t="shared" si="6"/>
        <v/>
      </c>
      <c r="BY10" s="82" t="str">
        <f t="shared" si="6"/>
        <v/>
      </c>
      <c r="BZ10" s="82" t="str">
        <f t="shared" si="6"/>
        <v/>
      </c>
      <c r="CA10" s="82" t="str">
        <f t="shared" si="6"/>
        <v/>
      </c>
      <c r="CB10" s="82" t="str">
        <f t="shared" si="6"/>
        <v/>
      </c>
      <c r="CC10" s="82" t="str">
        <f t="shared" si="6"/>
        <v/>
      </c>
      <c r="CD10" s="82" t="str">
        <f t="shared" si="6"/>
        <v/>
      </c>
      <c r="CE10" s="82" t="str">
        <f t="shared" si="6"/>
        <v/>
      </c>
      <c r="CF10" s="82" t="str">
        <f t="shared" si="6"/>
        <v/>
      </c>
      <c r="CG10" s="82" t="str">
        <f t="shared" si="6"/>
        <v/>
      </c>
      <c r="CH10" s="82" t="str">
        <f t="shared" si="6"/>
        <v/>
      </c>
      <c r="CI10" s="82" t="str">
        <f t="shared" si="6"/>
        <v/>
      </c>
      <c r="CJ10" s="82" t="str">
        <f t="shared" si="7"/>
        <v/>
      </c>
      <c r="CK10" s="82" t="str">
        <f t="shared" si="7"/>
        <v/>
      </c>
      <c r="CL10" s="82" t="str">
        <f t="shared" si="7"/>
        <v/>
      </c>
      <c r="CM10" s="82" t="str">
        <f t="shared" si="7"/>
        <v/>
      </c>
      <c r="CN10" s="82" t="str">
        <f t="shared" si="7"/>
        <v/>
      </c>
      <c r="CO10" s="82" t="str">
        <f t="shared" si="7"/>
        <v/>
      </c>
      <c r="CP10" s="82" t="str">
        <f t="shared" si="7"/>
        <v/>
      </c>
      <c r="CQ10" s="82" t="str">
        <f t="shared" si="7"/>
        <v/>
      </c>
      <c r="CR10" s="82" t="str">
        <f t="shared" si="7"/>
        <v/>
      </c>
      <c r="CS10" s="82" t="str">
        <f t="shared" si="7"/>
        <v/>
      </c>
      <c r="CT10" s="82" t="str">
        <f t="shared" si="7"/>
        <v/>
      </c>
      <c r="CU10" s="82" t="str">
        <f t="shared" si="7"/>
        <v/>
      </c>
      <c r="CV10" s="3"/>
    </row>
    <row r="11" spans="1:100">
      <c r="A11" s="41">
        <v>975080</v>
      </c>
      <c r="B11" s="1">
        <v>22</v>
      </c>
      <c r="C11" s="29" t="str">
        <f t="shared" si="4"/>
        <v>975080-22</v>
      </c>
      <c r="D11" s="28" t="s">
        <v>80</v>
      </c>
      <c r="E11" s="37" t="s">
        <v>85</v>
      </c>
      <c r="F11" s="31">
        <v>42458</v>
      </c>
      <c r="G11" s="38"/>
      <c r="H11" s="31">
        <v>42468</v>
      </c>
      <c r="I11" s="38">
        <v>31.2</v>
      </c>
      <c r="J11" s="40"/>
      <c r="K11" s="87">
        <v>29.3</v>
      </c>
      <c r="L11" s="93">
        <v>30.1</v>
      </c>
      <c r="M11" s="93">
        <v>31.2</v>
      </c>
      <c r="N11" s="93">
        <v>30.7</v>
      </c>
      <c r="O11" s="93">
        <v>29.8</v>
      </c>
      <c r="P11" s="93">
        <v>31</v>
      </c>
      <c r="Q11" s="93">
        <v>32.299999999999997</v>
      </c>
      <c r="R11" s="93">
        <v>30.7</v>
      </c>
      <c r="S11" s="93">
        <v>30.6</v>
      </c>
      <c r="T11" s="93">
        <v>29.7</v>
      </c>
      <c r="U11" s="93">
        <v>31</v>
      </c>
      <c r="V11" s="93">
        <v>28.9</v>
      </c>
      <c r="W11" s="93">
        <v>29.7</v>
      </c>
      <c r="X11" s="93">
        <v>29.6</v>
      </c>
      <c r="Y11" s="93">
        <v>29.1</v>
      </c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2"/>
      <c r="BD11" s="82">
        <f t="shared" si="5"/>
        <v>0.9391025641025641</v>
      </c>
      <c r="BE11" s="82">
        <f t="shared" si="5"/>
        <v>0.96474358974358976</v>
      </c>
      <c r="BF11" s="82">
        <f t="shared" si="5"/>
        <v>1</v>
      </c>
      <c r="BG11" s="82">
        <f t="shared" si="5"/>
        <v>0.98397435897435892</v>
      </c>
      <c r="BH11" s="82">
        <f t="shared" si="5"/>
        <v>0.95512820512820518</v>
      </c>
      <c r="BI11" s="82">
        <f t="shared" si="5"/>
        <v>0.99358974358974361</v>
      </c>
      <c r="BJ11" s="82">
        <f t="shared" si="5"/>
        <v>1.0352564102564101</v>
      </c>
      <c r="BK11" s="82">
        <f t="shared" si="5"/>
        <v>0.98397435897435892</v>
      </c>
      <c r="BL11" s="82">
        <f t="shared" si="5"/>
        <v>0.98076923076923084</v>
      </c>
      <c r="BM11" s="82">
        <f t="shared" si="5"/>
        <v>0.95192307692307687</v>
      </c>
      <c r="BN11" s="82">
        <f t="shared" si="5"/>
        <v>0.99358974358974361</v>
      </c>
      <c r="BO11" s="82">
        <f t="shared" si="5"/>
        <v>0.92628205128205121</v>
      </c>
      <c r="BP11" s="82">
        <f t="shared" si="5"/>
        <v>0.95192307692307687</v>
      </c>
      <c r="BQ11" s="82">
        <f t="shared" si="5"/>
        <v>0.94871794871794879</v>
      </c>
      <c r="BR11" s="82">
        <f t="shared" si="5"/>
        <v>0.93269230769230771</v>
      </c>
      <c r="BS11" s="82" t="str">
        <f t="shared" si="5"/>
        <v/>
      </c>
      <c r="BT11" s="82" t="str">
        <f t="shared" si="6"/>
        <v/>
      </c>
      <c r="BU11" s="82" t="str">
        <f t="shared" si="6"/>
        <v/>
      </c>
      <c r="BV11" s="82" t="str">
        <f t="shared" si="6"/>
        <v/>
      </c>
      <c r="BW11" s="82" t="str">
        <f t="shared" si="6"/>
        <v/>
      </c>
      <c r="BX11" s="82" t="str">
        <f t="shared" si="6"/>
        <v/>
      </c>
      <c r="BY11" s="82" t="str">
        <f t="shared" si="6"/>
        <v/>
      </c>
      <c r="BZ11" s="82" t="str">
        <f t="shared" si="6"/>
        <v/>
      </c>
      <c r="CA11" s="82" t="str">
        <f t="shared" si="6"/>
        <v/>
      </c>
      <c r="CB11" s="82" t="str">
        <f t="shared" si="6"/>
        <v/>
      </c>
      <c r="CC11" s="82" t="str">
        <f t="shared" si="6"/>
        <v/>
      </c>
      <c r="CD11" s="82" t="str">
        <f t="shared" si="6"/>
        <v/>
      </c>
      <c r="CE11" s="82" t="str">
        <f t="shared" si="6"/>
        <v/>
      </c>
      <c r="CF11" s="82" t="str">
        <f t="shared" si="6"/>
        <v/>
      </c>
      <c r="CG11" s="82" t="str">
        <f t="shared" si="6"/>
        <v/>
      </c>
      <c r="CH11" s="82" t="str">
        <f t="shared" si="6"/>
        <v/>
      </c>
      <c r="CI11" s="82" t="str">
        <f t="shared" si="6"/>
        <v/>
      </c>
      <c r="CJ11" s="82" t="str">
        <f t="shared" si="7"/>
        <v/>
      </c>
      <c r="CK11" s="82" t="str">
        <f t="shared" si="7"/>
        <v/>
      </c>
      <c r="CL11" s="82" t="str">
        <f t="shared" si="7"/>
        <v/>
      </c>
      <c r="CM11" s="82" t="str">
        <f t="shared" si="7"/>
        <v/>
      </c>
      <c r="CN11" s="82" t="str">
        <f t="shared" si="7"/>
        <v/>
      </c>
      <c r="CO11" s="82" t="str">
        <f t="shared" si="7"/>
        <v/>
      </c>
      <c r="CP11" s="82" t="str">
        <f t="shared" si="7"/>
        <v/>
      </c>
      <c r="CQ11" s="82" t="str">
        <f t="shared" si="7"/>
        <v/>
      </c>
      <c r="CR11" s="82" t="str">
        <f t="shared" si="7"/>
        <v/>
      </c>
      <c r="CS11" s="82" t="str">
        <f t="shared" si="7"/>
        <v/>
      </c>
      <c r="CT11" s="82" t="str">
        <f t="shared" si="7"/>
        <v/>
      </c>
      <c r="CU11" s="82" t="str">
        <f t="shared" si="7"/>
        <v/>
      </c>
      <c r="CV11" s="3"/>
    </row>
    <row r="12" spans="1:100">
      <c r="A12" s="41">
        <v>975080</v>
      </c>
      <c r="B12" s="1">
        <v>23</v>
      </c>
      <c r="C12" s="29" t="str">
        <f t="shared" si="4"/>
        <v>975080-23</v>
      </c>
      <c r="D12" s="28" t="s">
        <v>80</v>
      </c>
      <c r="E12" s="37" t="s">
        <v>86</v>
      </c>
      <c r="F12" s="31">
        <v>42458</v>
      </c>
      <c r="G12" s="38"/>
      <c r="H12" s="31">
        <v>42468</v>
      </c>
      <c r="I12" s="38">
        <v>29.9</v>
      </c>
      <c r="J12" s="40"/>
      <c r="K12" s="87">
        <v>29</v>
      </c>
      <c r="L12" s="93">
        <v>30.4</v>
      </c>
      <c r="M12" s="93">
        <v>29.9</v>
      </c>
      <c r="N12" s="93">
        <v>30.5</v>
      </c>
      <c r="O12" s="93">
        <v>29.6</v>
      </c>
      <c r="P12" s="93">
        <v>30.2</v>
      </c>
      <c r="Q12" s="93">
        <v>30.5</v>
      </c>
      <c r="R12" s="93">
        <v>29.7</v>
      </c>
      <c r="S12" s="93">
        <v>30.3</v>
      </c>
      <c r="T12" s="93">
        <v>30</v>
      </c>
      <c r="U12" s="93">
        <v>31.5</v>
      </c>
      <c r="V12" s="93">
        <v>30.2</v>
      </c>
      <c r="W12" s="93">
        <v>30.7</v>
      </c>
      <c r="X12" s="93">
        <v>30.9</v>
      </c>
      <c r="Y12" s="93">
        <v>30.2</v>
      </c>
      <c r="Z12" s="93">
        <v>29.6</v>
      </c>
      <c r="AA12" s="93">
        <v>30.2</v>
      </c>
      <c r="AB12" s="93">
        <v>31.6</v>
      </c>
      <c r="AC12" s="93">
        <v>31.2</v>
      </c>
      <c r="AD12" s="93">
        <v>32.799999999999997</v>
      </c>
      <c r="AE12" s="93">
        <v>32.700000000000003</v>
      </c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2"/>
      <c r="BD12" s="82">
        <f t="shared" si="5"/>
        <v>0.96989966555183948</v>
      </c>
      <c r="BE12" s="82">
        <f t="shared" si="5"/>
        <v>1.0167224080267558</v>
      </c>
      <c r="BF12" s="82">
        <f t="shared" si="5"/>
        <v>1</v>
      </c>
      <c r="BG12" s="82">
        <f t="shared" si="5"/>
        <v>1.020066889632107</v>
      </c>
      <c r="BH12" s="82">
        <f t="shared" si="5"/>
        <v>0.98996655518394661</v>
      </c>
      <c r="BI12" s="82">
        <f t="shared" si="5"/>
        <v>1.0100334448160535</v>
      </c>
      <c r="BJ12" s="82">
        <f t="shared" si="5"/>
        <v>1.020066889632107</v>
      </c>
      <c r="BK12" s="82">
        <f t="shared" si="5"/>
        <v>0.99331103678929766</v>
      </c>
      <c r="BL12" s="82">
        <f t="shared" si="5"/>
        <v>1.0133779264214047</v>
      </c>
      <c r="BM12" s="82">
        <f t="shared" si="5"/>
        <v>1.0033444816053512</v>
      </c>
      <c r="BN12" s="82">
        <f t="shared" si="5"/>
        <v>1.0535117056856187</v>
      </c>
      <c r="BO12" s="82">
        <f t="shared" si="5"/>
        <v>1.0100334448160535</v>
      </c>
      <c r="BP12" s="82">
        <f t="shared" si="5"/>
        <v>1.0267558528428093</v>
      </c>
      <c r="BQ12" s="82">
        <f t="shared" si="5"/>
        <v>1.0334448160535117</v>
      </c>
      <c r="BR12" s="82">
        <f t="shared" si="5"/>
        <v>1.0100334448160535</v>
      </c>
      <c r="BS12" s="82">
        <f t="shared" si="5"/>
        <v>0.98996655518394661</v>
      </c>
      <c r="BT12" s="82">
        <f t="shared" si="6"/>
        <v>1.0100334448160535</v>
      </c>
      <c r="BU12" s="82">
        <f t="shared" si="6"/>
        <v>1.0568561872909701</v>
      </c>
      <c r="BV12" s="82">
        <f t="shared" si="6"/>
        <v>1.0434782608695652</v>
      </c>
      <c r="BW12" s="82">
        <f t="shared" si="6"/>
        <v>1.0969899665551839</v>
      </c>
      <c r="BX12" s="82">
        <f t="shared" si="6"/>
        <v>1.0936454849498329</v>
      </c>
      <c r="BY12" s="82" t="str">
        <f t="shared" si="6"/>
        <v/>
      </c>
      <c r="BZ12" s="82" t="str">
        <f t="shared" si="6"/>
        <v/>
      </c>
      <c r="CA12" s="82" t="str">
        <f t="shared" si="6"/>
        <v/>
      </c>
      <c r="CB12" s="82" t="str">
        <f t="shared" si="6"/>
        <v/>
      </c>
      <c r="CC12" s="82" t="str">
        <f t="shared" si="6"/>
        <v/>
      </c>
      <c r="CD12" s="82" t="str">
        <f t="shared" si="6"/>
        <v/>
      </c>
      <c r="CE12" s="82" t="str">
        <f t="shared" si="6"/>
        <v/>
      </c>
      <c r="CF12" s="82" t="str">
        <f t="shared" si="6"/>
        <v/>
      </c>
      <c r="CG12" s="82" t="str">
        <f t="shared" si="6"/>
        <v/>
      </c>
      <c r="CH12" s="82" t="str">
        <f t="shared" si="6"/>
        <v/>
      </c>
      <c r="CI12" s="82" t="str">
        <f t="shared" si="6"/>
        <v/>
      </c>
      <c r="CJ12" s="82" t="str">
        <f t="shared" si="7"/>
        <v/>
      </c>
      <c r="CK12" s="82" t="str">
        <f t="shared" si="7"/>
        <v/>
      </c>
      <c r="CL12" s="82" t="str">
        <f t="shared" si="7"/>
        <v/>
      </c>
      <c r="CM12" s="82" t="str">
        <f t="shared" si="7"/>
        <v/>
      </c>
      <c r="CN12" s="82" t="str">
        <f t="shared" si="7"/>
        <v/>
      </c>
      <c r="CO12" s="82" t="str">
        <f t="shared" si="7"/>
        <v/>
      </c>
      <c r="CP12" s="82" t="str">
        <f t="shared" si="7"/>
        <v/>
      </c>
      <c r="CQ12" s="82" t="str">
        <f t="shared" si="7"/>
        <v/>
      </c>
      <c r="CR12" s="82" t="str">
        <f t="shared" si="7"/>
        <v/>
      </c>
      <c r="CS12" s="82" t="str">
        <f t="shared" si="7"/>
        <v/>
      </c>
      <c r="CT12" s="82" t="str">
        <f t="shared" si="7"/>
        <v/>
      </c>
      <c r="CU12" s="82" t="str">
        <f t="shared" si="7"/>
        <v/>
      </c>
      <c r="CV12" s="3"/>
    </row>
    <row r="13" spans="1:100">
      <c r="A13" s="41">
        <v>975080</v>
      </c>
      <c r="B13" s="1">
        <v>24</v>
      </c>
      <c r="C13" s="29" t="str">
        <f t="shared" si="4"/>
        <v>975080-24</v>
      </c>
      <c r="D13" s="28" t="s">
        <v>80</v>
      </c>
      <c r="E13" s="37" t="s">
        <v>87</v>
      </c>
      <c r="F13" s="31">
        <v>42458</v>
      </c>
      <c r="G13" s="38"/>
      <c r="H13" s="31">
        <v>42468</v>
      </c>
      <c r="I13" s="38">
        <v>31.2</v>
      </c>
      <c r="J13" s="40"/>
      <c r="K13" s="87">
        <v>29.7</v>
      </c>
      <c r="L13" s="93">
        <v>31</v>
      </c>
      <c r="M13" s="93">
        <v>31.2</v>
      </c>
      <c r="N13" s="93">
        <v>31.9</v>
      </c>
      <c r="O13" s="93">
        <v>31.6</v>
      </c>
      <c r="P13" s="93">
        <v>32.4</v>
      </c>
      <c r="Q13" s="93">
        <v>33.200000000000003</v>
      </c>
      <c r="R13" s="93">
        <v>31.4</v>
      </c>
      <c r="S13" s="93">
        <v>32.299999999999997</v>
      </c>
      <c r="T13" s="93">
        <v>32</v>
      </c>
      <c r="U13" s="93">
        <v>34.200000000000003</v>
      </c>
      <c r="V13" s="93">
        <v>32.6</v>
      </c>
      <c r="W13" s="93">
        <v>34</v>
      </c>
      <c r="X13" s="93">
        <v>33.4</v>
      </c>
      <c r="Y13" s="93">
        <v>32.799999999999997</v>
      </c>
      <c r="Z13" s="93">
        <v>32.5</v>
      </c>
      <c r="AA13" s="93">
        <v>32.4</v>
      </c>
      <c r="AB13" s="93">
        <v>32.6</v>
      </c>
      <c r="AC13" s="93">
        <v>32.299999999999997</v>
      </c>
      <c r="AD13" s="93">
        <v>33.700000000000003</v>
      </c>
      <c r="AE13" s="93">
        <v>32.299999999999997</v>
      </c>
      <c r="AF13" s="93">
        <v>32.200000000000003</v>
      </c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2"/>
      <c r="BD13" s="82">
        <f t="shared" si="5"/>
        <v>0.95192307692307687</v>
      </c>
      <c r="BE13" s="82">
        <f t="shared" si="5"/>
        <v>0.99358974358974361</v>
      </c>
      <c r="BF13" s="82">
        <f t="shared" si="5"/>
        <v>1</v>
      </c>
      <c r="BG13" s="82">
        <f t="shared" si="5"/>
        <v>1.0224358974358974</v>
      </c>
      <c r="BH13" s="82">
        <f t="shared" si="5"/>
        <v>1.012820512820513</v>
      </c>
      <c r="BI13" s="82">
        <f t="shared" si="5"/>
        <v>1.0384615384615385</v>
      </c>
      <c r="BJ13" s="82">
        <f t="shared" si="5"/>
        <v>1.0641025641025643</v>
      </c>
      <c r="BK13" s="82">
        <f t="shared" si="5"/>
        <v>1.0064102564102564</v>
      </c>
      <c r="BL13" s="82">
        <f t="shared" si="5"/>
        <v>1.0352564102564101</v>
      </c>
      <c r="BM13" s="82">
        <f t="shared" si="5"/>
        <v>1.0256410256410258</v>
      </c>
      <c r="BN13" s="82">
        <f t="shared" si="5"/>
        <v>1.0961538461538463</v>
      </c>
      <c r="BO13" s="82">
        <f t="shared" si="5"/>
        <v>1.0448717948717949</v>
      </c>
      <c r="BP13" s="82">
        <f t="shared" si="5"/>
        <v>1.0897435897435899</v>
      </c>
      <c r="BQ13" s="82">
        <f t="shared" si="5"/>
        <v>1.0705128205128205</v>
      </c>
      <c r="BR13" s="82">
        <f t="shared" si="5"/>
        <v>1.0512820512820513</v>
      </c>
      <c r="BS13" s="82">
        <f t="shared" si="5"/>
        <v>1.0416666666666667</v>
      </c>
      <c r="BT13" s="82">
        <f t="shared" si="6"/>
        <v>1.0384615384615385</v>
      </c>
      <c r="BU13" s="82">
        <f t="shared" si="6"/>
        <v>1.0448717948717949</v>
      </c>
      <c r="BV13" s="82">
        <f t="shared" si="6"/>
        <v>1.0352564102564101</v>
      </c>
      <c r="BW13" s="82">
        <f t="shared" si="6"/>
        <v>1.0801282051282053</v>
      </c>
      <c r="BX13" s="82">
        <f t="shared" si="6"/>
        <v>1.0352564102564101</v>
      </c>
      <c r="BY13" s="82">
        <f t="shared" si="6"/>
        <v>1.0320512820512822</v>
      </c>
      <c r="BZ13" s="82" t="str">
        <f t="shared" si="6"/>
        <v/>
      </c>
      <c r="CA13" s="82" t="str">
        <f t="shared" si="6"/>
        <v/>
      </c>
      <c r="CB13" s="82" t="str">
        <f t="shared" si="6"/>
        <v/>
      </c>
      <c r="CC13" s="82" t="str">
        <f t="shared" si="6"/>
        <v/>
      </c>
      <c r="CD13" s="82" t="str">
        <f t="shared" si="6"/>
        <v/>
      </c>
      <c r="CE13" s="82" t="str">
        <f t="shared" si="6"/>
        <v/>
      </c>
      <c r="CF13" s="82" t="str">
        <f t="shared" si="6"/>
        <v/>
      </c>
      <c r="CG13" s="82" t="str">
        <f t="shared" si="6"/>
        <v/>
      </c>
      <c r="CH13" s="82" t="str">
        <f t="shared" si="6"/>
        <v/>
      </c>
      <c r="CI13" s="82" t="str">
        <f t="shared" si="6"/>
        <v/>
      </c>
      <c r="CJ13" s="82" t="str">
        <f t="shared" si="7"/>
        <v/>
      </c>
      <c r="CK13" s="82" t="str">
        <f t="shared" si="7"/>
        <v/>
      </c>
      <c r="CL13" s="82" t="str">
        <f t="shared" si="7"/>
        <v/>
      </c>
      <c r="CM13" s="82" t="str">
        <f t="shared" si="7"/>
        <v/>
      </c>
      <c r="CN13" s="82" t="str">
        <f t="shared" si="7"/>
        <v/>
      </c>
      <c r="CO13" s="82" t="str">
        <f t="shared" si="7"/>
        <v/>
      </c>
      <c r="CP13" s="82" t="str">
        <f t="shared" si="7"/>
        <v/>
      </c>
      <c r="CQ13" s="82" t="str">
        <f t="shared" si="7"/>
        <v/>
      </c>
      <c r="CR13" s="82" t="str">
        <f t="shared" si="7"/>
        <v/>
      </c>
      <c r="CS13" s="82" t="str">
        <f t="shared" si="7"/>
        <v/>
      </c>
      <c r="CT13" s="82" t="str">
        <f t="shared" si="7"/>
        <v/>
      </c>
      <c r="CU13" s="82" t="str">
        <f t="shared" si="7"/>
        <v/>
      </c>
      <c r="CV13" s="3"/>
    </row>
    <row r="14" spans="1:100">
      <c r="A14" s="41">
        <v>975080</v>
      </c>
      <c r="B14" s="1">
        <v>25</v>
      </c>
      <c r="C14" s="29" t="str">
        <f t="shared" si="4"/>
        <v>975080-25</v>
      </c>
      <c r="D14" s="28" t="s">
        <v>80</v>
      </c>
      <c r="E14" s="37" t="s">
        <v>88</v>
      </c>
      <c r="F14" s="31">
        <v>42458</v>
      </c>
      <c r="G14" s="38"/>
      <c r="H14" s="31">
        <v>42468</v>
      </c>
      <c r="I14" s="38">
        <v>31.3</v>
      </c>
      <c r="J14" s="40"/>
      <c r="K14" s="87">
        <v>30.1</v>
      </c>
      <c r="L14" s="93">
        <v>31.2</v>
      </c>
      <c r="M14" s="93">
        <v>31.3</v>
      </c>
      <c r="N14" s="93">
        <v>31.8</v>
      </c>
      <c r="O14" s="93">
        <v>30.8</v>
      </c>
      <c r="P14" s="93">
        <v>32.1</v>
      </c>
      <c r="Q14" s="93">
        <v>31.7</v>
      </c>
      <c r="R14" s="93">
        <v>30.4</v>
      </c>
      <c r="S14" s="93">
        <v>30.8</v>
      </c>
      <c r="T14" s="93">
        <v>30.7</v>
      </c>
      <c r="U14" s="93">
        <v>32.6</v>
      </c>
      <c r="V14" s="93">
        <v>31.3</v>
      </c>
      <c r="W14" s="93">
        <v>32.1</v>
      </c>
      <c r="X14" s="93">
        <v>31.8</v>
      </c>
      <c r="Y14" s="93">
        <v>31.2</v>
      </c>
      <c r="Z14" s="93">
        <v>31</v>
      </c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2"/>
      <c r="BD14" s="82">
        <f t="shared" si="5"/>
        <v>0.9616613418530352</v>
      </c>
      <c r="BE14" s="82">
        <f t="shared" si="5"/>
        <v>0.99680511182108622</v>
      </c>
      <c r="BF14" s="82">
        <f t="shared" si="5"/>
        <v>1</v>
      </c>
      <c r="BG14" s="82">
        <f t="shared" si="5"/>
        <v>1.0159744408945688</v>
      </c>
      <c r="BH14" s="82">
        <f t="shared" si="5"/>
        <v>0.98402555910543132</v>
      </c>
      <c r="BI14" s="82">
        <f t="shared" si="5"/>
        <v>1.02555910543131</v>
      </c>
      <c r="BJ14" s="82">
        <f t="shared" si="5"/>
        <v>1.0127795527156549</v>
      </c>
      <c r="BK14" s="82">
        <f t="shared" si="5"/>
        <v>0.97124600638977632</v>
      </c>
      <c r="BL14" s="82">
        <f t="shared" si="5"/>
        <v>0.98402555910543132</v>
      </c>
      <c r="BM14" s="82">
        <f t="shared" si="5"/>
        <v>0.98083067092651754</v>
      </c>
      <c r="BN14" s="82">
        <f t="shared" si="5"/>
        <v>1.0415335463258786</v>
      </c>
      <c r="BO14" s="82">
        <f t="shared" si="5"/>
        <v>1</v>
      </c>
      <c r="BP14" s="82">
        <f t="shared" si="5"/>
        <v>1.02555910543131</v>
      </c>
      <c r="BQ14" s="82">
        <f t="shared" si="5"/>
        <v>1.0159744408945688</v>
      </c>
      <c r="BR14" s="82">
        <f t="shared" si="5"/>
        <v>0.99680511182108622</v>
      </c>
      <c r="BS14" s="82">
        <f t="shared" si="5"/>
        <v>0.99041533546325877</v>
      </c>
      <c r="BT14" s="82" t="str">
        <f t="shared" si="6"/>
        <v/>
      </c>
      <c r="BU14" s="82" t="str">
        <f t="shared" si="6"/>
        <v/>
      </c>
      <c r="BV14" s="82" t="str">
        <f t="shared" si="6"/>
        <v/>
      </c>
      <c r="BW14" s="82" t="str">
        <f t="shared" si="6"/>
        <v/>
      </c>
      <c r="BX14" s="82" t="str">
        <f t="shared" si="6"/>
        <v/>
      </c>
      <c r="BY14" s="82" t="str">
        <f t="shared" si="6"/>
        <v/>
      </c>
      <c r="BZ14" s="82" t="str">
        <f t="shared" si="6"/>
        <v/>
      </c>
      <c r="CA14" s="82" t="str">
        <f t="shared" si="6"/>
        <v/>
      </c>
      <c r="CB14" s="82" t="str">
        <f t="shared" si="6"/>
        <v/>
      </c>
      <c r="CC14" s="82" t="str">
        <f t="shared" si="6"/>
        <v/>
      </c>
      <c r="CD14" s="82" t="str">
        <f t="shared" si="6"/>
        <v/>
      </c>
      <c r="CE14" s="82" t="str">
        <f t="shared" si="6"/>
        <v/>
      </c>
      <c r="CF14" s="82" t="str">
        <f t="shared" si="6"/>
        <v/>
      </c>
      <c r="CG14" s="82" t="str">
        <f t="shared" si="6"/>
        <v/>
      </c>
      <c r="CH14" s="82" t="str">
        <f t="shared" si="6"/>
        <v/>
      </c>
      <c r="CI14" s="82" t="str">
        <f t="shared" si="6"/>
        <v/>
      </c>
      <c r="CJ14" s="82" t="str">
        <f t="shared" si="7"/>
        <v/>
      </c>
      <c r="CK14" s="82" t="str">
        <f t="shared" si="7"/>
        <v/>
      </c>
      <c r="CL14" s="82" t="str">
        <f t="shared" si="7"/>
        <v/>
      </c>
      <c r="CM14" s="82" t="str">
        <f t="shared" si="7"/>
        <v/>
      </c>
      <c r="CN14" s="82" t="str">
        <f t="shared" si="7"/>
        <v/>
      </c>
      <c r="CO14" s="82" t="str">
        <f t="shared" si="7"/>
        <v/>
      </c>
      <c r="CP14" s="82" t="str">
        <f t="shared" si="7"/>
        <v/>
      </c>
      <c r="CQ14" s="82" t="str">
        <f t="shared" si="7"/>
        <v/>
      </c>
      <c r="CR14" s="82" t="str">
        <f t="shared" si="7"/>
        <v/>
      </c>
      <c r="CS14" s="82" t="str">
        <f t="shared" si="7"/>
        <v/>
      </c>
      <c r="CT14" s="82" t="str">
        <f t="shared" si="7"/>
        <v/>
      </c>
      <c r="CU14" s="82" t="str">
        <f t="shared" si="7"/>
        <v/>
      </c>
      <c r="CV14" s="3"/>
    </row>
    <row r="15" spans="1:100">
      <c r="A15" s="41">
        <v>961180</v>
      </c>
      <c r="B15" s="1">
        <v>31</v>
      </c>
      <c r="C15" s="29" t="str">
        <f t="shared" si="4"/>
        <v>961180-31</v>
      </c>
      <c r="D15" s="28" t="s">
        <v>80</v>
      </c>
      <c r="E15" s="37" t="s">
        <v>83</v>
      </c>
      <c r="F15" s="31">
        <v>42458</v>
      </c>
      <c r="G15" s="38"/>
      <c r="H15" s="31">
        <v>42468</v>
      </c>
      <c r="I15" s="38">
        <v>28.9</v>
      </c>
      <c r="J15" s="40"/>
      <c r="K15" s="87">
        <v>27.5</v>
      </c>
      <c r="L15" s="93">
        <v>28.5</v>
      </c>
      <c r="M15" s="93">
        <v>28.9</v>
      </c>
      <c r="N15" s="93">
        <v>29.6</v>
      </c>
      <c r="O15" s="93">
        <v>29</v>
      </c>
      <c r="P15" s="93">
        <v>29.8</v>
      </c>
      <c r="Q15" s="93">
        <v>30.5</v>
      </c>
      <c r="R15" s="93">
        <v>29.1</v>
      </c>
      <c r="S15" s="93">
        <v>28.8</v>
      </c>
      <c r="T15" s="93">
        <v>28.4</v>
      </c>
      <c r="U15" s="93">
        <v>29.6</v>
      </c>
      <c r="V15" s="93">
        <v>28.5</v>
      </c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2"/>
      <c r="BD15" s="82">
        <f t="shared" si="5"/>
        <v>0.95155709342560557</v>
      </c>
      <c r="BE15" s="82">
        <f t="shared" si="5"/>
        <v>0.98615916955017302</v>
      </c>
      <c r="BF15" s="82">
        <f t="shared" si="5"/>
        <v>1</v>
      </c>
      <c r="BG15" s="82">
        <f t="shared" si="5"/>
        <v>1.0242214532871974</v>
      </c>
      <c r="BH15" s="82">
        <f t="shared" si="5"/>
        <v>1.0034602076124568</v>
      </c>
      <c r="BI15" s="82">
        <f t="shared" si="5"/>
        <v>1.0311418685121108</v>
      </c>
      <c r="BJ15" s="82">
        <f t="shared" si="5"/>
        <v>1.0553633217993079</v>
      </c>
      <c r="BK15" s="82">
        <f t="shared" si="5"/>
        <v>1.0069204152249136</v>
      </c>
      <c r="BL15" s="82">
        <f t="shared" si="5"/>
        <v>0.99653979238754331</v>
      </c>
      <c r="BM15" s="82">
        <f t="shared" si="5"/>
        <v>0.98269896193771622</v>
      </c>
      <c r="BN15" s="82">
        <f t="shared" si="5"/>
        <v>1.0242214532871974</v>
      </c>
      <c r="BO15" s="82">
        <f t="shared" si="5"/>
        <v>0.98615916955017302</v>
      </c>
      <c r="BP15" s="82" t="str">
        <f t="shared" si="5"/>
        <v/>
      </c>
      <c r="BQ15" s="82" t="str">
        <f t="shared" si="5"/>
        <v/>
      </c>
      <c r="BR15" s="82" t="str">
        <f t="shared" si="5"/>
        <v/>
      </c>
      <c r="BS15" s="82" t="str">
        <f t="shared" si="5"/>
        <v/>
      </c>
      <c r="BT15" s="82" t="str">
        <f t="shared" si="6"/>
        <v/>
      </c>
      <c r="BU15" s="82" t="str">
        <f t="shared" si="6"/>
        <v/>
      </c>
      <c r="BV15" s="82" t="str">
        <f t="shared" si="6"/>
        <v/>
      </c>
      <c r="BW15" s="82" t="str">
        <f t="shared" si="6"/>
        <v/>
      </c>
      <c r="BX15" s="82" t="str">
        <f t="shared" si="6"/>
        <v/>
      </c>
      <c r="BY15" s="82" t="str">
        <f t="shared" si="6"/>
        <v/>
      </c>
      <c r="BZ15" s="82" t="str">
        <f t="shared" si="6"/>
        <v/>
      </c>
      <c r="CA15" s="82" t="str">
        <f t="shared" si="6"/>
        <v/>
      </c>
      <c r="CB15" s="82" t="str">
        <f t="shared" si="6"/>
        <v/>
      </c>
      <c r="CC15" s="82" t="str">
        <f t="shared" si="6"/>
        <v/>
      </c>
      <c r="CD15" s="82" t="str">
        <f t="shared" si="6"/>
        <v/>
      </c>
      <c r="CE15" s="82" t="str">
        <f t="shared" si="6"/>
        <v/>
      </c>
      <c r="CF15" s="82" t="str">
        <f t="shared" si="6"/>
        <v/>
      </c>
      <c r="CG15" s="82" t="str">
        <f t="shared" si="6"/>
        <v/>
      </c>
      <c r="CH15" s="82" t="str">
        <f t="shared" si="6"/>
        <v/>
      </c>
      <c r="CI15" s="82" t="str">
        <f t="shared" si="6"/>
        <v/>
      </c>
      <c r="CJ15" s="82" t="str">
        <f t="shared" si="7"/>
        <v/>
      </c>
      <c r="CK15" s="82" t="str">
        <f t="shared" si="7"/>
        <v/>
      </c>
      <c r="CL15" s="82" t="str">
        <f t="shared" si="7"/>
        <v/>
      </c>
      <c r="CM15" s="82" t="str">
        <f t="shared" si="7"/>
        <v/>
      </c>
      <c r="CN15" s="82" t="str">
        <f t="shared" si="7"/>
        <v/>
      </c>
      <c r="CO15" s="82" t="str">
        <f t="shared" si="7"/>
        <v/>
      </c>
      <c r="CP15" s="82" t="str">
        <f t="shared" si="7"/>
        <v/>
      </c>
      <c r="CQ15" s="82" t="str">
        <f t="shared" si="7"/>
        <v/>
      </c>
      <c r="CR15" s="82" t="str">
        <f t="shared" si="7"/>
        <v/>
      </c>
      <c r="CS15" s="82" t="str">
        <f t="shared" si="7"/>
        <v/>
      </c>
      <c r="CT15" s="82" t="str">
        <f t="shared" si="7"/>
        <v/>
      </c>
      <c r="CU15" s="82" t="str">
        <f t="shared" si="7"/>
        <v/>
      </c>
      <c r="CV15" s="3"/>
    </row>
    <row r="16" spans="1:100">
      <c r="A16" s="41">
        <v>961180</v>
      </c>
      <c r="B16" s="1">
        <v>32</v>
      </c>
      <c r="C16" s="29" t="str">
        <f t="shared" si="4"/>
        <v>961180-32</v>
      </c>
      <c r="D16" s="28" t="s">
        <v>80</v>
      </c>
      <c r="E16" s="37" t="s">
        <v>34</v>
      </c>
      <c r="F16" s="31">
        <v>42458</v>
      </c>
      <c r="G16" s="38"/>
      <c r="H16" s="31">
        <v>42468</v>
      </c>
      <c r="I16" s="38">
        <v>25.6</v>
      </c>
      <c r="J16" s="40"/>
      <c r="K16" s="87">
        <v>25.1</v>
      </c>
      <c r="L16" s="93">
        <v>25.9</v>
      </c>
      <c r="M16" s="93">
        <v>25.6</v>
      </c>
      <c r="N16" s="93">
        <v>26.4</v>
      </c>
      <c r="O16" s="93">
        <v>25.5</v>
      </c>
      <c r="P16" s="93">
        <v>26.5</v>
      </c>
      <c r="Q16" s="93">
        <v>27.8</v>
      </c>
      <c r="R16" s="93">
        <v>25.9</v>
      </c>
      <c r="S16" s="93">
        <v>25.7</v>
      </c>
      <c r="T16" s="93">
        <v>24.5</v>
      </c>
      <c r="U16" s="93">
        <v>25.8</v>
      </c>
      <c r="V16" s="93">
        <v>23.3</v>
      </c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2"/>
      <c r="BD16" s="82">
        <f t="shared" si="5"/>
        <v>0.98046875</v>
      </c>
      <c r="BE16" s="82">
        <f t="shared" si="5"/>
        <v>1.0117187499999998</v>
      </c>
      <c r="BF16" s="82">
        <f t="shared" si="5"/>
        <v>1</v>
      </c>
      <c r="BG16" s="82">
        <f t="shared" si="5"/>
        <v>1.0312499999999998</v>
      </c>
      <c r="BH16" s="82">
        <f t="shared" si="5"/>
        <v>0.99609375</v>
      </c>
      <c r="BI16" s="82">
        <f t="shared" si="5"/>
        <v>1.03515625</v>
      </c>
      <c r="BJ16" s="82">
        <f t="shared" si="5"/>
        <v>1.0859375</v>
      </c>
      <c r="BK16" s="82">
        <f t="shared" si="5"/>
        <v>1.0117187499999998</v>
      </c>
      <c r="BL16" s="82">
        <f t="shared" si="5"/>
        <v>1.00390625</v>
      </c>
      <c r="BM16" s="82">
        <f t="shared" si="5"/>
        <v>0.95703125</v>
      </c>
      <c r="BN16" s="82">
        <f t="shared" si="5"/>
        <v>1.0078125</v>
      </c>
      <c r="BO16" s="82">
        <f t="shared" si="5"/>
        <v>0.91015625</v>
      </c>
      <c r="BP16" s="82" t="str">
        <f t="shared" si="5"/>
        <v/>
      </c>
      <c r="BQ16" s="82" t="str">
        <f t="shared" si="5"/>
        <v/>
      </c>
      <c r="BR16" s="82" t="str">
        <f t="shared" si="5"/>
        <v/>
      </c>
      <c r="BS16" s="82" t="str">
        <f t="shared" si="5"/>
        <v/>
      </c>
      <c r="BT16" s="82" t="str">
        <f t="shared" si="6"/>
        <v/>
      </c>
      <c r="BU16" s="82" t="str">
        <f t="shared" si="6"/>
        <v/>
      </c>
      <c r="BV16" s="82" t="str">
        <f t="shared" si="6"/>
        <v/>
      </c>
      <c r="BW16" s="82" t="str">
        <f t="shared" si="6"/>
        <v/>
      </c>
      <c r="BX16" s="82" t="str">
        <f t="shared" si="6"/>
        <v/>
      </c>
      <c r="BY16" s="82" t="str">
        <f t="shared" si="6"/>
        <v/>
      </c>
      <c r="BZ16" s="82" t="str">
        <f t="shared" si="6"/>
        <v/>
      </c>
      <c r="CA16" s="82" t="str">
        <f t="shared" si="6"/>
        <v/>
      </c>
      <c r="CB16" s="82" t="str">
        <f t="shared" si="6"/>
        <v/>
      </c>
      <c r="CC16" s="82" t="str">
        <f t="shared" si="6"/>
        <v/>
      </c>
      <c r="CD16" s="82" t="str">
        <f t="shared" si="6"/>
        <v/>
      </c>
      <c r="CE16" s="82" t="str">
        <f t="shared" si="6"/>
        <v/>
      </c>
      <c r="CF16" s="82" t="str">
        <f t="shared" si="6"/>
        <v/>
      </c>
      <c r="CG16" s="82" t="str">
        <f t="shared" si="6"/>
        <v/>
      </c>
      <c r="CH16" s="82" t="str">
        <f t="shared" si="6"/>
        <v/>
      </c>
      <c r="CI16" s="82" t="str">
        <f t="shared" si="6"/>
        <v/>
      </c>
      <c r="CJ16" s="82" t="str">
        <f t="shared" si="7"/>
        <v/>
      </c>
      <c r="CK16" s="82" t="str">
        <f t="shared" si="7"/>
        <v/>
      </c>
      <c r="CL16" s="82" t="str">
        <f t="shared" si="7"/>
        <v/>
      </c>
      <c r="CM16" s="82" t="str">
        <f t="shared" si="7"/>
        <v/>
      </c>
      <c r="CN16" s="82" t="str">
        <f t="shared" si="7"/>
        <v/>
      </c>
      <c r="CO16" s="82" t="str">
        <f t="shared" si="7"/>
        <v/>
      </c>
      <c r="CP16" s="82" t="str">
        <f t="shared" si="7"/>
        <v/>
      </c>
      <c r="CQ16" s="82" t="str">
        <f t="shared" si="7"/>
        <v/>
      </c>
      <c r="CR16" s="82" t="str">
        <f t="shared" si="7"/>
        <v/>
      </c>
      <c r="CS16" s="82" t="str">
        <f t="shared" si="7"/>
        <v/>
      </c>
      <c r="CT16" s="82" t="str">
        <f t="shared" si="7"/>
        <v/>
      </c>
      <c r="CU16" s="82" t="str">
        <f t="shared" si="7"/>
        <v/>
      </c>
      <c r="CV16" s="3"/>
    </row>
    <row r="17" spans="1:100">
      <c r="A17" s="41">
        <v>961180</v>
      </c>
      <c r="B17" s="1">
        <v>33</v>
      </c>
      <c r="C17" s="29" t="str">
        <f t="shared" si="4"/>
        <v>961180-33</v>
      </c>
      <c r="D17" s="28" t="s">
        <v>80</v>
      </c>
      <c r="E17" s="37" t="s">
        <v>86</v>
      </c>
      <c r="F17" s="31">
        <v>42458</v>
      </c>
      <c r="G17" s="38"/>
      <c r="H17" s="31">
        <v>42468</v>
      </c>
      <c r="I17" s="38">
        <v>29</v>
      </c>
      <c r="J17" s="40"/>
      <c r="K17" s="87">
        <v>28.4</v>
      </c>
      <c r="L17" s="93">
        <v>28.9</v>
      </c>
      <c r="M17" s="93">
        <v>29</v>
      </c>
      <c r="N17" s="93">
        <v>29.3</v>
      </c>
      <c r="O17" s="93">
        <v>28.6</v>
      </c>
      <c r="P17" s="93">
        <v>29.6</v>
      </c>
      <c r="Q17" s="93">
        <v>30.1</v>
      </c>
      <c r="R17" s="93">
        <v>29.3</v>
      </c>
      <c r="S17" s="93">
        <v>29.7</v>
      </c>
      <c r="T17" s="93">
        <v>29.3</v>
      </c>
      <c r="U17" s="93">
        <v>30.5</v>
      </c>
      <c r="V17" s="93">
        <v>29.5</v>
      </c>
      <c r="W17" s="93">
        <v>30.2</v>
      </c>
      <c r="X17" s="93">
        <v>29.3</v>
      </c>
      <c r="Y17" s="93">
        <v>28.3</v>
      </c>
      <c r="Z17" s="93">
        <v>27.3</v>
      </c>
      <c r="AA17" s="93">
        <v>27.1</v>
      </c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2"/>
      <c r="BD17" s="82">
        <f t="shared" si="5"/>
        <v>0.97931034482758617</v>
      </c>
      <c r="BE17" s="82">
        <f t="shared" si="5"/>
        <v>0.99655172413793103</v>
      </c>
      <c r="BF17" s="82">
        <f t="shared" si="5"/>
        <v>1</v>
      </c>
      <c r="BG17" s="82">
        <f t="shared" si="5"/>
        <v>1.010344827586207</v>
      </c>
      <c r="BH17" s="82">
        <f t="shared" si="5"/>
        <v>0.98620689655172422</v>
      </c>
      <c r="BI17" s="82">
        <f t="shared" si="5"/>
        <v>1.0206896551724138</v>
      </c>
      <c r="BJ17" s="82">
        <f t="shared" si="5"/>
        <v>1.0379310344827586</v>
      </c>
      <c r="BK17" s="82">
        <f t="shared" si="5"/>
        <v>1.010344827586207</v>
      </c>
      <c r="BL17" s="82">
        <f t="shared" si="5"/>
        <v>1.0241379310344827</v>
      </c>
      <c r="BM17" s="82">
        <f t="shared" si="5"/>
        <v>1.010344827586207</v>
      </c>
      <c r="BN17" s="82">
        <f t="shared" si="5"/>
        <v>1.0517241379310345</v>
      </c>
      <c r="BO17" s="82">
        <f t="shared" si="5"/>
        <v>1.0172413793103448</v>
      </c>
      <c r="BP17" s="82">
        <f t="shared" si="5"/>
        <v>1.0413793103448277</v>
      </c>
      <c r="BQ17" s="82">
        <f t="shared" si="5"/>
        <v>1.010344827586207</v>
      </c>
      <c r="BR17" s="82">
        <f t="shared" si="5"/>
        <v>0.9758620689655173</v>
      </c>
      <c r="BS17" s="82">
        <f t="shared" si="5"/>
        <v>0.94137931034482758</v>
      </c>
      <c r="BT17" s="82">
        <f t="shared" si="6"/>
        <v>0.93448275862068975</v>
      </c>
      <c r="BU17" s="82" t="str">
        <f t="shared" si="6"/>
        <v/>
      </c>
      <c r="BV17" s="82" t="str">
        <f t="shared" si="6"/>
        <v/>
      </c>
      <c r="BW17" s="82" t="str">
        <f t="shared" si="6"/>
        <v/>
      </c>
      <c r="BX17" s="82" t="str">
        <f t="shared" si="6"/>
        <v/>
      </c>
      <c r="BY17" s="82" t="str">
        <f t="shared" si="6"/>
        <v/>
      </c>
      <c r="BZ17" s="82" t="str">
        <f t="shared" si="6"/>
        <v/>
      </c>
      <c r="CA17" s="82" t="str">
        <f t="shared" si="6"/>
        <v/>
      </c>
      <c r="CB17" s="82" t="str">
        <f t="shared" si="6"/>
        <v/>
      </c>
      <c r="CC17" s="82" t="str">
        <f t="shared" si="6"/>
        <v/>
      </c>
      <c r="CD17" s="82" t="str">
        <f t="shared" si="6"/>
        <v/>
      </c>
      <c r="CE17" s="82" t="str">
        <f t="shared" si="6"/>
        <v/>
      </c>
      <c r="CF17" s="82" t="str">
        <f t="shared" si="6"/>
        <v/>
      </c>
      <c r="CG17" s="82" t="str">
        <f t="shared" si="6"/>
        <v/>
      </c>
      <c r="CH17" s="82" t="str">
        <f t="shared" si="6"/>
        <v/>
      </c>
      <c r="CI17" s="82" t="str">
        <f t="shared" si="6"/>
        <v/>
      </c>
      <c r="CJ17" s="82" t="str">
        <f t="shared" si="7"/>
        <v/>
      </c>
      <c r="CK17" s="82" t="str">
        <f t="shared" si="7"/>
        <v/>
      </c>
      <c r="CL17" s="82" t="str">
        <f t="shared" si="7"/>
        <v/>
      </c>
      <c r="CM17" s="82" t="str">
        <f t="shared" si="7"/>
        <v/>
      </c>
      <c r="CN17" s="82" t="str">
        <f t="shared" si="7"/>
        <v/>
      </c>
      <c r="CO17" s="82" t="str">
        <f t="shared" si="7"/>
        <v/>
      </c>
      <c r="CP17" s="82" t="str">
        <f t="shared" si="7"/>
        <v/>
      </c>
      <c r="CQ17" s="82" t="str">
        <f t="shared" si="7"/>
        <v/>
      </c>
      <c r="CR17" s="82" t="str">
        <f t="shared" si="7"/>
        <v/>
      </c>
      <c r="CS17" s="82" t="str">
        <f t="shared" si="7"/>
        <v/>
      </c>
      <c r="CT17" s="82" t="str">
        <f t="shared" si="7"/>
        <v/>
      </c>
      <c r="CU17" s="82" t="str">
        <f t="shared" si="7"/>
        <v/>
      </c>
      <c r="CV17" s="3"/>
    </row>
    <row r="18" spans="1:100">
      <c r="A18" s="41">
        <v>961180</v>
      </c>
      <c r="B18" s="1">
        <v>34</v>
      </c>
      <c r="C18" s="29" t="str">
        <f t="shared" si="4"/>
        <v>961180-34</v>
      </c>
      <c r="D18" s="28" t="s">
        <v>80</v>
      </c>
      <c r="E18" s="37" t="s">
        <v>84</v>
      </c>
      <c r="F18" s="31">
        <v>42458</v>
      </c>
      <c r="G18" s="38"/>
      <c r="H18" s="31">
        <v>42468</v>
      </c>
      <c r="I18" s="38">
        <v>22.6</v>
      </c>
      <c r="J18" s="40"/>
      <c r="K18" s="87">
        <v>21.7</v>
      </c>
      <c r="L18" s="93">
        <v>22.4</v>
      </c>
      <c r="M18" s="93">
        <v>22.6</v>
      </c>
      <c r="N18" s="93">
        <v>22.8</v>
      </c>
      <c r="O18" s="93">
        <v>22.1</v>
      </c>
      <c r="P18" s="93">
        <v>23.5</v>
      </c>
      <c r="Q18" s="93">
        <v>24.2</v>
      </c>
      <c r="R18" s="93">
        <v>22.6</v>
      </c>
      <c r="S18" s="93">
        <v>23.2</v>
      </c>
      <c r="T18" s="93">
        <v>22.2</v>
      </c>
      <c r="U18" s="93">
        <v>24.3</v>
      </c>
      <c r="V18" s="93">
        <v>22.8</v>
      </c>
      <c r="W18" s="93">
        <v>23.4</v>
      </c>
      <c r="X18" s="93">
        <v>23.5</v>
      </c>
      <c r="Y18" s="93">
        <v>22.9</v>
      </c>
      <c r="Z18" s="93">
        <v>21.9</v>
      </c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2"/>
      <c r="BD18" s="82">
        <f t="shared" si="5"/>
        <v>0.96017699115044242</v>
      </c>
      <c r="BE18" s="82">
        <f t="shared" si="5"/>
        <v>0.99115044247787598</v>
      </c>
      <c r="BF18" s="82">
        <f t="shared" si="5"/>
        <v>1</v>
      </c>
      <c r="BG18" s="82">
        <f t="shared" si="5"/>
        <v>1.0088495575221239</v>
      </c>
      <c r="BH18" s="82">
        <f t="shared" si="5"/>
        <v>0.97787610619469023</v>
      </c>
      <c r="BI18" s="82">
        <f t="shared" si="5"/>
        <v>1.0398230088495575</v>
      </c>
      <c r="BJ18" s="82">
        <f t="shared" si="5"/>
        <v>1.070796460176991</v>
      </c>
      <c r="BK18" s="82">
        <f t="shared" si="5"/>
        <v>1</v>
      </c>
      <c r="BL18" s="82">
        <f t="shared" si="5"/>
        <v>1.0265486725663715</v>
      </c>
      <c r="BM18" s="82">
        <f t="shared" si="5"/>
        <v>0.98230088495575207</v>
      </c>
      <c r="BN18" s="82">
        <f t="shared" si="5"/>
        <v>1.0752212389380531</v>
      </c>
      <c r="BO18" s="82">
        <f t="shared" si="5"/>
        <v>1.0088495575221239</v>
      </c>
      <c r="BP18" s="82">
        <f t="shared" si="5"/>
        <v>1.0353982300884954</v>
      </c>
      <c r="BQ18" s="82">
        <f t="shared" si="5"/>
        <v>1.0398230088495575</v>
      </c>
      <c r="BR18" s="82">
        <f t="shared" si="5"/>
        <v>1.0132743362831858</v>
      </c>
      <c r="BS18" s="82">
        <f t="shared" si="5"/>
        <v>0.96902654867256621</v>
      </c>
      <c r="BT18" s="82" t="str">
        <f t="shared" si="6"/>
        <v/>
      </c>
      <c r="BU18" s="82" t="str">
        <f t="shared" si="6"/>
        <v/>
      </c>
      <c r="BV18" s="82" t="str">
        <f t="shared" si="6"/>
        <v/>
      </c>
      <c r="BW18" s="82" t="str">
        <f t="shared" si="6"/>
        <v/>
      </c>
      <c r="BX18" s="82" t="str">
        <f t="shared" si="6"/>
        <v/>
      </c>
      <c r="BY18" s="82" t="str">
        <f t="shared" si="6"/>
        <v/>
      </c>
      <c r="BZ18" s="82" t="str">
        <f t="shared" si="6"/>
        <v/>
      </c>
      <c r="CA18" s="82" t="str">
        <f t="shared" si="6"/>
        <v/>
      </c>
      <c r="CB18" s="82" t="str">
        <f t="shared" si="6"/>
        <v/>
      </c>
      <c r="CC18" s="82" t="str">
        <f t="shared" si="6"/>
        <v/>
      </c>
      <c r="CD18" s="82" t="str">
        <f t="shared" si="6"/>
        <v/>
      </c>
      <c r="CE18" s="82" t="str">
        <f t="shared" si="6"/>
        <v/>
      </c>
      <c r="CF18" s="82" t="str">
        <f t="shared" si="6"/>
        <v/>
      </c>
      <c r="CG18" s="82" t="str">
        <f t="shared" si="6"/>
        <v/>
      </c>
      <c r="CH18" s="82" t="str">
        <f t="shared" si="6"/>
        <v/>
      </c>
      <c r="CI18" s="82" t="str">
        <f t="shared" si="6"/>
        <v/>
      </c>
      <c r="CJ18" s="82" t="str">
        <f t="shared" si="7"/>
        <v/>
      </c>
      <c r="CK18" s="82" t="str">
        <f t="shared" si="7"/>
        <v/>
      </c>
      <c r="CL18" s="82" t="str">
        <f t="shared" si="7"/>
        <v/>
      </c>
      <c r="CM18" s="82" t="str">
        <f t="shared" si="7"/>
        <v/>
      </c>
      <c r="CN18" s="82" t="str">
        <f t="shared" si="7"/>
        <v/>
      </c>
      <c r="CO18" s="82" t="str">
        <f t="shared" si="7"/>
        <v/>
      </c>
      <c r="CP18" s="82" t="str">
        <f t="shared" si="7"/>
        <v/>
      </c>
      <c r="CQ18" s="82" t="str">
        <f t="shared" si="7"/>
        <v/>
      </c>
      <c r="CR18" s="82" t="str">
        <f t="shared" si="7"/>
        <v/>
      </c>
      <c r="CS18" s="82" t="str">
        <f t="shared" si="7"/>
        <v/>
      </c>
      <c r="CT18" s="82" t="str">
        <f t="shared" si="7"/>
        <v/>
      </c>
      <c r="CU18" s="82" t="str">
        <f t="shared" si="7"/>
        <v/>
      </c>
      <c r="CV18" s="3"/>
    </row>
    <row r="19" spans="1:100">
      <c r="A19" s="41">
        <v>961180</v>
      </c>
      <c r="B19" s="1">
        <v>35</v>
      </c>
      <c r="C19" s="29" t="str">
        <f t="shared" si="4"/>
        <v>961180-35</v>
      </c>
      <c r="D19" s="28" t="s">
        <v>80</v>
      </c>
      <c r="E19" s="37" t="s">
        <v>85</v>
      </c>
      <c r="F19" s="31">
        <v>42458</v>
      </c>
      <c r="G19" s="38"/>
      <c r="H19" s="31">
        <v>42468</v>
      </c>
      <c r="I19" s="38">
        <v>23.1</v>
      </c>
      <c r="J19" s="40"/>
      <c r="K19" s="87">
        <v>21.2</v>
      </c>
      <c r="L19" s="93">
        <v>22.5</v>
      </c>
      <c r="M19" s="93">
        <v>23.1</v>
      </c>
      <c r="N19" s="93">
        <v>22.4</v>
      </c>
      <c r="O19" s="93">
        <v>22.3</v>
      </c>
      <c r="P19" s="93">
        <v>22.8</v>
      </c>
      <c r="Q19" s="93">
        <v>23.5</v>
      </c>
      <c r="R19" s="93">
        <v>22.6</v>
      </c>
      <c r="S19" s="93">
        <v>22.6</v>
      </c>
      <c r="T19" s="93">
        <v>22.8</v>
      </c>
      <c r="U19" s="93">
        <v>24.1</v>
      </c>
      <c r="V19" s="93">
        <v>22.3</v>
      </c>
      <c r="W19" s="93">
        <v>22.8</v>
      </c>
      <c r="X19" s="93">
        <v>22.5</v>
      </c>
      <c r="Y19" s="93">
        <v>22.2</v>
      </c>
      <c r="Z19" s="93">
        <v>21.8</v>
      </c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2"/>
      <c r="BD19" s="82">
        <f t="shared" si="5"/>
        <v>0.91774891774891765</v>
      </c>
      <c r="BE19" s="82">
        <f t="shared" si="5"/>
        <v>0.97402597402597402</v>
      </c>
      <c r="BF19" s="82">
        <f t="shared" si="5"/>
        <v>1</v>
      </c>
      <c r="BG19" s="82">
        <f t="shared" si="5"/>
        <v>0.96969696969696961</v>
      </c>
      <c r="BH19" s="82">
        <f t="shared" si="5"/>
        <v>0.96536796536796532</v>
      </c>
      <c r="BI19" s="82">
        <f t="shared" si="5"/>
        <v>0.98701298701298701</v>
      </c>
      <c r="BJ19" s="82">
        <f t="shared" si="5"/>
        <v>1.0173160173160172</v>
      </c>
      <c r="BK19" s="82">
        <f t="shared" si="5"/>
        <v>0.97835497835497831</v>
      </c>
      <c r="BL19" s="82">
        <f t="shared" si="5"/>
        <v>0.97835497835497831</v>
      </c>
      <c r="BM19" s="82">
        <f t="shared" si="5"/>
        <v>0.98701298701298701</v>
      </c>
      <c r="BN19" s="82">
        <f t="shared" si="5"/>
        <v>1.0432900432900434</v>
      </c>
      <c r="BO19" s="82">
        <f t="shared" si="5"/>
        <v>0.96536796536796532</v>
      </c>
      <c r="BP19" s="82">
        <f t="shared" si="5"/>
        <v>0.98701298701298701</v>
      </c>
      <c r="BQ19" s="82">
        <f t="shared" si="5"/>
        <v>0.97402597402597402</v>
      </c>
      <c r="BR19" s="82">
        <f t="shared" si="5"/>
        <v>0.96103896103896091</v>
      </c>
      <c r="BS19" s="82">
        <f t="shared" si="5"/>
        <v>0.94372294372294374</v>
      </c>
      <c r="BT19" s="82" t="str">
        <f t="shared" si="6"/>
        <v/>
      </c>
      <c r="BU19" s="82" t="str">
        <f t="shared" si="6"/>
        <v/>
      </c>
      <c r="BV19" s="82" t="str">
        <f t="shared" si="6"/>
        <v/>
      </c>
      <c r="BW19" s="82" t="str">
        <f t="shared" si="6"/>
        <v/>
      </c>
      <c r="BX19" s="82" t="str">
        <f t="shared" si="6"/>
        <v/>
      </c>
      <c r="BY19" s="82" t="str">
        <f t="shared" si="6"/>
        <v/>
      </c>
      <c r="BZ19" s="82" t="str">
        <f t="shared" si="6"/>
        <v/>
      </c>
      <c r="CA19" s="82" t="str">
        <f t="shared" si="6"/>
        <v/>
      </c>
      <c r="CB19" s="82" t="str">
        <f t="shared" si="6"/>
        <v/>
      </c>
      <c r="CC19" s="82" t="str">
        <f t="shared" si="6"/>
        <v/>
      </c>
      <c r="CD19" s="82" t="str">
        <f t="shared" si="6"/>
        <v/>
      </c>
      <c r="CE19" s="82" t="str">
        <f t="shared" si="6"/>
        <v/>
      </c>
      <c r="CF19" s="82" t="str">
        <f t="shared" si="6"/>
        <v/>
      </c>
      <c r="CG19" s="82" t="str">
        <f t="shared" si="6"/>
        <v/>
      </c>
      <c r="CH19" s="82" t="str">
        <f t="shared" si="6"/>
        <v/>
      </c>
      <c r="CI19" s="82" t="str">
        <f t="shared" si="6"/>
        <v/>
      </c>
      <c r="CJ19" s="82" t="str">
        <f t="shared" si="7"/>
        <v/>
      </c>
      <c r="CK19" s="82" t="str">
        <f t="shared" si="7"/>
        <v/>
      </c>
      <c r="CL19" s="82" t="str">
        <f t="shared" si="7"/>
        <v/>
      </c>
      <c r="CM19" s="82" t="str">
        <f t="shared" si="7"/>
        <v/>
      </c>
      <c r="CN19" s="82" t="str">
        <f t="shared" si="7"/>
        <v/>
      </c>
      <c r="CO19" s="82" t="str">
        <f t="shared" si="7"/>
        <v/>
      </c>
      <c r="CP19" s="82" t="str">
        <f t="shared" si="7"/>
        <v/>
      </c>
      <c r="CQ19" s="82" t="str">
        <f t="shared" si="7"/>
        <v/>
      </c>
      <c r="CR19" s="82" t="str">
        <f t="shared" si="7"/>
        <v/>
      </c>
      <c r="CS19" s="82" t="str">
        <f t="shared" si="7"/>
        <v/>
      </c>
      <c r="CT19" s="82" t="str">
        <f t="shared" si="7"/>
        <v/>
      </c>
      <c r="CU19" s="82" t="str">
        <f t="shared" si="7"/>
        <v/>
      </c>
      <c r="CV19" s="3"/>
    </row>
    <row r="20" spans="1:100">
      <c r="A20" s="41">
        <v>961177</v>
      </c>
      <c r="B20" s="1">
        <v>41</v>
      </c>
      <c r="C20" s="29" t="str">
        <f t="shared" si="4"/>
        <v>961177-41</v>
      </c>
      <c r="D20" s="28" t="s">
        <v>80</v>
      </c>
      <c r="E20" s="37" t="s">
        <v>87</v>
      </c>
      <c r="F20" s="31">
        <v>42458</v>
      </c>
      <c r="G20" s="38"/>
      <c r="H20" s="31">
        <v>42468</v>
      </c>
      <c r="I20" s="38">
        <v>28.2</v>
      </c>
      <c r="J20" s="40"/>
      <c r="K20" s="87">
        <v>27.6</v>
      </c>
      <c r="L20" s="93">
        <v>27.8</v>
      </c>
      <c r="M20" s="93">
        <v>28.2</v>
      </c>
      <c r="N20" s="93">
        <v>27.6</v>
      </c>
      <c r="O20" s="93">
        <v>27.9</v>
      </c>
      <c r="P20" s="93">
        <v>29.8</v>
      </c>
      <c r="Q20" s="93">
        <v>29.9</v>
      </c>
      <c r="R20" s="93">
        <v>28.9</v>
      </c>
      <c r="S20" s="93">
        <v>29.9</v>
      </c>
      <c r="T20" s="93">
        <v>29.4</v>
      </c>
      <c r="U20" s="93">
        <v>31</v>
      </c>
      <c r="V20" s="93">
        <v>29.3</v>
      </c>
      <c r="W20" s="93">
        <v>30.1</v>
      </c>
      <c r="X20" s="93">
        <v>29.2</v>
      </c>
      <c r="Y20" s="93">
        <v>29.1</v>
      </c>
      <c r="Z20" s="93">
        <v>28.3</v>
      </c>
      <c r="AA20" s="93">
        <v>28</v>
      </c>
      <c r="AB20" s="93">
        <v>28</v>
      </c>
      <c r="AC20" s="93">
        <v>27.8</v>
      </c>
      <c r="AD20" s="93">
        <v>28.9</v>
      </c>
      <c r="AE20" s="93">
        <v>28.6</v>
      </c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2"/>
      <c r="BD20" s="82">
        <f t="shared" si="5"/>
        <v>0.97872340425531923</v>
      </c>
      <c r="BE20" s="82">
        <f t="shared" si="5"/>
        <v>0.98581560283687952</v>
      </c>
      <c r="BF20" s="82">
        <f t="shared" si="5"/>
        <v>1</v>
      </c>
      <c r="BG20" s="82">
        <f t="shared" si="5"/>
        <v>0.97872340425531923</v>
      </c>
      <c r="BH20" s="82">
        <f t="shared" si="5"/>
        <v>0.9893617021276595</v>
      </c>
      <c r="BI20" s="82">
        <f t="shared" si="5"/>
        <v>1.0567375886524824</v>
      </c>
      <c r="BJ20" s="82">
        <f t="shared" si="5"/>
        <v>1.0602836879432624</v>
      </c>
      <c r="BK20" s="82">
        <f t="shared" si="5"/>
        <v>1.0248226950354609</v>
      </c>
      <c r="BL20" s="82">
        <f t="shared" si="5"/>
        <v>1.0602836879432624</v>
      </c>
      <c r="BM20" s="82">
        <f t="shared" si="5"/>
        <v>1.0425531914893618</v>
      </c>
      <c r="BN20" s="82">
        <f t="shared" si="5"/>
        <v>1.0992907801418439</v>
      </c>
      <c r="BO20" s="82">
        <f t="shared" si="5"/>
        <v>1.0390070921985817</v>
      </c>
      <c r="BP20" s="82">
        <f t="shared" si="5"/>
        <v>1.0673758865248228</v>
      </c>
      <c r="BQ20" s="82">
        <f t="shared" si="5"/>
        <v>1.0354609929078014</v>
      </c>
      <c r="BR20" s="82">
        <f t="shared" si="5"/>
        <v>1.0319148936170213</v>
      </c>
      <c r="BS20" s="82">
        <f t="shared" ref="BS20:CH36" si="8">IF(OR(ISERROR(Z20/$I20)=TRUE,ISBLANK(Z20)=TRUE),"",Z20/$I20)</f>
        <v>1.0035460992907801</v>
      </c>
      <c r="BT20" s="82">
        <f t="shared" si="6"/>
        <v>0.99290780141843971</v>
      </c>
      <c r="BU20" s="82">
        <f t="shared" si="6"/>
        <v>0.99290780141843971</v>
      </c>
      <c r="BV20" s="82">
        <f t="shared" si="6"/>
        <v>0.98581560283687952</v>
      </c>
      <c r="BW20" s="82">
        <f t="shared" si="6"/>
        <v>1.0248226950354609</v>
      </c>
      <c r="BX20" s="82">
        <f t="shared" si="6"/>
        <v>1.0141843971631206</v>
      </c>
      <c r="BY20" s="82" t="str">
        <f t="shared" si="6"/>
        <v/>
      </c>
      <c r="BZ20" s="82" t="str">
        <f t="shared" si="6"/>
        <v/>
      </c>
      <c r="CA20" s="82" t="str">
        <f t="shared" si="6"/>
        <v/>
      </c>
      <c r="CB20" s="82" t="str">
        <f t="shared" si="6"/>
        <v/>
      </c>
      <c r="CC20" s="82" t="str">
        <f t="shared" si="6"/>
        <v/>
      </c>
      <c r="CD20" s="82" t="str">
        <f t="shared" si="6"/>
        <v/>
      </c>
      <c r="CE20" s="82" t="str">
        <f t="shared" si="6"/>
        <v/>
      </c>
      <c r="CF20" s="82" t="str">
        <f t="shared" si="6"/>
        <v/>
      </c>
      <c r="CG20" s="82" t="str">
        <f t="shared" si="6"/>
        <v/>
      </c>
      <c r="CH20" s="82" t="str">
        <f t="shared" si="6"/>
        <v/>
      </c>
      <c r="CI20" s="82" t="str">
        <f t="shared" ref="CI20:CL45" si="9">IF(OR(ISERROR(AP20/$I20)=TRUE,ISBLANK(AP20)=TRUE),"",AP20/$I20)</f>
        <v/>
      </c>
      <c r="CJ20" s="82" t="str">
        <f t="shared" si="7"/>
        <v/>
      </c>
      <c r="CK20" s="82" t="str">
        <f t="shared" si="7"/>
        <v/>
      </c>
      <c r="CL20" s="82" t="str">
        <f t="shared" si="7"/>
        <v/>
      </c>
      <c r="CM20" s="82" t="str">
        <f t="shared" si="7"/>
        <v/>
      </c>
      <c r="CN20" s="82" t="str">
        <f t="shared" si="7"/>
        <v/>
      </c>
      <c r="CO20" s="82" t="str">
        <f t="shared" si="7"/>
        <v/>
      </c>
      <c r="CP20" s="82" t="str">
        <f t="shared" si="7"/>
        <v/>
      </c>
      <c r="CQ20" s="82" t="str">
        <f t="shared" si="7"/>
        <v/>
      </c>
      <c r="CR20" s="82" t="str">
        <f t="shared" si="7"/>
        <v/>
      </c>
      <c r="CS20" s="82" t="str">
        <f t="shared" si="7"/>
        <v/>
      </c>
      <c r="CT20" s="82" t="str">
        <f t="shared" si="7"/>
        <v/>
      </c>
      <c r="CU20" s="82" t="str">
        <f t="shared" si="7"/>
        <v/>
      </c>
      <c r="CV20" s="3"/>
    </row>
    <row r="21" spans="1:100">
      <c r="A21" s="41">
        <v>961177</v>
      </c>
      <c r="B21" s="1">
        <v>42</v>
      </c>
      <c r="C21" s="29" t="str">
        <f t="shared" si="4"/>
        <v>961177-42</v>
      </c>
      <c r="D21" s="28" t="s">
        <v>80</v>
      </c>
      <c r="E21" s="37" t="s">
        <v>89</v>
      </c>
      <c r="F21" s="31">
        <v>42458</v>
      </c>
      <c r="G21" s="38"/>
      <c r="H21" s="31">
        <v>42468</v>
      </c>
      <c r="I21" s="38">
        <v>26.8</v>
      </c>
      <c r="J21" s="40"/>
      <c r="K21" s="87">
        <v>25.9</v>
      </c>
      <c r="L21" s="93">
        <v>26.6</v>
      </c>
      <c r="M21" s="93">
        <v>26.8</v>
      </c>
      <c r="N21" s="93">
        <v>26.1</v>
      </c>
      <c r="O21" s="93">
        <v>26.6</v>
      </c>
      <c r="P21" s="93">
        <v>27.4</v>
      </c>
      <c r="Q21" s="93">
        <v>28</v>
      </c>
      <c r="R21" s="93">
        <v>26.9</v>
      </c>
      <c r="S21" s="93">
        <v>27.6</v>
      </c>
      <c r="T21" s="93">
        <v>27.3</v>
      </c>
      <c r="U21" s="93">
        <v>28.8</v>
      </c>
      <c r="V21" s="93">
        <v>27.6</v>
      </c>
      <c r="W21" s="93">
        <v>28.9</v>
      </c>
      <c r="X21" s="93">
        <v>28.3</v>
      </c>
      <c r="Y21" s="93">
        <v>28.2</v>
      </c>
      <c r="Z21" s="93">
        <v>27.8</v>
      </c>
      <c r="AA21" s="93">
        <v>28.1</v>
      </c>
      <c r="AB21" s="93">
        <v>28.2</v>
      </c>
      <c r="AC21" s="93">
        <v>28.2</v>
      </c>
      <c r="AD21" s="93">
        <v>29.2</v>
      </c>
      <c r="AE21" s="93">
        <v>29.3</v>
      </c>
      <c r="AF21" s="93">
        <v>29.7</v>
      </c>
      <c r="AG21" s="93">
        <v>29.4</v>
      </c>
      <c r="AH21" s="93">
        <v>30.2</v>
      </c>
      <c r="AI21" s="93">
        <v>29.4</v>
      </c>
      <c r="AJ21" s="93">
        <v>29.7</v>
      </c>
      <c r="AK21" s="93">
        <v>30.5</v>
      </c>
      <c r="AL21" s="93">
        <v>30.8</v>
      </c>
      <c r="AM21" s="93">
        <v>30.8</v>
      </c>
      <c r="AN21" s="93">
        <v>30.9</v>
      </c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2"/>
      <c r="BD21" s="82">
        <f t="shared" ref="BD21:BS38" si="10">IF(OR(ISERROR(K21/$I21)=TRUE,ISBLANK(K21)=TRUE),"",K21/$I21)</f>
        <v>0.96641791044776115</v>
      </c>
      <c r="BE21" s="82">
        <f t="shared" si="10"/>
        <v>0.9925373134328358</v>
      </c>
      <c r="BF21" s="82">
        <f t="shared" si="10"/>
        <v>1</v>
      </c>
      <c r="BG21" s="82">
        <f t="shared" si="10"/>
        <v>0.97388059701492535</v>
      </c>
      <c r="BH21" s="82">
        <f t="shared" si="10"/>
        <v>0.9925373134328358</v>
      </c>
      <c r="BI21" s="82">
        <f t="shared" si="10"/>
        <v>1.0223880597014925</v>
      </c>
      <c r="BJ21" s="82">
        <f t="shared" si="10"/>
        <v>1.044776119402985</v>
      </c>
      <c r="BK21" s="82">
        <f t="shared" si="10"/>
        <v>1.0037313432835819</v>
      </c>
      <c r="BL21" s="82">
        <f t="shared" si="10"/>
        <v>1.0298507462686568</v>
      </c>
      <c r="BM21" s="82">
        <f t="shared" si="10"/>
        <v>1.0186567164179106</v>
      </c>
      <c r="BN21" s="82">
        <f t="shared" si="10"/>
        <v>1.0746268656716418</v>
      </c>
      <c r="BO21" s="82">
        <f t="shared" si="10"/>
        <v>1.0298507462686568</v>
      </c>
      <c r="BP21" s="82">
        <f t="shared" si="10"/>
        <v>1.0783582089552237</v>
      </c>
      <c r="BQ21" s="82">
        <f t="shared" si="10"/>
        <v>1.0559701492537314</v>
      </c>
      <c r="BR21" s="82">
        <f t="shared" si="10"/>
        <v>1.0522388059701493</v>
      </c>
      <c r="BS21" s="82">
        <f t="shared" si="8"/>
        <v>1.0373134328358209</v>
      </c>
      <c r="BT21" s="82">
        <f t="shared" si="8"/>
        <v>1.0485074626865671</v>
      </c>
      <c r="BU21" s="82">
        <f t="shared" si="8"/>
        <v>1.0522388059701493</v>
      </c>
      <c r="BV21" s="82">
        <f t="shared" si="8"/>
        <v>1.0522388059701493</v>
      </c>
      <c r="BW21" s="82">
        <f t="shared" si="8"/>
        <v>1.0895522388059702</v>
      </c>
      <c r="BX21" s="82">
        <f t="shared" si="8"/>
        <v>1.0932835820895523</v>
      </c>
      <c r="BY21" s="82">
        <f t="shared" si="8"/>
        <v>1.1082089552238805</v>
      </c>
      <c r="BZ21" s="82">
        <f t="shared" si="8"/>
        <v>1.0970149253731343</v>
      </c>
      <c r="CA21" s="82">
        <f t="shared" si="8"/>
        <v>1.1268656716417911</v>
      </c>
      <c r="CB21" s="82">
        <f t="shared" si="8"/>
        <v>1.0970149253731343</v>
      </c>
      <c r="CC21" s="82">
        <f t="shared" si="8"/>
        <v>1.1082089552238805</v>
      </c>
      <c r="CD21" s="82">
        <f t="shared" si="8"/>
        <v>1.1380597014925373</v>
      </c>
      <c r="CE21" s="82">
        <f t="shared" si="8"/>
        <v>1.1492537313432836</v>
      </c>
      <c r="CF21" s="82">
        <f t="shared" si="8"/>
        <v>1.1492537313432836</v>
      </c>
      <c r="CG21" s="82">
        <f t="shared" si="8"/>
        <v>1.1529850746268655</v>
      </c>
      <c r="CH21" s="82" t="str">
        <f t="shared" si="8"/>
        <v/>
      </c>
      <c r="CI21" s="82" t="str">
        <f t="shared" si="9"/>
        <v/>
      </c>
      <c r="CJ21" s="82" t="str">
        <f t="shared" si="7"/>
        <v/>
      </c>
      <c r="CK21" s="82" t="str">
        <f t="shared" si="7"/>
        <v/>
      </c>
      <c r="CL21" s="82" t="str">
        <f t="shared" si="7"/>
        <v/>
      </c>
      <c r="CM21" s="82" t="str">
        <f t="shared" si="7"/>
        <v/>
      </c>
      <c r="CN21" s="82" t="str">
        <f t="shared" si="7"/>
        <v/>
      </c>
      <c r="CO21" s="82" t="str">
        <f t="shared" si="7"/>
        <v/>
      </c>
      <c r="CP21" s="82" t="str">
        <f t="shared" si="7"/>
        <v/>
      </c>
      <c r="CQ21" s="82" t="str">
        <f t="shared" si="7"/>
        <v/>
      </c>
      <c r="CR21" s="82" t="str">
        <f t="shared" si="7"/>
        <v/>
      </c>
      <c r="CS21" s="82" t="str">
        <f t="shared" si="7"/>
        <v/>
      </c>
      <c r="CT21" s="82" t="str">
        <f t="shared" si="7"/>
        <v/>
      </c>
      <c r="CU21" s="82" t="str">
        <f t="shared" si="7"/>
        <v/>
      </c>
      <c r="CV21" s="3"/>
    </row>
    <row r="22" spans="1:100">
      <c r="A22" s="41">
        <v>961177</v>
      </c>
      <c r="B22" s="1">
        <v>43</v>
      </c>
      <c r="C22" s="29" t="str">
        <f t="shared" si="4"/>
        <v>961177-43</v>
      </c>
      <c r="D22" s="28" t="s">
        <v>80</v>
      </c>
      <c r="E22" s="37" t="s">
        <v>89</v>
      </c>
      <c r="F22" s="31">
        <v>42458</v>
      </c>
      <c r="G22" s="38"/>
      <c r="H22" s="31">
        <v>42468</v>
      </c>
      <c r="I22" s="38">
        <v>26.7</v>
      </c>
      <c r="J22" s="40"/>
      <c r="K22" s="87">
        <v>25.8</v>
      </c>
      <c r="L22" s="93">
        <v>26.5</v>
      </c>
      <c r="M22" s="93">
        <v>26.7</v>
      </c>
      <c r="N22" s="93">
        <v>25.9</v>
      </c>
      <c r="O22" s="93">
        <v>25.6</v>
      </c>
      <c r="P22" s="93">
        <v>26.7</v>
      </c>
      <c r="Q22" s="93">
        <v>27.9</v>
      </c>
      <c r="R22" s="93">
        <v>26.5</v>
      </c>
      <c r="S22" s="93">
        <v>27.2</v>
      </c>
      <c r="T22" s="93">
        <v>26.9</v>
      </c>
      <c r="U22" s="93">
        <v>27.6</v>
      </c>
      <c r="V22" s="93">
        <v>26.3</v>
      </c>
      <c r="W22" s="93">
        <v>26.9</v>
      </c>
      <c r="X22" s="93">
        <v>26.8</v>
      </c>
      <c r="Y22" s="93">
        <v>26.5</v>
      </c>
      <c r="Z22" s="93">
        <v>26.1</v>
      </c>
      <c r="AA22" s="93">
        <v>25.8</v>
      </c>
      <c r="AB22" s="93">
        <v>26.2</v>
      </c>
      <c r="AC22" s="93">
        <v>25.5</v>
      </c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2"/>
      <c r="BD22" s="82">
        <f t="shared" si="10"/>
        <v>0.9662921348314607</v>
      </c>
      <c r="BE22" s="82">
        <f t="shared" si="10"/>
        <v>0.99250936329588013</v>
      </c>
      <c r="BF22" s="82">
        <f t="shared" si="10"/>
        <v>1</v>
      </c>
      <c r="BG22" s="82">
        <f t="shared" si="10"/>
        <v>0.97003745318352053</v>
      </c>
      <c r="BH22" s="82">
        <f t="shared" si="10"/>
        <v>0.95880149812734095</v>
      </c>
      <c r="BI22" s="82">
        <f t="shared" si="10"/>
        <v>1</v>
      </c>
      <c r="BJ22" s="82">
        <f t="shared" si="10"/>
        <v>1.044943820224719</v>
      </c>
      <c r="BK22" s="82">
        <f t="shared" si="10"/>
        <v>0.99250936329588013</v>
      </c>
      <c r="BL22" s="82">
        <f t="shared" si="10"/>
        <v>1.0187265917602997</v>
      </c>
      <c r="BM22" s="82">
        <f t="shared" si="10"/>
        <v>1.0074906367041199</v>
      </c>
      <c r="BN22" s="82">
        <f t="shared" si="10"/>
        <v>1.0337078651685394</v>
      </c>
      <c r="BO22" s="82">
        <f t="shared" si="10"/>
        <v>0.98501872659176037</v>
      </c>
      <c r="BP22" s="82">
        <f t="shared" si="10"/>
        <v>1.0074906367041199</v>
      </c>
      <c r="BQ22" s="82">
        <f t="shared" si="10"/>
        <v>1.0037453183520599</v>
      </c>
      <c r="BR22" s="82">
        <f t="shared" si="10"/>
        <v>0.99250936329588013</v>
      </c>
      <c r="BS22" s="82">
        <f t="shared" si="8"/>
        <v>0.97752808988764051</v>
      </c>
      <c r="BT22" s="82">
        <f t="shared" si="8"/>
        <v>0.9662921348314607</v>
      </c>
      <c r="BU22" s="82">
        <f t="shared" si="8"/>
        <v>0.98127340823970033</v>
      </c>
      <c r="BV22" s="82">
        <f t="shared" si="8"/>
        <v>0.9550561797752809</v>
      </c>
      <c r="BW22" s="82" t="str">
        <f t="shared" si="8"/>
        <v/>
      </c>
      <c r="BX22" s="82" t="str">
        <f t="shared" si="8"/>
        <v/>
      </c>
      <c r="BY22" s="82" t="str">
        <f t="shared" si="8"/>
        <v/>
      </c>
      <c r="BZ22" s="82" t="str">
        <f t="shared" si="8"/>
        <v/>
      </c>
      <c r="CA22" s="82" t="str">
        <f t="shared" si="8"/>
        <v/>
      </c>
      <c r="CB22" s="82" t="str">
        <f t="shared" si="8"/>
        <v/>
      </c>
      <c r="CC22" s="82" t="str">
        <f t="shared" si="8"/>
        <v/>
      </c>
      <c r="CD22" s="82" t="str">
        <f t="shared" si="8"/>
        <v/>
      </c>
      <c r="CE22" s="82" t="str">
        <f t="shared" si="8"/>
        <v/>
      </c>
      <c r="CF22" s="82" t="str">
        <f t="shared" si="8"/>
        <v/>
      </c>
      <c r="CG22" s="82" t="str">
        <f t="shared" si="8"/>
        <v/>
      </c>
      <c r="CH22" s="82" t="str">
        <f t="shared" si="8"/>
        <v/>
      </c>
      <c r="CI22" s="82" t="str">
        <f t="shared" si="9"/>
        <v/>
      </c>
      <c r="CJ22" s="82" t="str">
        <f t="shared" si="7"/>
        <v/>
      </c>
      <c r="CK22" s="82" t="str">
        <f t="shared" si="7"/>
        <v/>
      </c>
      <c r="CL22" s="82" t="str">
        <f t="shared" si="7"/>
        <v/>
      </c>
      <c r="CM22" s="82" t="str">
        <f t="shared" si="7"/>
        <v/>
      </c>
      <c r="CN22" s="82" t="str">
        <f t="shared" si="7"/>
        <v/>
      </c>
      <c r="CO22" s="82" t="str">
        <f t="shared" si="7"/>
        <v/>
      </c>
      <c r="CP22" s="82" t="str">
        <f t="shared" si="7"/>
        <v/>
      </c>
      <c r="CQ22" s="82" t="str">
        <f t="shared" si="7"/>
        <v/>
      </c>
      <c r="CR22" s="82" t="str">
        <f t="shared" si="7"/>
        <v/>
      </c>
      <c r="CS22" s="82" t="str">
        <f t="shared" si="7"/>
        <v/>
      </c>
      <c r="CT22" s="82" t="str">
        <f t="shared" si="7"/>
        <v/>
      </c>
      <c r="CU22" s="82" t="str">
        <f t="shared" si="7"/>
        <v/>
      </c>
      <c r="CV22" s="3"/>
    </row>
    <row r="23" spans="1:100">
      <c r="A23" s="41">
        <v>961177</v>
      </c>
      <c r="B23" s="1">
        <v>44</v>
      </c>
      <c r="C23" s="29" t="str">
        <f t="shared" si="4"/>
        <v>961177-44</v>
      </c>
      <c r="D23" s="28" t="s">
        <v>80</v>
      </c>
      <c r="E23" s="37" t="s">
        <v>88</v>
      </c>
      <c r="F23" s="31">
        <v>42458</v>
      </c>
      <c r="G23" s="38"/>
      <c r="H23" s="31">
        <v>42468</v>
      </c>
      <c r="I23" s="38">
        <v>28</v>
      </c>
      <c r="J23" s="40"/>
      <c r="K23" s="87">
        <v>26.5</v>
      </c>
      <c r="L23" s="93">
        <v>27.4</v>
      </c>
      <c r="M23" s="93">
        <v>28</v>
      </c>
      <c r="N23" s="93">
        <v>27.7</v>
      </c>
      <c r="O23" s="93">
        <v>27</v>
      </c>
      <c r="P23" s="93">
        <v>27.8</v>
      </c>
      <c r="Q23" s="93">
        <v>28.1</v>
      </c>
      <c r="R23" s="93">
        <v>27.3</v>
      </c>
      <c r="S23" s="93">
        <v>27.6</v>
      </c>
      <c r="T23" s="93">
        <v>27</v>
      </c>
      <c r="U23" s="93">
        <v>28.1</v>
      </c>
      <c r="V23" s="93">
        <v>27.1</v>
      </c>
      <c r="W23" s="93">
        <v>27.7</v>
      </c>
      <c r="X23" s="93">
        <v>26.7</v>
      </c>
      <c r="Y23" s="93">
        <v>26.2</v>
      </c>
      <c r="Z23" s="93">
        <v>26.7</v>
      </c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2"/>
      <c r="BD23" s="82">
        <f t="shared" si="10"/>
        <v>0.9464285714285714</v>
      </c>
      <c r="BE23" s="82">
        <f t="shared" si="10"/>
        <v>0.97857142857142854</v>
      </c>
      <c r="BF23" s="82">
        <f t="shared" si="10"/>
        <v>1</v>
      </c>
      <c r="BG23" s="82">
        <f t="shared" si="10"/>
        <v>0.98928571428571421</v>
      </c>
      <c r="BH23" s="82">
        <f t="shared" si="10"/>
        <v>0.9642857142857143</v>
      </c>
      <c r="BI23" s="82">
        <f t="shared" si="10"/>
        <v>0.99285714285714288</v>
      </c>
      <c r="BJ23" s="82">
        <f t="shared" si="10"/>
        <v>1.0035714285714286</v>
      </c>
      <c r="BK23" s="82">
        <f t="shared" si="10"/>
        <v>0.97499999999999998</v>
      </c>
      <c r="BL23" s="82">
        <f t="shared" si="10"/>
        <v>0.98571428571428577</v>
      </c>
      <c r="BM23" s="82">
        <f t="shared" si="10"/>
        <v>0.9642857142857143</v>
      </c>
      <c r="BN23" s="82">
        <f t="shared" si="10"/>
        <v>1.0035714285714286</v>
      </c>
      <c r="BO23" s="82">
        <f t="shared" si="10"/>
        <v>0.96785714285714286</v>
      </c>
      <c r="BP23" s="82">
        <f t="shared" si="10"/>
        <v>0.98928571428571421</v>
      </c>
      <c r="BQ23" s="82">
        <f t="shared" si="10"/>
        <v>0.95357142857142851</v>
      </c>
      <c r="BR23" s="82">
        <f t="shared" si="10"/>
        <v>0.93571428571428572</v>
      </c>
      <c r="BS23" s="82">
        <f t="shared" si="8"/>
        <v>0.95357142857142851</v>
      </c>
      <c r="BT23" s="82" t="str">
        <f t="shared" si="8"/>
        <v/>
      </c>
      <c r="BU23" s="82" t="str">
        <f t="shared" si="8"/>
        <v/>
      </c>
      <c r="BV23" s="82" t="str">
        <f t="shared" si="8"/>
        <v/>
      </c>
      <c r="BW23" s="82" t="str">
        <f t="shared" si="8"/>
        <v/>
      </c>
      <c r="BX23" s="82" t="str">
        <f t="shared" si="8"/>
        <v/>
      </c>
      <c r="BY23" s="82" t="str">
        <f t="shared" si="8"/>
        <v/>
      </c>
      <c r="BZ23" s="82" t="str">
        <f t="shared" si="8"/>
        <v/>
      </c>
      <c r="CA23" s="82" t="str">
        <f t="shared" si="8"/>
        <v/>
      </c>
      <c r="CB23" s="82" t="str">
        <f t="shared" si="8"/>
        <v/>
      </c>
      <c r="CC23" s="82" t="str">
        <f t="shared" si="8"/>
        <v/>
      </c>
      <c r="CD23" s="82" t="str">
        <f t="shared" si="8"/>
        <v/>
      </c>
      <c r="CE23" s="82" t="str">
        <f t="shared" si="8"/>
        <v/>
      </c>
      <c r="CF23" s="82" t="str">
        <f t="shared" si="8"/>
        <v/>
      </c>
      <c r="CG23" s="82" t="str">
        <f t="shared" si="8"/>
        <v/>
      </c>
      <c r="CH23" s="82" t="str">
        <f t="shared" si="8"/>
        <v/>
      </c>
      <c r="CI23" s="82" t="str">
        <f t="shared" si="9"/>
        <v/>
      </c>
      <c r="CJ23" s="82" t="str">
        <f t="shared" si="7"/>
        <v/>
      </c>
      <c r="CK23" s="82" t="str">
        <f t="shared" si="7"/>
        <v/>
      </c>
      <c r="CL23" s="82" t="str">
        <f t="shared" si="7"/>
        <v/>
      </c>
      <c r="CM23" s="82" t="str">
        <f t="shared" si="7"/>
        <v/>
      </c>
      <c r="CN23" s="82" t="str">
        <f t="shared" si="7"/>
        <v/>
      </c>
      <c r="CO23" s="82" t="str">
        <f t="shared" si="7"/>
        <v/>
      </c>
      <c r="CP23" s="82" t="str">
        <f t="shared" si="7"/>
        <v/>
      </c>
      <c r="CQ23" s="82" t="str">
        <f t="shared" si="7"/>
        <v/>
      </c>
      <c r="CR23" s="82" t="str">
        <f t="shared" si="7"/>
        <v/>
      </c>
      <c r="CS23" s="82" t="str">
        <f t="shared" si="7"/>
        <v/>
      </c>
      <c r="CT23" s="82" t="str">
        <f t="shared" si="7"/>
        <v/>
      </c>
      <c r="CU23" s="82" t="str">
        <f t="shared" si="7"/>
        <v/>
      </c>
      <c r="CV23" s="3"/>
    </row>
    <row r="24" spans="1:100">
      <c r="A24" s="41">
        <v>961177</v>
      </c>
      <c r="B24" s="1">
        <v>45</v>
      </c>
      <c r="C24" s="29" t="str">
        <f t="shared" si="4"/>
        <v>961177-45</v>
      </c>
      <c r="D24" s="28" t="s">
        <v>80</v>
      </c>
      <c r="E24" s="30" t="s">
        <v>88</v>
      </c>
      <c r="F24" s="31">
        <v>42458</v>
      </c>
      <c r="G24" s="38"/>
      <c r="H24" s="31">
        <v>42468</v>
      </c>
      <c r="I24" s="38">
        <v>31.8</v>
      </c>
      <c r="J24" s="40"/>
      <c r="K24" s="87">
        <v>31.5</v>
      </c>
      <c r="L24" s="93">
        <v>31.8</v>
      </c>
      <c r="M24" s="93">
        <v>31.8</v>
      </c>
      <c r="N24" s="93">
        <v>30.7</v>
      </c>
      <c r="O24" s="93">
        <v>30.1</v>
      </c>
      <c r="P24" s="93">
        <v>31.7</v>
      </c>
      <c r="Q24" s="93">
        <v>32.1</v>
      </c>
      <c r="R24" s="93">
        <v>31.2</v>
      </c>
      <c r="S24" s="93">
        <v>31.7</v>
      </c>
      <c r="T24" s="93">
        <v>32</v>
      </c>
      <c r="U24" s="93">
        <v>32.700000000000003</v>
      </c>
      <c r="V24" s="93">
        <v>32.299999999999997</v>
      </c>
      <c r="W24" s="93">
        <v>33.1</v>
      </c>
      <c r="X24" s="93">
        <v>32.799999999999997</v>
      </c>
      <c r="Y24" s="93">
        <v>33.1</v>
      </c>
      <c r="Z24" s="93">
        <v>32.700000000000003</v>
      </c>
      <c r="AA24" s="93">
        <v>33.6</v>
      </c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2"/>
      <c r="BD24" s="82">
        <f t="shared" si="10"/>
        <v>0.99056603773584906</v>
      </c>
      <c r="BE24" s="82">
        <f t="shared" si="10"/>
        <v>1</v>
      </c>
      <c r="BF24" s="82">
        <f t="shared" si="10"/>
        <v>1</v>
      </c>
      <c r="BG24" s="82">
        <f t="shared" si="10"/>
        <v>0.96540880503144655</v>
      </c>
      <c r="BH24" s="82">
        <f t="shared" si="10"/>
        <v>0.94654088050314467</v>
      </c>
      <c r="BI24" s="82">
        <f t="shared" si="10"/>
        <v>0.99685534591194969</v>
      </c>
      <c r="BJ24" s="82">
        <f t="shared" si="10"/>
        <v>1.0094339622641511</v>
      </c>
      <c r="BK24" s="82">
        <f t="shared" si="10"/>
        <v>0.98113207547169812</v>
      </c>
      <c r="BL24" s="82">
        <f t="shared" si="10"/>
        <v>0.99685534591194969</v>
      </c>
      <c r="BM24" s="82">
        <f t="shared" si="10"/>
        <v>1.0062893081761006</v>
      </c>
      <c r="BN24" s="82">
        <f t="shared" si="10"/>
        <v>1.0283018867924529</v>
      </c>
      <c r="BO24" s="82">
        <f t="shared" si="10"/>
        <v>1.0157232704402515</v>
      </c>
      <c r="BP24" s="82">
        <f t="shared" si="10"/>
        <v>1.0408805031446542</v>
      </c>
      <c r="BQ24" s="82">
        <f t="shared" si="10"/>
        <v>1.0314465408805031</v>
      </c>
      <c r="BR24" s="82">
        <f t="shared" si="10"/>
        <v>1.0408805031446542</v>
      </c>
      <c r="BS24" s="82">
        <f t="shared" si="8"/>
        <v>1.0283018867924529</v>
      </c>
      <c r="BT24" s="82">
        <f t="shared" si="8"/>
        <v>1.0566037735849056</v>
      </c>
      <c r="BU24" s="82" t="str">
        <f t="shared" si="8"/>
        <v/>
      </c>
      <c r="BV24" s="82" t="str">
        <f t="shared" si="8"/>
        <v/>
      </c>
      <c r="BW24" s="82" t="str">
        <f t="shared" si="8"/>
        <v/>
      </c>
      <c r="BX24" s="82" t="str">
        <f t="shared" si="8"/>
        <v/>
      </c>
      <c r="BY24" s="82" t="str">
        <f t="shared" si="8"/>
        <v/>
      </c>
      <c r="BZ24" s="82" t="str">
        <f t="shared" si="8"/>
        <v/>
      </c>
      <c r="CA24" s="82" t="str">
        <f t="shared" si="8"/>
        <v/>
      </c>
      <c r="CB24" s="82" t="str">
        <f t="shared" si="8"/>
        <v/>
      </c>
      <c r="CC24" s="82" t="str">
        <f t="shared" si="8"/>
        <v/>
      </c>
      <c r="CD24" s="82" t="str">
        <f t="shared" si="8"/>
        <v/>
      </c>
      <c r="CE24" s="82" t="str">
        <f t="shared" si="8"/>
        <v/>
      </c>
      <c r="CF24" s="82" t="str">
        <f t="shared" si="8"/>
        <v/>
      </c>
      <c r="CG24" s="82" t="str">
        <f t="shared" si="8"/>
        <v/>
      </c>
      <c r="CH24" s="82" t="str">
        <f t="shared" si="8"/>
        <v/>
      </c>
      <c r="CI24" s="82" t="str">
        <f t="shared" si="9"/>
        <v/>
      </c>
      <c r="CJ24" s="82" t="str">
        <f t="shared" si="7"/>
        <v/>
      </c>
      <c r="CK24" s="82" t="str">
        <f t="shared" si="7"/>
        <v/>
      </c>
      <c r="CL24" s="82" t="str">
        <f t="shared" si="7"/>
        <v/>
      </c>
      <c r="CM24" s="82" t="str">
        <f t="shared" si="7"/>
        <v/>
      </c>
      <c r="CN24" s="82" t="str">
        <f t="shared" si="7"/>
        <v/>
      </c>
      <c r="CO24" s="82" t="str">
        <f t="shared" si="7"/>
        <v/>
      </c>
      <c r="CP24" s="82" t="str">
        <f t="shared" si="7"/>
        <v/>
      </c>
      <c r="CQ24" s="82" t="str">
        <f t="shared" si="7"/>
        <v/>
      </c>
      <c r="CR24" s="82" t="str">
        <f t="shared" si="7"/>
        <v/>
      </c>
      <c r="CS24" s="82" t="str">
        <f t="shared" si="7"/>
        <v/>
      </c>
      <c r="CT24" s="82" t="str">
        <f t="shared" si="7"/>
        <v/>
      </c>
      <c r="CU24" s="82" t="str">
        <f t="shared" si="7"/>
        <v/>
      </c>
      <c r="CV24" s="3"/>
    </row>
    <row r="25" spans="1:100">
      <c r="A25" s="41">
        <v>961179</v>
      </c>
      <c r="B25" s="1">
        <v>51</v>
      </c>
      <c r="C25" s="29" t="str">
        <f t="shared" si="4"/>
        <v>961179-51</v>
      </c>
      <c r="D25" s="28" t="s">
        <v>80</v>
      </c>
      <c r="E25" s="30" t="s">
        <v>89</v>
      </c>
      <c r="F25" s="31">
        <v>42458</v>
      </c>
      <c r="G25" s="38"/>
      <c r="H25" s="31">
        <v>42468</v>
      </c>
      <c r="I25" s="38">
        <v>28.2</v>
      </c>
      <c r="J25" s="40"/>
      <c r="K25" s="87">
        <v>27.5</v>
      </c>
      <c r="L25" s="93">
        <v>28.4</v>
      </c>
      <c r="M25" s="93">
        <v>28.2</v>
      </c>
      <c r="N25" s="93">
        <v>28.5</v>
      </c>
      <c r="O25" s="93">
        <v>28.5</v>
      </c>
      <c r="P25" s="93">
        <v>29.1</v>
      </c>
      <c r="Q25" s="93">
        <v>29.6</v>
      </c>
      <c r="R25" s="93">
        <v>28.7</v>
      </c>
      <c r="S25" s="93">
        <v>29.1</v>
      </c>
      <c r="T25" s="93">
        <v>29.6</v>
      </c>
      <c r="U25" s="93">
        <v>30.7</v>
      </c>
      <c r="V25" s="93">
        <v>29.6</v>
      </c>
      <c r="W25" s="93">
        <v>30.1</v>
      </c>
      <c r="X25" s="93">
        <v>30.5</v>
      </c>
      <c r="Y25" s="93">
        <v>29.9</v>
      </c>
      <c r="Z25" s="93">
        <v>29.1</v>
      </c>
      <c r="AA25" s="93">
        <v>28.5</v>
      </c>
      <c r="AB25" s="93">
        <v>29.8</v>
      </c>
      <c r="AC25" s="93">
        <v>29.7</v>
      </c>
      <c r="AD25" s="93">
        <v>31</v>
      </c>
      <c r="AE25" s="93">
        <v>30.6</v>
      </c>
      <c r="AF25" s="93">
        <v>30.5</v>
      </c>
      <c r="AG25" s="93">
        <v>30.1</v>
      </c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2"/>
      <c r="BD25" s="82">
        <f t="shared" si="10"/>
        <v>0.97517730496453903</v>
      </c>
      <c r="BE25" s="82">
        <f t="shared" si="10"/>
        <v>1.0070921985815602</v>
      </c>
      <c r="BF25" s="82">
        <f t="shared" si="10"/>
        <v>1</v>
      </c>
      <c r="BG25" s="82">
        <f t="shared" si="10"/>
        <v>1.0106382978723405</v>
      </c>
      <c r="BH25" s="82">
        <f t="shared" si="10"/>
        <v>1.0106382978723405</v>
      </c>
      <c r="BI25" s="82">
        <f t="shared" si="10"/>
        <v>1.0319148936170213</v>
      </c>
      <c r="BJ25" s="82">
        <f t="shared" si="10"/>
        <v>1.0496453900709222</v>
      </c>
      <c r="BK25" s="82">
        <f t="shared" si="10"/>
        <v>1.0177304964539007</v>
      </c>
      <c r="BL25" s="82">
        <f t="shared" si="10"/>
        <v>1.0319148936170213</v>
      </c>
      <c r="BM25" s="82">
        <f t="shared" si="10"/>
        <v>1.0496453900709222</v>
      </c>
      <c r="BN25" s="82">
        <f t="shared" si="10"/>
        <v>1.0886524822695036</v>
      </c>
      <c r="BO25" s="82">
        <f t="shared" si="10"/>
        <v>1.0496453900709222</v>
      </c>
      <c r="BP25" s="82">
        <f t="shared" si="10"/>
        <v>1.0673758865248228</v>
      </c>
      <c r="BQ25" s="82">
        <f t="shared" si="10"/>
        <v>1.0815602836879432</v>
      </c>
      <c r="BR25" s="82">
        <f t="shared" si="10"/>
        <v>1.0602836879432624</v>
      </c>
      <c r="BS25" s="82">
        <f t="shared" si="8"/>
        <v>1.0319148936170213</v>
      </c>
      <c r="BT25" s="82">
        <f t="shared" si="8"/>
        <v>1.0106382978723405</v>
      </c>
      <c r="BU25" s="82">
        <f t="shared" si="8"/>
        <v>1.0567375886524824</v>
      </c>
      <c r="BV25" s="82">
        <f t="shared" si="8"/>
        <v>1.053191489361702</v>
      </c>
      <c r="BW25" s="82">
        <f t="shared" si="8"/>
        <v>1.0992907801418439</v>
      </c>
      <c r="BX25" s="82">
        <f t="shared" si="8"/>
        <v>1.0851063829787235</v>
      </c>
      <c r="BY25" s="82">
        <f t="shared" si="8"/>
        <v>1.0815602836879432</v>
      </c>
      <c r="BZ25" s="82">
        <f t="shared" si="8"/>
        <v>1.0673758865248228</v>
      </c>
      <c r="CA25" s="82" t="str">
        <f t="shared" si="8"/>
        <v/>
      </c>
      <c r="CB25" s="82" t="str">
        <f t="shared" si="8"/>
        <v/>
      </c>
      <c r="CC25" s="82" t="str">
        <f t="shared" si="8"/>
        <v/>
      </c>
      <c r="CD25" s="82" t="str">
        <f t="shared" si="8"/>
        <v/>
      </c>
      <c r="CE25" s="82" t="str">
        <f t="shared" si="8"/>
        <v/>
      </c>
      <c r="CF25" s="82" t="str">
        <f t="shared" si="8"/>
        <v/>
      </c>
      <c r="CG25" s="82" t="str">
        <f t="shared" si="8"/>
        <v/>
      </c>
      <c r="CH25" s="82" t="str">
        <f t="shared" si="8"/>
        <v/>
      </c>
      <c r="CI25" s="82" t="str">
        <f t="shared" si="9"/>
        <v/>
      </c>
      <c r="CJ25" s="82" t="str">
        <f t="shared" si="7"/>
        <v/>
      </c>
      <c r="CK25" s="82" t="str">
        <f t="shared" si="7"/>
        <v/>
      </c>
      <c r="CL25" s="82" t="str">
        <f t="shared" si="7"/>
        <v/>
      </c>
      <c r="CM25" s="82" t="str">
        <f t="shared" si="7"/>
        <v/>
      </c>
      <c r="CN25" s="82" t="str">
        <f t="shared" si="7"/>
        <v/>
      </c>
      <c r="CO25" s="82" t="str">
        <f t="shared" si="7"/>
        <v/>
      </c>
      <c r="CP25" s="82" t="str">
        <f t="shared" si="7"/>
        <v/>
      </c>
      <c r="CQ25" s="82" t="str">
        <f t="shared" si="7"/>
        <v/>
      </c>
      <c r="CR25" s="82" t="str">
        <f t="shared" si="7"/>
        <v/>
      </c>
      <c r="CS25" s="82" t="str">
        <f t="shared" si="7"/>
        <v/>
      </c>
      <c r="CT25" s="82" t="str">
        <f t="shared" si="7"/>
        <v/>
      </c>
      <c r="CU25" s="82" t="str">
        <f t="shared" si="7"/>
        <v/>
      </c>
      <c r="CV25" s="3"/>
    </row>
    <row r="26" spans="1:100">
      <c r="A26" s="41">
        <v>961179</v>
      </c>
      <c r="B26" s="1">
        <v>52</v>
      </c>
      <c r="C26" s="29" t="str">
        <f t="shared" si="4"/>
        <v>961179-52</v>
      </c>
      <c r="D26" s="28" t="s">
        <v>80</v>
      </c>
      <c r="E26" s="37" t="s">
        <v>90</v>
      </c>
      <c r="F26" s="31">
        <v>42458</v>
      </c>
      <c r="G26" s="38"/>
      <c r="H26" s="31">
        <v>42468</v>
      </c>
      <c r="I26" s="38">
        <v>25.4</v>
      </c>
      <c r="J26" s="40"/>
      <c r="K26" s="87">
        <v>24.7</v>
      </c>
      <c r="L26" s="93">
        <v>25.4</v>
      </c>
      <c r="M26" s="93">
        <v>25.4</v>
      </c>
      <c r="N26" s="93">
        <v>25.5</v>
      </c>
      <c r="O26" s="93">
        <v>24.9</v>
      </c>
      <c r="P26" s="93">
        <v>25.4</v>
      </c>
      <c r="Q26" s="93">
        <v>25.8</v>
      </c>
      <c r="R26" s="93">
        <v>24.5</v>
      </c>
      <c r="S26" s="93">
        <v>24.4</v>
      </c>
      <c r="T26" s="93">
        <v>24.6</v>
      </c>
      <c r="U26" s="93">
        <v>26</v>
      </c>
      <c r="V26" s="93">
        <v>25</v>
      </c>
      <c r="W26" s="93">
        <v>26</v>
      </c>
      <c r="X26" s="93">
        <v>26.2</v>
      </c>
      <c r="Y26" s="93">
        <v>25.5</v>
      </c>
      <c r="Z26" s="93">
        <v>25</v>
      </c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2"/>
      <c r="BD26" s="82">
        <f t="shared" si="10"/>
        <v>0.97244094488188981</v>
      </c>
      <c r="BE26" s="82">
        <f t="shared" si="10"/>
        <v>1</v>
      </c>
      <c r="BF26" s="82">
        <f t="shared" si="10"/>
        <v>1</v>
      </c>
      <c r="BG26" s="82">
        <f t="shared" si="10"/>
        <v>1.0039370078740157</v>
      </c>
      <c r="BH26" s="82">
        <f t="shared" si="10"/>
        <v>0.98031496062992129</v>
      </c>
      <c r="BI26" s="82">
        <f t="shared" si="10"/>
        <v>1</v>
      </c>
      <c r="BJ26" s="82">
        <f t="shared" si="10"/>
        <v>1.0157480314960632</v>
      </c>
      <c r="BK26" s="82">
        <f t="shared" si="10"/>
        <v>0.96456692913385833</v>
      </c>
      <c r="BL26" s="82">
        <f t="shared" si="10"/>
        <v>0.96062992125984248</v>
      </c>
      <c r="BM26" s="82">
        <f t="shared" si="10"/>
        <v>0.96850393700787407</v>
      </c>
      <c r="BN26" s="82">
        <f t="shared" si="10"/>
        <v>1.0236220472440944</v>
      </c>
      <c r="BO26" s="82">
        <f t="shared" si="10"/>
        <v>0.98425196850393704</v>
      </c>
      <c r="BP26" s="82">
        <f t="shared" si="10"/>
        <v>1.0236220472440944</v>
      </c>
      <c r="BQ26" s="82">
        <f t="shared" si="10"/>
        <v>1.0314960629921259</v>
      </c>
      <c r="BR26" s="82">
        <f t="shared" si="10"/>
        <v>1.0039370078740157</v>
      </c>
      <c r="BS26" s="82">
        <f t="shared" si="8"/>
        <v>0.98425196850393704</v>
      </c>
      <c r="BT26" s="82" t="str">
        <f t="shared" si="8"/>
        <v/>
      </c>
      <c r="BU26" s="82" t="str">
        <f t="shared" si="8"/>
        <v/>
      </c>
      <c r="BV26" s="82" t="str">
        <f t="shared" si="8"/>
        <v/>
      </c>
      <c r="BW26" s="82" t="str">
        <f t="shared" si="8"/>
        <v/>
      </c>
      <c r="BX26" s="82" t="str">
        <f t="shared" si="8"/>
        <v/>
      </c>
      <c r="BY26" s="82" t="str">
        <f t="shared" si="8"/>
        <v/>
      </c>
      <c r="BZ26" s="82" t="str">
        <f t="shared" si="8"/>
        <v/>
      </c>
      <c r="CA26" s="82" t="str">
        <f t="shared" si="8"/>
        <v/>
      </c>
      <c r="CB26" s="82" t="str">
        <f t="shared" si="8"/>
        <v/>
      </c>
      <c r="CC26" s="82" t="str">
        <f t="shared" si="8"/>
        <v/>
      </c>
      <c r="CD26" s="82" t="str">
        <f t="shared" si="8"/>
        <v/>
      </c>
      <c r="CE26" s="82" t="str">
        <f t="shared" si="8"/>
        <v/>
      </c>
      <c r="CF26" s="82" t="str">
        <f t="shared" si="8"/>
        <v/>
      </c>
      <c r="CG26" s="82" t="str">
        <f t="shared" si="8"/>
        <v/>
      </c>
      <c r="CH26" s="82" t="str">
        <f t="shared" si="8"/>
        <v/>
      </c>
      <c r="CI26" s="82" t="str">
        <f t="shared" si="9"/>
        <v/>
      </c>
      <c r="CJ26" s="82" t="str">
        <f t="shared" si="7"/>
        <v/>
      </c>
      <c r="CK26" s="82" t="str">
        <f t="shared" si="7"/>
        <v/>
      </c>
      <c r="CL26" s="82" t="str">
        <f t="shared" si="7"/>
        <v/>
      </c>
      <c r="CM26" s="82" t="str">
        <f t="shared" ref="CM26:CU51" si="11">IF(OR(ISERROR(AT26/$I26)=TRUE,ISBLANK(AT26)=TRUE),"",AT26/$I26)</f>
        <v/>
      </c>
      <c r="CN26" s="82" t="str">
        <f t="shared" si="11"/>
        <v/>
      </c>
      <c r="CO26" s="82" t="str">
        <f t="shared" si="11"/>
        <v/>
      </c>
      <c r="CP26" s="82" t="str">
        <f t="shared" si="11"/>
        <v/>
      </c>
      <c r="CQ26" s="82" t="str">
        <f t="shared" si="11"/>
        <v/>
      </c>
      <c r="CR26" s="82" t="str">
        <f t="shared" si="11"/>
        <v/>
      </c>
      <c r="CS26" s="82" t="str">
        <f t="shared" si="11"/>
        <v/>
      </c>
      <c r="CT26" s="82" t="str">
        <f t="shared" si="11"/>
        <v/>
      </c>
      <c r="CU26" s="82" t="str">
        <f t="shared" si="11"/>
        <v/>
      </c>
      <c r="CV26" s="3"/>
    </row>
    <row r="27" spans="1:100">
      <c r="A27" s="41">
        <v>961179</v>
      </c>
      <c r="B27" s="1">
        <v>53</v>
      </c>
      <c r="C27" s="29" t="str">
        <f t="shared" si="4"/>
        <v>961179-53</v>
      </c>
      <c r="D27" s="28" t="s">
        <v>80</v>
      </c>
      <c r="E27" s="37" t="s">
        <v>34</v>
      </c>
      <c r="F27" s="31">
        <v>42458</v>
      </c>
      <c r="G27" s="38"/>
      <c r="H27" s="31">
        <v>42468</v>
      </c>
      <c r="I27" s="38">
        <v>28.3</v>
      </c>
      <c r="J27" s="40"/>
      <c r="K27" s="87">
        <v>28.5</v>
      </c>
      <c r="L27" s="93">
        <v>28.9</v>
      </c>
      <c r="M27" s="93">
        <v>28.3</v>
      </c>
      <c r="N27" s="93">
        <v>30.3</v>
      </c>
      <c r="O27" s="93">
        <v>30.1</v>
      </c>
      <c r="P27" s="93">
        <v>30.9</v>
      </c>
      <c r="Q27" s="93">
        <v>31.1</v>
      </c>
      <c r="R27" s="93">
        <v>29.9</v>
      </c>
      <c r="S27" s="93">
        <v>30.1</v>
      </c>
      <c r="T27" s="93">
        <v>29.5</v>
      </c>
      <c r="U27" s="93">
        <v>30.4</v>
      </c>
      <c r="V27" s="93">
        <v>29.2</v>
      </c>
      <c r="W27" s="93">
        <v>29</v>
      </c>
      <c r="X27" s="93">
        <v>28.8</v>
      </c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2"/>
      <c r="BD27" s="82">
        <f t="shared" si="10"/>
        <v>1.0070671378091873</v>
      </c>
      <c r="BE27" s="82">
        <f t="shared" si="10"/>
        <v>1.0212014134275618</v>
      </c>
      <c r="BF27" s="82">
        <f t="shared" si="10"/>
        <v>1</v>
      </c>
      <c r="BG27" s="82">
        <f t="shared" si="10"/>
        <v>1.0706713780918728</v>
      </c>
      <c r="BH27" s="82">
        <f t="shared" si="10"/>
        <v>1.0636042402826855</v>
      </c>
      <c r="BI27" s="82">
        <f t="shared" si="10"/>
        <v>1.0918727915194346</v>
      </c>
      <c r="BJ27" s="82">
        <f t="shared" si="10"/>
        <v>1.0989399293286219</v>
      </c>
      <c r="BK27" s="82">
        <f t="shared" si="10"/>
        <v>1.0565371024734982</v>
      </c>
      <c r="BL27" s="82">
        <f t="shared" si="10"/>
        <v>1.0636042402826855</v>
      </c>
      <c r="BM27" s="82">
        <f t="shared" si="10"/>
        <v>1.0424028268551238</v>
      </c>
      <c r="BN27" s="82">
        <f t="shared" si="10"/>
        <v>1.0742049469964663</v>
      </c>
      <c r="BO27" s="82">
        <f t="shared" si="10"/>
        <v>1.0318021201413428</v>
      </c>
      <c r="BP27" s="82">
        <f t="shared" si="10"/>
        <v>1.0247349823321554</v>
      </c>
      <c r="BQ27" s="82">
        <f t="shared" si="10"/>
        <v>1.0176678445229681</v>
      </c>
      <c r="BR27" s="82" t="str">
        <f t="shared" si="10"/>
        <v/>
      </c>
      <c r="BS27" s="82" t="str">
        <f t="shared" si="8"/>
        <v/>
      </c>
      <c r="BT27" s="82" t="str">
        <f t="shared" si="8"/>
        <v/>
      </c>
      <c r="BU27" s="82" t="str">
        <f t="shared" si="8"/>
        <v/>
      </c>
      <c r="BV27" s="82" t="str">
        <f t="shared" si="8"/>
        <v/>
      </c>
      <c r="BW27" s="82" t="str">
        <f t="shared" si="8"/>
        <v/>
      </c>
      <c r="BX27" s="82" t="str">
        <f t="shared" si="8"/>
        <v/>
      </c>
      <c r="BY27" s="82" t="str">
        <f t="shared" si="8"/>
        <v/>
      </c>
      <c r="BZ27" s="82" t="str">
        <f t="shared" si="8"/>
        <v/>
      </c>
      <c r="CA27" s="82" t="str">
        <f t="shared" si="8"/>
        <v/>
      </c>
      <c r="CB27" s="82" t="str">
        <f t="shared" si="8"/>
        <v/>
      </c>
      <c r="CC27" s="82" t="str">
        <f t="shared" si="8"/>
        <v/>
      </c>
      <c r="CD27" s="82" t="str">
        <f t="shared" si="8"/>
        <v/>
      </c>
      <c r="CE27" s="82" t="str">
        <f t="shared" si="8"/>
        <v/>
      </c>
      <c r="CF27" s="82" t="str">
        <f t="shared" si="8"/>
        <v/>
      </c>
      <c r="CG27" s="82" t="str">
        <f t="shared" si="8"/>
        <v/>
      </c>
      <c r="CH27" s="82" t="str">
        <f t="shared" si="8"/>
        <v/>
      </c>
      <c r="CI27" s="82" t="str">
        <f t="shared" si="9"/>
        <v/>
      </c>
      <c r="CJ27" s="82" t="str">
        <f t="shared" si="9"/>
        <v/>
      </c>
      <c r="CK27" s="82" t="str">
        <f t="shared" si="9"/>
        <v/>
      </c>
      <c r="CL27" s="82" t="str">
        <f t="shared" si="9"/>
        <v/>
      </c>
      <c r="CM27" s="82" t="str">
        <f t="shared" si="11"/>
        <v/>
      </c>
      <c r="CN27" s="82" t="str">
        <f t="shared" si="11"/>
        <v/>
      </c>
      <c r="CO27" s="82" t="str">
        <f t="shared" si="11"/>
        <v/>
      </c>
      <c r="CP27" s="82" t="str">
        <f t="shared" si="11"/>
        <v/>
      </c>
      <c r="CQ27" s="82" t="str">
        <f t="shared" si="11"/>
        <v/>
      </c>
      <c r="CR27" s="82" t="str">
        <f t="shared" si="11"/>
        <v/>
      </c>
      <c r="CS27" s="82" t="str">
        <f t="shared" si="11"/>
        <v/>
      </c>
      <c r="CT27" s="82" t="str">
        <f t="shared" si="11"/>
        <v/>
      </c>
      <c r="CU27" s="82" t="str">
        <f t="shared" si="11"/>
        <v/>
      </c>
      <c r="CV27" s="3"/>
    </row>
    <row r="28" spans="1:100">
      <c r="A28" s="41">
        <v>961179</v>
      </c>
      <c r="B28" s="1">
        <v>54</v>
      </c>
      <c r="C28" s="29" t="str">
        <f t="shared" si="4"/>
        <v>961179-54</v>
      </c>
      <c r="D28" s="28" t="s">
        <v>80</v>
      </c>
      <c r="E28" s="37" t="s">
        <v>85</v>
      </c>
      <c r="F28" s="31">
        <v>42458</v>
      </c>
      <c r="G28" s="38"/>
      <c r="H28" s="31">
        <v>42468</v>
      </c>
      <c r="I28" s="38">
        <v>28</v>
      </c>
      <c r="J28" s="40"/>
      <c r="K28" s="87">
        <v>26.8</v>
      </c>
      <c r="L28" s="93">
        <v>27.3</v>
      </c>
      <c r="M28" s="93">
        <v>28</v>
      </c>
      <c r="N28" s="93">
        <v>27.2</v>
      </c>
      <c r="O28" s="93">
        <v>26.8</v>
      </c>
      <c r="P28" s="93">
        <v>27.6</v>
      </c>
      <c r="Q28" s="93">
        <v>27.6</v>
      </c>
      <c r="R28" s="93">
        <v>26.7</v>
      </c>
      <c r="S28" s="93">
        <v>26.4</v>
      </c>
      <c r="T28" s="93">
        <v>26.7</v>
      </c>
      <c r="U28" s="93">
        <v>28.4</v>
      </c>
      <c r="V28" s="93">
        <v>26.9</v>
      </c>
      <c r="W28" s="93">
        <v>27.3</v>
      </c>
      <c r="X28" s="93">
        <v>27.1</v>
      </c>
      <c r="Y28" s="93">
        <v>27</v>
      </c>
      <c r="Z28" s="93">
        <v>26.6</v>
      </c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2"/>
      <c r="BD28" s="82">
        <f t="shared" si="10"/>
        <v>0.95714285714285718</v>
      </c>
      <c r="BE28" s="82">
        <f t="shared" si="10"/>
        <v>0.97499999999999998</v>
      </c>
      <c r="BF28" s="82">
        <f t="shared" si="10"/>
        <v>1</v>
      </c>
      <c r="BG28" s="82">
        <f t="shared" si="10"/>
        <v>0.97142857142857142</v>
      </c>
      <c r="BH28" s="82">
        <f t="shared" si="10"/>
        <v>0.95714285714285718</v>
      </c>
      <c r="BI28" s="82">
        <f t="shared" si="10"/>
        <v>0.98571428571428577</v>
      </c>
      <c r="BJ28" s="82">
        <f t="shared" si="10"/>
        <v>0.98571428571428577</v>
      </c>
      <c r="BK28" s="82">
        <f t="shared" si="10"/>
        <v>0.95357142857142851</v>
      </c>
      <c r="BL28" s="82">
        <f t="shared" si="10"/>
        <v>0.94285714285714284</v>
      </c>
      <c r="BM28" s="82">
        <f t="shared" si="10"/>
        <v>0.95357142857142851</v>
      </c>
      <c r="BN28" s="82">
        <f t="shared" si="10"/>
        <v>1.0142857142857142</v>
      </c>
      <c r="BO28" s="82">
        <f t="shared" si="10"/>
        <v>0.96071428571428563</v>
      </c>
      <c r="BP28" s="82">
        <f t="shared" si="10"/>
        <v>0.97499999999999998</v>
      </c>
      <c r="BQ28" s="82">
        <f t="shared" si="10"/>
        <v>0.96785714285714286</v>
      </c>
      <c r="BR28" s="82">
        <f t="shared" si="10"/>
        <v>0.9642857142857143</v>
      </c>
      <c r="BS28" s="82">
        <f t="shared" si="8"/>
        <v>0.95000000000000007</v>
      </c>
      <c r="BT28" s="82" t="str">
        <f t="shared" si="8"/>
        <v/>
      </c>
      <c r="BU28" s="82" t="str">
        <f t="shared" si="8"/>
        <v/>
      </c>
      <c r="BV28" s="82" t="str">
        <f t="shared" si="8"/>
        <v/>
      </c>
      <c r="BW28" s="82" t="str">
        <f t="shared" si="8"/>
        <v/>
      </c>
      <c r="BX28" s="82" t="str">
        <f t="shared" si="8"/>
        <v/>
      </c>
      <c r="BY28" s="82" t="str">
        <f t="shared" si="8"/>
        <v/>
      </c>
      <c r="BZ28" s="82" t="str">
        <f t="shared" si="8"/>
        <v/>
      </c>
      <c r="CA28" s="82" t="str">
        <f t="shared" si="8"/>
        <v/>
      </c>
      <c r="CB28" s="82" t="str">
        <f t="shared" si="8"/>
        <v/>
      </c>
      <c r="CC28" s="82" t="str">
        <f t="shared" si="8"/>
        <v/>
      </c>
      <c r="CD28" s="82" t="str">
        <f t="shared" si="8"/>
        <v/>
      </c>
      <c r="CE28" s="82" t="str">
        <f t="shared" si="8"/>
        <v/>
      </c>
      <c r="CF28" s="82" t="str">
        <f t="shared" si="8"/>
        <v/>
      </c>
      <c r="CG28" s="82" t="str">
        <f t="shared" si="8"/>
        <v/>
      </c>
      <c r="CH28" s="82" t="str">
        <f t="shared" si="8"/>
        <v/>
      </c>
      <c r="CI28" s="82" t="str">
        <f t="shared" si="9"/>
        <v/>
      </c>
      <c r="CJ28" s="82" t="str">
        <f t="shared" si="9"/>
        <v/>
      </c>
      <c r="CK28" s="82" t="str">
        <f t="shared" si="9"/>
        <v/>
      </c>
      <c r="CL28" s="82" t="str">
        <f t="shared" si="9"/>
        <v/>
      </c>
      <c r="CM28" s="82" t="str">
        <f t="shared" si="11"/>
        <v/>
      </c>
      <c r="CN28" s="82" t="str">
        <f t="shared" si="11"/>
        <v/>
      </c>
      <c r="CO28" s="82" t="str">
        <f t="shared" si="11"/>
        <v/>
      </c>
      <c r="CP28" s="82" t="str">
        <f t="shared" si="11"/>
        <v/>
      </c>
      <c r="CQ28" s="82" t="str">
        <f t="shared" si="11"/>
        <v/>
      </c>
      <c r="CR28" s="82" t="str">
        <f t="shared" si="11"/>
        <v/>
      </c>
      <c r="CS28" s="82" t="str">
        <f t="shared" si="11"/>
        <v/>
      </c>
      <c r="CT28" s="82" t="str">
        <f t="shared" si="11"/>
        <v/>
      </c>
      <c r="CU28" s="82" t="str">
        <f t="shared" si="11"/>
        <v/>
      </c>
      <c r="CV28" s="3"/>
    </row>
    <row r="29" spans="1:100">
      <c r="A29" s="41">
        <v>961179</v>
      </c>
      <c r="B29" s="1">
        <v>55</v>
      </c>
      <c r="C29" s="29" t="str">
        <f t="shared" si="4"/>
        <v>961179-55</v>
      </c>
      <c r="D29" s="28" t="s">
        <v>80</v>
      </c>
      <c r="E29" s="37" t="s">
        <v>85</v>
      </c>
      <c r="F29" s="31">
        <v>42458</v>
      </c>
      <c r="G29" s="38"/>
      <c r="H29" s="31">
        <v>42468</v>
      </c>
      <c r="I29" s="38">
        <v>26</v>
      </c>
      <c r="J29" s="40"/>
      <c r="K29" s="87">
        <v>25.7</v>
      </c>
      <c r="L29" s="93">
        <v>25.9</v>
      </c>
      <c r="M29" s="93">
        <v>26</v>
      </c>
      <c r="N29" s="93">
        <v>25.9</v>
      </c>
      <c r="O29" s="93">
        <v>24.4</v>
      </c>
      <c r="P29" s="93">
        <v>24</v>
      </c>
      <c r="Q29" s="93">
        <v>24.3</v>
      </c>
      <c r="R29" s="93">
        <v>24.7</v>
      </c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2"/>
      <c r="BD29" s="82">
        <f t="shared" si="10"/>
        <v>0.98846153846153839</v>
      </c>
      <c r="BE29" s="82">
        <f t="shared" si="10"/>
        <v>0.99615384615384606</v>
      </c>
      <c r="BF29" s="82">
        <f t="shared" si="10"/>
        <v>1</v>
      </c>
      <c r="BG29" s="82">
        <f t="shared" si="10"/>
        <v>0.99615384615384606</v>
      </c>
      <c r="BH29" s="82">
        <f t="shared" si="10"/>
        <v>0.93846153846153846</v>
      </c>
      <c r="BI29" s="82">
        <f t="shared" si="10"/>
        <v>0.92307692307692313</v>
      </c>
      <c r="BJ29" s="82">
        <f t="shared" si="10"/>
        <v>0.93461538461538463</v>
      </c>
      <c r="BK29" s="82">
        <f t="shared" si="10"/>
        <v>0.95</v>
      </c>
      <c r="BL29" s="82" t="str">
        <f t="shared" si="10"/>
        <v/>
      </c>
      <c r="BM29" s="82" t="str">
        <f t="shared" si="10"/>
        <v/>
      </c>
      <c r="BN29" s="82" t="str">
        <f t="shared" si="10"/>
        <v/>
      </c>
      <c r="BO29" s="82" t="str">
        <f t="shared" si="10"/>
        <v/>
      </c>
      <c r="BP29" s="82" t="str">
        <f t="shared" si="10"/>
        <v/>
      </c>
      <c r="BQ29" s="82" t="str">
        <f t="shared" si="10"/>
        <v/>
      </c>
      <c r="BR29" s="82" t="str">
        <f t="shared" si="10"/>
        <v/>
      </c>
      <c r="BS29" s="82" t="str">
        <f t="shared" si="8"/>
        <v/>
      </c>
      <c r="BT29" s="82" t="str">
        <f t="shared" si="8"/>
        <v/>
      </c>
      <c r="BU29" s="82" t="str">
        <f t="shared" si="8"/>
        <v/>
      </c>
      <c r="BV29" s="82" t="str">
        <f t="shared" si="8"/>
        <v/>
      </c>
      <c r="BW29" s="82" t="str">
        <f t="shared" si="8"/>
        <v/>
      </c>
      <c r="BX29" s="82" t="str">
        <f t="shared" si="8"/>
        <v/>
      </c>
      <c r="BY29" s="82" t="str">
        <f t="shared" si="8"/>
        <v/>
      </c>
      <c r="BZ29" s="82" t="str">
        <f t="shared" si="8"/>
        <v/>
      </c>
      <c r="CA29" s="82" t="str">
        <f t="shared" si="8"/>
        <v/>
      </c>
      <c r="CB29" s="82" t="str">
        <f t="shared" si="8"/>
        <v/>
      </c>
      <c r="CC29" s="82" t="str">
        <f t="shared" si="8"/>
        <v/>
      </c>
      <c r="CD29" s="82" t="str">
        <f t="shared" si="8"/>
        <v/>
      </c>
      <c r="CE29" s="82" t="str">
        <f t="shared" si="8"/>
        <v/>
      </c>
      <c r="CF29" s="82" t="str">
        <f t="shared" si="8"/>
        <v/>
      </c>
      <c r="CG29" s="82" t="str">
        <f t="shared" si="8"/>
        <v/>
      </c>
      <c r="CH29" s="82" t="str">
        <f t="shared" si="8"/>
        <v/>
      </c>
      <c r="CI29" s="82" t="str">
        <f t="shared" si="9"/>
        <v/>
      </c>
      <c r="CJ29" s="82" t="str">
        <f t="shared" si="9"/>
        <v/>
      </c>
      <c r="CK29" s="82" t="str">
        <f t="shared" si="9"/>
        <v/>
      </c>
      <c r="CL29" s="82" t="str">
        <f t="shared" si="9"/>
        <v/>
      </c>
      <c r="CM29" s="82" t="str">
        <f t="shared" si="11"/>
        <v/>
      </c>
      <c r="CN29" s="82" t="str">
        <f t="shared" si="11"/>
        <v/>
      </c>
      <c r="CO29" s="82" t="str">
        <f t="shared" si="11"/>
        <v/>
      </c>
      <c r="CP29" s="82" t="str">
        <f t="shared" si="11"/>
        <v/>
      </c>
      <c r="CQ29" s="82" t="str">
        <f t="shared" si="11"/>
        <v/>
      </c>
      <c r="CR29" s="82" t="str">
        <f t="shared" si="11"/>
        <v/>
      </c>
      <c r="CS29" s="82" t="str">
        <f t="shared" si="11"/>
        <v/>
      </c>
      <c r="CT29" s="82" t="str">
        <f t="shared" si="11"/>
        <v/>
      </c>
      <c r="CU29" s="82" t="str">
        <f t="shared" si="11"/>
        <v/>
      </c>
      <c r="CV29" s="3"/>
    </row>
    <row r="30" spans="1:100">
      <c r="A30" s="41">
        <v>961178</v>
      </c>
      <c r="B30" s="1">
        <v>61</v>
      </c>
      <c r="C30" s="29" t="str">
        <f t="shared" si="4"/>
        <v>961178-61</v>
      </c>
      <c r="D30" s="28" t="s">
        <v>80</v>
      </c>
      <c r="E30" s="37" t="s">
        <v>86</v>
      </c>
      <c r="F30" s="31">
        <v>42458</v>
      </c>
      <c r="G30" s="38"/>
      <c r="H30" s="31">
        <v>42468</v>
      </c>
      <c r="I30" s="38">
        <v>28.6</v>
      </c>
      <c r="J30" s="40"/>
      <c r="K30" s="87">
        <v>27</v>
      </c>
      <c r="L30" s="93">
        <v>28.1</v>
      </c>
      <c r="M30" s="93">
        <v>28.6</v>
      </c>
      <c r="N30" s="93">
        <v>27.4</v>
      </c>
      <c r="O30" s="93">
        <v>27.5</v>
      </c>
      <c r="P30" s="93">
        <v>28.3</v>
      </c>
      <c r="Q30" s="93">
        <v>29.3</v>
      </c>
      <c r="R30" s="93">
        <v>28.8</v>
      </c>
      <c r="S30" s="93">
        <v>29.2</v>
      </c>
      <c r="T30" s="93">
        <v>29.6</v>
      </c>
      <c r="U30" s="93">
        <v>30.5</v>
      </c>
      <c r="V30" s="93">
        <v>29.5</v>
      </c>
      <c r="W30" s="93">
        <v>30</v>
      </c>
      <c r="X30" s="93">
        <v>29.2</v>
      </c>
      <c r="Y30" s="93">
        <v>28.9</v>
      </c>
      <c r="Z30" s="93">
        <v>28.1</v>
      </c>
      <c r="AA30" s="93">
        <v>28.7</v>
      </c>
      <c r="AB30" s="93">
        <v>28.9</v>
      </c>
      <c r="AC30" s="93">
        <v>28.2</v>
      </c>
      <c r="AD30" s="93">
        <v>29.7</v>
      </c>
      <c r="AE30" s="93">
        <v>28.6</v>
      </c>
      <c r="AF30" s="93">
        <v>28</v>
      </c>
      <c r="AG30" s="93">
        <v>28.4</v>
      </c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2"/>
      <c r="BD30" s="82">
        <f t="shared" si="10"/>
        <v>0.94405594405594406</v>
      </c>
      <c r="BE30" s="82">
        <f t="shared" si="10"/>
        <v>0.9825174825174825</v>
      </c>
      <c r="BF30" s="82">
        <f t="shared" si="10"/>
        <v>1</v>
      </c>
      <c r="BG30" s="82">
        <f t="shared" si="10"/>
        <v>0.95804195804195791</v>
      </c>
      <c r="BH30" s="82">
        <f t="shared" si="10"/>
        <v>0.96153846153846145</v>
      </c>
      <c r="BI30" s="82">
        <f t="shared" si="10"/>
        <v>0.98951048951048948</v>
      </c>
      <c r="BJ30" s="82">
        <f t="shared" si="10"/>
        <v>1.0244755244755244</v>
      </c>
      <c r="BK30" s="82">
        <f t="shared" si="10"/>
        <v>1.0069930069930069</v>
      </c>
      <c r="BL30" s="82">
        <f t="shared" si="10"/>
        <v>1.0209790209790208</v>
      </c>
      <c r="BM30" s="82">
        <f t="shared" si="10"/>
        <v>1.034965034965035</v>
      </c>
      <c r="BN30" s="82">
        <f t="shared" si="10"/>
        <v>1.0664335664335665</v>
      </c>
      <c r="BO30" s="82">
        <f t="shared" si="10"/>
        <v>1.0314685314685315</v>
      </c>
      <c r="BP30" s="82">
        <f t="shared" si="10"/>
        <v>1.048951048951049</v>
      </c>
      <c r="BQ30" s="82">
        <f t="shared" si="10"/>
        <v>1.0209790209790208</v>
      </c>
      <c r="BR30" s="82">
        <f t="shared" si="10"/>
        <v>1.0104895104895104</v>
      </c>
      <c r="BS30" s="82">
        <f t="shared" si="8"/>
        <v>0.9825174825174825</v>
      </c>
      <c r="BT30" s="82">
        <f t="shared" si="8"/>
        <v>1.0034965034965033</v>
      </c>
      <c r="BU30" s="82">
        <f t="shared" si="8"/>
        <v>1.0104895104895104</v>
      </c>
      <c r="BV30" s="82">
        <f t="shared" si="8"/>
        <v>0.98601398601398593</v>
      </c>
      <c r="BW30" s="82">
        <f t="shared" si="8"/>
        <v>1.0384615384615383</v>
      </c>
      <c r="BX30" s="82">
        <f t="shared" si="8"/>
        <v>1</v>
      </c>
      <c r="BY30" s="82">
        <f t="shared" si="8"/>
        <v>0.97902097902097895</v>
      </c>
      <c r="BZ30" s="82">
        <f t="shared" si="8"/>
        <v>0.99300699300699291</v>
      </c>
      <c r="CA30" s="82" t="str">
        <f t="shared" si="8"/>
        <v/>
      </c>
      <c r="CB30" s="82" t="str">
        <f t="shared" si="8"/>
        <v/>
      </c>
      <c r="CC30" s="82" t="str">
        <f t="shared" si="8"/>
        <v/>
      </c>
      <c r="CD30" s="82" t="str">
        <f t="shared" si="8"/>
        <v/>
      </c>
      <c r="CE30" s="82" t="str">
        <f t="shared" si="8"/>
        <v/>
      </c>
      <c r="CF30" s="82" t="str">
        <f t="shared" si="8"/>
        <v/>
      </c>
      <c r="CG30" s="82" t="str">
        <f t="shared" si="8"/>
        <v/>
      </c>
      <c r="CH30" s="82" t="str">
        <f t="shared" si="8"/>
        <v/>
      </c>
      <c r="CI30" s="82" t="str">
        <f t="shared" si="9"/>
        <v/>
      </c>
      <c r="CJ30" s="82" t="str">
        <f t="shared" si="9"/>
        <v/>
      </c>
      <c r="CK30" s="82" t="str">
        <f t="shared" si="9"/>
        <v/>
      </c>
      <c r="CL30" s="82" t="str">
        <f t="shared" si="9"/>
        <v/>
      </c>
      <c r="CM30" s="82" t="str">
        <f t="shared" si="11"/>
        <v/>
      </c>
      <c r="CN30" s="82" t="str">
        <f t="shared" si="11"/>
        <v/>
      </c>
      <c r="CO30" s="82" t="str">
        <f t="shared" si="11"/>
        <v/>
      </c>
      <c r="CP30" s="82" t="str">
        <f t="shared" si="11"/>
        <v/>
      </c>
      <c r="CQ30" s="82" t="str">
        <f t="shared" si="11"/>
        <v/>
      </c>
      <c r="CR30" s="82" t="str">
        <f t="shared" si="11"/>
        <v/>
      </c>
      <c r="CS30" s="82" t="str">
        <f t="shared" si="11"/>
        <v/>
      </c>
      <c r="CT30" s="82" t="str">
        <f t="shared" si="11"/>
        <v/>
      </c>
      <c r="CU30" s="82" t="str">
        <f t="shared" si="11"/>
        <v/>
      </c>
      <c r="CV30" s="3"/>
    </row>
    <row r="31" spans="1:100">
      <c r="A31" s="41">
        <v>961178</v>
      </c>
      <c r="B31" s="1">
        <v>62</v>
      </c>
      <c r="C31" s="29" t="str">
        <f t="shared" si="4"/>
        <v>961178-62</v>
      </c>
      <c r="D31" s="28" t="s">
        <v>80</v>
      </c>
      <c r="E31" s="37" t="s">
        <v>83</v>
      </c>
      <c r="F31" s="31">
        <v>42458</v>
      </c>
      <c r="G31" s="38"/>
      <c r="H31" s="31">
        <v>42468</v>
      </c>
      <c r="I31" s="38">
        <v>30.9</v>
      </c>
      <c r="J31" s="40"/>
      <c r="K31" s="87">
        <v>28.9</v>
      </c>
      <c r="L31" s="93">
        <v>29.2</v>
      </c>
      <c r="M31" s="93">
        <v>30.9</v>
      </c>
      <c r="N31" s="93">
        <v>30.2</v>
      </c>
      <c r="O31" s="93">
        <v>30.1</v>
      </c>
      <c r="P31" s="93">
        <v>30.6</v>
      </c>
      <c r="Q31" s="93">
        <v>31.4</v>
      </c>
      <c r="R31" s="93">
        <v>30.6</v>
      </c>
      <c r="S31" s="93">
        <v>29.7</v>
      </c>
      <c r="T31" s="93">
        <v>29.8</v>
      </c>
      <c r="U31" s="50">
        <v>31.1</v>
      </c>
      <c r="V31" s="93">
        <v>29.3</v>
      </c>
      <c r="W31" s="93">
        <v>30.1</v>
      </c>
      <c r="X31" s="93">
        <v>29.5</v>
      </c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2"/>
      <c r="BD31" s="82">
        <f t="shared" si="10"/>
        <v>0.93527508090614886</v>
      </c>
      <c r="BE31" s="82">
        <f t="shared" si="10"/>
        <v>0.94498381877022652</v>
      </c>
      <c r="BF31" s="82">
        <f t="shared" si="10"/>
        <v>1</v>
      </c>
      <c r="BG31" s="82">
        <f t="shared" si="10"/>
        <v>0.97734627831715215</v>
      </c>
      <c r="BH31" s="82">
        <f t="shared" si="10"/>
        <v>0.97411003236245963</v>
      </c>
      <c r="BI31" s="82">
        <f t="shared" si="10"/>
        <v>0.99029126213592245</v>
      </c>
      <c r="BJ31" s="82">
        <f t="shared" si="10"/>
        <v>1.0161812297734627</v>
      </c>
      <c r="BK31" s="82">
        <f t="shared" si="10"/>
        <v>0.99029126213592245</v>
      </c>
      <c r="BL31" s="82">
        <f t="shared" si="10"/>
        <v>0.96116504854368934</v>
      </c>
      <c r="BM31" s="82">
        <f t="shared" si="10"/>
        <v>0.96440129449838197</v>
      </c>
      <c r="BN31" s="82">
        <f>IF(OR(ISERROR(U32/$I31)=TRUE,ISBLANK(U32)=TRUE),"",U32/$I31)</f>
        <v>0.89320388349514568</v>
      </c>
      <c r="BO31" s="82">
        <f t="shared" si="10"/>
        <v>0.94822006472491915</v>
      </c>
      <c r="BP31" s="82">
        <f t="shared" si="10"/>
        <v>0.97411003236245963</v>
      </c>
      <c r="BQ31" s="82">
        <f t="shared" si="10"/>
        <v>0.9546925566343043</v>
      </c>
      <c r="BR31" s="82" t="str">
        <f t="shared" si="10"/>
        <v/>
      </c>
      <c r="BS31" s="82" t="str">
        <f t="shared" si="8"/>
        <v/>
      </c>
      <c r="BT31" s="82" t="str">
        <f t="shared" si="8"/>
        <v/>
      </c>
      <c r="BU31" s="82" t="str">
        <f t="shared" si="8"/>
        <v/>
      </c>
      <c r="BV31" s="82" t="str">
        <f t="shared" si="8"/>
        <v/>
      </c>
      <c r="BW31" s="82" t="str">
        <f t="shared" si="8"/>
        <v/>
      </c>
      <c r="BX31" s="82" t="str">
        <f t="shared" si="8"/>
        <v/>
      </c>
      <c r="BY31" s="82" t="str">
        <f t="shared" si="8"/>
        <v/>
      </c>
      <c r="BZ31" s="82" t="str">
        <f t="shared" si="8"/>
        <v/>
      </c>
      <c r="CA31" s="82" t="str">
        <f t="shared" si="8"/>
        <v/>
      </c>
      <c r="CB31" s="82" t="str">
        <f t="shared" si="8"/>
        <v/>
      </c>
      <c r="CC31" s="82" t="str">
        <f t="shared" si="8"/>
        <v/>
      </c>
      <c r="CD31" s="82" t="str">
        <f t="shared" si="8"/>
        <v/>
      </c>
      <c r="CE31" s="82" t="str">
        <f t="shared" si="8"/>
        <v/>
      </c>
      <c r="CF31" s="82" t="str">
        <f t="shared" si="8"/>
        <v/>
      </c>
      <c r="CG31" s="82" t="str">
        <f t="shared" si="8"/>
        <v/>
      </c>
      <c r="CH31" s="82" t="str">
        <f t="shared" si="8"/>
        <v/>
      </c>
      <c r="CI31" s="82" t="str">
        <f t="shared" si="9"/>
        <v/>
      </c>
      <c r="CJ31" s="82" t="str">
        <f t="shared" si="9"/>
        <v/>
      </c>
      <c r="CK31" s="82" t="str">
        <f t="shared" si="9"/>
        <v/>
      </c>
      <c r="CL31" s="82" t="str">
        <f t="shared" si="9"/>
        <v/>
      </c>
      <c r="CM31" s="82" t="str">
        <f t="shared" si="11"/>
        <v/>
      </c>
      <c r="CN31" s="82" t="str">
        <f t="shared" si="11"/>
        <v/>
      </c>
      <c r="CO31" s="82" t="str">
        <f t="shared" si="11"/>
        <v/>
      </c>
      <c r="CP31" s="82" t="str">
        <f t="shared" si="11"/>
        <v/>
      </c>
      <c r="CQ31" s="82" t="str">
        <f t="shared" si="11"/>
        <v/>
      </c>
      <c r="CR31" s="82" t="str">
        <f t="shared" si="11"/>
        <v/>
      </c>
      <c r="CS31" s="82" t="str">
        <f t="shared" si="11"/>
        <v/>
      </c>
      <c r="CT31" s="82" t="str">
        <f t="shared" si="11"/>
        <v/>
      </c>
      <c r="CU31" s="82" t="str">
        <f t="shared" si="11"/>
        <v/>
      </c>
      <c r="CV31" s="3"/>
    </row>
    <row r="32" spans="1:100">
      <c r="A32" s="41">
        <v>961178</v>
      </c>
      <c r="B32" s="1">
        <v>63</v>
      </c>
      <c r="C32" s="29" t="str">
        <f t="shared" si="4"/>
        <v>961178-63</v>
      </c>
      <c r="D32" s="28" t="s">
        <v>80</v>
      </c>
      <c r="E32" s="37" t="s">
        <v>90</v>
      </c>
      <c r="F32" s="31">
        <v>42458</v>
      </c>
      <c r="G32" s="38"/>
      <c r="H32" s="31">
        <v>42468</v>
      </c>
      <c r="I32" s="38">
        <v>26.8</v>
      </c>
      <c r="J32" s="40"/>
      <c r="K32" s="87">
        <v>25.6</v>
      </c>
      <c r="L32" s="93">
        <v>26</v>
      </c>
      <c r="M32" s="93">
        <v>26.8</v>
      </c>
      <c r="N32" s="93">
        <v>27.1</v>
      </c>
      <c r="O32" s="93">
        <v>26.3</v>
      </c>
      <c r="P32" s="93">
        <v>27.3</v>
      </c>
      <c r="Q32" s="93">
        <v>28.3</v>
      </c>
      <c r="R32" s="93">
        <v>27.3</v>
      </c>
      <c r="S32" s="93">
        <v>26.5</v>
      </c>
      <c r="T32" s="93">
        <v>26.6</v>
      </c>
      <c r="U32" s="93">
        <v>27.6</v>
      </c>
      <c r="V32" s="93">
        <v>26</v>
      </c>
      <c r="W32" s="93">
        <v>26.8</v>
      </c>
      <c r="X32" s="93">
        <v>26.5</v>
      </c>
      <c r="Y32" s="93">
        <v>26.4</v>
      </c>
      <c r="Z32" s="93">
        <v>26.1</v>
      </c>
      <c r="AA32" s="93">
        <v>25.7</v>
      </c>
      <c r="AB32" s="93">
        <v>26.1</v>
      </c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2"/>
      <c r="BD32" s="82">
        <f t="shared" si="10"/>
        <v>0.95522388059701491</v>
      </c>
      <c r="BE32" s="82">
        <f t="shared" si="10"/>
        <v>0.97014925373134331</v>
      </c>
      <c r="BF32" s="82">
        <f t="shared" si="10"/>
        <v>1</v>
      </c>
      <c r="BG32" s="82">
        <f t="shared" si="10"/>
        <v>1.0111940298507462</v>
      </c>
      <c r="BH32" s="82">
        <f t="shared" si="10"/>
        <v>0.98134328358208955</v>
      </c>
      <c r="BI32" s="82">
        <f t="shared" si="10"/>
        <v>1.0186567164179106</v>
      </c>
      <c r="BJ32" s="82">
        <f t="shared" si="10"/>
        <v>1.0559701492537314</v>
      </c>
      <c r="BK32" s="82">
        <f t="shared" si="10"/>
        <v>1.0186567164179106</v>
      </c>
      <c r="BL32" s="82">
        <f t="shared" si="10"/>
        <v>0.98880597014925375</v>
      </c>
      <c r="BM32" s="82">
        <f t="shared" si="10"/>
        <v>0.9925373134328358</v>
      </c>
      <c r="BN32" s="82">
        <f>IF(OR(ISERROR(U33/$I32)=TRUE,ISBLANK(U33)=TRUE),"",U33/$I32)</f>
        <v>1.1791044776119404</v>
      </c>
      <c r="BO32" s="82">
        <f t="shared" si="10"/>
        <v>0.97014925373134331</v>
      </c>
      <c r="BP32" s="82">
        <f t="shared" si="10"/>
        <v>1</v>
      </c>
      <c r="BQ32" s="82">
        <f t="shared" si="10"/>
        <v>0.98880597014925375</v>
      </c>
      <c r="BR32" s="82">
        <f t="shared" si="10"/>
        <v>0.9850746268656716</v>
      </c>
      <c r="BS32" s="82">
        <f t="shared" si="8"/>
        <v>0.97388059701492535</v>
      </c>
      <c r="BT32" s="82">
        <f t="shared" si="8"/>
        <v>0.95895522388059695</v>
      </c>
      <c r="BU32" s="82">
        <f t="shared" si="8"/>
        <v>0.97388059701492535</v>
      </c>
      <c r="BV32" s="82" t="str">
        <f t="shared" si="8"/>
        <v/>
      </c>
      <c r="BW32" s="82" t="str">
        <f t="shared" si="8"/>
        <v/>
      </c>
      <c r="BX32" s="82" t="str">
        <f t="shared" si="8"/>
        <v/>
      </c>
      <c r="BY32" s="82" t="str">
        <f t="shared" si="8"/>
        <v/>
      </c>
      <c r="BZ32" s="82" t="str">
        <f t="shared" si="8"/>
        <v/>
      </c>
      <c r="CA32" s="82" t="str">
        <f t="shared" si="8"/>
        <v/>
      </c>
      <c r="CB32" s="82" t="str">
        <f t="shared" si="8"/>
        <v/>
      </c>
      <c r="CC32" s="82" t="str">
        <f t="shared" si="8"/>
        <v/>
      </c>
      <c r="CD32" s="82" t="str">
        <f t="shared" si="8"/>
        <v/>
      </c>
      <c r="CE32" s="82" t="str">
        <f t="shared" si="8"/>
        <v/>
      </c>
      <c r="CF32" s="82" t="str">
        <f t="shared" si="8"/>
        <v/>
      </c>
      <c r="CG32" s="82" t="str">
        <f t="shared" si="8"/>
        <v/>
      </c>
      <c r="CH32" s="82" t="str">
        <f t="shared" si="8"/>
        <v/>
      </c>
      <c r="CI32" s="82" t="str">
        <f t="shared" si="9"/>
        <v/>
      </c>
      <c r="CJ32" s="82" t="str">
        <f t="shared" si="9"/>
        <v/>
      </c>
      <c r="CK32" s="82" t="str">
        <f t="shared" si="9"/>
        <v/>
      </c>
      <c r="CL32" s="82" t="str">
        <f t="shared" si="9"/>
        <v/>
      </c>
      <c r="CM32" s="82" t="str">
        <f t="shared" si="11"/>
        <v/>
      </c>
      <c r="CN32" s="82" t="str">
        <f t="shared" si="11"/>
        <v/>
      </c>
      <c r="CO32" s="82" t="str">
        <f t="shared" si="11"/>
        <v/>
      </c>
      <c r="CP32" s="82" t="str">
        <f t="shared" si="11"/>
        <v/>
      </c>
      <c r="CQ32" s="82" t="str">
        <f t="shared" si="11"/>
        <v/>
      </c>
      <c r="CR32" s="82" t="str">
        <f t="shared" si="11"/>
        <v/>
      </c>
      <c r="CS32" s="82" t="str">
        <f t="shared" si="11"/>
        <v/>
      </c>
      <c r="CT32" s="82" t="str">
        <f t="shared" si="11"/>
        <v/>
      </c>
      <c r="CU32" s="82" t="str">
        <f t="shared" si="11"/>
        <v/>
      </c>
      <c r="CV32" s="3"/>
    </row>
    <row r="33" spans="1:100">
      <c r="A33" s="41">
        <v>961178</v>
      </c>
      <c r="B33" s="1">
        <v>64</v>
      </c>
      <c r="C33" s="29" t="str">
        <f t="shared" si="4"/>
        <v>961178-64</v>
      </c>
      <c r="D33" s="28" t="s">
        <v>80</v>
      </c>
      <c r="E33" s="37" t="s">
        <v>89</v>
      </c>
      <c r="F33" s="31">
        <v>42458</v>
      </c>
      <c r="G33" s="38"/>
      <c r="H33" s="31">
        <v>42468</v>
      </c>
      <c r="I33" s="38">
        <v>30.5</v>
      </c>
      <c r="J33" s="40"/>
      <c r="K33" s="87">
        <v>29.3</v>
      </c>
      <c r="L33" s="93">
        <v>29.9</v>
      </c>
      <c r="M33" s="93">
        <v>30.5</v>
      </c>
      <c r="N33" s="93">
        <v>29.9</v>
      </c>
      <c r="O33" s="93">
        <v>29.6</v>
      </c>
      <c r="P33" s="93">
        <v>30.4</v>
      </c>
      <c r="Q33" s="93">
        <v>31.2</v>
      </c>
      <c r="R33" s="93">
        <v>30.6</v>
      </c>
      <c r="S33" s="93">
        <v>30</v>
      </c>
      <c r="T33" s="93">
        <v>30.6</v>
      </c>
      <c r="U33" s="93">
        <v>31.6</v>
      </c>
      <c r="V33" s="93">
        <v>30.4</v>
      </c>
      <c r="W33" s="93">
        <v>31.5</v>
      </c>
      <c r="X33" s="93">
        <v>30.5</v>
      </c>
      <c r="Y33" s="93">
        <v>30.1</v>
      </c>
      <c r="Z33" s="93">
        <v>29.5</v>
      </c>
      <c r="AA33" s="93">
        <v>28.9</v>
      </c>
      <c r="AB33" s="93">
        <v>30.1</v>
      </c>
      <c r="AC33" s="93">
        <v>30.1</v>
      </c>
      <c r="AD33" s="93">
        <v>32.1</v>
      </c>
      <c r="AE33" s="93">
        <v>31.4</v>
      </c>
      <c r="AF33" s="93">
        <v>32.1</v>
      </c>
      <c r="AG33" s="93">
        <v>31.5</v>
      </c>
      <c r="AH33" s="93">
        <v>31.9</v>
      </c>
      <c r="AI33" s="93">
        <v>30</v>
      </c>
      <c r="AJ33" s="93">
        <v>30</v>
      </c>
      <c r="AK33" s="93">
        <v>29</v>
      </c>
      <c r="AL33" s="93">
        <v>29.6</v>
      </c>
      <c r="AM33" s="93">
        <v>31.1</v>
      </c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2"/>
      <c r="BD33" s="82">
        <f t="shared" si="10"/>
        <v>0.96065573770491808</v>
      </c>
      <c r="BE33" s="82">
        <f t="shared" si="10"/>
        <v>0.98032786885245893</v>
      </c>
      <c r="BF33" s="82">
        <f t="shared" si="10"/>
        <v>1</v>
      </c>
      <c r="BG33" s="82">
        <f t="shared" si="10"/>
        <v>0.98032786885245893</v>
      </c>
      <c r="BH33" s="82">
        <f t="shared" si="10"/>
        <v>0.97049180327868856</v>
      </c>
      <c r="BI33" s="82">
        <f t="shared" si="10"/>
        <v>0.99672131147540977</v>
      </c>
      <c r="BJ33" s="82">
        <f t="shared" si="10"/>
        <v>1.0229508196721311</v>
      </c>
      <c r="BK33" s="82">
        <f t="shared" si="10"/>
        <v>1.0032786885245901</v>
      </c>
      <c r="BL33" s="82">
        <f t="shared" si="10"/>
        <v>0.98360655737704916</v>
      </c>
      <c r="BM33" s="82">
        <f t="shared" si="10"/>
        <v>1.0032786885245901</v>
      </c>
      <c r="BN33" s="82">
        <f>IF(OR(ISERROR(U34/$I33)=TRUE,ISBLANK(U34)=TRUE),"",U34/$I33)</f>
        <v>1.0852459016393443</v>
      </c>
      <c r="BO33" s="82">
        <f t="shared" si="10"/>
        <v>0.99672131147540977</v>
      </c>
      <c r="BP33" s="82">
        <f t="shared" si="10"/>
        <v>1.0327868852459017</v>
      </c>
      <c r="BQ33" s="82">
        <f t="shared" si="10"/>
        <v>1</v>
      </c>
      <c r="BR33" s="82">
        <f t="shared" si="10"/>
        <v>0.9868852459016394</v>
      </c>
      <c r="BS33" s="82">
        <f t="shared" si="8"/>
        <v>0.96721311475409832</v>
      </c>
      <c r="BT33" s="82">
        <f t="shared" si="8"/>
        <v>0.94754098360655736</v>
      </c>
      <c r="BU33" s="82">
        <f t="shared" si="8"/>
        <v>0.9868852459016394</v>
      </c>
      <c r="BV33" s="82">
        <f t="shared" si="8"/>
        <v>0.9868852459016394</v>
      </c>
      <c r="BW33" s="82">
        <f t="shared" si="8"/>
        <v>1.0524590163934426</v>
      </c>
      <c r="BX33" s="82">
        <f t="shared" si="8"/>
        <v>1.0295081967213113</v>
      </c>
      <c r="BY33" s="82">
        <f t="shared" si="8"/>
        <v>1.0524590163934426</v>
      </c>
      <c r="BZ33" s="82">
        <f t="shared" si="8"/>
        <v>1.0327868852459017</v>
      </c>
      <c r="CA33" s="82">
        <f t="shared" si="8"/>
        <v>1.0459016393442622</v>
      </c>
      <c r="CB33" s="82">
        <f t="shared" si="8"/>
        <v>0.98360655737704916</v>
      </c>
      <c r="CC33" s="82">
        <f t="shared" si="8"/>
        <v>0.98360655737704916</v>
      </c>
      <c r="CD33" s="82">
        <f t="shared" si="8"/>
        <v>0.95081967213114749</v>
      </c>
      <c r="CE33" s="82">
        <f t="shared" si="8"/>
        <v>0.97049180327868856</v>
      </c>
      <c r="CF33" s="82">
        <f t="shared" si="8"/>
        <v>1.019672131147541</v>
      </c>
      <c r="CG33" s="82" t="str">
        <f t="shared" si="8"/>
        <v/>
      </c>
      <c r="CH33" s="82" t="str">
        <f t="shared" si="8"/>
        <v/>
      </c>
      <c r="CI33" s="82" t="str">
        <f t="shared" si="9"/>
        <v/>
      </c>
      <c r="CJ33" s="82" t="str">
        <f t="shared" si="9"/>
        <v/>
      </c>
      <c r="CK33" s="82" t="str">
        <f t="shared" si="9"/>
        <v/>
      </c>
      <c r="CL33" s="82" t="str">
        <f t="shared" si="9"/>
        <v/>
      </c>
      <c r="CM33" s="82" t="str">
        <f t="shared" si="11"/>
        <v/>
      </c>
      <c r="CN33" s="82" t="str">
        <f t="shared" si="11"/>
        <v/>
      </c>
      <c r="CO33" s="82" t="str">
        <f t="shared" si="11"/>
        <v/>
      </c>
      <c r="CP33" s="82" t="str">
        <f t="shared" si="11"/>
        <v/>
      </c>
      <c r="CQ33" s="82" t="str">
        <f t="shared" si="11"/>
        <v/>
      </c>
      <c r="CR33" s="82" t="str">
        <f t="shared" si="11"/>
        <v/>
      </c>
      <c r="CS33" s="82" t="str">
        <f t="shared" si="11"/>
        <v/>
      </c>
      <c r="CT33" s="82" t="str">
        <f t="shared" si="11"/>
        <v/>
      </c>
      <c r="CU33" s="82" t="str">
        <f t="shared" si="11"/>
        <v/>
      </c>
      <c r="CV33" s="3"/>
    </row>
    <row r="34" spans="1:100">
      <c r="A34" s="41">
        <v>961178</v>
      </c>
      <c r="B34" s="1">
        <v>65</v>
      </c>
      <c r="C34" s="29" t="str">
        <f t="shared" si="4"/>
        <v>961178-65</v>
      </c>
      <c r="D34" s="28" t="s">
        <v>80</v>
      </c>
      <c r="E34" s="37" t="s">
        <v>83</v>
      </c>
      <c r="F34" s="31">
        <v>42458</v>
      </c>
      <c r="G34" s="38"/>
      <c r="H34" s="31">
        <v>42468</v>
      </c>
      <c r="I34" s="38">
        <v>32.200000000000003</v>
      </c>
      <c r="J34" s="40"/>
      <c r="K34" s="87">
        <v>30.5</v>
      </c>
      <c r="L34" s="93">
        <v>30.8</v>
      </c>
      <c r="M34" s="93">
        <v>32.200000000000003</v>
      </c>
      <c r="N34" s="93">
        <v>31.3</v>
      </c>
      <c r="O34" s="93">
        <v>30.9</v>
      </c>
      <c r="P34" s="93">
        <v>32.6</v>
      </c>
      <c r="Q34" s="93">
        <v>32.6</v>
      </c>
      <c r="R34" s="93">
        <v>32</v>
      </c>
      <c r="S34" s="93">
        <v>32.1</v>
      </c>
      <c r="T34" s="93">
        <v>32.4</v>
      </c>
      <c r="U34" s="93">
        <v>33.1</v>
      </c>
      <c r="V34" s="93">
        <v>31</v>
      </c>
      <c r="W34" s="93">
        <v>31.8</v>
      </c>
      <c r="X34" s="93">
        <v>31.4</v>
      </c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2"/>
      <c r="BD34" s="82">
        <f t="shared" si="10"/>
        <v>0.94720496894409933</v>
      </c>
      <c r="BE34" s="82">
        <f t="shared" si="10"/>
        <v>0.9565217391304347</v>
      </c>
      <c r="BF34" s="82">
        <f t="shared" si="10"/>
        <v>1</v>
      </c>
      <c r="BG34" s="82">
        <f t="shared" si="10"/>
        <v>0.97204968944099368</v>
      </c>
      <c r="BH34" s="82">
        <f t="shared" si="10"/>
        <v>0.95962732919254645</v>
      </c>
      <c r="BI34" s="82">
        <f t="shared" si="10"/>
        <v>1.0124223602484472</v>
      </c>
      <c r="BJ34" s="82">
        <f t="shared" si="10"/>
        <v>1.0124223602484472</v>
      </c>
      <c r="BK34" s="82">
        <f t="shared" si="10"/>
        <v>0.99378881987577627</v>
      </c>
      <c r="BL34" s="82">
        <f t="shared" si="10"/>
        <v>0.99689440993788814</v>
      </c>
      <c r="BM34" s="82">
        <f t="shared" si="10"/>
        <v>1.0062111801242235</v>
      </c>
      <c r="BN34" s="82">
        <f>IF(OR(ISERROR(U35/$I34)=TRUE,ISBLANK(U35)=TRUE),"",U35/$I34)</f>
        <v>0.92546583850931674</v>
      </c>
      <c r="BO34" s="82">
        <f t="shared" si="10"/>
        <v>0.96273291925465831</v>
      </c>
      <c r="BP34" s="82">
        <f t="shared" si="10"/>
        <v>0.98757763975155277</v>
      </c>
      <c r="BQ34" s="82">
        <f t="shared" si="10"/>
        <v>0.97515527950310543</v>
      </c>
      <c r="BR34" s="82" t="str">
        <f t="shared" si="10"/>
        <v/>
      </c>
      <c r="BS34" s="82" t="str">
        <f t="shared" si="8"/>
        <v/>
      </c>
      <c r="BT34" s="82" t="str">
        <f t="shared" si="8"/>
        <v/>
      </c>
      <c r="BU34" s="82" t="str">
        <f t="shared" si="8"/>
        <v/>
      </c>
      <c r="BV34" s="82" t="str">
        <f t="shared" si="8"/>
        <v/>
      </c>
      <c r="BW34" s="82" t="str">
        <f t="shared" si="8"/>
        <v/>
      </c>
      <c r="BX34" s="82" t="str">
        <f t="shared" si="8"/>
        <v/>
      </c>
      <c r="BY34" s="82" t="str">
        <f t="shared" si="8"/>
        <v/>
      </c>
      <c r="BZ34" s="82" t="str">
        <f t="shared" si="8"/>
        <v/>
      </c>
      <c r="CA34" s="82" t="str">
        <f t="shared" si="8"/>
        <v/>
      </c>
      <c r="CB34" s="82" t="str">
        <f t="shared" si="8"/>
        <v/>
      </c>
      <c r="CC34" s="82" t="str">
        <f t="shared" si="8"/>
        <v/>
      </c>
      <c r="CD34" s="82" t="str">
        <f t="shared" si="8"/>
        <v/>
      </c>
      <c r="CE34" s="82" t="str">
        <f t="shared" si="8"/>
        <v/>
      </c>
      <c r="CF34" s="82" t="str">
        <f t="shared" si="8"/>
        <v/>
      </c>
      <c r="CG34" s="82" t="str">
        <f t="shared" si="8"/>
        <v/>
      </c>
      <c r="CH34" s="82" t="str">
        <f t="shared" si="8"/>
        <v/>
      </c>
      <c r="CI34" s="82" t="str">
        <f t="shared" si="9"/>
        <v/>
      </c>
      <c r="CJ34" s="82" t="str">
        <f t="shared" si="9"/>
        <v/>
      </c>
      <c r="CK34" s="82" t="str">
        <f t="shared" si="9"/>
        <v/>
      </c>
      <c r="CL34" s="82" t="str">
        <f t="shared" si="9"/>
        <v/>
      </c>
      <c r="CM34" s="82" t="str">
        <f t="shared" si="11"/>
        <v/>
      </c>
      <c r="CN34" s="82" t="str">
        <f t="shared" si="11"/>
        <v/>
      </c>
      <c r="CO34" s="82" t="str">
        <f t="shared" si="11"/>
        <v/>
      </c>
      <c r="CP34" s="82" t="str">
        <f t="shared" si="11"/>
        <v/>
      </c>
      <c r="CQ34" s="82" t="str">
        <f t="shared" si="11"/>
        <v/>
      </c>
      <c r="CR34" s="82" t="str">
        <f t="shared" si="11"/>
        <v/>
      </c>
      <c r="CS34" s="82" t="str">
        <f t="shared" si="11"/>
        <v/>
      </c>
      <c r="CT34" s="82" t="str">
        <f t="shared" si="11"/>
        <v/>
      </c>
      <c r="CU34" s="82" t="str">
        <f t="shared" si="11"/>
        <v/>
      </c>
      <c r="CV34" s="3"/>
    </row>
    <row r="35" spans="1:100">
      <c r="A35" s="41">
        <v>975075</v>
      </c>
      <c r="B35" s="1">
        <v>71</v>
      </c>
      <c r="C35" s="29" t="str">
        <f t="shared" si="4"/>
        <v>975075-71</v>
      </c>
      <c r="D35" s="28" t="s">
        <v>80</v>
      </c>
      <c r="E35" s="37" t="s">
        <v>87</v>
      </c>
      <c r="F35" s="31">
        <v>42458</v>
      </c>
      <c r="G35" s="38"/>
      <c r="H35" s="31">
        <v>42468</v>
      </c>
      <c r="I35" s="38">
        <v>29.7</v>
      </c>
      <c r="J35" s="40"/>
      <c r="K35" s="87">
        <v>29.2</v>
      </c>
      <c r="L35" s="93">
        <v>29.6</v>
      </c>
      <c r="M35" s="93">
        <v>29.7</v>
      </c>
      <c r="N35" s="93">
        <v>29.1</v>
      </c>
      <c r="O35" s="93">
        <v>28.7</v>
      </c>
      <c r="P35" s="93">
        <v>29.5</v>
      </c>
      <c r="Q35" s="93">
        <v>29.7</v>
      </c>
      <c r="R35" s="93">
        <v>29.2</v>
      </c>
      <c r="S35" s="93">
        <v>29.7</v>
      </c>
      <c r="T35" s="93">
        <v>29.7</v>
      </c>
      <c r="U35" s="93">
        <v>29.8</v>
      </c>
      <c r="V35" s="93">
        <v>29.1</v>
      </c>
      <c r="W35" s="93">
        <v>29.3</v>
      </c>
      <c r="X35" s="93">
        <v>28.9</v>
      </c>
      <c r="Y35" s="93">
        <v>29</v>
      </c>
      <c r="Z35" s="93">
        <v>28.9</v>
      </c>
      <c r="AA35" s="93">
        <v>29.1</v>
      </c>
      <c r="AB35" s="93">
        <v>29.5</v>
      </c>
      <c r="AC35" s="93">
        <v>29.6</v>
      </c>
      <c r="AD35" s="93">
        <v>30.3</v>
      </c>
      <c r="AE35" s="93">
        <v>29.7</v>
      </c>
      <c r="AF35" s="93">
        <v>30.3</v>
      </c>
      <c r="AG35" s="93">
        <v>29.7</v>
      </c>
      <c r="AH35" s="93">
        <v>30.8</v>
      </c>
      <c r="AI35" s="93">
        <v>30.5</v>
      </c>
      <c r="AJ35" s="93">
        <v>30.9</v>
      </c>
      <c r="AK35" s="93">
        <v>31.3</v>
      </c>
      <c r="AL35" s="93">
        <v>31.1</v>
      </c>
      <c r="AM35" s="93">
        <v>30.9</v>
      </c>
      <c r="AN35" s="93">
        <v>32</v>
      </c>
      <c r="AO35" s="93">
        <f>31.7</f>
        <v>31.7</v>
      </c>
      <c r="AP35" s="93">
        <v>31.1</v>
      </c>
      <c r="AQ35" s="93">
        <v>31.1</v>
      </c>
      <c r="AR35" s="93">
        <v>31.8</v>
      </c>
      <c r="AS35" s="93">
        <v>31.2</v>
      </c>
      <c r="AT35" s="93">
        <v>32.299999999999997</v>
      </c>
      <c r="AU35" s="93">
        <v>32</v>
      </c>
      <c r="AV35" s="93">
        <v>31.7</v>
      </c>
      <c r="AW35" s="93">
        <v>32.1</v>
      </c>
      <c r="AX35" s="93">
        <v>32.5</v>
      </c>
      <c r="AY35" s="93"/>
      <c r="AZ35" s="93"/>
      <c r="BA35" s="93"/>
      <c r="BB35" s="93"/>
      <c r="BC35" s="2"/>
      <c r="BD35" s="82">
        <f t="shared" si="10"/>
        <v>0.98316498316498313</v>
      </c>
      <c r="BE35" s="82">
        <f t="shared" si="10"/>
        <v>0.99663299663299676</v>
      </c>
      <c r="BF35" s="82">
        <f t="shared" si="10"/>
        <v>1</v>
      </c>
      <c r="BG35" s="82">
        <f t="shared" si="10"/>
        <v>0.97979797979797989</v>
      </c>
      <c r="BH35" s="82">
        <f t="shared" si="10"/>
        <v>0.96632996632996637</v>
      </c>
      <c r="BI35" s="82">
        <f t="shared" si="10"/>
        <v>0.9932659932659933</v>
      </c>
      <c r="BJ35" s="82">
        <f t="shared" si="10"/>
        <v>1</v>
      </c>
      <c r="BK35" s="82">
        <f t="shared" si="10"/>
        <v>0.98316498316498313</v>
      </c>
      <c r="BL35" s="82">
        <f t="shared" si="10"/>
        <v>1</v>
      </c>
      <c r="BM35" s="82">
        <f t="shared" si="10"/>
        <v>1</v>
      </c>
      <c r="BN35" s="82">
        <f>IF(OR(ISERROR(U36/$I35)=TRUE,ISBLANK(U36)=TRUE),"",U36/$I35)</f>
        <v>0.96632996632996637</v>
      </c>
      <c r="BO35" s="82">
        <f t="shared" si="10"/>
        <v>0.97979797979797989</v>
      </c>
      <c r="BP35" s="82">
        <f t="shared" si="10"/>
        <v>0.98653198653198659</v>
      </c>
      <c r="BQ35" s="82">
        <f t="shared" si="10"/>
        <v>0.97306397306397308</v>
      </c>
      <c r="BR35" s="82">
        <f t="shared" si="10"/>
        <v>0.97643097643097643</v>
      </c>
      <c r="BS35" s="82">
        <f t="shared" si="8"/>
        <v>0.97306397306397308</v>
      </c>
      <c r="BT35" s="82">
        <f t="shared" si="8"/>
        <v>0.97979797979797989</v>
      </c>
      <c r="BU35" s="82">
        <f t="shared" si="8"/>
        <v>0.9932659932659933</v>
      </c>
      <c r="BV35" s="82">
        <f t="shared" si="8"/>
        <v>0.99663299663299676</v>
      </c>
      <c r="BW35" s="82">
        <f t="shared" si="8"/>
        <v>1.0202020202020203</v>
      </c>
      <c r="BX35" s="82">
        <f t="shared" si="8"/>
        <v>1</v>
      </c>
      <c r="BY35" s="82">
        <f t="shared" si="8"/>
        <v>1.0202020202020203</v>
      </c>
      <c r="BZ35" s="82">
        <f t="shared" si="8"/>
        <v>1</v>
      </c>
      <c r="CA35" s="82">
        <f t="shared" si="8"/>
        <v>1.037037037037037</v>
      </c>
      <c r="CB35" s="82">
        <f t="shared" si="8"/>
        <v>1.026936026936027</v>
      </c>
      <c r="CC35" s="82">
        <f t="shared" si="8"/>
        <v>1.0404040404040404</v>
      </c>
      <c r="CD35" s="82">
        <f t="shared" si="8"/>
        <v>1.0538720538720538</v>
      </c>
      <c r="CE35" s="82">
        <f t="shared" si="8"/>
        <v>1.0471380471380471</v>
      </c>
      <c r="CF35" s="82">
        <f t="shared" si="8"/>
        <v>1.0404040404040404</v>
      </c>
      <c r="CG35" s="82">
        <f t="shared" si="8"/>
        <v>1.0774410774410774</v>
      </c>
      <c r="CH35" s="82">
        <f t="shared" si="8"/>
        <v>1.0673400673400673</v>
      </c>
      <c r="CI35" s="82">
        <f t="shared" si="9"/>
        <v>1.0471380471380471</v>
      </c>
      <c r="CJ35" s="82">
        <f t="shared" si="9"/>
        <v>1.0471380471380471</v>
      </c>
      <c r="CK35" s="82">
        <f t="shared" si="9"/>
        <v>1.0707070707070707</v>
      </c>
      <c r="CL35" s="82">
        <f t="shared" si="9"/>
        <v>1.0505050505050506</v>
      </c>
      <c r="CM35" s="82">
        <f t="shared" si="11"/>
        <v>1.0875420875420874</v>
      </c>
      <c r="CN35" s="82">
        <f t="shared" si="11"/>
        <v>1.0774410774410774</v>
      </c>
      <c r="CO35" s="82">
        <f t="shared" si="11"/>
        <v>1.0673400673400673</v>
      </c>
      <c r="CP35" s="82">
        <f t="shared" si="11"/>
        <v>1.0808080808080809</v>
      </c>
      <c r="CQ35" s="82">
        <f t="shared" si="11"/>
        <v>1.0942760942760943</v>
      </c>
      <c r="CR35" s="82" t="str">
        <f t="shared" si="11"/>
        <v/>
      </c>
      <c r="CS35" s="82" t="str">
        <f t="shared" si="11"/>
        <v/>
      </c>
      <c r="CT35" s="82" t="str">
        <f t="shared" si="11"/>
        <v/>
      </c>
      <c r="CU35" s="82" t="str">
        <f t="shared" si="11"/>
        <v/>
      </c>
      <c r="CV35" s="3"/>
    </row>
    <row r="36" spans="1:100">
      <c r="A36" s="41">
        <v>975075</v>
      </c>
      <c r="B36" s="1">
        <v>72</v>
      </c>
      <c r="C36" s="29" t="str">
        <f t="shared" si="4"/>
        <v>975075-72</v>
      </c>
      <c r="D36" s="28" t="s">
        <v>80</v>
      </c>
      <c r="E36" s="37" t="s">
        <v>90</v>
      </c>
      <c r="F36" s="31">
        <v>42458</v>
      </c>
      <c r="G36" s="38"/>
      <c r="H36" s="31">
        <v>42468</v>
      </c>
      <c r="I36" s="38">
        <v>27.6</v>
      </c>
      <c r="J36" s="40"/>
      <c r="K36" s="87">
        <v>26.8</v>
      </c>
      <c r="L36" s="93">
        <v>27.2</v>
      </c>
      <c r="M36" s="93">
        <v>27.6</v>
      </c>
      <c r="N36" s="93">
        <v>27.8</v>
      </c>
      <c r="O36" s="93">
        <v>26.8</v>
      </c>
      <c r="P36" s="93">
        <v>27</v>
      </c>
      <c r="Q36" s="93">
        <v>27.7</v>
      </c>
      <c r="R36" s="93">
        <v>26.7</v>
      </c>
      <c r="S36" s="93">
        <v>27.4</v>
      </c>
      <c r="T36" s="93">
        <v>27.6</v>
      </c>
      <c r="U36" s="93">
        <v>28.7</v>
      </c>
      <c r="V36" s="93">
        <v>27.3</v>
      </c>
      <c r="W36" s="93">
        <v>27.7</v>
      </c>
      <c r="X36" s="93">
        <v>27.5</v>
      </c>
      <c r="Y36" s="93">
        <v>27.7</v>
      </c>
      <c r="Z36" s="93">
        <v>27.2</v>
      </c>
      <c r="AA36" s="93">
        <v>26.6</v>
      </c>
      <c r="AB36" s="93">
        <v>27.2</v>
      </c>
      <c r="AC36" s="93">
        <v>27.5</v>
      </c>
      <c r="AD36" s="93">
        <v>28.5</v>
      </c>
      <c r="AE36" s="93">
        <v>27.8</v>
      </c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2"/>
      <c r="BD36" s="82">
        <f t="shared" si="10"/>
        <v>0.97101449275362317</v>
      </c>
      <c r="BE36" s="82">
        <f t="shared" si="10"/>
        <v>0.98550724637681153</v>
      </c>
      <c r="BF36" s="82">
        <f t="shared" si="10"/>
        <v>1</v>
      </c>
      <c r="BG36" s="82">
        <f t="shared" si="10"/>
        <v>1.0072463768115942</v>
      </c>
      <c r="BH36" s="82">
        <f t="shared" si="10"/>
        <v>0.97101449275362317</v>
      </c>
      <c r="BI36" s="82">
        <f t="shared" si="10"/>
        <v>0.97826086956521729</v>
      </c>
      <c r="BJ36" s="82">
        <f t="shared" si="10"/>
        <v>1.0036231884057971</v>
      </c>
      <c r="BK36" s="82">
        <f t="shared" si="10"/>
        <v>0.96739130434782605</v>
      </c>
      <c r="BL36" s="82">
        <f t="shared" si="10"/>
        <v>0.99275362318840565</v>
      </c>
      <c r="BM36" s="82">
        <f t="shared" si="10"/>
        <v>1</v>
      </c>
      <c r="BN36" s="82">
        <f t="shared" si="10"/>
        <v>1.0398550724637681</v>
      </c>
      <c r="BO36" s="82">
        <f t="shared" si="10"/>
        <v>0.98913043478260865</v>
      </c>
      <c r="BP36" s="82">
        <f t="shared" si="10"/>
        <v>1.0036231884057971</v>
      </c>
      <c r="BQ36" s="82">
        <f t="shared" si="10"/>
        <v>0.99637681159420288</v>
      </c>
      <c r="BR36" s="82">
        <f t="shared" si="10"/>
        <v>1.0036231884057971</v>
      </c>
      <c r="BS36" s="82">
        <f t="shared" si="8"/>
        <v>0.98550724637681153</v>
      </c>
      <c r="BT36" s="82">
        <f t="shared" si="8"/>
        <v>0.96376811594202894</v>
      </c>
      <c r="BU36" s="82">
        <f t="shared" si="8"/>
        <v>0.98550724637681153</v>
      </c>
      <c r="BV36" s="82">
        <f t="shared" si="8"/>
        <v>0.99637681159420288</v>
      </c>
      <c r="BW36" s="82">
        <f t="shared" si="8"/>
        <v>1.0326086956521738</v>
      </c>
      <c r="BX36" s="82">
        <f t="shared" si="8"/>
        <v>1.0072463768115942</v>
      </c>
      <c r="BY36" s="82" t="str">
        <f t="shared" si="8"/>
        <v/>
      </c>
      <c r="BZ36" s="82" t="str">
        <f t="shared" si="8"/>
        <v/>
      </c>
      <c r="CA36" s="82" t="str">
        <f t="shared" si="8"/>
        <v/>
      </c>
      <c r="CB36" s="82" t="str">
        <f t="shared" si="8"/>
        <v/>
      </c>
      <c r="CC36" s="82" t="str">
        <f t="shared" si="8"/>
        <v/>
      </c>
      <c r="CD36" s="82" t="str">
        <f t="shared" si="8"/>
        <v/>
      </c>
      <c r="CE36" s="82" t="str">
        <f t="shared" si="8"/>
        <v/>
      </c>
      <c r="CF36" s="82" t="str">
        <f t="shared" si="8"/>
        <v/>
      </c>
      <c r="CG36" s="82" t="str">
        <f t="shared" ref="CG36:CU53" si="12">IF(OR(ISERROR(AN36/$I36)=TRUE,ISBLANK(AN36)=TRUE),"",AN36/$I36)</f>
        <v/>
      </c>
      <c r="CH36" s="82" t="str">
        <f t="shared" si="12"/>
        <v/>
      </c>
      <c r="CI36" s="82" t="str">
        <f t="shared" si="9"/>
        <v/>
      </c>
      <c r="CJ36" s="82" t="str">
        <f t="shared" si="9"/>
        <v/>
      </c>
      <c r="CK36" s="82" t="str">
        <f t="shared" si="9"/>
        <v/>
      </c>
      <c r="CL36" s="82" t="str">
        <f t="shared" si="9"/>
        <v/>
      </c>
      <c r="CM36" s="82" t="str">
        <f t="shared" si="11"/>
        <v/>
      </c>
      <c r="CN36" s="82" t="str">
        <f t="shared" si="11"/>
        <v/>
      </c>
      <c r="CO36" s="82" t="str">
        <f t="shared" si="11"/>
        <v/>
      </c>
      <c r="CP36" s="82" t="str">
        <f t="shared" si="11"/>
        <v/>
      </c>
      <c r="CQ36" s="82" t="str">
        <f t="shared" si="11"/>
        <v/>
      </c>
      <c r="CR36" s="82" t="str">
        <f t="shared" si="11"/>
        <v/>
      </c>
      <c r="CS36" s="82" t="str">
        <f t="shared" si="11"/>
        <v/>
      </c>
      <c r="CT36" s="82" t="str">
        <f t="shared" si="11"/>
        <v/>
      </c>
      <c r="CU36" s="82" t="str">
        <f t="shared" si="11"/>
        <v/>
      </c>
      <c r="CV36" s="3"/>
    </row>
    <row r="37" spans="1:100">
      <c r="A37" s="41">
        <v>975075</v>
      </c>
      <c r="B37" s="1">
        <v>73</v>
      </c>
      <c r="C37" s="29" t="str">
        <f t="shared" si="4"/>
        <v>975075-73</v>
      </c>
      <c r="D37" s="28" t="s">
        <v>80</v>
      </c>
      <c r="E37" s="37" t="s">
        <v>87</v>
      </c>
      <c r="F37" s="31">
        <v>42458</v>
      </c>
      <c r="G37" s="38"/>
      <c r="H37" s="31">
        <v>42468</v>
      </c>
      <c r="I37" s="38">
        <v>28.4</v>
      </c>
      <c r="J37" s="40"/>
      <c r="K37" s="87">
        <v>27</v>
      </c>
      <c r="L37" s="93">
        <v>28.4</v>
      </c>
      <c r="M37" s="93">
        <v>28.4</v>
      </c>
      <c r="N37" s="93">
        <v>28.4</v>
      </c>
      <c r="O37" s="93">
        <v>28.1</v>
      </c>
      <c r="P37" s="93">
        <v>28.9</v>
      </c>
      <c r="Q37" s="93">
        <v>29.2</v>
      </c>
      <c r="R37" s="93">
        <v>27.8</v>
      </c>
      <c r="S37" s="93">
        <v>28.6</v>
      </c>
      <c r="T37" s="93">
        <v>28.1</v>
      </c>
      <c r="U37" s="93">
        <v>30.4</v>
      </c>
      <c r="V37" s="93">
        <v>28.2</v>
      </c>
      <c r="W37" s="93">
        <v>29.1</v>
      </c>
      <c r="X37" s="93">
        <v>29.1</v>
      </c>
      <c r="Y37" s="93">
        <v>28.6</v>
      </c>
      <c r="Z37" s="93">
        <v>28.2</v>
      </c>
      <c r="AA37" s="93">
        <v>28.2</v>
      </c>
      <c r="AB37" s="93">
        <v>29.2</v>
      </c>
      <c r="AC37" s="93">
        <v>28.6</v>
      </c>
      <c r="AD37" s="93">
        <v>29.7</v>
      </c>
      <c r="AE37" s="93">
        <v>29.2</v>
      </c>
      <c r="AF37" s="93">
        <v>29.6</v>
      </c>
      <c r="AG37" s="93">
        <v>28.5</v>
      </c>
      <c r="AH37" s="93">
        <v>29.5</v>
      </c>
      <c r="AI37" s="93">
        <v>29.1</v>
      </c>
      <c r="AJ37" s="93">
        <v>29.1</v>
      </c>
      <c r="AK37" s="93">
        <v>29.5</v>
      </c>
      <c r="AL37" s="93">
        <v>29.9</v>
      </c>
      <c r="AM37" s="93">
        <v>29.7</v>
      </c>
      <c r="AN37" s="93">
        <v>30.3</v>
      </c>
      <c r="AO37" s="93">
        <f>29.9</f>
        <v>29.9</v>
      </c>
      <c r="AP37" s="93">
        <v>29.5</v>
      </c>
      <c r="AQ37" s="93">
        <v>29.8</v>
      </c>
      <c r="AR37" s="93">
        <v>31.7</v>
      </c>
      <c r="AS37" s="93">
        <v>32</v>
      </c>
      <c r="AT37" s="93">
        <v>34</v>
      </c>
      <c r="AU37" s="93">
        <v>32.9</v>
      </c>
      <c r="AV37" s="93">
        <v>31.6</v>
      </c>
      <c r="AW37" s="93">
        <v>32.299999999999997</v>
      </c>
      <c r="AX37" s="93">
        <v>32.299999999999997</v>
      </c>
      <c r="AY37" s="93">
        <v>32.6</v>
      </c>
      <c r="AZ37" s="93"/>
      <c r="BA37" s="93"/>
      <c r="BB37" s="93"/>
      <c r="BC37" s="2"/>
      <c r="BD37" s="82">
        <f t="shared" si="10"/>
        <v>0.95070422535211274</v>
      </c>
      <c r="BE37" s="82">
        <f t="shared" si="10"/>
        <v>1</v>
      </c>
      <c r="BF37" s="82">
        <f t="shared" si="10"/>
        <v>1</v>
      </c>
      <c r="BG37" s="82">
        <f t="shared" si="10"/>
        <v>1</v>
      </c>
      <c r="BH37" s="82">
        <f t="shared" si="10"/>
        <v>0.98943661971830998</v>
      </c>
      <c r="BI37" s="82">
        <f t="shared" si="10"/>
        <v>1.017605633802817</v>
      </c>
      <c r="BJ37" s="82">
        <f t="shared" si="10"/>
        <v>1.028169014084507</v>
      </c>
      <c r="BK37" s="82">
        <f t="shared" si="10"/>
        <v>0.97887323943661975</v>
      </c>
      <c r="BL37" s="82">
        <f t="shared" si="10"/>
        <v>1.0070422535211268</v>
      </c>
      <c r="BM37" s="82">
        <f t="shared" si="10"/>
        <v>0.98943661971830998</v>
      </c>
      <c r="BN37" s="82">
        <f t="shared" si="10"/>
        <v>1.0704225352112675</v>
      </c>
      <c r="BO37" s="82">
        <f t="shared" si="10"/>
        <v>0.99295774647887325</v>
      </c>
      <c r="BP37" s="82">
        <f t="shared" si="10"/>
        <v>1.0246478873239437</v>
      </c>
      <c r="BQ37" s="82">
        <f t="shared" si="10"/>
        <v>1.0246478873239437</v>
      </c>
      <c r="BR37" s="82">
        <f t="shared" si="10"/>
        <v>1.0070422535211268</v>
      </c>
      <c r="BS37" s="82">
        <f t="shared" si="10"/>
        <v>0.99295774647887325</v>
      </c>
      <c r="BT37" s="82">
        <f t="shared" ref="BT37:CF53" si="13">IF(OR(ISERROR(AA37/$I37)=TRUE,ISBLANK(AA37)=TRUE),"",AA37/$I37)</f>
        <v>0.99295774647887325</v>
      </c>
      <c r="BU37" s="82">
        <f t="shared" si="13"/>
        <v>1.028169014084507</v>
      </c>
      <c r="BV37" s="82">
        <f t="shared" si="13"/>
        <v>1.0070422535211268</v>
      </c>
      <c r="BW37" s="82">
        <f t="shared" si="13"/>
        <v>1.045774647887324</v>
      </c>
      <c r="BX37" s="82">
        <f t="shared" si="13"/>
        <v>1.028169014084507</v>
      </c>
      <c r="BY37" s="82">
        <f t="shared" si="13"/>
        <v>1.0422535211267607</v>
      </c>
      <c r="BZ37" s="82">
        <f t="shared" si="13"/>
        <v>1.0035211267605635</v>
      </c>
      <c r="CA37" s="82">
        <f t="shared" si="13"/>
        <v>1.0387323943661972</v>
      </c>
      <c r="CB37" s="82">
        <f t="shared" si="13"/>
        <v>1.0246478873239437</v>
      </c>
      <c r="CC37" s="82">
        <f t="shared" si="13"/>
        <v>1.0246478873239437</v>
      </c>
      <c r="CD37" s="82">
        <f t="shared" si="13"/>
        <v>1.0387323943661972</v>
      </c>
      <c r="CE37" s="82">
        <f t="shared" si="13"/>
        <v>1.0528169014084507</v>
      </c>
      <c r="CF37" s="82">
        <f t="shared" si="13"/>
        <v>1.045774647887324</v>
      </c>
      <c r="CG37" s="82">
        <f t="shared" si="12"/>
        <v>1.0669014084507042</v>
      </c>
      <c r="CH37" s="82">
        <f t="shared" si="12"/>
        <v>1.0528169014084507</v>
      </c>
      <c r="CI37" s="82">
        <f t="shared" si="9"/>
        <v>1.0387323943661972</v>
      </c>
      <c r="CJ37" s="82">
        <f t="shared" si="9"/>
        <v>1.0492957746478875</v>
      </c>
      <c r="CK37" s="82">
        <f t="shared" si="9"/>
        <v>1.1161971830985915</v>
      </c>
      <c r="CL37" s="82">
        <f t="shared" si="9"/>
        <v>1.1267605633802817</v>
      </c>
      <c r="CM37" s="82">
        <f t="shared" si="11"/>
        <v>1.1971830985915493</v>
      </c>
      <c r="CN37" s="82">
        <f t="shared" si="11"/>
        <v>1.158450704225352</v>
      </c>
      <c r="CO37" s="82">
        <f t="shared" si="11"/>
        <v>1.1126760563380282</v>
      </c>
      <c r="CP37" s="82">
        <f t="shared" si="11"/>
        <v>1.1373239436619718</v>
      </c>
      <c r="CQ37" s="82">
        <f t="shared" si="11"/>
        <v>1.1373239436619718</v>
      </c>
      <c r="CR37" s="82">
        <f t="shared" si="11"/>
        <v>1.147887323943662</v>
      </c>
      <c r="CS37" s="82" t="str">
        <f t="shared" si="11"/>
        <v/>
      </c>
      <c r="CT37" s="82" t="str">
        <f t="shared" si="11"/>
        <v/>
      </c>
      <c r="CU37" s="82" t="str">
        <f t="shared" si="11"/>
        <v/>
      </c>
      <c r="CV37" s="3"/>
    </row>
    <row r="38" spans="1:100">
      <c r="A38" s="41">
        <v>975075</v>
      </c>
      <c r="B38" s="1">
        <v>74</v>
      </c>
      <c r="C38" s="29" t="str">
        <f t="shared" si="4"/>
        <v>975075-74</v>
      </c>
      <c r="D38" s="28" t="s">
        <v>80</v>
      </c>
      <c r="E38" s="37" t="s">
        <v>83</v>
      </c>
      <c r="F38" s="31">
        <v>42458</v>
      </c>
      <c r="G38" s="38"/>
      <c r="H38" s="31">
        <v>42468</v>
      </c>
      <c r="I38" s="38">
        <v>25.4</v>
      </c>
      <c r="J38" s="40"/>
      <c r="K38" s="87">
        <v>24.8</v>
      </c>
      <c r="L38" s="93">
        <v>25.1</v>
      </c>
      <c r="M38" s="93">
        <v>25.4</v>
      </c>
      <c r="N38" s="93">
        <v>25.1</v>
      </c>
      <c r="O38" s="93">
        <v>24.9</v>
      </c>
      <c r="P38" s="93">
        <v>25.8</v>
      </c>
      <c r="Q38" s="93">
        <v>26.3</v>
      </c>
      <c r="R38" s="93">
        <v>25.3</v>
      </c>
      <c r="S38" s="93">
        <v>25.4</v>
      </c>
      <c r="T38" s="93">
        <v>25.5</v>
      </c>
      <c r="U38" s="93">
        <v>26.3</v>
      </c>
      <c r="V38" s="93">
        <v>25.4</v>
      </c>
      <c r="W38" s="93">
        <v>26</v>
      </c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2"/>
      <c r="BD38" s="82">
        <f t="shared" si="10"/>
        <v>0.97637795275590555</v>
      </c>
      <c r="BE38" s="82">
        <f t="shared" si="10"/>
        <v>0.98818897637795289</v>
      </c>
      <c r="BF38" s="82">
        <f t="shared" si="10"/>
        <v>1</v>
      </c>
      <c r="BG38" s="82">
        <f t="shared" si="10"/>
        <v>0.98818897637795289</v>
      </c>
      <c r="BH38" s="82">
        <f t="shared" ref="BH38:BS53" si="14">IF(OR(ISERROR(O38/$I38)=TRUE,ISBLANK(O38)=TRUE),"",O38/$I38)</f>
        <v>0.98031496062992129</v>
      </c>
      <c r="BI38" s="82">
        <f t="shared" si="14"/>
        <v>1.0157480314960632</v>
      </c>
      <c r="BJ38" s="82">
        <f t="shared" si="14"/>
        <v>1.0354330708661419</v>
      </c>
      <c r="BK38" s="82">
        <f t="shared" si="14"/>
        <v>0.99606299212598437</v>
      </c>
      <c r="BL38" s="82">
        <f t="shared" si="14"/>
        <v>1</v>
      </c>
      <c r="BM38" s="82">
        <f t="shared" si="14"/>
        <v>1.0039370078740157</v>
      </c>
      <c r="BN38" s="82">
        <f t="shared" si="14"/>
        <v>1.0354330708661419</v>
      </c>
      <c r="BO38" s="82">
        <f t="shared" si="14"/>
        <v>1</v>
      </c>
      <c r="BP38" s="82">
        <f t="shared" si="14"/>
        <v>1.0236220472440944</v>
      </c>
      <c r="BQ38" s="82" t="str">
        <f t="shared" si="14"/>
        <v/>
      </c>
      <c r="BR38" s="82" t="str">
        <f t="shared" si="14"/>
        <v/>
      </c>
      <c r="BS38" s="82" t="str">
        <f t="shared" si="14"/>
        <v/>
      </c>
      <c r="BT38" s="82" t="str">
        <f t="shared" si="13"/>
        <v/>
      </c>
      <c r="BU38" s="82" t="str">
        <f t="shared" si="13"/>
        <v/>
      </c>
      <c r="BV38" s="82" t="str">
        <f t="shared" si="13"/>
        <v/>
      </c>
      <c r="BW38" s="82" t="str">
        <f t="shared" si="13"/>
        <v/>
      </c>
      <c r="BX38" s="82" t="str">
        <f t="shared" si="13"/>
        <v/>
      </c>
      <c r="BY38" s="82" t="str">
        <f t="shared" si="13"/>
        <v/>
      </c>
      <c r="BZ38" s="82" t="str">
        <f t="shared" si="13"/>
        <v/>
      </c>
      <c r="CA38" s="82" t="str">
        <f t="shared" si="13"/>
        <v/>
      </c>
      <c r="CB38" s="82" t="str">
        <f t="shared" si="13"/>
        <v/>
      </c>
      <c r="CC38" s="82" t="str">
        <f t="shared" si="13"/>
        <v/>
      </c>
      <c r="CD38" s="82" t="str">
        <f t="shared" si="13"/>
        <v/>
      </c>
      <c r="CE38" s="82" t="str">
        <f t="shared" si="13"/>
        <v/>
      </c>
      <c r="CF38" s="82" t="str">
        <f t="shared" si="13"/>
        <v/>
      </c>
      <c r="CG38" s="82" t="str">
        <f t="shared" si="12"/>
        <v/>
      </c>
      <c r="CH38" s="82" t="str">
        <f t="shared" si="12"/>
        <v/>
      </c>
      <c r="CI38" s="82" t="str">
        <f t="shared" si="9"/>
        <v/>
      </c>
      <c r="CJ38" s="82" t="str">
        <f t="shared" si="9"/>
        <v/>
      </c>
      <c r="CK38" s="82" t="str">
        <f t="shared" si="9"/>
        <v/>
      </c>
      <c r="CL38" s="82" t="str">
        <f t="shared" si="9"/>
        <v/>
      </c>
      <c r="CM38" s="82" t="str">
        <f t="shared" si="11"/>
        <v/>
      </c>
      <c r="CN38" s="82" t="str">
        <f t="shared" si="11"/>
        <v/>
      </c>
      <c r="CO38" s="82" t="str">
        <f t="shared" si="11"/>
        <v/>
      </c>
      <c r="CP38" s="82" t="str">
        <f t="shared" si="11"/>
        <v/>
      </c>
      <c r="CQ38" s="82" t="str">
        <f t="shared" si="11"/>
        <v/>
      </c>
      <c r="CR38" s="82" t="str">
        <f t="shared" si="11"/>
        <v/>
      </c>
      <c r="CS38" s="82" t="str">
        <f t="shared" si="11"/>
        <v/>
      </c>
      <c r="CT38" s="82" t="str">
        <f t="shared" si="11"/>
        <v/>
      </c>
      <c r="CU38" s="82" t="str">
        <f t="shared" si="11"/>
        <v/>
      </c>
      <c r="CV38" s="3"/>
    </row>
    <row r="39" spans="1:100">
      <c r="A39" s="41">
        <v>975075</v>
      </c>
      <c r="B39" s="1">
        <v>75</v>
      </c>
      <c r="C39" s="29" t="str">
        <f t="shared" si="4"/>
        <v>975075-75</v>
      </c>
      <c r="D39" s="28" t="s">
        <v>80</v>
      </c>
      <c r="E39" s="37" t="s">
        <v>83</v>
      </c>
      <c r="F39" s="31">
        <v>42458</v>
      </c>
      <c r="G39" s="38"/>
      <c r="H39" s="31">
        <v>42468</v>
      </c>
      <c r="I39" s="38">
        <v>25.2</v>
      </c>
      <c r="J39" s="40"/>
      <c r="K39" s="87">
        <v>24.3</v>
      </c>
      <c r="L39" s="93">
        <v>24.8</v>
      </c>
      <c r="M39" s="93">
        <v>25.2</v>
      </c>
      <c r="N39" s="93">
        <v>25.1</v>
      </c>
      <c r="O39" s="93">
        <v>24.8</v>
      </c>
      <c r="P39" s="93">
        <v>25.2</v>
      </c>
      <c r="Q39" s="93">
        <v>25.3</v>
      </c>
      <c r="R39" s="93">
        <v>24.2</v>
      </c>
      <c r="S39" s="93">
        <v>24.5</v>
      </c>
      <c r="T39" s="93">
        <v>24.1</v>
      </c>
      <c r="U39" s="93">
        <v>24.2</v>
      </c>
      <c r="V39" s="93">
        <v>22.6</v>
      </c>
      <c r="W39" s="93">
        <v>23.5</v>
      </c>
      <c r="X39" s="93">
        <v>23.7</v>
      </c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2"/>
      <c r="BD39" s="82">
        <f t="shared" ref="BD39:BG53" si="15">IF(OR(ISERROR(K39/$I39)=TRUE,ISBLANK(K39)=TRUE),"",K39/$I39)</f>
        <v>0.9642857142857143</v>
      </c>
      <c r="BE39" s="82">
        <f t="shared" si="15"/>
        <v>0.98412698412698418</v>
      </c>
      <c r="BF39" s="82">
        <f t="shared" si="15"/>
        <v>1</v>
      </c>
      <c r="BG39" s="82">
        <f t="shared" si="15"/>
        <v>0.99603174603174616</v>
      </c>
      <c r="BH39" s="82">
        <f t="shared" si="14"/>
        <v>0.98412698412698418</v>
      </c>
      <c r="BI39" s="82">
        <f t="shared" si="14"/>
        <v>1</v>
      </c>
      <c r="BJ39" s="82">
        <f t="shared" si="14"/>
        <v>1.003968253968254</v>
      </c>
      <c r="BK39" s="82">
        <f t="shared" si="14"/>
        <v>0.96031746031746035</v>
      </c>
      <c r="BL39" s="82">
        <f t="shared" si="14"/>
        <v>0.97222222222222221</v>
      </c>
      <c r="BM39" s="82">
        <f t="shared" si="14"/>
        <v>0.95634920634920639</v>
      </c>
      <c r="BN39" s="82">
        <f t="shared" si="14"/>
        <v>0.96031746031746035</v>
      </c>
      <c r="BO39" s="82">
        <f t="shared" si="14"/>
        <v>0.89682539682539686</v>
      </c>
      <c r="BP39" s="82">
        <f t="shared" si="14"/>
        <v>0.93253968253968256</v>
      </c>
      <c r="BQ39" s="82">
        <f t="shared" si="14"/>
        <v>0.94047619047619047</v>
      </c>
      <c r="BR39" s="82" t="str">
        <f t="shared" si="14"/>
        <v/>
      </c>
      <c r="BS39" s="82" t="str">
        <f t="shared" si="14"/>
        <v/>
      </c>
      <c r="BT39" s="82" t="str">
        <f t="shared" si="13"/>
        <v/>
      </c>
      <c r="BU39" s="82" t="str">
        <f t="shared" si="13"/>
        <v/>
      </c>
      <c r="BV39" s="82" t="str">
        <f t="shared" si="13"/>
        <v/>
      </c>
      <c r="BW39" s="82" t="str">
        <f t="shared" si="13"/>
        <v/>
      </c>
      <c r="BX39" s="82" t="str">
        <f t="shared" si="13"/>
        <v/>
      </c>
      <c r="BY39" s="82" t="str">
        <f t="shared" si="13"/>
        <v/>
      </c>
      <c r="BZ39" s="82" t="str">
        <f t="shared" si="13"/>
        <v/>
      </c>
      <c r="CA39" s="82" t="str">
        <f t="shared" si="13"/>
        <v/>
      </c>
      <c r="CB39" s="82" t="str">
        <f t="shared" si="13"/>
        <v/>
      </c>
      <c r="CC39" s="82" t="str">
        <f t="shared" si="13"/>
        <v/>
      </c>
      <c r="CD39" s="82" t="str">
        <f t="shared" si="13"/>
        <v/>
      </c>
      <c r="CE39" s="82" t="str">
        <f t="shared" si="13"/>
        <v/>
      </c>
      <c r="CF39" s="82" t="str">
        <f t="shared" si="13"/>
        <v/>
      </c>
      <c r="CG39" s="82" t="str">
        <f t="shared" si="12"/>
        <v/>
      </c>
      <c r="CH39" s="82" t="str">
        <f t="shared" si="12"/>
        <v/>
      </c>
      <c r="CI39" s="82" t="str">
        <f t="shared" si="9"/>
        <v/>
      </c>
      <c r="CJ39" s="82" t="str">
        <f t="shared" si="9"/>
        <v/>
      </c>
      <c r="CK39" s="82" t="str">
        <f t="shared" si="9"/>
        <v/>
      </c>
      <c r="CL39" s="82" t="str">
        <f t="shared" si="9"/>
        <v/>
      </c>
      <c r="CM39" s="82" t="str">
        <f t="shared" si="11"/>
        <v/>
      </c>
      <c r="CN39" s="82" t="str">
        <f t="shared" si="11"/>
        <v/>
      </c>
      <c r="CO39" s="82" t="str">
        <f t="shared" si="11"/>
        <v/>
      </c>
      <c r="CP39" s="82" t="str">
        <f t="shared" si="11"/>
        <v/>
      </c>
      <c r="CQ39" s="82" t="str">
        <f t="shared" si="11"/>
        <v/>
      </c>
      <c r="CR39" s="82" t="str">
        <f t="shared" si="11"/>
        <v/>
      </c>
      <c r="CS39" s="82" t="str">
        <f t="shared" si="11"/>
        <v/>
      </c>
      <c r="CT39" s="82" t="str">
        <f t="shared" si="11"/>
        <v/>
      </c>
      <c r="CU39" s="82" t="str">
        <f t="shared" si="11"/>
        <v/>
      </c>
      <c r="CV39" s="3"/>
    </row>
    <row r="40" spans="1:100">
      <c r="A40" s="41">
        <v>975074</v>
      </c>
      <c r="B40" s="1">
        <v>81</v>
      </c>
      <c r="C40" s="29" t="str">
        <f t="shared" si="4"/>
        <v>975074-81</v>
      </c>
      <c r="D40" s="28" t="s">
        <v>80</v>
      </c>
      <c r="E40" s="37" t="s">
        <v>84</v>
      </c>
      <c r="F40" s="31">
        <v>42458</v>
      </c>
      <c r="G40" s="38"/>
      <c r="H40" s="31">
        <v>42468</v>
      </c>
      <c r="I40" s="38">
        <v>24.9</v>
      </c>
      <c r="J40" s="40"/>
      <c r="K40" s="87">
        <v>23.7</v>
      </c>
      <c r="L40" s="93">
        <v>23.8</v>
      </c>
      <c r="M40" s="93">
        <v>24.9</v>
      </c>
      <c r="N40" s="93">
        <v>24.6</v>
      </c>
      <c r="O40" s="93">
        <v>24.3</v>
      </c>
      <c r="P40" s="93">
        <v>25</v>
      </c>
      <c r="Q40" s="93">
        <v>25.6</v>
      </c>
      <c r="R40" s="93">
        <v>24.8</v>
      </c>
      <c r="S40" s="93">
        <v>20.3</v>
      </c>
      <c r="T40" s="93">
        <v>23.7</v>
      </c>
      <c r="U40" s="93">
        <v>26.2</v>
      </c>
      <c r="V40" s="93">
        <v>25.1</v>
      </c>
      <c r="W40" s="93">
        <v>25.4</v>
      </c>
      <c r="X40" s="93">
        <v>24.4</v>
      </c>
      <c r="Y40" s="93">
        <v>24.5</v>
      </c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2"/>
      <c r="BD40" s="82">
        <f t="shared" si="15"/>
        <v>0.95180722891566272</v>
      </c>
      <c r="BE40" s="82">
        <f t="shared" si="15"/>
        <v>0.95582329317269088</v>
      </c>
      <c r="BF40" s="82">
        <f t="shared" si="15"/>
        <v>1</v>
      </c>
      <c r="BG40" s="82">
        <f t="shared" si="15"/>
        <v>0.98795180722891573</v>
      </c>
      <c r="BH40" s="82">
        <f t="shared" si="14"/>
        <v>0.97590361445783136</v>
      </c>
      <c r="BI40" s="82">
        <f t="shared" si="14"/>
        <v>1.0040160642570282</v>
      </c>
      <c r="BJ40" s="82">
        <f t="shared" si="14"/>
        <v>1.0281124497991969</v>
      </c>
      <c r="BK40" s="82">
        <f t="shared" si="14"/>
        <v>0.99598393574297195</v>
      </c>
      <c r="BL40" s="82">
        <f t="shared" si="14"/>
        <v>0.81526104417670686</v>
      </c>
      <c r="BM40" s="82">
        <f t="shared" si="14"/>
        <v>0.95180722891566272</v>
      </c>
      <c r="BN40" s="82">
        <f t="shared" si="14"/>
        <v>1.0522088353413654</v>
      </c>
      <c r="BO40" s="82">
        <f t="shared" si="14"/>
        <v>1.0080321285140563</v>
      </c>
      <c r="BP40" s="82">
        <f t="shared" si="14"/>
        <v>1.0200803212851406</v>
      </c>
      <c r="BQ40" s="82">
        <f t="shared" si="14"/>
        <v>0.97991967871485941</v>
      </c>
      <c r="BR40" s="82">
        <f t="shared" si="14"/>
        <v>0.98393574297188757</v>
      </c>
      <c r="BS40" s="82" t="str">
        <f t="shared" si="14"/>
        <v/>
      </c>
      <c r="BT40" s="82" t="str">
        <f t="shared" si="13"/>
        <v/>
      </c>
      <c r="BU40" s="82" t="str">
        <f t="shared" si="13"/>
        <v/>
      </c>
      <c r="BV40" s="82" t="str">
        <f t="shared" si="13"/>
        <v/>
      </c>
      <c r="BW40" s="82" t="str">
        <f t="shared" si="13"/>
        <v/>
      </c>
      <c r="BX40" s="82" t="str">
        <f t="shared" si="13"/>
        <v/>
      </c>
      <c r="BY40" s="82" t="str">
        <f t="shared" si="13"/>
        <v/>
      </c>
      <c r="BZ40" s="82" t="str">
        <f t="shared" si="13"/>
        <v/>
      </c>
      <c r="CA40" s="82" t="str">
        <f t="shared" si="13"/>
        <v/>
      </c>
      <c r="CB40" s="82" t="str">
        <f t="shared" si="13"/>
        <v/>
      </c>
      <c r="CC40" s="82" t="str">
        <f t="shared" si="13"/>
        <v/>
      </c>
      <c r="CD40" s="82" t="str">
        <f t="shared" si="13"/>
        <v/>
      </c>
      <c r="CE40" s="82" t="str">
        <f t="shared" si="13"/>
        <v/>
      </c>
      <c r="CF40" s="82" t="str">
        <f t="shared" si="13"/>
        <v/>
      </c>
      <c r="CG40" s="82" t="str">
        <f t="shared" si="12"/>
        <v/>
      </c>
      <c r="CH40" s="82" t="str">
        <f t="shared" si="12"/>
        <v/>
      </c>
      <c r="CI40" s="82" t="str">
        <f t="shared" si="9"/>
        <v/>
      </c>
      <c r="CJ40" s="82" t="str">
        <f t="shared" si="9"/>
        <v/>
      </c>
      <c r="CK40" s="82" t="str">
        <f t="shared" si="9"/>
        <v/>
      </c>
      <c r="CL40" s="82" t="str">
        <f t="shared" si="9"/>
        <v/>
      </c>
      <c r="CM40" s="82" t="str">
        <f t="shared" si="11"/>
        <v/>
      </c>
      <c r="CN40" s="82" t="str">
        <f t="shared" si="11"/>
        <v/>
      </c>
      <c r="CO40" s="82" t="str">
        <f t="shared" si="11"/>
        <v/>
      </c>
      <c r="CP40" s="82" t="str">
        <f t="shared" si="11"/>
        <v/>
      </c>
      <c r="CQ40" s="82" t="str">
        <f t="shared" si="11"/>
        <v/>
      </c>
      <c r="CR40" s="82" t="str">
        <f t="shared" si="11"/>
        <v/>
      </c>
      <c r="CS40" s="82" t="str">
        <f t="shared" si="11"/>
        <v/>
      </c>
      <c r="CT40" s="82" t="str">
        <f t="shared" si="11"/>
        <v/>
      </c>
      <c r="CU40" s="82" t="str">
        <f t="shared" si="11"/>
        <v/>
      </c>
      <c r="CV40" s="3"/>
    </row>
    <row r="41" spans="1:100">
      <c r="A41" s="41">
        <v>975074</v>
      </c>
      <c r="B41" s="1">
        <v>82</v>
      </c>
      <c r="C41" s="29" t="str">
        <f t="shared" si="4"/>
        <v>975074-82</v>
      </c>
      <c r="D41" s="28" t="s">
        <v>80</v>
      </c>
      <c r="E41" s="37" t="s">
        <v>84</v>
      </c>
      <c r="F41" s="31">
        <v>42458</v>
      </c>
      <c r="G41" s="38"/>
      <c r="H41" s="31">
        <v>42468</v>
      </c>
      <c r="I41" s="38">
        <v>29.7</v>
      </c>
      <c r="J41" s="40"/>
      <c r="K41" s="87">
        <v>27.9</v>
      </c>
      <c r="L41" s="93">
        <v>28.5</v>
      </c>
      <c r="M41" s="93">
        <v>29.7</v>
      </c>
      <c r="N41" s="93">
        <v>29.4</v>
      </c>
      <c r="O41" s="93">
        <v>29.4</v>
      </c>
      <c r="P41" s="93">
        <v>30.5</v>
      </c>
      <c r="Q41" s="93">
        <v>31.3</v>
      </c>
      <c r="R41" s="93">
        <v>30.5</v>
      </c>
      <c r="S41" s="93">
        <v>24.7</v>
      </c>
      <c r="T41" s="93">
        <v>28.9</v>
      </c>
      <c r="U41" s="93">
        <v>29.7</v>
      </c>
      <c r="V41" s="93">
        <v>27.4</v>
      </c>
      <c r="W41" s="93">
        <v>27.4</v>
      </c>
      <c r="X41" s="93">
        <v>26.5</v>
      </c>
      <c r="Y41" s="93">
        <v>26.3</v>
      </c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2"/>
      <c r="BD41" s="82">
        <f t="shared" si="15"/>
        <v>0.93939393939393934</v>
      </c>
      <c r="BE41" s="82">
        <f t="shared" si="15"/>
        <v>0.95959595959595967</v>
      </c>
      <c r="BF41" s="82">
        <f t="shared" si="15"/>
        <v>1</v>
      </c>
      <c r="BG41" s="82">
        <f t="shared" si="15"/>
        <v>0.98989898989898983</v>
      </c>
      <c r="BH41" s="82">
        <f t="shared" si="14"/>
        <v>0.98989898989898983</v>
      </c>
      <c r="BI41" s="82">
        <f t="shared" si="14"/>
        <v>1.026936026936027</v>
      </c>
      <c r="BJ41" s="82">
        <f t="shared" si="14"/>
        <v>1.0538720538720538</v>
      </c>
      <c r="BK41" s="82">
        <f t="shared" si="14"/>
        <v>1.026936026936027</v>
      </c>
      <c r="BL41" s="82">
        <f t="shared" si="14"/>
        <v>0.83164983164983164</v>
      </c>
      <c r="BM41" s="82">
        <f t="shared" si="14"/>
        <v>0.97306397306397308</v>
      </c>
      <c r="BN41" s="82">
        <f t="shared" si="14"/>
        <v>1</v>
      </c>
      <c r="BO41" s="82">
        <f t="shared" si="14"/>
        <v>0.92255892255892258</v>
      </c>
      <c r="BP41" s="82">
        <f t="shared" si="14"/>
        <v>0.92255892255892258</v>
      </c>
      <c r="BQ41" s="82">
        <f t="shared" si="14"/>
        <v>0.8922558922558923</v>
      </c>
      <c r="BR41" s="82">
        <f t="shared" si="14"/>
        <v>0.8855218855218856</v>
      </c>
      <c r="BS41" s="82" t="str">
        <f t="shared" si="14"/>
        <v/>
      </c>
      <c r="BT41" s="82" t="str">
        <f t="shared" si="13"/>
        <v/>
      </c>
      <c r="BU41" s="82" t="str">
        <f t="shared" si="13"/>
        <v/>
      </c>
      <c r="BV41" s="82" t="str">
        <f t="shared" si="13"/>
        <v/>
      </c>
      <c r="BW41" s="82" t="str">
        <f t="shared" si="13"/>
        <v/>
      </c>
      <c r="BX41" s="82" t="str">
        <f t="shared" si="13"/>
        <v/>
      </c>
      <c r="BY41" s="82" t="str">
        <f t="shared" si="13"/>
        <v/>
      </c>
      <c r="BZ41" s="82" t="str">
        <f t="shared" si="13"/>
        <v/>
      </c>
      <c r="CA41" s="82" t="str">
        <f t="shared" si="13"/>
        <v/>
      </c>
      <c r="CB41" s="82" t="str">
        <f t="shared" si="13"/>
        <v/>
      </c>
      <c r="CC41" s="82" t="str">
        <f t="shared" si="13"/>
        <v/>
      </c>
      <c r="CD41" s="82" t="str">
        <f t="shared" si="13"/>
        <v/>
      </c>
      <c r="CE41" s="82" t="str">
        <f t="shared" si="13"/>
        <v/>
      </c>
      <c r="CF41" s="82" t="str">
        <f t="shared" si="13"/>
        <v/>
      </c>
      <c r="CG41" s="82" t="str">
        <f t="shared" si="12"/>
        <v/>
      </c>
      <c r="CH41" s="82" t="str">
        <f t="shared" si="12"/>
        <v/>
      </c>
      <c r="CI41" s="82" t="str">
        <f t="shared" si="9"/>
        <v/>
      </c>
      <c r="CJ41" s="82" t="str">
        <f t="shared" si="9"/>
        <v/>
      </c>
      <c r="CK41" s="82" t="str">
        <f t="shared" si="9"/>
        <v/>
      </c>
      <c r="CL41" s="82" t="str">
        <f t="shared" si="9"/>
        <v/>
      </c>
      <c r="CM41" s="82" t="str">
        <f t="shared" si="11"/>
        <v/>
      </c>
      <c r="CN41" s="82" t="str">
        <f t="shared" si="11"/>
        <v/>
      </c>
      <c r="CO41" s="82" t="str">
        <f t="shared" si="11"/>
        <v/>
      </c>
      <c r="CP41" s="82" t="str">
        <f t="shared" si="11"/>
        <v/>
      </c>
      <c r="CQ41" s="82" t="str">
        <f t="shared" si="11"/>
        <v/>
      </c>
      <c r="CR41" s="82" t="str">
        <f t="shared" si="11"/>
        <v/>
      </c>
      <c r="CS41" s="82" t="str">
        <f t="shared" si="11"/>
        <v/>
      </c>
      <c r="CT41" s="82" t="str">
        <f t="shared" si="11"/>
        <v/>
      </c>
      <c r="CU41" s="82" t="str">
        <f t="shared" si="11"/>
        <v/>
      </c>
      <c r="CV41" s="3"/>
    </row>
    <row r="42" spans="1:100">
      <c r="A42" s="41">
        <v>975074</v>
      </c>
      <c r="B42" s="1">
        <v>83</v>
      </c>
      <c r="C42" s="29" t="str">
        <f t="shared" si="4"/>
        <v>975074-83</v>
      </c>
      <c r="D42" s="28" t="s">
        <v>80</v>
      </c>
      <c r="E42" s="37" t="s">
        <v>90</v>
      </c>
      <c r="F42" s="31">
        <v>42458</v>
      </c>
      <c r="G42" s="38"/>
      <c r="H42" s="31">
        <v>42468</v>
      </c>
      <c r="I42" s="38">
        <v>32.200000000000003</v>
      </c>
      <c r="J42" s="40"/>
      <c r="K42" s="87">
        <v>31.2</v>
      </c>
      <c r="L42" s="93">
        <v>31.7</v>
      </c>
      <c r="M42" s="93">
        <v>32.200000000000003</v>
      </c>
      <c r="N42" s="93">
        <v>32.9</v>
      </c>
      <c r="O42" s="93">
        <v>32.1</v>
      </c>
      <c r="P42" s="93">
        <v>32.799999999999997</v>
      </c>
      <c r="Q42" s="93">
        <v>33.299999999999997</v>
      </c>
      <c r="R42" s="93">
        <v>31.7</v>
      </c>
      <c r="S42" s="93">
        <v>24.8</v>
      </c>
      <c r="T42" s="93">
        <v>32.700000000000003</v>
      </c>
      <c r="U42" s="93">
        <v>34.700000000000003</v>
      </c>
      <c r="V42" s="93">
        <v>32.4</v>
      </c>
      <c r="W42" s="93">
        <v>33.1</v>
      </c>
      <c r="X42" s="93">
        <v>33.5</v>
      </c>
      <c r="Y42" s="93">
        <v>33.4</v>
      </c>
      <c r="Z42" s="93">
        <v>32.4</v>
      </c>
      <c r="AA42" s="93">
        <v>32.6</v>
      </c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2"/>
      <c r="BD42" s="82">
        <f t="shared" si="15"/>
        <v>0.96894409937888193</v>
      </c>
      <c r="BE42" s="82">
        <f t="shared" si="15"/>
        <v>0.98447204968944091</v>
      </c>
      <c r="BF42" s="82">
        <f t="shared" si="15"/>
        <v>1</v>
      </c>
      <c r="BG42" s="82">
        <f t="shared" si="15"/>
        <v>1.0217391304347825</v>
      </c>
      <c r="BH42" s="82">
        <f t="shared" si="14"/>
        <v>0.99689440993788814</v>
      </c>
      <c r="BI42" s="82">
        <f t="shared" si="14"/>
        <v>1.0186335403726707</v>
      </c>
      <c r="BJ42" s="82">
        <f t="shared" si="14"/>
        <v>1.0341614906832297</v>
      </c>
      <c r="BK42" s="82">
        <f t="shared" si="14"/>
        <v>0.98447204968944091</v>
      </c>
      <c r="BL42" s="82">
        <f t="shared" si="14"/>
        <v>0.77018633540372661</v>
      </c>
      <c r="BM42" s="82">
        <f t="shared" si="14"/>
        <v>1.015527950310559</v>
      </c>
      <c r="BN42" s="82">
        <f t="shared" si="14"/>
        <v>1.0776397515527951</v>
      </c>
      <c r="BO42" s="82">
        <f t="shared" si="14"/>
        <v>1.0062111801242235</v>
      </c>
      <c r="BP42" s="82">
        <f t="shared" si="14"/>
        <v>1.0279503105590062</v>
      </c>
      <c r="BQ42" s="82">
        <f t="shared" si="14"/>
        <v>1.0403726708074532</v>
      </c>
      <c r="BR42" s="82">
        <f t="shared" si="14"/>
        <v>1.0372670807453415</v>
      </c>
      <c r="BS42" s="82">
        <f t="shared" si="14"/>
        <v>1.0062111801242235</v>
      </c>
      <c r="BT42" s="82">
        <f t="shared" si="13"/>
        <v>1.0124223602484472</v>
      </c>
      <c r="BU42" s="82" t="str">
        <f t="shared" si="13"/>
        <v/>
      </c>
      <c r="BV42" s="82" t="str">
        <f t="shared" si="13"/>
        <v/>
      </c>
      <c r="BW42" s="82" t="str">
        <f t="shared" si="13"/>
        <v/>
      </c>
      <c r="BX42" s="82" t="str">
        <f t="shared" si="13"/>
        <v/>
      </c>
      <c r="BY42" s="82" t="str">
        <f t="shared" si="13"/>
        <v/>
      </c>
      <c r="BZ42" s="82" t="str">
        <f t="shared" si="13"/>
        <v/>
      </c>
      <c r="CA42" s="82" t="str">
        <f t="shared" si="13"/>
        <v/>
      </c>
      <c r="CB42" s="82" t="str">
        <f t="shared" si="13"/>
        <v/>
      </c>
      <c r="CC42" s="82" t="str">
        <f t="shared" si="13"/>
        <v/>
      </c>
      <c r="CD42" s="82" t="str">
        <f t="shared" si="13"/>
        <v/>
      </c>
      <c r="CE42" s="82" t="str">
        <f t="shared" si="13"/>
        <v/>
      </c>
      <c r="CF42" s="82" t="str">
        <f t="shared" si="13"/>
        <v/>
      </c>
      <c r="CG42" s="82" t="str">
        <f t="shared" si="12"/>
        <v/>
      </c>
      <c r="CH42" s="82" t="str">
        <f t="shared" si="12"/>
        <v/>
      </c>
      <c r="CI42" s="82" t="str">
        <f t="shared" si="9"/>
        <v/>
      </c>
      <c r="CJ42" s="82" t="str">
        <f t="shared" si="9"/>
        <v/>
      </c>
      <c r="CK42" s="82" t="str">
        <f t="shared" si="9"/>
        <v/>
      </c>
      <c r="CL42" s="82" t="str">
        <f t="shared" si="9"/>
        <v/>
      </c>
      <c r="CM42" s="82" t="str">
        <f t="shared" si="11"/>
        <v/>
      </c>
      <c r="CN42" s="82" t="str">
        <f t="shared" si="11"/>
        <v/>
      </c>
      <c r="CO42" s="82" t="str">
        <f t="shared" si="11"/>
        <v/>
      </c>
      <c r="CP42" s="82" t="str">
        <f t="shared" si="11"/>
        <v/>
      </c>
      <c r="CQ42" s="82" t="str">
        <f t="shared" si="11"/>
        <v/>
      </c>
      <c r="CR42" s="82" t="str">
        <f t="shared" si="11"/>
        <v/>
      </c>
      <c r="CS42" s="82" t="str">
        <f t="shared" si="11"/>
        <v/>
      </c>
      <c r="CT42" s="82" t="str">
        <f t="shared" si="11"/>
        <v/>
      </c>
      <c r="CU42" s="82" t="str">
        <f t="shared" si="11"/>
        <v/>
      </c>
      <c r="CV42" s="3"/>
    </row>
    <row r="43" spans="1:100">
      <c r="A43" s="41">
        <v>975074</v>
      </c>
      <c r="B43" s="1">
        <v>84</v>
      </c>
      <c r="C43" s="29" t="str">
        <f t="shared" si="4"/>
        <v>975074-84</v>
      </c>
      <c r="D43" s="28" t="s">
        <v>80</v>
      </c>
      <c r="E43" s="37" t="s">
        <v>86</v>
      </c>
      <c r="F43" s="31">
        <v>42458</v>
      </c>
      <c r="G43" s="38"/>
      <c r="H43" s="31">
        <v>42468</v>
      </c>
      <c r="I43" s="38">
        <v>27.2</v>
      </c>
      <c r="J43" s="40"/>
      <c r="K43" s="87">
        <v>26.2</v>
      </c>
      <c r="L43" s="93">
        <v>27</v>
      </c>
      <c r="M43" s="93">
        <v>27.2</v>
      </c>
      <c r="N43" s="93">
        <v>27.3</v>
      </c>
      <c r="O43" s="93">
        <v>26.6</v>
      </c>
      <c r="P43" s="93">
        <v>27.5</v>
      </c>
      <c r="Q43" s="93">
        <v>28.2</v>
      </c>
      <c r="R43" s="93">
        <v>27.4</v>
      </c>
      <c r="S43" s="93">
        <v>22.1</v>
      </c>
      <c r="T43" s="93">
        <v>28</v>
      </c>
      <c r="U43" s="93">
        <v>29.6</v>
      </c>
      <c r="V43" s="93">
        <v>27.9</v>
      </c>
      <c r="W43" s="93">
        <v>28.7</v>
      </c>
      <c r="X43" s="93">
        <v>28.2</v>
      </c>
      <c r="Y43" s="93">
        <v>28.3</v>
      </c>
      <c r="Z43" s="93">
        <v>27.5</v>
      </c>
      <c r="AA43" s="93">
        <v>27.5</v>
      </c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2"/>
      <c r="BD43" s="82">
        <f t="shared" si="15"/>
        <v>0.96323529411764708</v>
      </c>
      <c r="BE43" s="82">
        <f t="shared" si="15"/>
        <v>0.99264705882352944</v>
      </c>
      <c r="BF43" s="82">
        <f t="shared" si="15"/>
        <v>1</v>
      </c>
      <c r="BG43" s="82">
        <f t="shared" si="15"/>
        <v>1.0036764705882353</v>
      </c>
      <c r="BH43" s="82">
        <f t="shared" si="14"/>
        <v>0.97794117647058831</v>
      </c>
      <c r="BI43" s="82">
        <f t="shared" si="14"/>
        <v>1.0110294117647058</v>
      </c>
      <c r="BJ43" s="82">
        <f t="shared" si="14"/>
        <v>1.036764705882353</v>
      </c>
      <c r="BK43" s="82">
        <f t="shared" si="14"/>
        <v>1.0073529411764706</v>
      </c>
      <c r="BL43" s="82">
        <f t="shared" si="14"/>
        <v>0.81250000000000011</v>
      </c>
      <c r="BM43" s="82">
        <f t="shared" si="14"/>
        <v>1.0294117647058825</v>
      </c>
      <c r="BN43" s="82">
        <f t="shared" si="14"/>
        <v>1.0882352941176472</v>
      </c>
      <c r="BO43" s="82">
        <f t="shared" si="14"/>
        <v>1.025735294117647</v>
      </c>
      <c r="BP43" s="82">
        <f t="shared" si="14"/>
        <v>1.0551470588235294</v>
      </c>
      <c r="BQ43" s="82">
        <f t="shared" si="14"/>
        <v>1.036764705882353</v>
      </c>
      <c r="BR43" s="82">
        <f t="shared" si="14"/>
        <v>1.0404411764705883</v>
      </c>
      <c r="BS43" s="82">
        <f t="shared" si="14"/>
        <v>1.0110294117647058</v>
      </c>
      <c r="BT43" s="82">
        <f t="shared" si="13"/>
        <v>1.0110294117647058</v>
      </c>
      <c r="BU43" s="82" t="str">
        <f t="shared" si="13"/>
        <v/>
      </c>
      <c r="BV43" s="82" t="str">
        <f t="shared" si="13"/>
        <v/>
      </c>
      <c r="BW43" s="82" t="str">
        <f t="shared" si="13"/>
        <v/>
      </c>
      <c r="BX43" s="82" t="str">
        <f t="shared" si="13"/>
        <v/>
      </c>
      <c r="BY43" s="82" t="str">
        <f t="shared" si="13"/>
        <v/>
      </c>
      <c r="BZ43" s="82" t="str">
        <f t="shared" si="13"/>
        <v/>
      </c>
      <c r="CA43" s="82" t="str">
        <f t="shared" si="13"/>
        <v/>
      </c>
      <c r="CB43" s="82" t="str">
        <f t="shared" si="13"/>
        <v/>
      </c>
      <c r="CC43" s="82" t="str">
        <f t="shared" si="13"/>
        <v/>
      </c>
      <c r="CD43" s="82" t="str">
        <f t="shared" si="13"/>
        <v/>
      </c>
      <c r="CE43" s="82" t="str">
        <f t="shared" si="13"/>
        <v/>
      </c>
      <c r="CF43" s="82" t="str">
        <f t="shared" si="13"/>
        <v/>
      </c>
      <c r="CG43" s="82" t="str">
        <f t="shared" si="12"/>
        <v/>
      </c>
      <c r="CH43" s="82" t="str">
        <f t="shared" si="12"/>
        <v/>
      </c>
      <c r="CI43" s="82" t="str">
        <f t="shared" si="9"/>
        <v/>
      </c>
      <c r="CJ43" s="82" t="str">
        <f t="shared" si="9"/>
        <v/>
      </c>
      <c r="CK43" s="82" t="str">
        <f t="shared" si="9"/>
        <v/>
      </c>
      <c r="CL43" s="82" t="str">
        <f t="shared" si="9"/>
        <v/>
      </c>
      <c r="CM43" s="82" t="str">
        <f t="shared" si="11"/>
        <v/>
      </c>
      <c r="CN43" s="82" t="str">
        <f t="shared" si="11"/>
        <v/>
      </c>
      <c r="CO43" s="82" t="str">
        <f t="shared" si="11"/>
        <v/>
      </c>
      <c r="CP43" s="82" t="str">
        <f t="shared" si="11"/>
        <v/>
      </c>
      <c r="CQ43" s="82" t="str">
        <f t="shared" si="11"/>
        <v/>
      </c>
      <c r="CR43" s="82" t="str">
        <f t="shared" si="11"/>
        <v/>
      </c>
      <c r="CS43" s="82" t="str">
        <f t="shared" si="11"/>
        <v/>
      </c>
      <c r="CT43" s="82" t="str">
        <f t="shared" si="11"/>
        <v/>
      </c>
      <c r="CU43" s="82" t="str">
        <f t="shared" si="11"/>
        <v/>
      </c>
      <c r="CV43" s="3"/>
    </row>
    <row r="44" spans="1:100">
      <c r="A44" s="41">
        <v>975074</v>
      </c>
      <c r="B44" s="1">
        <v>85</v>
      </c>
      <c r="C44" s="29" t="str">
        <f t="shared" si="4"/>
        <v>975074-85</v>
      </c>
      <c r="D44" s="28" t="s">
        <v>80</v>
      </c>
      <c r="E44" s="30" t="s">
        <v>34</v>
      </c>
      <c r="F44" s="31">
        <v>42458</v>
      </c>
      <c r="G44" s="38"/>
      <c r="H44" s="31">
        <v>42468</v>
      </c>
      <c r="I44" s="38">
        <v>31.4</v>
      </c>
      <c r="J44" s="40"/>
      <c r="K44" s="87">
        <v>30.1</v>
      </c>
      <c r="L44" s="93">
        <v>30.9</v>
      </c>
      <c r="M44" s="93">
        <v>31.4</v>
      </c>
      <c r="N44" s="93">
        <v>31.8</v>
      </c>
      <c r="O44" s="93">
        <v>31.5</v>
      </c>
      <c r="P44" s="93">
        <v>31.7</v>
      </c>
      <c r="Q44" s="93">
        <v>32.6</v>
      </c>
      <c r="R44" s="93">
        <v>31.3</v>
      </c>
      <c r="S44" s="93">
        <v>25.4</v>
      </c>
      <c r="T44" s="93">
        <v>31.8</v>
      </c>
      <c r="U44" s="93">
        <v>33.4</v>
      </c>
      <c r="V44" s="93">
        <v>31.7</v>
      </c>
      <c r="W44" s="93">
        <v>32.200000000000003</v>
      </c>
      <c r="X44" s="93">
        <v>31.6</v>
      </c>
      <c r="Y44" s="93">
        <v>31.1</v>
      </c>
      <c r="Z44" s="93">
        <v>30.2</v>
      </c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2"/>
      <c r="BD44" s="82">
        <f t="shared" si="15"/>
        <v>0.9585987261146498</v>
      </c>
      <c r="BE44" s="82">
        <f t="shared" si="15"/>
        <v>0.98407643312101911</v>
      </c>
      <c r="BF44" s="82">
        <f t="shared" si="15"/>
        <v>1</v>
      </c>
      <c r="BG44" s="82">
        <f t="shared" si="15"/>
        <v>1.0127388535031847</v>
      </c>
      <c r="BH44" s="82">
        <f t="shared" si="14"/>
        <v>1.0031847133757963</v>
      </c>
      <c r="BI44" s="82">
        <f t="shared" si="14"/>
        <v>1.0095541401273886</v>
      </c>
      <c r="BJ44" s="82">
        <f t="shared" si="14"/>
        <v>1.0382165605095541</v>
      </c>
      <c r="BK44" s="82">
        <f t="shared" si="14"/>
        <v>0.99681528662420393</v>
      </c>
      <c r="BL44" s="82">
        <f t="shared" si="14"/>
        <v>0.80891719745222934</v>
      </c>
      <c r="BM44" s="82">
        <f t="shared" si="14"/>
        <v>1.0127388535031847</v>
      </c>
      <c r="BN44" s="82">
        <f t="shared" si="14"/>
        <v>1.0636942675159236</v>
      </c>
      <c r="BO44" s="82">
        <f t="shared" si="14"/>
        <v>1.0095541401273886</v>
      </c>
      <c r="BP44" s="82">
        <f t="shared" si="14"/>
        <v>1.0254777070063696</v>
      </c>
      <c r="BQ44" s="82">
        <f t="shared" si="14"/>
        <v>1.0063694267515924</v>
      </c>
      <c r="BR44" s="82">
        <f t="shared" si="14"/>
        <v>0.99044585987261158</v>
      </c>
      <c r="BS44" s="82">
        <f t="shared" si="14"/>
        <v>0.96178343949044587</v>
      </c>
      <c r="BT44" s="82" t="str">
        <f t="shared" si="13"/>
        <v/>
      </c>
      <c r="BU44" s="82" t="str">
        <f t="shared" si="13"/>
        <v/>
      </c>
      <c r="BV44" s="82" t="str">
        <f t="shared" si="13"/>
        <v/>
      </c>
      <c r="BW44" s="82" t="str">
        <f t="shared" si="13"/>
        <v/>
      </c>
      <c r="BX44" s="82" t="str">
        <f t="shared" si="13"/>
        <v/>
      </c>
      <c r="BY44" s="82" t="str">
        <f t="shared" si="13"/>
        <v/>
      </c>
      <c r="BZ44" s="82" t="str">
        <f t="shared" si="13"/>
        <v/>
      </c>
      <c r="CA44" s="82" t="str">
        <f t="shared" si="13"/>
        <v/>
      </c>
      <c r="CB44" s="82" t="str">
        <f t="shared" si="13"/>
        <v/>
      </c>
      <c r="CC44" s="82" t="str">
        <f t="shared" si="13"/>
        <v/>
      </c>
      <c r="CD44" s="82" t="str">
        <f t="shared" si="13"/>
        <v/>
      </c>
      <c r="CE44" s="82" t="str">
        <f t="shared" si="13"/>
        <v/>
      </c>
      <c r="CF44" s="82" t="str">
        <f t="shared" si="13"/>
        <v/>
      </c>
      <c r="CG44" s="82" t="str">
        <f t="shared" si="12"/>
        <v/>
      </c>
      <c r="CH44" s="82" t="str">
        <f t="shared" si="12"/>
        <v/>
      </c>
      <c r="CI44" s="82" t="str">
        <f t="shared" si="9"/>
        <v/>
      </c>
      <c r="CJ44" s="82" t="str">
        <f t="shared" si="9"/>
        <v/>
      </c>
      <c r="CK44" s="82" t="str">
        <f t="shared" si="9"/>
        <v/>
      </c>
      <c r="CL44" s="82" t="str">
        <f t="shared" si="9"/>
        <v/>
      </c>
      <c r="CM44" s="82" t="str">
        <f t="shared" si="11"/>
        <v/>
      </c>
      <c r="CN44" s="82" t="str">
        <f t="shared" si="11"/>
        <v/>
      </c>
      <c r="CO44" s="82" t="str">
        <f t="shared" si="11"/>
        <v/>
      </c>
      <c r="CP44" s="82" t="str">
        <f t="shared" si="11"/>
        <v/>
      </c>
      <c r="CQ44" s="82" t="str">
        <f t="shared" si="11"/>
        <v/>
      </c>
      <c r="CR44" s="82" t="str">
        <f t="shared" si="11"/>
        <v/>
      </c>
      <c r="CS44" s="82" t="str">
        <f t="shared" si="11"/>
        <v/>
      </c>
      <c r="CT44" s="82" t="str">
        <f t="shared" si="11"/>
        <v/>
      </c>
      <c r="CU44" s="82" t="str">
        <f t="shared" si="11"/>
        <v/>
      </c>
      <c r="CV44" s="3"/>
    </row>
    <row r="45" spans="1:100">
      <c r="A45" s="41">
        <v>975073</v>
      </c>
      <c r="B45" s="1">
        <v>91</v>
      </c>
      <c r="C45" s="29" t="str">
        <f t="shared" si="4"/>
        <v>975073-91</v>
      </c>
      <c r="D45" s="28" t="s">
        <v>80</v>
      </c>
      <c r="E45" s="37" t="s">
        <v>82</v>
      </c>
      <c r="F45" s="31">
        <v>42458</v>
      </c>
      <c r="G45" s="38"/>
      <c r="H45" s="31">
        <v>42468</v>
      </c>
      <c r="I45" s="38">
        <v>29.1</v>
      </c>
      <c r="J45" s="40"/>
      <c r="K45" s="87">
        <v>29</v>
      </c>
      <c r="L45" s="93">
        <v>29.7</v>
      </c>
      <c r="M45" s="93">
        <v>29.1</v>
      </c>
      <c r="N45" s="93">
        <v>29.8</v>
      </c>
      <c r="O45" s="93">
        <v>29.7</v>
      </c>
      <c r="P45" s="93">
        <v>30.4</v>
      </c>
      <c r="Q45" s="93">
        <v>30.6</v>
      </c>
      <c r="R45" s="93">
        <v>29.8</v>
      </c>
      <c r="S45" s="93">
        <v>29.9</v>
      </c>
      <c r="T45" s="93">
        <v>29.6</v>
      </c>
      <c r="U45" s="93">
        <v>31.2</v>
      </c>
      <c r="V45" s="93">
        <v>30</v>
      </c>
      <c r="W45" s="93">
        <v>30.6</v>
      </c>
      <c r="X45" s="93">
        <v>30.5</v>
      </c>
      <c r="Y45" s="93">
        <v>30.9</v>
      </c>
      <c r="Z45" s="93">
        <v>30.2</v>
      </c>
      <c r="AA45" s="93">
        <v>30.5</v>
      </c>
      <c r="AB45" s="93">
        <v>31.2</v>
      </c>
      <c r="AC45" s="93">
        <v>30.8</v>
      </c>
      <c r="AD45" s="93">
        <v>32.4</v>
      </c>
      <c r="AE45" s="93">
        <v>31.5</v>
      </c>
      <c r="AF45" s="93">
        <v>32.200000000000003</v>
      </c>
      <c r="AG45" s="93">
        <v>30.8</v>
      </c>
      <c r="AH45" s="93">
        <v>31.9</v>
      </c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2"/>
      <c r="BD45" s="82">
        <f t="shared" si="15"/>
        <v>0.99656357388316141</v>
      </c>
      <c r="BE45" s="82">
        <f t="shared" si="15"/>
        <v>1.0206185567010309</v>
      </c>
      <c r="BF45" s="82">
        <f t="shared" si="15"/>
        <v>1</v>
      </c>
      <c r="BG45" s="82">
        <f t="shared" si="15"/>
        <v>1.0240549828178693</v>
      </c>
      <c r="BH45" s="82">
        <f t="shared" si="14"/>
        <v>1.0206185567010309</v>
      </c>
      <c r="BI45" s="82">
        <f t="shared" si="14"/>
        <v>1.0446735395189002</v>
      </c>
      <c r="BJ45" s="82">
        <f t="shared" si="14"/>
        <v>1.0515463917525774</v>
      </c>
      <c r="BK45" s="82">
        <f t="shared" si="14"/>
        <v>1.0240549828178693</v>
      </c>
      <c r="BL45" s="82">
        <f t="shared" si="14"/>
        <v>1.0274914089347078</v>
      </c>
      <c r="BM45" s="82">
        <f t="shared" si="14"/>
        <v>1.0171821305841924</v>
      </c>
      <c r="BN45" s="82">
        <f t="shared" si="14"/>
        <v>1.0721649484536082</v>
      </c>
      <c r="BO45" s="82">
        <f t="shared" si="14"/>
        <v>1.0309278350515463</v>
      </c>
      <c r="BP45" s="82">
        <f t="shared" si="14"/>
        <v>1.0515463917525774</v>
      </c>
      <c r="BQ45" s="82">
        <f t="shared" si="14"/>
        <v>1.0481099656357389</v>
      </c>
      <c r="BR45" s="82">
        <f t="shared" si="14"/>
        <v>1.0618556701030928</v>
      </c>
      <c r="BS45" s="82">
        <f t="shared" si="14"/>
        <v>1.0378006872852232</v>
      </c>
      <c r="BT45" s="82">
        <f t="shared" si="13"/>
        <v>1.0481099656357389</v>
      </c>
      <c r="BU45" s="82">
        <f t="shared" si="13"/>
        <v>1.0721649484536082</v>
      </c>
      <c r="BV45" s="82">
        <f t="shared" si="13"/>
        <v>1.0584192439862543</v>
      </c>
      <c r="BW45" s="82">
        <f t="shared" si="13"/>
        <v>1.1134020618556699</v>
      </c>
      <c r="BX45" s="82">
        <f t="shared" si="13"/>
        <v>1.0824742268041236</v>
      </c>
      <c r="BY45" s="82">
        <f t="shared" si="13"/>
        <v>1.1065292096219932</v>
      </c>
      <c r="BZ45" s="82">
        <f t="shared" si="13"/>
        <v>1.0584192439862543</v>
      </c>
      <c r="CA45" s="82">
        <f t="shared" si="13"/>
        <v>1.0962199312714775</v>
      </c>
      <c r="CB45" s="82" t="str">
        <f t="shared" si="13"/>
        <v/>
      </c>
      <c r="CC45" s="82" t="str">
        <f t="shared" si="13"/>
        <v/>
      </c>
      <c r="CD45" s="82" t="str">
        <f t="shared" si="13"/>
        <v/>
      </c>
      <c r="CE45" s="82" t="str">
        <f t="shared" si="13"/>
        <v/>
      </c>
      <c r="CF45" s="82" t="str">
        <f t="shared" si="13"/>
        <v/>
      </c>
      <c r="CG45" s="82" t="str">
        <f t="shared" si="12"/>
        <v/>
      </c>
      <c r="CH45" s="82" t="str">
        <f t="shared" si="12"/>
        <v/>
      </c>
      <c r="CI45" s="82" t="str">
        <f t="shared" si="9"/>
        <v/>
      </c>
      <c r="CJ45" s="82" t="str">
        <f t="shared" si="9"/>
        <v/>
      </c>
      <c r="CK45" s="82" t="str">
        <f t="shared" si="9"/>
        <v/>
      </c>
      <c r="CL45" s="82" t="str">
        <f t="shared" si="9"/>
        <v/>
      </c>
      <c r="CM45" s="82" t="str">
        <f t="shared" si="11"/>
        <v/>
      </c>
      <c r="CN45" s="82" t="str">
        <f t="shared" si="11"/>
        <v/>
      </c>
      <c r="CO45" s="82" t="str">
        <f t="shared" si="11"/>
        <v/>
      </c>
      <c r="CP45" s="82" t="str">
        <f t="shared" si="11"/>
        <v/>
      </c>
      <c r="CQ45" s="82" t="str">
        <f t="shared" si="11"/>
        <v/>
      </c>
      <c r="CR45" s="82" t="str">
        <f t="shared" si="11"/>
        <v/>
      </c>
      <c r="CS45" s="82" t="str">
        <f t="shared" si="11"/>
        <v/>
      </c>
      <c r="CT45" s="82" t="str">
        <f t="shared" si="11"/>
        <v/>
      </c>
      <c r="CU45" s="82" t="str">
        <f t="shared" si="11"/>
        <v/>
      </c>
      <c r="CV45" s="3"/>
    </row>
    <row r="46" spans="1:100">
      <c r="A46" s="41">
        <v>975073</v>
      </c>
      <c r="B46" s="1">
        <v>92</v>
      </c>
      <c r="C46" s="29" t="str">
        <f t="shared" si="4"/>
        <v>975073-92</v>
      </c>
      <c r="D46" s="28" t="s">
        <v>80</v>
      </c>
      <c r="E46" s="37" t="s">
        <v>84</v>
      </c>
      <c r="F46" s="31">
        <v>42458</v>
      </c>
      <c r="G46" s="38"/>
      <c r="H46" s="31">
        <v>42468</v>
      </c>
      <c r="I46" s="38">
        <v>28</v>
      </c>
      <c r="J46" s="40"/>
      <c r="K46" s="87">
        <v>27.1</v>
      </c>
      <c r="L46" s="93">
        <v>27.8</v>
      </c>
      <c r="M46" s="93">
        <v>28</v>
      </c>
      <c r="N46" s="93">
        <v>28.8</v>
      </c>
      <c r="O46" s="93">
        <v>29.5</v>
      </c>
      <c r="P46" s="93">
        <v>29.8</v>
      </c>
      <c r="Q46" s="93">
        <v>30.8</v>
      </c>
      <c r="R46" s="93">
        <v>30.5</v>
      </c>
      <c r="S46" s="93">
        <v>30</v>
      </c>
      <c r="T46" s="93">
        <v>28.8</v>
      </c>
      <c r="U46" s="93">
        <v>28.8</v>
      </c>
      <c r="V46" s="93">
        <v>27.5</v>
      </c>
      <c r="W46" s="93">
        <v>27.2</v>
      </c>
      <c r="X46" s="93">
        <v>27.4</v>
      </c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2"/>
      <c r="BD46" s="82">
        <f t="shared" si="15"/>
        <v>0.96785714285714286</v>
      </c>
      <c r="BE46" s="82">
        <f t="shared" si="15"/>
        <v>0.99285714285714288</v>
      </c>
      <c r="BF46" s="82">
        <f t="shared" si="15"/>
        <v>1</v>
      </c>
      <c r="BG46" s="82">
        <f t="shared" si="15"/>
        <v>1.0285714285714287</v>
      </c>
      <c r="BH46" s="82">
        <f t="shared" si="14"/>
        <v>1.0535714285714286</v>
      </c>
      <c r="BI46" s="82">
        <f t="shared" si="14"/>
        <v>1.0642857142857143</v>
      </c>
      <c r="BJ46" s="82">
        <f t="shared" si="14"/>
        <v>1.1000000000000001</v>
      </c>
      <c r="BK46" s="82">
        <f t="shared" si="14"/>
        <v>1.0892857142857142</v>
      </c>
      <c r="BL46" s="82">
        <f t="shared" si="14"/>
        <v>1.0714285714285714</v>
      </c>
      <c r="BM46" s="82">
        <f t="shared" si="14"/>
        <v>1.0285714285714287</v>
      </c>
      <c r="BN46" s="82">
        <f t="shared" si="14"/>
        <v>1.0285714285714287</v>
      </c>
      <c r="BO46" s="82">
        <f t="shared" si="14"/>
        <v>0.9821428571428571</v>
      </c>
      <c r="BP46" s="82">
        <f t="shared" si="14"/>
        <v>0.97142857142857142</v>
      </c>
      <c r="BQ46" s="82">
        <f t="shared" si="14"/>
        <v>0.97857142857142854</v>
      </c>
      <c r="BR46" s="82" t="str">
        <f t="shared" si="14"/>
        <v/>
      </c>
      <c r="BS46" s="82" t="str">
        <f t="shared" si="14"/>
        <v/>
      </c>
      <c r="BT46" s="82" t="str">
        <f t="shared" si="13"/>
        <v/>
      </c>
      <c r="BU46" s="82" t="str">
        <f t="shared" si="13"/>
        <v/>
      </c>
      <c r="BV46" s="82" t="str">
        <f t="shared" si="13"/>
        <v/>
      </c>
      <c r="BW46" s="82" t="str">
        <f t="shared" si="13"/>
        <v/>
      </c>
      <c r="BX46" s="82" t="str">
        <f t="shared" si="13"/>
        <v/>
      </c>
      <c r="BY46" s="82" t="str">
        <f t="shared" si="13"/>
        <v/>
      </c>
      <c r="BZ46" s="82" t="str">
        <f t="shared" si="13"/>
        <v/>
      </c>
      <c r="CA46" s="82" t="str">
        <f t="shared" si="13"/>
        <v/>
      </c>
      <c r="CB46" s="82" t="str">
        <f t="shared" si="13"/>
        <v/>
      </c>
      <c r="CC46" s="82" t="str">
        <f t="shared" si="13"/>
        <v/>
      </c>
      <c r="CD46" s="82" t="str">
        <f t="shared" si="13"/>
        <v/>
      </c>
      <c r="CE46" s="82" t="str">
        <f t="shared" si="13"/>
        <v/>
      </c>
      <c r="CF46" s="82" t="str">
        <f t="shared" si="13"/>
        <v/>
      </c>
      <c r="CG46" s="82" t="str">
        <f t="shared" si="12"/>
        <v/>
      </c>
      <c r="CH46" s="82" t="str">
        <f t="shared" si="12"/>
        <v/>
      </c>
      <c r="CI46" s="82" t="str">
        <f t="shared" si="12"/>
        <v/>
      </c>
      <c r="CJ46" s="82" t="str">
        <f t="shared" si="12"/>
        <v/>
      </c>
      <c r="CK46" s="82" t="str">
        <f t="shared" si="12"/>
        <v/>
      </c>
      <c r="CL46" s="82" t="str">
        <f t="shared" si="12"/>
        <v/>
      </c>
      <c r="CM46" s="82" t="str">
        <f t="shared" si="11"/>
        <v/>
      </c>
      <c r="CN46" s="82" t="str">
        <f t="shared" si="11"/>
        <v/>
      </c>
      <c r="CO46" s="82" t="str">
        <f t="shared" si="11"/>
        <v/>
      </c>
      <c r="CP46" s="82" t="str">
        <f t="shared" si="11"/>
        <v/>
      </c>
      <c r="CQ46" s="82" t="str">
        <f t="shared" si="11"/>
        <v/>
      </c>
      <c r="CR46" s="82" t="str">
        <f t="shared" si="11"/>
        <v/>
      </c>
      <c r="CS46" s="82" t="str">
        <f t="shared" si="11"/>
        <v/>
      </c>
      <c r="CT46" s="82" t="str">
        <f t="shared" si="11"/>
        <v/>
      </c>
      <c r="CU46" s="82" t="str">
        <f t="shared" si="11"/>
        <v/>
      </c>
      <c r="CV46" s="3"/>
    </row>
    <row r="47" spans="1:100">
      <c r="A47" s="41">
        <v>975073</v>
      </c>
      <c r="B47" s="1">
        <v>93</v>
      </c>
      <c r="C47" s="29" t="str">
        <f t="shared" si="4"/>
        <v>975073-93</v>
      </c>
      <c r="D47" s="28" t="s">
        <v>80</v>
      </c>
      <c r="E47" s="37" t="s">
        <v>85</v>
      </c>
      <c r="F47" s="31">
        <v>42458</v>
      </c>
      <c r="G47" s="38"/>
      <c r="H47" s="31">
        <v>42468</v>
      </c>
      <c r="I47" s="38">
        <v>27.8</v>
      </c>
      <c r="J47" s="40"/>
      <c r="K47" s="87">
        <v>27.1</v>
      </c>
      <c r="L47" s="93">
        <v>27.9</v>
      </c>
      <c r="M47" s="93">
        <v>27.8</v>
      </c>
      <c r="N47" s="93">
        <v>27.7</v>
      </c>
      <c r="O47" s="93">
        <v>27.5</v>
      </c>
      <c r="P47" s="93">
        <v>28.1</v>
      </c>
      <c r="Q47" s="93">
        <v>28.2</v>
      </c>
      <c r="R47" s="93">
        <v>27.8</v>
      </c>
      <c r="S47" s="93">
        <v>27.6</v>
      </c>
      <c r="T47" s="93">
        <v>27.3</v>
      </c>
      <c r="U47" s="93">
        <v>28.3</v>
      </c>
      <c r="V47" s="93">
        <v>26.6</v>
      </c>
      <c r="W47" s="93">
        <v>27.1</v>
      </c>
      <c r="X47" s="93">
        <v>27.5</v>
      </c>
      <c r="Y47" s="93">
        <v>27.4</v>
      </c>
      <c r="Z47" s="93">
        <v>26.9</v>
      </c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2"/>
      <c r="BD47" s="82">
        <f t="shared" si="15"/>
        <v>0.97482014388489213</v>
      </c>
      <c r="BE47" s="82">
        <f t="shared" si="15"/>
        <v>1.0035971223021583</v>
      </c>
      <c r="BF47" s="82">
        <f t="shared" si="15"/>
        <v>1</v>
      </c>
      <c r="BG47" s="82">
        <f t="shared" si="15"/>
        <v>0.99640287769784164</v>
      </c>
      <c r="BH47" s="82">
        <f t="shared" si="14"/>
        <v>0.98920863309352514</v>
      </c>
      <c r="BI47" s="82">
        <f t="shared" si="14"/>
        <v>1.0107913669064748</v>
      </c>
      <c r="BJ47" s="82">
        <f t="shared" si="14"/>
        <v>1.014388489208633</v>
      </c>
      <c r="BK47" s="82">
        <f t="shared" si="14"/>
        <v>1</v>
      </c>
      <c r="BL47" s="82">
        <f t="shared" si="14"/>
        <v>0.9928057553956835</v>
      </c>
      <c r="BM47" s="82">
        <f t="shared" si="14"/>
        <v>0.98201438848920863</v>
      </c>
      <c r="BN47" s="82">
        <f t="shared" si="14"/>
        <v>1.0179856115107915</v>
      </c>
      <c r="BO47" s="82">
        <f t="shared" si="14"/>
        <v>0.95683453237410077</v>
      </c>
      <c r="BP47" s="82">
        <f t="shared" si="14"/>
        <v>0.97482014388489213</v>
      </c>
      <c r="BQ47" s="82">
        <f t="shared" si="14"/>
        <v>0.98920863309352514</v>
      </c>
      <c r="BR47" s="82">
        <f t="shared" si="14"/>
        <v>0.98561151079136688</v>
      </c>
      <c r="BS47" s="82">
        <f t="shared" si="14"/>
        <v>0.96762589928057552</v>
      </c>
      <c r="BT47" s="82" t="str">
        <f t="shared" si="13"/>
        <v/>
      </c>
      <c r="BU47" s="82" t="str">
        <f t="shared" si="13"/>
        <v/>
      </c>
      <c r="BV47" s="82" t="str">
        <f t="shared" si="13"/>
        <v/>
      </c>
      <c r="BW47" s="82" t="str">
        <f t="shared" si="13"/>
        <v/>
      </c>
      <c r="BX47" s="82" t="str">
        <f t="shared" si="13"/>
        <v/>
      </c>
      <c r="BY47" s="82" t="str">
        <f t="shared" si="13"/>
        <v/>
      </c>
      <c r="BZ47" s="82" t="str">
        <f t="shared" si="13"/>
        <v/>
      </c>
      <c r="CA47" s="82" t="str">
        <f t="shared" si="13"/>
        <v/>
      </c>
      <c r="CB47" s="82" t="str">
        <f t="shared" si="13"/>
        <v/>
      </c>
      <c r="CC47" s="82" t="str">
        <f t="shared" si="13"/>
        <v/>
      </c>
      <c r="CD47" s="82" t="str">
        <f t="shared" si="13"/>
        <v/>
      </c>
      <c r="CE47" s="82" t="str">
        <f t="shared" si="13"/>
        <v/>
      </c>
      <c r="CF47" s="82" t="str">
        <f t="shared" si="13"/>
        <v/>
      </c>
      <c r="CG47" s="82" t="str">
        <f t="shared" si="12"/>
        <v/>
      </c>
      <c r="CH47" s="82" t="str">
        <f t="shared" si="12"/>
        <v/>
      </c>
      <c r="CI47" s="82" t="str">
        <f t="shared" si="12"/>
        <v/>
      </c>
      <c r="CJ47" s="82" t="str">
        <f t="shared" si="12"/>
        <v/>
      </c>
      <c r="CK47" s="82" t="str">
        <f t="shared" si="12"/>
        <v/>
      </c>
      <c r="CL47" s="82" t="str">
        <f t="shared" si="12"/>
        <v/>
      </c>
      <c r="CM47" s="82" t="str">
        <f t="shared" si="11"/>
        <v/>
      </c>
      <c r="CN47" s="82" t="str">
        <f t="shared" si="11"/>
        <v/>
      </c>
      <c r="CO47" s="82" t="str">
        <f t="shared" si="11"/>
        <v/>
      </c>
      <c r="CP47" s="82" t="str">
        <f t="shared" si="11"/>
        <v/>
      </c>
      <c r="CQ47" s="82" t="str">
        <f t="shared" si="11"/>
        <v/>
      </c>
      <c r="CR47" s="82" t="str">
        <f t="shared" si="11"/>
        <v/>
      </c>
      <c r="CS47" s="82" t="str">
        <f t="shared" si="11"/>
        <v/>
      </c>
      <c r="CT47" s="82" t="str">
        <f t="shared" si="11"/>
        <v/>
      </c>
      <c r="CU47" s="82" t="str">
        <f t="shared" si="11"/>
        <v/>
      </c>
      <c r="CV47" s="3"/>
    </row>
    <row r="48" spans="1:100">
      <c r="A48" s="41">
        <v>975073</v>
      </c>
      <c r="B48" s="1">
        <v>94</v>
      </c>
      <c r="C48" s="29" t="str">
        <f t="shared" si="4"/>
        <v>975073-94</v>
      </c>
      <c r="D48" s="28" t="s">
        <v>80</v>
      </c>
      <c r="E48" s="37" t="s">
        <v>82</v>
      </c>
      <c r="F48" s="31">
        <v>42458</v>
      </c>
      <c r="G48" s="38"/>
      <c r="H48" s="31">
        <v>42468</v>
      </c>
      <c r="I48" s="38">
        <v>24.6</v>
      </c>
      <c r="J48" s="40"/>
      <c r="K48" s="87">
        <v>24</v>
      </c>
      <c r="L48" s="93">
        <v>24.9</v>
      </c>
      <c r="M48" s="93">
        <v>24.6</v>
      </c>
      <c r="N48" s="93">
        <v>25.1</v>
      </c>
      <c r="O48" s="93">
        <v>24.7</v>
      </c>
      <c r="P48" s="93">
        <v>25.4</v>
      </c>
      <c r="Q48" s="93">
        <v>25.8</v>
      </c>
      <c r="R48" s="93">
        <v>25.4</v>
      </c>
      <c r="S48" s="93">
        <v>25.8</v>
      </c>
      <c r="T48" s="93">
        <v>25.2</v>
      </c>
      <c r="U48" s="93">
        <v>26.8</v>
      </c>
      <c r="V48" s="93">
        <v>25.7</v>
      </c>
      <c r="W48" s="93">
        <v>26.6</v>
      </c>
      <c r="X48" s="93">
        <v>26.3</v>
      </c>
      <c r="Y48" s="93">
        <v>26.6</v>
      </c>
      <c r="Z48" s="93">
        <v>26.4</v>
      </c>
      <c r="AA48" s="93">
        <v>26.6</v>
      </c>
      <c r="AB48" s="93">
        <v>27.1</v>
      </c>
      <c r="AC48" s="93">
        <v>26.1</v>
      </c>
      <c r="AD48" s="93">
        <v>27</v>
      </c>
      <c r="AE48" s="93">
        <v>26.1</v>
      </c>
      <c r="AF48" s="93">
        <v>25.8</v>
      </c>
      <c r="AG48" s="93">
        <v>24.7</v>
      </c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2"/>
      <c r="BD48" s="82">
        <f t="shared" si="15"/>
        <v>0.97560975609756095</v>
      </c>
      <c r="BE48" s="82">
        <f t="shared" si="15"/>
        <v>1.0121951219512193</v>
      </c>
      <c r="BF48" s="82">
        <f t="shared" si="15"/>
        <v>1</v>
      </c>
      <c r="BG48" s="82">
        <f t="shared" si="15"/>
        <v>1.0203252032520325</v>
      </c>
      <c r="BH48" s="82">
        <f t="shared" si="14"/>
        <v>1.0040650406504064</v>
      </c>
      <c r="BI48" s="82">
        <f t="shared" si="14"/>
        <v>1.032520325203252</v>
      </c>
      <c r="BJ48" s="82">
        <f t="shared" si="14"/>
        <v>1.0487804878048781</v>
      </c>
      <c r="BK48" s="82">
        <f t="shared" si="14"/>
        <v>1.032520325203252</v>
      </c>
      <c r="BL48" s="82">
        <f t="shared" si="14"/>
        <v>1.0487804878048781</v>
      </c>
      <c r="BM48" s="82">
        <f t="shared" si="14"/>
        <v>1.024390243902439</v>
      </c>
      <c r="BN48" s="82">
        <f t="shared" si="14"/>
        <v>1.089430894308943</v>
      </c>
      <c r="BO48" s="82">
        <f t="shared" si="14"/>
        <v>1.0447154471544715</v>
      </c>
      <c r="BP48" s="82">
        <f t="shared" si="14"/>
        <v>1.0813008130081301</v>
      </c>
      <c r="BQ48" s="82">
        <f t="shared" si="14"/>
        <v>1.0691056910569106</v>
      </c>
      <c r="BR48" s="82">
        <f t="shared" si="14"/>
        <v>1.0813008130081301</v>
      </c>
      <c r="BS48" s="82">
        <f t="shared" si="14"/>
        <v>1.0731707317073169</v>
      </c>
      <c r="BT48" s="82">
        <f t="shared" si="13"/>
        <v>1.0813008130081301</v>
      </c>
      <c r="BU48" s="82">
        <f t="shared" si="13"/>
        <v>1.1016260162601625</v>
      </c>
      <c r="BV48" s="82">
        <f t="shared" si="13"/>
        <v>1.0609756097560976</v>
      </c>
      <c r="BW48" s="82">
        <f t="shared" si="13"/>
        <v>1.097560975609756</v>
      </c>
      <c r="BX48" s="82">
        <f t="shared" si="13"/>
        <v>1.0609756097560976</v>
      </c>
      <c r="BY48" s="82">
        <f t="shared" si="13"/>
        <v>1.0487804878048781</v>
      </c>
      <c r="BZ48" s="82">
        <f t="shared" si="13"/>
        <v>1.0040650406504064</v>
      </c>
      <c r="CA48" s="82" t="str">
        <f t="shared" si="13"/>
        <v/>
      </c>
      <c r="CB48" s="82" t="str">
        <f t="shared" si="13"/>
        <v/>
      </c>
      <c r="CC48" s="82" t="str">
        <f t="shared" si="13"/>
        <v/>
      </c>
      <c r="CD48" s="82" t="str">
        <f t="shared" si="13"/>
        <v/>
      </c>
      <c r="CE48" s="82" t="str">
        <f t="shared" si="13"/>
        <v/>
      </c>
      <c r="CF48" s="82" t="str">
        <f t="shared" si="13"/>
        <v/>
      </c>
      <c r="CG48" s="82" t="str">
        <f t="shared" si="12"/>
        <v/>
      </c>
      <c r="CH48" s="82" t="str">
        <f t="shared" si="12"/>
        <v/>
      </c>
      <c r="CI48" s="82" t="str">
        <f t="shared" si="12"/>
        <v/>
      </c>
      <c r="CJ48" s="82" t="str">
        <f t="shared" si="12"/>
        <v/>
      </c>
      <c r="CK48" s="82" t="str">
        <f t="shared" si="12"/>
        <v/>
      </c>
      <c r="CL48" s="82" t="str">
        <f t="shared" si="12"/>
        <v/>
      </c>
      <c r="CM48" s="82" t="str">
        <f t="shared" si="11"/>
        <v/>
      </c>
      <c r="CN48" s="82" t="str">
        <f t="shared" si="11"/>
        <v/>
      </c>
      <c r="CO48" s="82" t="str">
        <f t="shared" si="11"/>
        <v/>
      </c>
      <c r="CP48" s="82" t="str">
        <f t="shared" si="11"/>
        <v/>
      </c>
      <c r="CQ48" s="82" t="str">
        <f t="shared" si="11"/>
        <v/>
      </c>
      <c r="CR48" s="82" t="str">
        <f t="shared" si="11"/>
        <v/>
      </c>
      <c r="CS48" s="82" t="str">
        <f t="shared" si="11"/>
        <v/>
      </c>
      <c r="CT48" s="82" t="str">
        <f t="shared" si="11"/>
        <v/>
      </c>
      <c r="CU48" s="82" t="str">
        <f t="shared" si="11"/>
        <v/>
      </c>
      <c r="CV48" s="3"/>
    </row>
    <row r="49" spans="1:100">
      <c r="A49" s="41">
        <v>975073</v>
      </c>
      <c r="B49" s="1">
        <v>95</v>
      </c>
      <c r="C49" s="29" t="str">
        <f t="shared" si="4"/>
        <v>975073-95</v>
      </c>
      <c r="D49" s="28" t="s">
        <v>80</v>
      </c>
      <c r="E49" s="37" t="s">
        <v>86</v>
      </c>
      <c r="F49" s="31">
        <v>42458</v>
      </c>
      <c r="G49" s="38"/>
      <c r="H49" s="31">
        <v>42468</v>
      </c>
      <c r="I49" s="38">
        <v>26.4</v>
      </c>
      <c r="J49" s="40"/>
      <c r="K49" s="87">
        <v>26.5</v>
      </c>
      <c r="L49" s="93">
        <v>26.9</v>
      </c>
      <c r="M49" s="93">
        <v>26.4</v>
      </c>
      <c r="N49" s="93">
        <v>26.6</v>
      </c>
      <c r="O49" s="93">
        <v>27.1</v>
      </c>
      <c r="P49" s="93">
        <v>27.6</v>
      </c>
      <c r="Q49" s="93">
        <v>27.9</v>
      </c>
      <c r="R49" s="93">
        <v>27.3</v>
      </c>
      <c r="S49" s="93">
        <v>27.2</v>
      </c>
      <c r="T49" s="93">
        <v>27.3</v>
      </c>
      <c r="U49" s="93">
        <v>28.3</v>
      </c>
      <c r="V49" s="93">
        <v>27</v>
      </c>
      <c r="W49" s="93">
        <v>27</v>
      </c>
      <c r="X49" s="93">
        <v>26.7</v>
      </c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2"/>
      <c r="BD49" s="82">
        <f t="shared" si="15"/>
        <v>1.0037878787878789</v>
      </c>
      <c r="BE49" s="82">
        <f t="shared" si="15"/>
        <v>1.018939393939394</v>
      </c>
      <c r="BF49" s="82">
        <f t="shared" si="15"/>
        <v>1</v>
      </c>
      <c r="BG49" s="82">
        <f t="shared" si="15"/>
        <v>1.0075757575757578</v>
      </c>
      <c r="BH49" s="82">
        <f t="shared" si="14"/>
        <v>1.0265151515151516</v>
      </c>
      <c r="BI49" s="82">
        <f t="shared" si="14"/>
        <v>1.0454545454545456</v>
      </c>
      <c r="BJ49" s="82">
        <f t="shared" si="14"/>
        <v>1.0568181818181819</v>
      </c>
      <c r="BK49" s="82">
        <f t="shared" si="14"/>
        <v>1.0340909090909092</v>
      </c>
      <c r="BL49" s="82">
        <f t="shared" si="14"/>
        <v>1.0303030303030303</v>
      </c>
      <c r="BM49" s="82">
        <f t="shared" si="14"/>
        <v>1.0340909090909092</v>
      </c>
      <c r="BN49" s="82">
        <f t="shared" si="14"/>
        <v>1.071969696969697</v>
      </c>
      <c r="BO49" s="82">
        <f t="shared" si="14"/>
        <v>1.0227272727272727</v>
      </c>
      <c r="BP49" s="82">
        <f t="shared" si="14"/>
        <v>1.0227272727272727</v>
      </c>
      <c r="BQ49" s="82">
        <f t="shared" si="14"/>
        <v>1.0113636363636365</v>
      </c>
      <c r="BR49" s="82" t="str">
        <f t="shared" si="14"/>
        <v/>
      </c>
      <c r="BS49" s="82" t="str">
        <f t="shared" si="14"/>
        <v/>
      </c>
      <c r="BT49" s="82" t="str">
        <f t="shared" si="13"/>
        <v/>
      </c>
      <c r="BU49" s="82" t="str">
        <f t="shared" si="13"/>
        <v/>
      </c>
      <c r="BV49" s="82" t="str">
        <f t="shared" si="13"/>
        <v/>
      </c>
      <c r="BW49" s="82" t="str">
        <f t="shared" si="13"/>
        <v/>
      </c>
      <c r="BX49" s="82" t="str">
        <f t="shared" si="13"/>
        <v/>
      </c>
      <c r="BY49" s="82" t="str">
        <f t="shared" si="13"/>
        <v/>
      </c>
      <c r="BZ49" s="82" t="str">
        <f t="shared" si="13"/>
        <v/>
      </c>
      <c r="CA49" s="82" t="str">
        <f t="shared" si="13"/>
        <v/>
      </c>
      <c r="CB49" s="82" t="str">
        <f t="shared" si="13"/>
        <v/>
      </c>
      <c r="CC49" s="82" t="str">
        <f t="shared" si="13"/>
        <v/>
      </c>
      <c r="CD49" s="82" t="str">
        <f t="shared" si="13"/>
        <v/>
      </c>
      <c r="CE49" s="82" t="str">
        <f t="shared" si="13"/>
        <v/>
      </c>
      <c r="CF49" s="82" t="str">
        <f t="shared" si="13"/>
        <v/>
      </c>
      <c r="CG49" s="82" t="str">
        <f t="shared" si="12"/>
        <v/>
      </c>
      <c r="CH49" s="82" t="str">
        <f t="shared" si="12"/>
        <v/>
      </c>
      <c r="CI49" s="82" t="str">
        <f t="shared" si="12"/>
        <v/>
      </c>
      <c r="CJ49" s="82" t="str">
        <f t="shared" si="12"/>
        <v/>
      </c>
      <c r="CK49" s="82" t="str">
        <f t="shared" si="12"/>
        <v/>
      </c>
      <c r="CL49" s="82" t="str">
        <f t="shared" si="12"/>
        <v/>
      </c>
      <c r="CM49" s="82" t="str">
        <f t="shared" si="11"/>
        <v/>
      </c>
      <c r="CN49" s="82" t="str">
        <f t="shared" si="11"/>
        <v/>
      </c>
      <c r="CO49" s="82" t="str">
        <f t="shared" si="11"/>
        <v/>
      </c>
      <c r="CP49" s="82" t="str">
        <f t="shared" si="11"/>
        <v/>
      </c>
      <c r="CQ49" s="82" t="str">
        <f t="shared" si="11"/>
        <v/>
      </c>
      <c r="CR49" s="82" t="str">
        <f t="shared" si="11"/>
        <v/>
      </c>
      <c r="CS49" s="82" t="str">
        <f t="shared" si="11"/>
        <v/>
      </c>
      <c r="CT49" s="82" t="str">
        <f t="shared" si="11"/>
        <v/>
      </c>
      <c r="CU49" s="82" t="str">
        <f t="shared" si="11"/>
        <v/>
      </c>
      <c r="CV49" s="3"/>
    </row>
    <row r="50" spans="1:100">
      <c r="A50" s="41">
        <v>961176</v>
      </c>
      <c r="B50" s="1">
        <v>101</v>
      </c>
      <c r="C50" s="29" t="str">
        <f t="shared" si="4"/>
        <v>961176-101</v>
      </c>
      <c r="D50" s="28" t="s">
        <v>80</v>
      </c>
      <c r="E50" s="37" t="s">
        <v>89</v>
      </c>
      <c r="F50" s="31">
        <v>42458</v>
      </c>
      <c r="G50" s="38"/>
      <c r="H50" s="31">
        <v>42468</v>
      </c>
      <c r="I50" s="38">
        <v>23.4</v>
      </c>
      <c r="J50" s="40"/>
      <c r="K50" s="87">
        <v>22.9</v>
      </c>
      <c r="L50" s="93">
        <v>23.6</v>
      </c>
      <c r="M50" s="93">
        <v>23.4</v>
      </c>
      <c r="N50" s="93">
        <v>22.8</v>
      </c>
      <c r="O50" s="93">
        <v>22.6</v>
      </c>
      <c r="P50" s="93">
        <v>23.5</v>
      </c>
      <c r="Q50" s="93">
        <v>24.1</v>
      </c>
      <c r="R50" s="93">
        <v>23.8</v>
      </c>
      <c r="S50" s="93">
        <v>24.3</v>
      </c>
      <c r="T50" s="93">
        <v>23.5</v>
      </c>
      <c r="U50" s="93">
        <v>24.9</v>
      </c>
      <c r="V50" s="93">
        <v>23.8</v>
      </c>
      <c r="W50" s="93">
        <v>24.9</v>
      </c>
      <c r="X50" s="93">
        <v>24.2</v>
      </c>
      <c r="Y50" s="93">
        <v>23.4</v>
      </c>
      <c r="Z50" s="93">
        <v>23.4</v>
      </c>
      <c r="AA50" s="93">
        <v>23.9</v>
      </c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2"/>
      <c r="BD50" s="82">
        <f t="shared" si="15"/>
        <v>0.9786324786324786</v>
      </c>
      <c r="BE50" s="82">
        <f t="shared" si="15"/>
        <v>1.0085470085470087</v>
      </c>
      <c r="BF50" s="82">
        <f t="shared" si="15"/>
        <v>1</v>
      </c>
      <c r="BG50" s="82">
        <f t="shared" si="15"/>
        <v>0.97435897435897445</v>
      </c>
      <c r="BH50" s="82">
        <f t="shared" si="14"/>
        <v>0.96581196581196593</v>
      </c>
      <c r="BI50" s="82">
        <f t="shared" si="14"/>
        <v>1.0042735042735043</v>
      </c>
      <c r="BJ50" s="82">
        <f t="shared" si="14"/>
        <v>1.02991452991453</v>
      </c>
      <c r="BK50" s="82">
        <f t="shared" si="14"/>
        <v>1.0170940170940173</v>
      </c>
      <c r="BL50" s="82">
        <f t="shared" si="14"/>
        <v>1.0384615384615385</v>
      </c>
      <c r="BM50" s="82">
        <f t="shared" si="14"/>
        <v>1.0042735042735043</v>
      </c>
      <c r="BN50" s="82">
        <f t="shared" si="14"/>
        <v>1.0641025641025641</v>
      </c>
      <c r="BO50" s="82">
        <f t="shared" si="14"/>
        <v>1.0170940170940173</v>
      </c>
      <c r="BP50" s="82">
        <f t="shared" si="14"/>
        <v>1.0641025641025641</v>
      </c>
      <c r="BQ50" s="82">
        <f t="shared" si="14"/>
        <v>1.0341880341880343</v>
      </c>
      <c r="BR50" s="82">
        <f t="shared" si="14"/>
        <v>1</v>
      </c>
      <c r="BS50" s="82">
        <f t="shared" si="14"/>
        <v>1</v>
      </c>
      <c r="BT50" s="82">
        <f t="shared" si="13"/>
        <v>1.0213675213675213</v>
      </c>
      <c r="BU50" s="82" t="str">
        <f t="shared" si="13"/>
        <v/>
      </c>
      <c r="BV50" s="82" t="str">
        <f t="shared" si="13"/>
        <v/>
      </c>
      <c r="BW50" s="82" t="str">
        <f t="shared" si="13"/>
        <v/>
      </c>
      <c r="BX50" s="82" t="str">
        <f t="shared" si="13"/>
        <v/>
      </c>
      <c r="BY50" s="82" t="str">
        <f t="shared" si="13"/>
        <v/>
      </c>
      <c r="BZ50" s="82" t="str">
        <f t="shared" si="13"/>
        <v/>
      </c>
      <c r="CA50" s="82" t="str">
        <f t="shared" si="13"/>
        <v/>
      </c>
      <c r="CB50" s="82" t="str">
        <f t="shared" si="13"/>
        <v/>
      </c>
      <c r="CC50" s="82" t="str">
        <f t="shared" si="13"/>
        <v/>
      </c>
      <c r="CD50" s="82" t="str">
        <f t="shared" si="13"/>
        <v/>
      </c>
      <c r="CE50" s="82" t="str">
        <f t="shared" si="13"/>
        <v/>
      </c>
      <c r="CF50" s="82" t="str">
        <f t="shared" si="13"/>
        <v/>
      </c>
      <c r="CG50" s="82" t="str">
        <f t="shared" si="12"/>
        <v/>
      </c>
      <c r="CH50" s="82" t="str">
        <f t="shared" si="12"/>
        <v/>
      </c>
      <c r="CI50" s="82" t="str">
        <f t="shared" si="12"/>
        <v/>
      </c>
      <c r="CJ50" s="82" t="str">
        <f t="shared" si="12"/>
        <v/>
      </c>
      <c r="CK50" s="82" t="str">
        <f t="shared" si="12"/>
        <v/>
      </c>
      <c r="CL50" s="82" t="str">
        <f t="shared" si="12"/>
        <v/>
      </c>
      <c r="CM50" s="82" t="str">
        <f t="shared" si="11"/>
        <v/>
      </c>
      <c r="CN50" s="82" t="str">
        <f t="shared" si="11"/>
        <v/>
      </c>
      <c r="CO50" s="82" t="str">
        <f t="shared" si="11"/>
        <v/>
      </c>
      <c r="CP50" s="82" t="str">
        <f t="shared" si="11"/>
        <v/>
      </c>
      <c r="CQ50" s="82" t="str">
        <f t="shared" si="11"/>
        <v/>
      </c>
      <c r="CR50" s="82" t="str">
        <f t="shared" si="11"/>
        <v/>
      </c>
      <c r="CS50" s="82" t="str">
        <f t="shared" si="11"/>
        <v/>
      </c>
      <c r="CT50" s="82" t="str">
        <f t="shared" si="11"/>
        <v/>
      </c>
      <c r="CU50" s="82" t="str">
        <f t="shared" si="11"/>
        <v/>
      </c>
      <c r="CV50" s="3"/>
    </row>
    <row r="51" spans="1:100">
      <c r="A51" s="41">
        <v>961176</v>
      </c>
      <c r="B51" s="1">
        <v>102</v>
      </c>
      <c r="C51" s="29" t="str">
        <f t="shared" si="4"/>
        <v>961176-102</v>
      </c>
      <c r="D51" s="28" t="s">
        <v>80</v>
      </c>
      <c r="E51" s="37" t="s">
        <v>90</v>
      </c>
      <c r="F51" s="31">
        <v>42458</v>
      </c>
      <c r="G51" s="38"/>
      <c r="H51" s="31">
        <v>42468</v>
      </c>
      <c r="I51" s="38">
        <v>27.3</v>
      </c>
      <c r="J51" s="40"/>
      <c r="K51" s="87">
        <v>26.8</v>
      </c>
      <c r="L51" s="93">
        <v>27.3</v>
      </c>
      <c r="M51" s="93">
        <v>27.3</v>
      </c>
      <c r="N51" s="93">
        <v>27.9</v>
      </c>
      <c r="O51" s="93">
        <v>27.6</v>
      </c>
      <c r="P51" s="93">
        <v>28.5</v>
      </c>
      <c r="Q51" s="93">
        <v>28.9</v>
      </c>
      <c r="R51" s="93">
        <v>27.7</v>
      </c>
      <c r="S51" s="93">
        <v>27.9</v>
      </c>
      <c r="T51" s="93">
        <v>27.4</v>
      </c>
      <c r="U51" s="93">
        <v>27.6</v>
      </c>
      <c r="V51" s="93">
        <v>27.2</v>
      </c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2"/>
      <c r="BD51" s="82">
        <f t="shared" si="15"/>
        <v>0.98168498168498164</v>
      </c>
      <c r="BE51" s="82">
        <f t="shared" si="15"/>
        <v>1</v>
      </c>
      <c r="BF51" s="82">
        <f t="shared" si="15"/>
        <v>1</v>
      </c>
      <c r="BG51" s="82">
        <f t="shared" si="15"/>
        <v>1.0219780219780219</v>
      </c>
      <c r="BH51" s="82">
        <f t="shared" si="14"/>
        <v>1.0109890109890109</v>
      </c>
      <c r="BI51" s="82">
        <f t="shared" si="14"/>
        <v>1.043956043956044</v>
      </c>
      <c r="BJ51" s="82">
        <f t="shared" si="14"/>
        <v>1.0586080586080586</v>
      </c>
      <c r="BK51" s="82">
        <f t="shared" si="14"/>
        <v>1.0146520146520146</v>
      </c>
      <c r="BL51" s="82">
        <f t="shared" si="14"/>
        <v>1.0219780219780219</v>
      </c>
      <c r="BM51" s="82">
        <f t="shared" si="14"/>
        <v>1.0036630036630036</v>
      </c>
      <c r="BN51" s="82">
        <f t="shared" si="14"/>
        <v>1.0109890109890109</v>
      </c>
      <c r="BO51" s="82">
        <f t="shared" si="14"/>
        <v>0.99633699633699624</v>
      </c>
      <c r="BP51" s="82" t="str">
        <f t="shared" si="14"/>
        <v/>
      </c>
      <c r="BQ51" s="82" t="str">
        <f t="shared" si="14"/>
        <v/>
      </c>
      <c r="BR51" s="82" t="str">
        <f t="shared" si="14"/>
        <v/>
      </c>
      <c r="BS51" s="82" t="str">
        <f t="shared" si="14"/>
        <v/>
      </c>
      <c r="BT51" s="82" t="str">
        <f t="shared" si="13"/>
        <v/>
      </c>
      <c r="BU51" s="82" t="str">
        <f t="shared" si="13"/>
        <v/>
      </c>
      <c r="BV51" s="82" t="str">
        <f t="shared" si="13"/>
        <v/>
      </c>
      <c r="BW51" s="82" t="str">
        <f t="shared" si="13"/>
        <v/>
      </c>
      <c r="BX51" s="82" t="str">
        <f t="shared" si="13"/>
        <v/>
      </c>
      <c r="BY51" s="82" t="str">
        <f t="shared" si="13"/>
        <v/>
      </c>
      <c r="BZ51" s="82" t="str">
        <f t="shared" si="13"/>
        <v/>
      </c>
      <c r="CA51" s="82" t="str">
        <f t="shared" si="13"/>
        <v/>
      </c>
      <c r="CB51" s="82" t="str">
        <f t="shared" si="13"/>
        <v/>
      </c>
      <c r="CC51" s="82" t="str">
        <f t="shared" si="13"/>
        <v/>
      </c>
      <c r="CD51" s="82" t="str">
        <f t="shared" si="13"/>
        <v/>
      </c>
      <c r="CE51" s="82" t="str">
        <f t="shared" si="13"/>
        <v/>
      </c>
      <c r="CF51" s="82" t="str">
        <f t="shared" si="13"/>
        <v/>
      </c>
      <c r="CG51" s="82" t="str">
        <f t="shared" si="12"/>
        <v/>
      </c>
      <c r="CH51" s="82" t="str">
        <f t="shared" si="12"/>
        <v/>
      </c>
      <c r="CI51" s="82" t="str">
        <f t="shared" si="12"/>
        <v/>
      </c>
      <c r="CJ51" s="82" t="str">
        <f t="shared" si="12"/>
        <v/>
      </c>
      <c r="CK51" s="82" t="str">
        <f t="shared" si="12"/>
        <v/>
      </c>
      <c r="CL51" s="82" t="str">
        <f t="shared" si="12"/>
        <v/>
      </c>
      <c r="CM51" s="82" t="str">
        <f t="shared" si="11"/>
        <v/>
      </c>
      <c r="CN51" s="82" t="str">
        <f t="shared" si="11"/>
        <v/>
      </c>
      <c r="CO51" s="82" t="str">
        <f t="shared" si="11"/>
        <v/>
      </c>
      <c r="CP51" s="82" t="str">
        <f t="shared" si="11"/>
        <v/>
      </c>
      <c r="CQ51" s="82" t="str">
        <f t="shared" si="11"/>
        <v/>
      </c>
      <c r="CR51" s="82" t="str">
        <f t="shared" si="11"/>
        <v/>
      </c>
      <c r="CS51" s="82" t="str">
        <f t="shared" si="11"/>
        <v/>
      </c>
      <c r="CT51" s="82" t="str">
        <f t="shared" si="11"/>
        <v/>
      </c>
      <c r="CU51" s="82" t="str">
        <f t="shared" si="11"/>
        <v/>
      </c>
      <c r="CV51" s="3"/>
    </row>
    <row r="52" spans="1:100">
      <c r="A52" s="41">
        <v>961176</v>
      </c>
      <c r="B52" s="1">
        <v>103</v>
      </c>
      <c r="C52" s="29" t="str">
        <f t="shared" si="4"/>
        <v>961176-103</v>
      </c>
      <c r="D52" s="28" t="s">
        <v>80</v>
      </c>
      <c r="E52" s="37" t="s">
        <v>88</v>
      </c>
      <c r="F52" s="31">
        <v>42458</v>
      </c>
      <c r="G52" s="38"/>
      <c r="H52" s="31">
        <v>42468</v>
      </c>
      <c r="I52" s="38">
        <v>31.6</v>
      </c>
      <c r="J52" s="40"/>
      <c r="K52" s="87">
        <v>30.7</v>
      </c>
      <c r="L52" s="93">
        <v>31.8</v>
      </c>
      <c r="M52" s="93">
        <v>31.6</v>
      </c>
      <c r="N52" s="93">
        <v>32.4</v>
      </c>
      <c r="O52" s="93">
        <v>31.2</v>
      </c>
      <c r="P52" s="93">
        <v>32.5</v>
      </c>
      <c r="Q52" s="93">
        <v>32.9</v>
      </c>
      <c r="R52" s="93">
        <v>32.700000000000003</v>
      </c>
      <c r="S52" s="93">
        <v>33.1</v>
      </c>
      <c r="T52" s="93">
        <v>32.200000000000003</v>
      </c>
      <c r="U52" s="93">
        <v>32.799999999999997</v>
      </c>
      <c r="V52" s="93">
        <v>32</v>
      </c>
      <c r="W52" s="93">
        <v>33.299999999999997</v>
      </c>
      <c r="X52" s="93">
        <v>33.799999999999997</v>
      </c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2"/>
      <c r="BD52" s="82">
        <f t="shared" si="15"/>
        <v>0.97151898734177211</v>
      </c>
      <c r="BE52" s="82">
        <f t="shared" si="15"/>
        <v>1.0063291139240507</v>
      </c>
      <c r="BF52" s="82">
        <f t="shared" si="15"/>
        <v>1</v>
      </c>
      <c r="BG52" s="82">
        <f t="shared" si="15"/>
        <v>1.0253164556962024</v>
      </c>
      <c r="BH52" s="82">
        <f t="shared" si="14"/>
        <v>0.98734177215189867</v>
      </c>
      <c r="BI52" s="82">
        <f t="shared" si="14"/>
        <v>1.0284810126582278</v>
      </c>
      <c r="BJ52" s="82">
        <f t="shared" si="14"/>
        <v>1.0411392405063291</v>
      </c>
      <c r="BK52" s="82">
        <f t="shared" si="14"/>
        <v>1.0348101265822784</v>
      </c>
      <c r="BL52" s="82">
        <f t="shared" si="14"/>
        <v>1.0474683544303798</v>
      </c>
      <c r="BM52" s="82">
        <f t="shared" si="14"/>
        <v>1.018987341772152</v>
      </c>
      <c r="BN52" s="82">
        <f t="shared" si="14"/>
        <v>1.0379746835443036</v>
      </c>
      <c r="BO52" s="82">
        <f t="shared" si="14"/>
        <v>1.0126582278481011</v>
      </c>
      <c r="BP52" s="82">
        <f t="shared" si="14"/>
        <v>1.0537974683544302</v>
      </c>
      <c r="BQ52" s="82">
        <f t="shared" si="14"/>
        <v>1.0696202531645569</v>
      </c>
      <c r="BR52" s="82" t="str">
        <f t="shared" si="14"/>
        <v/>
      </c>
      <c r="BS52" s="82" t="str">
        <f t="shared" si="14"/>
        <v/>
      </c>
      <c r="BT52" s="82" t="str">
        <f t="shared" si="13"/>
        <v/>
      </c>
      <c r="BU52" s="82" t="str">
        <f t="shared" si="13"/>
        <v/>
      </c>
      <c r="BV52" s="82" t="str">
        <f t="shared" si="13"/>
        <v/>
      </c>
      <c r="BW52" s="82" t="str">
        <f t="shared" si="13"/>
        <v/>
      </c>
      <c r="BX52" s="82" t="str">
        <f t="shared" si="13"/>
        <v/>
      </c>
      <c r="BY52" s="82" t="str">
        <f t="shared" si="13"/>
        <v/>
      </c>
      <c r="BZ52" s="82" t="str">
        <f t="shared" si="13"/>
        <v/>
      </c>
      <c r="CA52" s="82" t="str">
        <f t="shared" si="13"/>
        <v/>
      </c>
      <c r="CB52" s="82" t="str">
        <f t="shared" si="13"/>
        <v/>
      </c>
      <c r="CC52" s="82" t="str">
        <f t="shared" si="13"/>
        <v/>
      </c>
      <c r="CD52" s="82" t="str">
        <f t="shared" si="13"/>
        <v/>
      </c>
      <c r="CE52" s="82" t="str">
        <f t="shared" si="13"/>
        <v/>
      </c>
      <c r="CF52" s="82" t="str">
        <f t="shared" si="13"/>
        <v/>
      </c>
      <c r="CG52" s="82" t="str">
        <f t="shared" si="12"/>
        <v/>
      </c>
      <c r="CH52" s="82" t="str">
        <f t="shared" si="12"/>
        <v/>
      </c>
      <c r="CI52" s="82" t="str">
        <f t="shared" si="12"/>
        <v/>
      </c>
      <c r="CJ52" s="82" t="str">
        <f t="shared" si="12"/>
        <v/>
      </c>
      <c r="CK52" s="82" t="str">
        <f t="shared" si="12"/>
        <v/>
      </c>
      <c r="CL52" s="82" t="str">
        <f t="shared" si="12"/>
        <v/>
      </c>
      <c r="CM52" s="82" t="str">
        <f t="shared" si="12"/>
        <v/>
      </c>
      <c r="CN52" s="82" t="str">
        <f t="shared" si="12"/>
        <v/>
      </c>
      <c r="CO52" s="82" t="str">
        <f t="shared" si="12"/>
        <v/>
      </c>
      <c r="CP52" s="82" t="str">
        <f t="shared" si="12"/>
        <v/>
      </c>
      <c r="CQ52" s="82" t="str">
        <f t="shared" si="12"/>
        <v/>
      </c>
      <c r="CR52" s="82" t="str">
        <f t="shared" si="12"/>
        <v/>
      </c>
      <c r="CS52" s="82" t="str">
        <f t="shared" si="12"/>
        <v/>
      </c>
      <c r="CT52" s="82" t="str">
        <f t="shared" si="12"/>
        <v/>
      </c>
      <c r="CU52" s="82" t="str">
        <f t="shared" si="12"/>
        <v/>
      </c>
      <c r="CV52" s="3"/>
    </row>
    <row r="53" spans="1:100">
      <c r="A53" s="42">
        <v>961176</v>
      </c>
      <c r="B53" s="4">
        <v>105</v>
      </c>
      <c r="C53" s="29" t="str">
        <f t="shared" si="4"/>
        <v>961176-105</v>
      </c>
      <c r="D53" s="28" t="s">
        <v>80</v>
      </c>
      <c r="E53" s="37" t="s">
        <v>82</v>
      </c>
      <c r="F53" s="31">
        <v>42458</v>
      </c>
      <c r="G53" s="45"/>
      <c r="H53" s="31">
        <v>42468</v>
      </c>
      <c r="I53" s="45">
        <v>27.8</v>
      </c>
      <c r="J53" s="48"/>
      <c r="K53" s="102">
        <v>27.5</v>
      </c>
      <c r="L53" s="94">
        <v>28.1</v>
      </c>
      <c r="M53" s="94">
        <v>27.8</v>
      </c>
      <c r="N53" s="94">
        <v>28.9</v>
      </c>
      <c r="O53" s="94">
        <v>28.4</v>
      </c>
      <c r="P53" s="94">
        <v>29.2</v>
      </c>
      <c r="Q53" s="94">
        <v>29.4</v>
      </c>
      <c r="R53" s="94">
        <v>29.6</v>
      </c>
      <c r="S53" s="94">
        <v>28.8</v>
      </c>
      <c r="T53" s="94">
        <v>30.1</v>
      </c>
      <c r="U53" s="93">
        <v>31</v>
      </c>
      <c r="V53" s="94">
        <v>30.1</v>
      </c>
      <c r="W53" s="94">
        <v>31.4</v>
      </c>
      <c r="X53" s="94">
        <v>32</v>
      </c>
      <c r="Y53" s="94">
        <v>31.7</v>
      </c>
      <c r="Z53" s="94">
        <v>31</v>
      </c>
      <c r="AA53" s="94">
        <v>31.1</v>
      </c>
      <c r="AB53" s="94">
        <v>25.6</v>
      </c>
      <c r="AC53" s="94">
        <v>29.9</v>
      </c>
      <c r="AD53" s="94">
        <v>31.4</v>
      </c>
      <c r="AE53" s="94">
        <v>31.5</v>
      </c>
      <c r="AF53" s="94">
        <v>32.5</v>
      </c>
      <c r="AG53" s="94">
        <v>32.5</v>
      </c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5"/>
      <c r="BD53" s="82">
        <f t="shared" si="15"/>
        <v>0.98920863309352514</v>
      </c>
      <c r="BE53" s="82">
        <f t="shared" si="15"/>
        <v>1.0107913669064748</v>
      </c>
      <c r="BF53" s="82">
        <f t="shared" si="15"/>
        <v>1</v>
      </c>
      <c r="BG53" s="82">
        <f t="shared" si="15"/>
        <v>1.039568345323741</v>
      </c>
      <c r="BH53" s="82">
        <f t="shared" si="14"/>
        <v>1.0215827338129495</v>
      </c>
      <c r="BI53" s="82">
        <f t="shared" si="14"/>
        <v>1.0503597122302157</v>
      </c>
      <c r="BJ53" s="82">
        <f t="shared" si="14"/>
        <v>1.0575539568345322</v>
      </c>
      <c r="BK53" s="82">
        <f t="shared" si="14"/>
        <v>1.064748201438849</v>
      </c>
      <c r="BL53" s="82">
        <f t="shared" si="14"/>
        <v>1.0359712230215827</v>
      </c>
      <c r="BM53" s="82">
        <f t="shared" si="14"/>
        <v>1.0827338129496402</v>
      </c>
      <c r="BN53" s="82">
        <f t="shared" si="14"/>
        <v>1.1151079136690647</v>
      </c>
      <c r="BO53" s="82">
        <f t="shared" si="14"/>
        <v>1.0827338129496402</v>
      </c>
      <c r="BP53" s="82">
        <f t="shared" si="14"/>
        <v>1.1294964028776977</v>
      </c>
      <c r="BQ53" s="82">
        <f t="shared" si="14"/>
        <v>1.1510791366906474</v>
      </c>
      <c r="BR53" s="82">
        <f t="shared" si="14"/>
        <v>1.1402877697841727</v>
      </c>
      <c r="BS53" s="82">
        <f t="shared" si="14"/>
        <v>1.1151079136690647</v>
      </c>
      <c r="BT53" s="82">
        <f t="shared" si="13"/>
        <v>1.1187050359712229</v>
      </c>
      <c r="BU53" s="82">
        <f t="shared" si="13"/>
        <v>0.92086330935251803</v>
      </c>
      <c r="BV53" s="82">
        <f t="shared" si="13"/>
        <v>1.0755395683453237</v>
      </c>
      <c r="BW53" s="82">
        <f t="shared" si="13"/>
        <v>1.1294964028776977</v>
      </c>
      <c r="BX53" s="82">
        <f t="shared" si="13"/>
        <v>1.1330935251798562</v>
      </c>
      <c r="BY53" s="82">
        <f t="shared" si="13"/>
        <v>1.1690647482014389</v>
      </c>
      <c r="BZ53" s="82">
        <f t="shared" si="13"/>
        <v>1.1690647482014389</v>
      </c>
      <c r="CA53" s="82" t="str">
        <f t="shared" si="13"/>
        <v/>
      </c>
      <c r="CB53" s="82" t="str">
        <f t="shared" si="13"/>
        <v/>
      </c>
      <c r="CC53" s="82" t="str">
        <f t="shared" si="13"/>
        <v/>
      </c>
      <c r="CD53" s="82" t="str">
        <f t="shared" si="13"/>
        <v/>
      </c>
      <c r="CE53" s="82" t="str">
        <f t="shared" si="13"/>
        <v/>
      </c>
      <c r="CF53" s="82" t="str">
        <f t="shared" si="13"/>
        <v/>
      </c>
      <c r="CG53" s="82" t="str">
        <f t="shared" si="12"/>
        <v/>
      </c>
      <c r="CH53" s="82" t="str">
        <f t="shared" si="12"/>
        <v/>
      </c>
      <c r="CI53" s="82" t="str">
        <f t="shared" si="12"/>
        <v/>
      </c>
      <c r="CJ53" s="82" t="str">
        <f t="shared" si="12"/>
        <v/>
      </c>
      <c r="CK53" s="82" t="str">
        <f t="shared" si="12"/>
        <v/>
      </c>
      <c r="CL53" s="82" t="str">
        <f t="shared" si="12"/>
        <v/>
      </c>
      <c r="CM53" s="82" t="str">
        <f t="shared" si="12"/>
        <v/>
      </c>
      <c r="CN53" s="82" t="str">
        <f t="shared" si="12"/>
        <v/>
      </c>
      <c r="CO53" s="82" t="str">
        <f t="shared" si="12"/>
        <v/>
      </c>
      <c r="CP53" s="82" t="str">
        <f t="shared" si="12"/>
        <v/>
      </c>
      <c r="CQ53" s="82" t="str">
        <f t="shared" si="12"/>
        <v/>
      </c>
      <c r="CR53" s="82" t="str">
        <f t="shared" si="12"/>
        <v/>
      </c>
      <c r="CS53" s="82" t="str">
        <f t="shared" si="12"/>
        <v/>
      </c>
      <c r="CT53" s="82" t="str">
        <f t="shared" si="12"/>
        <v/>
      </c>
      <c r="CU53" s="82" t="str">
        <f t="shared" si="12"/>
        <v/>
      </c>
      <c r="CV53" s="3"/>
    </row>
    <row r="54" spans="1:100">
      <c r="A54" s="240"/>
      <c r="B54" s="241"/>
      <c r="C54" s="242"/>
      <c r="D54" s="241"/>
      <c r="E54" s="243"/>
      <c r="F54" s="244"/>
      <c r="G54" s="245"/>
      <c r="H54" s="244"/>
      <c r="I54" s="245"/>
      <c r="J54" s="241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252"/>
      <c r="AV54" s="252"/>
      <c r="AW54" s="252"/>
      <c r="AX54" s="252"/>
      <c r="AY54" s="252"/>
      <c r="AZ54" s="252"/>
      <c r="BA54" s="252"/>
      <c r="BB54" s="252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1"/>
      <c r="BR54" s="241"/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</row>
    <row r="55" spans="1:100" ht="14.25" customHeight="1">
      <c r="A55" s="59"/>
      <c r="B55" s="59"/>
      <c r="C55" s="59"/>
      <c r="E55" s="104" t="s">
        <v>20</v>
      </c>
      <c r="H55" s="286" t="s">
        <v>20</v>
      </c>
      <c r="I55" s="63">
        <f>AVERAGE(I5:I53)</f>
        <v>28.253061224489798</v>
      </c>
      <c r="J55" s="81" t="s">
        <v>10</v>
      </c>
      <c r="K55" s="87">
        <f t="shared" ref="K55:BB55" si="16">AVERAGE(K5:K53)</f>
        <v>27.302040816326524</v>
      </c>
      <c r="L55" s="87">
        <f t="shared" si="16"/>
        <v>28.042857142857141</v>
      </c>
      <c r="M55" s="87">
        <f t="shared" si="16"/>
        <v>28.253061224489798</v>
      </c>
      <c r="N55" s="87">
        <f t="shared" si="16"/>
        <v>28.273469387755103</v>
      </c>
      <c r="O55" s="87">
        <f t="shared" si="16"/>
        <v>27.883673469387748</v>
      </c>
      <c r="P55" s="87">
        <f t="shared" si="16"/>
        <v>28.673469387755102</v>
      </c>
      <c r="Q55" s="87">
        <f t="shared" si="16"/>
        <v>29.23469387755102</v>
      </c>
      <c r="R55" s="87">
        <f t="shared" si="16"/>
        <v>28.320408163265306</v>
      </c>
      <c r="S55" s="87">
        <f t="shared" si="16"/>
        <v>27.941666666666674</v>
      </c>
      <c r="T55" s="87">
        <f t="shared" si="16"/>
        <v>28.3125</v>
      </c>
      <c r="U55" s="87">
        <f t="shared" si="16"/>
        <v>29.454166666666669</v>
      </c>
      <c r="V55" s="87">
        <f t="shared" si="16"/>
        <v>28.09375</v>
      </c>
      <c r="W55" s="87">
        <f t="shared" si="16"/>
        <v>28.877777777777773</v>
      </c>
      <c r="X55" s="87">
        <f>AVERAGE(X5:X54)</f>
        <v>28.652272727272727</v>
      </c>
      <c r="Y55" s="87">
        <f t="shared" si="16"/>
        <v>28.430555555555554</v>
      </c>
      <c r="Z55" s="87">
        <f t="shared" si="16"/>
        <v>28.063636363636366</v>
      </c>
      <c r="AA55" s="87">
        <f t="shared" si="16"/>
        <v>28.717391304347824</v>
      </c>
      <c r="AB55" s="87">
        <f t="shared" si="16"/>
        <v>28.966666666666665</v>
      </c>
      <c r="AC55" s="87">
        <f t="shared" si="16"/>
        <v>29.094117647058827</v>
      </c>
      <c r="AD55" s="87">
        <f t="shared" si="16"/>
        <v>30.574999999999999</v>
      </c>
      <c r="AE55" s="87">
        <f t="shared" si="16"/>
        <v>30.018750000000001</v>
      </c>
      <c r="AF55" s="87">
        <f t="shared" si="16"/>
        <v>30.366666666666671</v>
      </c>
      <c r="AG55" s="87">
        <f t="shared" si="16"/>
        <v>29.609090909090909</v>
      </c>
      <c r="AH55" s="87">
        <f t="shared" si="16"/>
        <v>31.233333333333334</v>
      </c>
      <c r="AI55" s="87">
        <f t="shared" si="16"/>
        <v>30.139999999999997</v>
      </c>
      <c r="AJ55" s="87">
        <f t="shared" si="16"/>
        <v>30.32</v>
      </c>
      <c r="AK55" s="87">
        <f t="shared" si="16"/>
        <v>30.52</v>
      </c>
      <c r="AL55" s="87">
        <f t="shared" si="16"/>
        <v>30.35</v>
      </c>
      <c r="AM55" s="87">
        <f t="shared" si="16"/>
        <v>30.625000000000004</v>
      </c>
      <c r="AN55" s="87">
        <f t="shared" si="16"/>
        <v>31.066666666666666</v>
      </c>
      <c r="AO55" s="87">
        <f t="shared" si="16"/>
        <v>30.799999999999997</v>
      </c>
      <c r="AP55" s="87">
        <f t="shared" si="16"/>
        <v>30.3</v>
      </c>
      <c r="AQ55" s="87">
        <f t="shared" si="16"/>
        <v>30.450000000000003</v>
      </c>
      <c r="AR55" s="87">
        <f t="shared" si="16"/>
        <v>31.75</v>
      </c>
      <c r="AS55" s="87">
        <f t="shared" si="16"/>
        <v>31.6</v>
      </c>
      <c r="AT55" s="87">
        <f t="shared" si="16"/>
        <v>33.15</v>
      </c>
      <c r="AU55" s="87">
        <f t="shared" si="16"/>
        <v>32.450000000000003</v>
      </c>
      <c r="AV55" s="87">
        <f t="shared" si="16"/>
        <v>31.65</v>
      </c>
      <c r="AW55" s="87">
        <f t="shared" si="16"/>
        <v>32.200000000000003</v>
      </c>
      <c r="AX55" s="87">
        <f t="shared" si="16"/>
        <v>32.4</v>
      </c>
      <c r="AY55" s="87">
        <f t="shared" si="16"/>
        <v>32.6</v>
      </c>
      <c r="AZ55" s="87" t="e">
        <f t="shared" si="16"/>
        <v>#DIV/0!</v>
      </c>
      <c r="BA55" s="87" t="e">
        <f t="shared" si="16"/>
        <v>#DIV/0!</v>
      </c>
      <c r="BB55" s="87" t="e">
        <f t="shared" si="16"/>
        <v>#DIV/0!</v>
      </c>
      <c r="BC55" s="112" t="s">
        <v>10</v>
      </c>
      <c r="BD55" s="82">
        <f t="shared" ref="BD55:CU55" si="17">AVERAGE(BD5:BD53)</f>
        <v>0.96652230576339893</v>
      </c>
      <c r="BE55" s="82">
        <f t="shared" si="17"/>
        <v>0.99278274335196892</v>
      </c>
      <c r="BF55" s="82">
        <f t="shared" si="17"/>
        <v>1</v>
      </c>
      <c r="BG55" s="82">
        <f t="shared" si="17"/>
        <v>1.0006984014586033</v>
      </c>
      <c r="BH55" s="82">
        <f t="shared" si="17"/>
        <v>0.98689635200911097</v>
      </c>
      <c r="BI55" s="82">
        <f t="shared" si="17"/>
        <v>1.0149200082428089</v>
      </c>
      <c r="BJ55" s="82">
        <f t="shared" si="17"/>
        <v>1.0349607301033494</v>
      </c>
      <c r="BK55" s="82">
        <f t="shared" si="17"/>
        <v>1.0025399741844387</v>
      </c>
      <c r="BL55" s="82">
        <f t="shared" si="17"/>
        <v>0.98823505225514252</v>
      </c>
      <c r="BM55" s="82">
        <f t="shared" si="17"/>
        <v>1.0003307366647631</v>
      </c>
      <c r="BN55" s="82">
        <f t="shared" si="17"/>
        <v>1.0399923071111425</v>
      </c>
      <c r="BO55" s="82">
        <f t="shared" si="17"/>
        <v>0.99270542897486269</v>
      </c>
      <c r="BP55" s="82">
        <f t="shared" si="17"/>
        <v>1.0182393949761268</v>
      </c>
      <c r="BQ55" s="82">
        <f t="shared" si="17"/>
        <v>1.007831999413954</v>
      </c>
      <c r="BR55" s="82">
        <f t="shared" si="17"/>
        <v>1.0034388037783657</v>
      </c>
      <c r="BS55" s="82">
        <f t="shared" si="17"/>
        <v>0.99103493871104442</v>
      </c>
      <c r="BT55" s="82">
        <f t="shared" si="17"/>
        <v>1.0043650127454213</v>
      </c>
      <c r="BU55" s="82">
        <f t="shared" si="17"/>
        <v>1.0138051072937966</v>
      </c>
      <c r="BV55" s="82">
        <f t="shared" si="17"/>
        <v>1.0148052559309992</v>
      </c>
      <c r="BW55" s="82">
        <f t="shared" si="17"/>
        <v>1.0619359400298625</v>
      </c>
      <c r="BX55" s="82">
        <f t="shared" si="17"/>
        <v>1.0427125400460799</v>
      </c>
      <c r="BY55" s="82">
        <f t="shared" si="17"/>
        <v>1.0572908959818186</v>
      </c>
      <c r="BZ55" s="82">
        <f t="shared" si="17"/>
        <v>1.0385889502030896</v>
      </c>
      <c r="CA55" s="82">
        <f t="shared" si="17"/>
        <v>1.062117830703295</v>
      </c>
      <c r="CB55" s="82">
        <f t="shared" si="17"/>
        <v>1.0233354893399189</v>
      </c>
      <c r="CC55" s="82">
        <f t="shared" si="17"/>
        <v>1.0295101340285158</v>
      </c>
      <c r="CD55" s="82">
        <f t="shared" si="17"/>
        <v>1.0369178823848093</v>
      </c>
      <c r="CE55" s="82">
        <f t="shared" si="17"/>
        <v>1.0549251207921175</v>
      </c>
      <c r="CF55" s="82">
        <f t="shared" si="17"/>
        <v>1.0637761376955472</v>
      </c>
      <c r="CG55" s="82">
        <f t="shared" si="17"/>
        <v>1.0991091868395488</v>
      </c>
      <c r="CH55" s="82">
        <f t="shared" si="17"/>
        <v>1.060078484374259</v>
      </c>
      <c r="CI55" s="82">
        <f t="shared" si="17"/>
        <v>1.0429352207521223</v>
      </c>
      <c r="CJ55" s="82">
        <f t="shared" si="17"/>
        <v>1.0482169108929673</v>
      </c>
      <c r="CK55" s="82">
        <f t="shared" si="17"/>
        <v>1.093452126902831</v>
      </c>
      <c r="CL55" s="82">
        <f t="shared" si="17"/>
        <v>1.0886328069426661</v>
      </c>
      <c r="CM55" s="82">
        <f t="shared" si="17"/>
        <v>1.1423625930668182</v>
      </c>
      <c r="CN55" s="82">
        <f t="shared" si="17"/>
        <v>1.1179458908332147</v>
      </c>
      <c r="CO55" s="82">
        <f t="shared" si="17"/>
        <v>1.0900080618390477</v>
      </c>
      <c r="CP55" s="82">
        <f t="shared" si="17"/>
        <v>1.1090660122350262</v>
      </c>
      <c r="CQ55" s="82">
        <f t="shared" si="17"/>
        <v>1.1158000189690331</v>
      </c>
      <c r="CR55" s="82">
        <f t="shared" si="17"/>
        <v>1.147887323943662</v>
      </c>
      <c r="CS55" s="82" t="e">
        <f t="shared" si="17"/>
        <v>#DIV/0!</v>
      </c>
      <c r="CT55" s="82" t="e">
        <f t="shared" si="17"/>
        <v>#DIV/0!</v>
      </c>
      <c r="CU55" s="82" t="e">
        <f t="shared" si="17"/>
        <v>#DIV/0!</v>
      </c>
      <c r="CV55" s="3"/>
    </row>
    <row r="56" spans="1:100" ht="14.25" customHeight="1">
      <c r="E56" s="254"/>
      <c r="H56" s="286"/>
      <c r="I56" s="63">
        <f>_xlfn.STDEV.P(I5:I53)</f>
        <v>2.489824355809497</v>
      </c>
      <c r="J56" s="81" t="s">
        <v>12</v>
      </c>
      <c r="K56" s="90">
        <f t="shared" ref="K56:BB56" si="18">STDEVA(K5:K53)</f>
        <v>2.4102636263071555</v>
      </c>
      <c r="L56" s="90">
        <f t="shared" si="18"/>
        <v>2.4703238654071251</v>
      </c>
      <c r="M56" s="90">
        <f t="shared" si="18"/>
        <v>2.5156263336076243</v>
      </c>
      <c r="N56" s="90">
        <f t="shared" si="18"/>
        <v>2.6006229630452711</v>
      </c>
      <c r="O56" s="90">
        <f t="shared" si="18"/>
        <v>2.5708580716347988</v>
      </c>
      <c r="P56" s="90">
        <f t="shared" si="18"/>
        <v>2.6374526465104604</v>
      </c>
      <c r="Q56" s="90">
        <f t="shared" si="18"/>
        <v>2.6439042327279432</v>
      </c>
      <c r="R56" s="90">
        <f t="shared" si="18"/>
        <v>2.5739058833995156</v>
      </c>
      <c r="S56" s="90">
        <f t="shared" si="18"/>
        <v>2.9280618332423307</v>
      </c>
      <c r="T56" s="90">
        <f t="shared" si="18"/>
        <v>2.6602371514824883</v>
      </c>
      <c r="U56" s="90">
        <f t="shared" si="18"/>
        <v>2.6931716913084558</v>
      </c>
      <c r="V56" s="90">
        <f t="shared" si="18"/>
        <v>2.7237650920363419</v>
      </c>
      <c r="W56" s="90">
        <f t="shared" si="18"/>
        <v>2.7965798014465078</v>
      </c>
      <c r="X56" s="90">
        <f t="shared" si="18"/>
        <v>2.8454360548947002</v>
      </c>
      <c r="Y56" s="90">
        <f t="shared" si="18"/>
        <v>2.8039583698198052</v>
      </c>
      <c r="Z56" s="90">
        <f t="shared" si="18"/>
        <v>2.74338046279337</v>
      </c>
      <c r="AA56" s="90">
        <f t="shared" si="18"/>
        <v>2.3488202404056233</v>
      </c>
      <c r="AB56" s="90">
        <f t="shared" si="18"/>
        <v>2.0346989949375804</v>
      </c>
      <c r="AC56" s="90">
        <f t="shared" si="18"/>
        <v>1.7886694035774515</v>
      </c>
      <c r="AD56" s="90">
        <f t="shared" si="18"/>
        <v>1.8027756377319946</v>
      </c>
      <c r="AE56" s="90">
        <f t="shared" si="18"/>
        <v>1.7948885759288784</v>
      </c>
      <c r="AF56" s="90">
        <f t="shared" si="18"/>
        <v>2.0272387549810142</v>
      </c>
      <c r="AG56" s="90">
        <f t="shared" si="18"/>
        <v>2.1360966951215232</v>
      </c>
      <c r="AH56" s="90">
        <f t="shared" si="18"/>
        <v>1.3140268896284684</v>
      </c>
      <c r="AI56" s="90">
        <f t="shared" si="18"/>
        <v>1.0261578825892239</v>
      </c>
      <c r="AJ56" s="90">
        <f t="shared" si="18"/>
        <v>1.0963576058932587</v>
      </c>
      <c r="AK56" s="90">
        <f t="shared" si="18"/>
        <v>1.3349157276772183</v>
      </c>
      <c r="AL56" s="90">
        <f t="shared" si="18"/>
        <v>0.71414284285428542</v>
      </c>
      <c r="AM56" s="90">
        <f t="shared" si="18"/>
        <v>0.62915286960589645</v>
      </c>
      <c r="AN56" s="90">
        <f t="shared" si="18"/>
        <v>0.86216781042517066</v>
      </c>
      <c r="AO56" s="90">
        <f t="shared" si="18"/>
        <v>1.2727922061357859</v>
      </c>
      <c r="AP56" s="90">
        <f t="shared" si="18"/>
        <v>1.1313708498984771</v>
      </c>
      <c r="AQ56" s="90">
        <f t="shared" si="18"/>
        <v>0.9192388155425123</v>
      </c>
      <c r="AR56" s="90">
        <f t="shared" si="18"/>
        <v>7.0710678118655765E-2</v>
      </c>
      <c r="AS56" s="90">
        <f t="shared" si="18"/>
        <v>0.56568542494923857</v>
      </c>
      <c r="AT56" s="90">
        <f t="shared" si="18"/>
        <v>1.2020815280171329</v>
      </c>
      <c r="AU56" s="90">
        <f t="shared" si="18"/>
        <v>0.63639610306789174</v>
      </c>
      <c r="AV56" s="90">
        <f t="shared" si="18"/>
        <v>7.0710678118653253E-2</v>
      </c>
      <c r="AW56" s="90">
        <f t="shared" si="18"/>
        <v>0.14142135623730651</v>
      </c>
      <c r="AX56" s="90">
        <f t="shared" si="18"/>
        <v>0.14142135623731153</v>
      </c>
      <c r="AY56" s="90" t="e">
        <f t="shared" si="18"/>
        <v>#DIV/0!</v>
      </c>
      <c r="AZ56" s="90" t="e">
        <f t="shared" si="18"/>
        <v>#DIV/0!</v>
      </c>
      <c r="BA56" s="90" t="e">
        <f t="shared" si="18"/>
        <v>#DIV/0!</v>
      </c>
      <c r="BB56" s="90" t="e">
        <f t="shared" si="18"/>
        <v>#DIV/0!</v>
      </c>
      <c r="BC56" s="113" t="s">
        <v>12</v>
      </c>
      <c r="BD56" s="83">
        <f t="shared" ref="BD56:CU56" si="19">STDEVA(BD5:BD53)</f>
        <v>1.802746751358195E-2</v>
      </c>
      <c r="BE56" s="83">
        <f t="shared" si="19"/>
        <v>1.8078321728843456E-2</v>
      </c>
      <c r="BF56" s="83">
        <f t="shared" si="19"/>
        <v>0</v>
      </c>
      <c r="BG56" s="83">
        <f t="shared" si="19"/>
        <v>2.3617410988635699E-2</v>
      </c>
      <c r="BH56" s="83">
        <f t="shared" si="19"/>
        <v>2.4854835032091942E-2</v>
      </c>
      <c r="BI56" s="83">
        <f t="shared" si="19"/>
        <v>2.7092923342200939E-2</v>
      </c>
      <c r="BJ56" s="83">
        <f t="shared" si="19"/>
        <v>2.8524290876613907E-2</v>
      </c>
      <c r="BK56" s="83">
        <f t="shared" si="19"/>
        <v>2.8057459124709624E-2</v>
      </c>
      <c r="BL56" s="83">
        <f t="shared" si="19"/>
        <v>0.1564355759746858</v>
      </c>
      <c r="BM56" s="83">
        <f t="shared" si="19"/>
        <v>0.14569342885170455</v>
      </c>
      <c r="BN56" s="83">
        <f t="shared" si="19"/>
        <v>0.1563616963369906</v>
      </c>
      <c r="BO56" s="83">
        <f t="shared" si="19"/>
        <v>0.14693963813736635</v>
      </c>
      <c r="BP56" s="83">
        <f t="shared" si="19"/>
        <v>0.28467692678494722</v>
      </c>
      <c r="BQ56" s="83">
        <f t="shared" si="19"/>
        <v>0.3114861861829839</v>
      </c>
      <c r="BR56" s="83">
        <f t="shared" si="19"/>
        <v>0.44940255634519921</v>
      </c>
      <c r="BS56" s="83">
        <f t="shared" si="19"/>
        <v>0.47070183627662932</v>
      </c>
      <c r="BT56" s="83">
        <f t="shared" si="19"/>
        <v>0.50745656845804776</v>
      </c>
      <c r="BU56" s="83">
        <f t="shared" si="19"/>
        <v>0.49453668355636543</v>
      </c>
      <c r="BV56" s="83">
        <f t="shared" si="19"/>
        <v>0.48856569248667236</v>
      </c>
      <c r="BW56" s="83">
        <f t="shared" si="19"/>
        <v>0.50363790428095645</v>
      </c>
      <c r="BX56" s="83">
        <f t="shared" si="19"/>
        <v>0.49464596567699282</v>
      </c>
      <c r="BY56" s="83">
        <f t="shared" si="19"/>
        <v>0.46006846204872359</v>
      </c>
      <c r="BZ56" s="83">
        <f t="shared" si="19"/>
        <v>0.43858379564692268</v>
      </c>
      <c r="CA56" s="83">
        <f t="shared" si="19"/>
        <v>0.35200980388962755</v>
      </c>
      <c r="CB56" s="83">
        <f t="shared" si="19"/>
        <v>0.31325961293710791</v>
      </c>
      <c r="CC56" s="83">
        <f t="shared" si="19"/>
        <v>0.31519323757981721</v>
      </c>
      <c r="CD56" s="83">
        <f t="shared" si="19"/>
        <v>0.31775577913270325</v>
      </c>
      <c r="CE56" s="83">
        <f t="shared" si="19"/>
        <v>0.29241005919963159</v>
      </c>
      <c r="CF56" s="83">
        <f t="shared" si="19"/>
        <v>0.29464286685521718</v>
      </c>
      <c r="CG56" s="83">
        <f t="shared" si="19"/>
        <v>0.26640536900820722</v>
      </c>
      <c r="CH56" s="83">
        <f t="shared" si="19"/>
        <v>0.21193071859083087</v>
      </c>
      <c r="CI56" s="83">
        <f t="shared" si="19"/>
        <v>0.20850010529112811</v>
      </c>
      <c r="CJ56" s="83">
        <f t="shared" si="19"/>
        <v>0.20955434484743116</v>
      </c>
      <c r="CK56" s="83">
        <f t="shared" si="19"/>
        <v>0.21864672405888319</v>
      </c>
      <c r="CL56" s="83">
        <f t="shared" si="19"/>
        <v>0.21777308647204435</v>
      </c>
      <c r="CM56" s="83">
        <f t="shared" si="19"/>
        <v>0.22864934855499172</v>
      </c>
      <c r="CN56" s="83">
        <f t="shared" si="19"/>
        <v>0.22364697691400107</v>
      </c>
      <c r="CO56" s="83">
        <f t="shared" si="19"/>
        <v>0.21795802519788665</v>
      </c>
      <c r="CP56" s="83">
        <f t="shared" si="19"/>
        <v>0.22179389169035996</v>
      </c>
      <c r="CQ56" s="83">
        <f t="shared" si="19"/>
        <v>0.22310836678783791</v>
      </c>
      <c r="CR56" s="83">
        <f t="shared" si="19"/>
        <v>0.16398390342052316</v>
      </c>
      <c r="CS56" s="83">
        <f t="shared" si="19"/>
        <v>0</v>
      </c>
      <c r="CT56" s="83">
        <f t="shared" si="19"/>
        <v>0</v>
      </c>
      <c r="CU56" s="83">
        <f t="shared" si="19"/>
        <v>0</v>
      </c>
      <c r="CV56" s="3"/>
    </row>
    <row r="57" spans="1:100" ht="12.75" customHeight="1">
      <c r="A57" s="129"/>
      <c r="E57" s="104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</row>
    <row r="58" spans="1:100" ht="14.25" customHeight="1">
      <c r="A58" s="129"/>
      <c r="E58" s="134" t="str">
        <f>'PTX_DOSE Groups'!C6</f>
        <v>PBS Control</v>
      </c>
      <c r="H58" s="134" t="str">
        <f>E58</f>
        <v>PBS Control</v>
      </c>
      <c r="I58" s="256">
        <f>AVERAGEIF($E$5:$E$53,$E58,I$5:I$53)</f>
        <v>28.375</v>
      </c>
      <c r="J58" s="81" t="s">
        <v>10</v>
      </c>
      <c r="K58" s="87">
        <f t="shared" ref="K58:BB58" si="20">AVERAGEIF($E$5:$E$53,$E58,K$5:K$53)</f>
        <v>27.85</v>
      </c>
      <c r="L58" s="87">
        <f t="shared" si="20"/>
        <v>28.575000000000003</v>
      </c>
      <c r="M58" s="87">
        <f t="shared" si="20"/>
        <v>28.375</v>
      </c>
      <c r="N58" s="87">
        <f t="shared" si="20"/>
        <v>29.474999999999998</v>
      </c>
      <c r="O58" s="87">
        <f t="shared" si="20"/>
        <v>28.875</v>
      </c>
      <c r="P58" s="87">
        <f t="shared" si="20"/>
        <v>29.525000000000002</v>
      </c>
      <c r="Q58" s="87">
        <f t="shared" si="20"/>
        <v>30.35</v>
      </c>
      <c r="R58" s="87">
        <f t="shared" si="20"/>
        <v>29.05</v>
      </c>
      <c r="S58" s="87">
        <f t="shared" si="20"/>
        <v>27.425000000000004</v>
      </c>
      <c r="T58" s="87">
        <f t="shared" si="20"/>
        <v>28.425000000000001</v>
      </c>
      <c r="U58" s="87">
        <f t="shared" si="20"/>
        <v>29.524999999999999</v>
      </c>
      <c r="V58" s="87">
        <f t="shared" si="20"/>
        <v>27.6</v>
      </c>
      <c r="W58" s="87">
        <f t="shared" si="20"/>
        <v>29.3</v>
      </c>
      <c r="X58" s="87">
        <f t="shared" si="20"/>
        <v>28.633333333333336</v>
      </c>
      <c r="Y58" s="87">
        <f t="shared" si="20"/>
        <v>31.1</v>
      </c>
      <c r="Z58" s="87">
        <f t="shared" si="20"/>
        <v>30.2</v>
      </c>
      <c r="AA58" s="87" t="e">
        <f t="shared" si="20"/>
        <v>#DIV/0!</v>
      </c>
      <c r="AB58" s="87" t="e">
        <f t="shared" si="20"/>
        <v>#DIV/0!</v>
      </c>
      <c r="AC58" s="87" t="e">
        <f t="shared" si="20"/>
        <v>#DIV/0!</v>
      </c>
      <c r="AD58" s="87" t="e">
        <f t="shared" si="20"/>
        <v>#DIV/0!</v>
      </c>
      <c r="AE58" s="87" t="e">
        <f t="shared" si="20"/>
        <v>#DIV/0!</v>
      </c>
      <c r="AF58" s="87" t="e">
        <f t="shared" si="20"/>
        <v>#DIV/0!</v>
      </c>
      <c r="AG58" s="87" t="e">
        <f t="shared" si="20"/>
        <v>#DIV/0!</v>
      </c>
      <c r="AH58" s="87" t="e">
        <f t="shared" si="20"/>
        <v>#DIV/0!</v>
      </c>
      <c r="AI58" s="87" t="e">
        <f t="shared" si="20"/>
        <v>#DIV/0!</v>
      </c>
      <c r="AJ58" s="87" t="e">
        <f t="shared" si="20"/>
        <v>#DIV/0!</v>
      </c>
      <c r="AK58" s="87" t="e">
        <f t="shared" si="20"/>
        <v>#DIV/0!</v>
      </c>
      <c r="AL58" s="87" t="e">
        <f t="shared" si="20"/>
        <v>#DIV/0!</v>
      </c>
      <c r="AM58" s="87" t="e">
        <f t="shared" si="20"/>
        <v>#DIV/0!</v>
      </c>
      <c r="AN58" s="87" t="e">
        <f t="shared" si="20"/>
        <v>#DIV/0!</v>
      </c>
      <c r="AO58" s="87" t="e">
        <f t="shared" si="20"/>
        <v>#DIV/0!</v>
      </c>
      <c r="AP58" s="87" t="e">
        <f t="shared" si="20"/>
        <v>#DIV/0!</v>
      </c>
      <c r="AQ58" s="87" t="e">
        <f t="shared" si="20"/>
        <v>#DIV/0!</v>
      </c>
      <c r="AR58" s="87" t="e">
        <f t="shared" si="20"/>
        <v>#DIV/0!</v>
      </c>
      <c r="AS58" s="87" t="e">
        <f t="shared" si="20"/>
        <v>#DIV/0!</v>
      </c>
      <c r="AT58" s="87" t="e">
        <f t="shared" si="20"/>
        <v>#DIV/0!</v>
      </c>
      <c r="AU58" s="87" t="e">
        <f t="shared" si="20"/>
        <v>#DIV/0!</v>
      </c>
      <c r="AV58" s="87" t="e">
        <f t="shared" si="20"/>
        <v>#DIV/0!</v>
      </c>
      <c r="AW58" s="87" t="e">
        <f t="shared" si="20"/>
        <v>#DIV/0!</v>
      </c>
      <c r="AX58" s="87" t="e">
        <f t="shared" si="20"/>
        <v>#DIV/0!</v>
      </c>
      <c r="AY58" s="87" t="e">
        <f t="shared" si="20"/>
        <v>#DIV/0!</v>
      </c>
      <c r="AZ58" s="87" t="e">
        <f t="shared" si="20"/>
        <v>#DIV/0!</v>
      </c>
      <c r="BA58" s="87" t="e">
        <f t="shared" si="20"/>
        <v>#DIV/0!</v>
      </c>
      <c r="BB58" s="87" t="e">
        <f t="shared" si="20"/>
        <v>#DIV/0!</v>
      </c>
      <c r="BC58" s="114" t="s">
        <v>10</v>
      </c>
      <c r="BD58" s="82">
        <f t="shared" ref="BD58:CU58" si="21">AVERAGEIF($E$5:$E$53,$E58,BD$5:BD$53)</f>
        <v>0.98210102936748411</v>
      </c>
      <c r="BE58" s="82">
        <f t="shared" si="21"/>
        <v>1.0077952484279253</v>
      </c>
      <c r="BF58" s="82">
        <f t="shared" si="21"/>
        <v>1</v>
      </c>
      <c r="BG58" s="82">
        <f t="shared" si="21"/>
        <v>1.0393033557711049</v>
      </c>
      <c r="BH58" s="82">
        <f t="shared" si="21"/>
        <v>1.0174937255600105</v>
      </c>
      <c r="BI58" s="82">
        <f t="shared" si="21"/>
        <v>1.0412379939932661</v>
      </c>
      <c r="BJ58" s="82">
        <f t="shared" si="21"/>
        <v>1.0708444194453595</v>
      </c>
      <c r="BK58" s="82">
        <f t="shared" si="21"/>
        <v>1.0242465081786807</v>
      </c>
      <c r="BL58" s="82">
        <f t="shared" si="21"/>
        <v>0.97176649640181378</v>
      </c>
      <c r="BM58" s="82">
        <f t="shared" si="21"/>
        <v>1.000383658121492</v>
      </c>
      <c r="BN58" s="82">
        <f t="shared" si="21"/>
        <v>1.0390875030961824</v>
      </c>
      <c r="BO58" s="82">
        <f t="shared" si="21"/>
        <v>0.97014763111328217</v>
      </c>
      <c r="BP58" s="82">
        <f t="shared" si="21"/>
        <v>0.9990070666589409</v>
      </c>
      <c r="BQ58" s="82">
        <f t="shared" si="21"/>
        <v>0.97609753014116551</v>
      </c>
      <c r="BR58" s="82">
        <f t="shared" si="21"/>
        <v>0.99044585987261158</v>
      </c>
      <c r="BS58" s="82">
        <f t="shared" si="21"/>
        <v>0.96178343949044587</v>
      </c>
      <c r="BT58" s="82" t="e">
        <f t="shared" si="21"/>
        <v>#DIV/0!</v>
      </c>
      <c r="BU58" s="82" t="e">
        <f t="shared" si="21"/>
        <v>#DIV/0!</v>
      </c>
      <c r="BV58" s="82" t="e">
        <f t="shared" si="21"/>
        <v>#DIV/0!</v>
      </c>
      <c r="BW58" s="82" t="e">
        <f t="shared" si="21"/>
        <v>#DIV/0!</v>
      </c>
      <c r="BX58" s="82" t="e">
        <f t="shared" si="21"/>
        <v>#DIV/0!</v>
      </c>
      <c r="BY58" s="82" t="e">
        <f t="shared" si="21"/>
        <v>#DIV/0!</v>
      </c>
      <c r="BZ58" s="82" t="e">
        <f t="shared" si="21"/>
        <v>#DIV/0!</v>
      </c>
      <c r="CA58" s="82" t="e">
        <f t="shared" si="21"/>
        <v>#DIV/0!</v>
      </c>
      <c r="CB58" s="82" t="e">
        <f t="shared" si="21"/>
        <v>#DIV/0!</v>
      </c>
      <c r="CC58" s="82" t="e">
        <f t="shared" si="21"/>
        <v>#DIV/0!</v>
      </c>
      <c r="CD58" s="82" t="e">
        <f t="shared" si="21"/>
        <v>#DIV/0!</v>
      </c>
      <c r="CE58" s="82" t="e">
        <f t="shared" si="21"/>
        <v>#DIV/0!</v>
      </c>
      <c r="CF58" s="82" t="e">
        <f t="shared" si="21"/>
        <v>#DIV/0!</v>
      </c>
      <c r="CG58" s="82" t="e">
        <f t="shared" si="21"/>
        <v>#DIV/0!</v>
      </c>
      <c r="CH58" s="82" t="e">
        <f t="shared" si="21"/>
        <v>#DIV/0!</v>
      </c>
      <c r="CI58" s="82" t="e">
        <f t="shared" si="21"/>
        <v>#DIV/0!</v>
      </c>
      <c r="CJ58" s="82" t="e">
        <f t="shared" si="21"/>
        <v>#DIV/0!</v>
      </c>
      <c r="CK58" s="82" t="e">
        <f t="shared" si="21"/>
        <v>#DIV/0!</v>
      </c>
      <c r="CL58" s="82" t="e">
        <f t="shared" si="21"/>
        <v>#DIV/0!</v>
      </c>
      <c r="CM58" s="82" t="e">
        <f t="shared" si="21"/>
        <v>#DIV/0!</v>
      </c>
      <c r="CN58" s="82" t="e">
        <f t="shared" si="21"/>
        <v>#DIV/0!</v>
      </c>
      <c r="CO58" s="82" t="e">
        <f t="shared" si="21"/>
        <v>#DIV/0!</v>
      </c>
      <c r="CP58" s="82" t="e">
        <f t="shared" si="21"/>
        <v>#DIV/0!</v>
      </c>
      <c r="CQ58" s="82" t="e">
        <f t="shared" si="21"/>
        <v>#DIV/0!</v>
      </c>
      <c r="CR58" s="82" t="e">
        <f t="shared" si="21"/>
        <v>#DIV/0!</v>
      </c>
      <c r="CS58" s="82" t="e">
        <f t="shared" si="21"/>
        <v>#DIV/0!</v>
      </c>
      <c r="CT58" s="82" t="e">
        <f t="shared" si="21"/>
        <v>#DIV/0!</v>
      </c>
      <c r="CU58" s="82" t="e">
        <f t="shared" si="21"/>
        <v>#DIV/0!</v>
      </c>
      <c r="CV58" s="85"/>
    </row>
    <row r="59" spans="1:100" ht="14.25" customHeight="1">
      <c r="A59" s="129"/>
      <c r="E59" s="104"/>
      <c r="H59" s="104"/>
      <c r="I59" s="256">
        <f t="array" ref="I59">_xlfn.STDEV.P(IF($E$5:$E$53=$E58,I$5:I$53))</f>
        <v>2.0547201755956932</v>
      </c>
      <c r="J59" s="81" t="s">
        <v>12</v>
      </c>
      <c r="K59" s="90">
        <f t="array" ref="K59">_xlfn.STDEV.P(IF($E$5:$E$53=$E58,K$5:K$53))</f>
        <v>1.8076227482525218</v>
      </c>
      <c r="L59" s="90">
        <f t="array" ref="L59">_xlfn.STDEV.P(IF($E$5:$E$53=$E58,L$5:L$53))</f>
        <v>1.7795715776557008</v>
      </c>
      <c r="M59" s="90">
        <f t="array" ref="M59">_xlfn.STDEV.P(IF($E$5:$E$53=$E58,M$5:M$53))</f>
        <v>2.0547201755956932</v>
      </c>
      <c r="N59" s="90">
        <f t="array" ref="N59">_xlfn.STDEV.P(IF($E$5:$E$53=$E58,N$5:N$53))</f>
        <v>1.9715159142142382</v>
      </c>
      <c r="O59" s="90">
        <f t="array" ref="O59">_xlfn.STDEV.P(IF($E$5:$E$53=$E58,O$5:O$53))</f>
        <v>2.2364872009470567</v>
      </c>
      <c r="P59" s="90">
        <f t="array" ref="P59">_xlfn.STDEV.P(IF($E$5:$E$53=$E58,P$5:P$53))</f>
        <v>2.002966549895429</v>
      </c>
      <c r="Q59" s="90">
        <f t="array" ref="Q59">_xlfn.STDEV.P(IF($E$5:$E$53=$E58,Q$5:Q$53))</f>
        <v>1.7557049866079442</v>
      </c>
      <c r="R59" s="90">
        <f t="array" ref="R59">_xlfn.STDEV.P(IF($E$5:$E$53=$E58,R$5:R$53))</f>
        <v>1.9817921182606419</v>
      </c>
      <c r="S59" s="90">
        <f t="array" ref="S59">_xlfn.STDEV.P(IF($E$5:$E$53=$E58,S$5:S$53))</f>
        <v>1.9613452016409565</v>
      </c>
      <c r="T59" s="90">
        <f t="array" ref="T59">_xlfn.STDEV.P(IF($E$5:$E$53=$E58,T$5:T$53))</f>
        <v>2.6564779313971352</v>
      </c>
      <c r="U59" s="90">
        <f t="array" ref="U59">_xlfn.STDEV.P(IF($E$5:$E$53=$E58,U$5:U$53))</f>
        <v>2.7707174161216792</v>
      </c>
      <c r="V59" s="90">
        <f t="array" ref="V59">_xlfn.STDEV.P(IF($E$5:$E$53=$E58,V$5:V$53))</f>
        <v>3.1551545128566705</v>
      </c>
      <c r="W59" s="90">
        <f t="array" ref="W59">_xlfn.STDEV.P(IF($E$5:$E$53=$E58,W$5:W$53))</f>
        <v>12.83673926665179</v>
      </c>
      <c r="X59" s="90">
        <f t="array" ref="X59">_xlfn.STDEV.P(IF($E$5:$E$53=$E58,X$5:X$53))</f>
        <v>12.585184742386579</v>
      </c>
      <c r="Y59" s="90">
        <f t="array" ref="Y59">_xlfn.STDEV.P(IF($E$5:$E$53=$E58,Y$5:Y$53))</f>
        <v>13.46669502884802</v>
      </c>
      <c r="Z59" s="90">
        <f t="array" ref="Z59">_xlfn.STDEV.P(IF($E$5:$E$53=$E58,Z$5:Z$53))</f>
        <v>13.076983597145023</v>
      </c>
      <c r="AA59" s="90">
        <f t="array" ref="AA59">_xlfn.STDEV.P(IF($E$5:$E$53=$E58,AA$5:AA$53))</f>
        <v>0</v>
      </c>
      <c r="AB59" s="90">
        <f t="array" ref="AB59">_xlfn.STDEV.P(IF($E$5:$E$53=$E58,AB$5:AB$53))</f>
        <v>0</v>
      </c>
      <c r="AC59" s="90">
        <f t="array" ref="AC59">_xlfn.STDEV.P(IF($E$5:$E$53=$E58,AC$5:AC$53))</f>
        <v>0</v>
      </c>
      <c r="AD59" s="90">
        <f t="array" ref="AD59">_xlfn.STDEV.P(IF($E$5:$E$53=$E58,AD$5:AD$53))</f>
        <v>0</v>
      </c>
      <c r="AE59" s="90">
        <f t="array" ref="AE59">_xlfn.STDEV.P(IF($E$5:$E$53=$E58,AE$5:AE$53))</f>
        <v>0</v>
      </c>
      <c r="AF59" s="90">
        <f t="array" ref="AF59">_xlfn.STDEV.P(IF($E$5:$E$53=$E58,AF$5:AF$53))</f>
        <v>0</v>
      </c>
      <c r="AG59" s="90">
        <f t="array" ref="AG59">_xlfn.STDEV.P(IF($E$5:$E$53=$E58,AG$5:AG$53))</f>
        <v>0</v>
      </c>
      <c r="AH59" s="90">
        <f t="array" ref="AH59">_xlfn.STDEV.P(IF($E$5:$E$53=$E58,AH$5:AH$53))</f>
        <v>0</v>
      </c>
      <c r="AI59" s="90">
        <f t="array" ref="AI59">_xlfn.STDEV.P(IF($E$5:$E$53=$E58,AI$5:AI$53))</f>
        <v>0</v>
      </c>
      <c r="AJ59" s="90">
        <f t="array" ref="AJ59">_xlfn.STDEV.P(IF($E$5:$E$53=$E58,AJ$5:AJ$53))</f>
        <v>0</v>
      </c>
      <c r="AK59" s="90">
        <f t="array" ref="AK59">_xlfn.STDEV.P(IF($E$5:$E$53=$E58,AK$5:AK$53))</f>
        <v>0</v>
      </c>
      <c r="AL59" s="90">
        <f t="array" ref="AL59">_xlfn.STDEV.P(IF($E$5:$E$53=$E58,AL$5:AL$53))</f>
        <v>0</v>
      </c>
      <c r="AM59" s="90">
        <f t="array" ref="AM59">_xlfn.STDEV.P(IF($E$5:$E$53=$E58,AM$5:AM$53))</f>
        <v>0</v>
      </c>
      <c r="AN59" s="90">
        <f t="array" ref="AN59">_xlfn.STDEV.P(IF($E$5:$E$53=$E58,AN$5:AN$53))</f>
        <v>0</v>
      </c>
      <c r="AO59" s="90">
        <f t="array" ref="AO59">_xlfn.STDEV.P(IF($E$5:$E$53=$E58,AO$5:AO$53))</f>
        <v>0</v>
      </c>
      <c r="AP59" s="90">
        <f t="array" ref="AP59">_xlfn.STDEV.P(IF($E$5:$E$53=$E58,AP$5:AP$53))</f>
        <v>0</v>
      </c>
      <c r="AQ59" s="90">
        <f t="array" ref="AQ59">_xlfn.STDEV.P(IF($E$5:$E$53=$E58,AQ$5:AQ$53))</f>
        <v>0</v>
      </c>
      <c r="AR59" s="90">
        <f t="array" ref="AR59">_xlfn.STDEV.P(IF($E$5:$E$53=$E58,AR$5:AR$53))</f>
        <v>0</v>
      </c>
      <c r="AS59" s="90">
        <f t="array" ref="AS59">_xlfn.STDEV.P(IF($E$5:$E$53=$E58,AS$5:AS$53))</f>
        <v>0</v>
      </c>
      <c r="AT59" s="90">
        <f t="array" ref="AT59">_xlfn.STDEV.P(IF($E$5:$E$53=$E58,AT$5:AT$53))</f>
        <v>0</v>
      </c>
      <c r="AU59" s="90">
        <f t="array" ref="AU59">_xlfn.STDEV.P(IF($E$5:$E$53=$E58,AU$5:AU$53))</f>
        <v>0</v>
      </c>
      <c r="AV59" s="90">
        <f t="array" ref="AV59">_xlfn.STDEV.P(IF($E$5:$E$53=$E58,AV$5:AV$53))</f>
        <v>0</v>
      </c>
      <c r="AW59" s="90">
        <f t="array" ref="AW59">_xlfn.STDEV.P(IF($E$5:$E$53=$E58,AW$5:AW$53))</f>
        <v>0</v>
      </c>
      <c r="AX59" s="90">
        <f t="array" ref="AX59">_xlfn.STDEV.P(IF($E$5:$E$53=$E58,AX$5:AX$53))</f>
        <v>0</v>
      </c>
      <c r="AY59" s="90">
        <f t="array" ref="AY59">_xlfn.STDEV.P(IF($E$5:$E$53=$E58,AY$5:AY$53))</f>
        <v>0</v>
      </c>
      <c r="AZ59" s="90">
        <f t="array" ref="AZ59">_xlfn.STDEV.P(IF($E$5:$E$53=$E58,AZ$5:AZ$53))</f>
        <v>0</v>
      </c>
      <c r="BA59" s="90">
        <f t="array" ref="BA59">_xlfn.STDEV.P(IF($E$5:$E$53=$E58,BA$5:BA$53))</f>
        <v>0</v>
      </c>
      <c r="BB59" s="90">
        <f t="array" ref="BB59">_xlfn.STDEV.P(IF($E$5:$E$53=$E58,BB$5:BB$53))</f>
        <v>0</v>
      </c>
      <c r="BC59" s="115" t="s">
        <v>12</v>
      </c>
      <c r="BD59" s="83">
        <f t="array" ref="BD59">_xlfn.STDEV.P(IF($E$5:$E$53=$E58,BD$5:BD$53))</f>
        <v>1.716360647120416E-2</v>
      </c>
      <c r="BE59" s="83">
        <f t="array" ref="BE59">_xlfn.STDEV.P(IF($E$5:$E$53=$E58,BE$5:BE$53))</f>
        <v>1.4129070614402807E-2</v>
      </c>
      <c r="BF59" s="83">
        <f t="array" ref="BF59">_xlfn.STDEV.P(IF($E$5:$E$53=$E58,BF$5:BF$53))</f>
        <v>0</v>
      </c>
      <c r="BG59" s="83">
        <f t="array" ref="BG59">_xlfn.STDEV.P(IF($E$5:$E$53=$E58,BG$5:BG$53))</f>
        <v>2.1006210846022322E-2</v>
      </c>
      <c r="BH59" s="83">
        <f t="array" ref="BH59">_xlfn.STDEV.P(IF($E$5:$E$53=$E58,BH$5:BH$53))</f>
        <v>2.6912256107257605E-2</v>
      </c>
      <c r="BI59" s="83">
        <f t="array" ref="BI59">_xlfn.STDEV.P(IF($E$5:$E$53=$E58,BI$5:BI$53))</f>
        <v>3.0701601042859891E-2</v>
      </c>
      <c r="BJ59" s="83">
        <f t="array" ref="BJ59">_xlfn.STDEV.P(IF($E$5:$E$53=$E58,BJ$5:BJ$53))</f>
        <v>2.341615353139561E-2</v>
      </c>
      <c r="BK59" s="83">
        <f t="array" ref="BK59">_xlfn.STDEV.P(IF($E$5:$E$53=$E58,BK$5:BK$53))</f>
        <v>2.24215479845714E-2</v>
      </c>
      <c r="BL59" s="83">
        <f t="array" ref="BL59">_xlfn.STDEV.P(IF($E$5:$E$53=$E58,BL$5:BL$53))</f>
        <v>9.68220611229898E-2</v>
      </c>
      <c r="BM59" s="83">
        <f t="array" ref="BM59">_xlfn.STDEV.P(IF($E$5:$E$53=$E58,BM$5:BM$53))</f>
        <v>3.1301662087849277E-2</v>
      </c>
      <c r="BN59" s="83">
        <f t="array" ref="BN59">_xlfn.STDEV.P(IF($E$5:$E$53=$E58,BN$5:BN$53))</f>
        <v>3.0109013674615437E-2</v>
      </c>
      <c r="BO59" s="83">
        <f t="array" ref="BO59">_xlfn.STDEV.P(IF($E$5:$E$53=$E58,BO$5:BO$53))</f>
        <v>5.157477147926718E-2</v>
      </c>
      <c r="BP59" s="83">
        <f t="array" ref="BP59">_xlfn.STDEV.P(IF($E$5:$E$53=$E58,BP$5:BP$53))</f>
        <v>3.6911198372721395E-2</v>
      </c>
      <c r="BQ59" s="83">
        <f t="array" ref="BQ59">_xlfn.STDEV.P(IF($E$5:$E$53=$E58,BQ$5:BQ$53))</f>
        <v>5.100909083175361E-2</v>
      </c>
      <c r="BR59" s="83">
        <f t="array" ref="BR59">_xlfn.STDEV.P(IF($E$5:$E$53=$E58,BR$5:BR$53))</f>
        <v>0</v>
      </c>
      <c r="BS59" s="83">
        <f t="array" ref="BS59">_xlfn.STDEV.P(IF($E$5:$E$53=$E58,BS$5:BS$53))</f>
        <v>0</v>
      </c>
      <c r="BT59" s="83" t="e">
        <f t="array" ref="BT59">_xlfn.STDEV.P(IF($E$5:$E$53=$E58,BT$5:BT$53))</f>
        <v>#DIV/0!</v>
      </c>
      <c r="BU59" s="83" t="e">
        <f t="array" ref="BU59">_xlfn.STDEV.P(IF($E$5:$E$53=$E58,BU$5:BU$53))</f>
        <v>#DIV/0!</v>
      </c>
      <c r="BV59" s="83" t="e">
        <f t="array" ref="BV59">_xlfn.STDEV.P(IF($E$5:$E$53=$E58,BV$5:BV$53))</f>
        <v>#DIV/0!</v>
      </c>
      <c r="BW59" s="83" t="e">
        <f t="array" ref="BW59">_xlfn.STDEV.P(IF($E$5:$E$53=$E58,BW$5:BW$53))</f>
        <v>#DIV/0!</v>
      </c>
      <c r="BX59" s="83" t="e">
        <f t="array" ref="BX59">_xlfn.STDEV.P(IF($E$5:$E$53=$E58,BX$5:BX$53))</f>
        <v>#DIV/0!</v>
      </c>
      <c r="BY59" s="83" t="e">
        <f t="array" ref="BY59">_xlfn.STDEV.P(IF($E$5:$E$53=$E58,BY$5:BY$53))</f>
        <v>#DIV/0!</v>
      </c>
      <c r="BZ59" s="83" t="e">
        <f t="array" ref="BZ59">_xlfn.STDEV.P(IF($E$5:$E$53=$E58,BZ$5:BZ$53))</f>
        <v>#DIV/0!</v>
      </c>
      <c r="CA59" s="83" t="e">
        <f t="array" ref="CA59">_xlfn.STDEV.P(IF($E$5:$E$53=$E58,CA$5:CA$53))</f>
        <v>#DIV/0!</v>
      </c>
      <c r="CB59" s="83" t="e">
        <f t="array" ref="CB59">_xlfn.STDEV.P(IF($E$5:$E$53=$E58,CB$5:CB$53))</f>
        <v>#DIV/0!</v>
      </c>
      <c r="CC59" s="83" t="e">
        <f t="array" ref="CC59">_xlfn.STDEV.P(IF($E$5:$E$53=$E58,CC$5:CC$53))</f>
        <v>#DIV/0!</v>
      </c>
      <c r="CD59" s="83" t="e">
        <f t="array" ref="CD59">_xlfn.STDEV.P(IF($E$5:$E$53=$E58,CD$5:CD$53))</f>
        <v>#DIV/0!</v>
      </c>
      <c r="CE59" s="83" t="e">
        <f t="array" ref="CE59">_xlfn.STDEV.P(IF($E$5:$E$53=$E58,CE$5:CE$53))</f>
        <v>#DIV/0!</v>
      </c>
      <c r="CF59" s="83" t="e">
        <f t="array" ref="CF59">_xlfn.STDEV.P(IF($E$5:$E$53=$E58,CF$5:CF$53))</f>
        <v>#DIV/0!</v>
      </c>
      <c r="CG59" s="83" t="e">
        <f t="array" ref="CG59">_xlfn.STDEV.P(IF($E$5:$E$53=$E58,CG$5:CG$53))</f>
        <v>#DIV/0!</v>
      </c>
      <c r="CH59" s="83" t="e">
        <f t="array" ref="CH59">_xlfn.STDEV.P(IF($E$5:$E$53=$E58,CH$5:CH$53))</f>
        <v>#DIV/0!</v>
      </c>
      <c r="CI59" s="83" t="e">
        <f t="array" ref="CI59">_xlfn.STDEV.P(IF($E$5:$E$53=$E58,CI$5:CI$53))</f>
        <v>#DIV/0!</v>
      </c>
      <c r="CJ59" s="83" t="e">
        <f t="array" ref="CJ59">_xlfn.STDEV.P(IF($E$5:$E$53=$E58,CJ$5:CJ$53))</f>
        <v>#DIV/0!</v>
      </c>
      <c r="CK59" s="83" t="e">
        <f t="array" ref="CK59">_xlfn.STDEV.P(IF($E$5:$E$53=$E58,CK$5:CK$53))</f>
        <v>#DIV/0!</v>
      </c>
      <c r="CL59" s="83" t="e">
        <f t="array" ref="CL59">_xlfn.STDEV.P(IF($E$5:$E$53=$E58,CL$5:CL$53))</f>
        <v>#DIV/0!</v>
      </c>
      <c r="CM59" s="83" t="e">
        <f t="array" ref="CM59">_xlfn.STDEV.P(IF($E$5:$E$53=$E58,CM$5:CM$53))</f>
        <v>#DIV/0!</v>
      </c>
      <c r="CN59" s="83" t="e">
        <f t="array" ref="CN59">_xlfn.STDEV.P(IF($E$5:$E$53=$E58,CN$5:CN$53))</f>
        <v>#DIV/0!</v>
      </c>
      <c r="CO59" s="83" t="e">
        <f t="array" ref="CO59">_xlfn.STDEV.P(IF($E$5:$E$53=$E58,CO$5:CO$53))</f>
        <v>#DIV/0!</v>
      </c>
      <c r="CP59" s="83" t="e">
        <f t="array" ref="CP59">_xlfn.STDEV.P(IF($E$5:$E$53=$E58,CP$5:CP$53))</f>
        <v>#DIV/0!</v>
      </c>
      <c r="CQ59" s="83" t="e">
        <f t="array" ref="CQ59">_xlfn.STDEV.P(IF($E$5:$E$53=$E58,CQ$5:CQ$53))</f>
        <v>#DIV/0!</v>
      </c>
      <c r="CR59" s="83" t="e">
        <f t="array" ref="CR59">_xlfn.STDEV.P(IF($E$5:$E$53=$E58,CR$5:CR$53))</f>
        <v>#DIV/0!</v>
      </c>
      <c r="CS59" s="83" t="e">
        <f t="array" ref="CS59">_xlfn.STDEV.P(IF($E$5:$E$53=$E58,CS$5:CS$53))</f>
        <v>#DIV/0!</v>
      </c>
      <c r="CT59" s="83" t="e">
        <f t="array" ref="CT59">_xlfn.STDEV.P(IF($E$5:$E$53=$E58,CT$5:CT$53))</f>
        <v>#DIV/0!</v>
      </c>
      <c r="CU59" s="83" t="e">
        <f t="array" ref="CU59">_xlfn.STDEV.P(IF($E$5:$E$53=$E58,CU$5:CU$53))</f>
        <v>#DIV/0!</v>
      </c>
      <c r="CV59" s="85"/>
    </row>
    <row r="60" spans="1:100" ht="15">
      <c r="A60" s="129"/>
      <c r="E60" s="58"/>
      <c r="H60" s="58"/>
    </row>
    <row r="61" spans="1:100" ht="14.25" customHeight="1">
      <c r="A61" s="129"/>
      <c r="E61" s="134" t="str">
        <f>'PTX_DOSE Groups'!C7</f>
        <v>3.3uCi Radiodepot</v>
      </c>
      <c r="H61" s="134" t="str">
        <f>E61</f>
        <v>3.3uCi Radiodepot</v>
      </c>
      <c r="I61" s="256">
        <f>AVERAGEIF($E$5:$E$53,$E61,I$5:I$53)</f>
        <v>27.860000000000003</v>
      </c>
      <c r="J61" s="81" t="s">
        <v>10</v>
      </c>
      <c r="K61" s="87">
        <f t="shared" ref="K61:BB61" si="22">AVERAGEIF($E$5:$E$53,$E61,K$5:K$53)</f>
        <v>27.02</v>
      </c>
      <c r="L61" s="87">
        <f t="shared" si="22"/>
        <v>27.52</v>
      </c>
      <c r="M61" s="87">
        <f t="shared" si="22"/>
        <v>27.860000000000003</v>
      </c>
      <c r="N61" s="87">
        <f t="shared" si="22"/>
        <v>28.240000000000002</v>
      </c>
      <c r="O61" s="87">
        <f t="shared" si="22"/>
        <v>27.54</v>
      </c>
      <c r="P61" s="87">
        <f t="shared" si="22"/>
        <v>28.2</v>
      </c>
      <c r="Q61" s="87">
        <f t="shared" si="22"/>
        <v>28.8</v>
      </c>
      <c r="R61" s="87">
        <f t="shared" si="22"/>
        <v>27.580000000000002</v>
      </c>
      <c r="S61" s="87">
        <f t="shared" si="22"/>
        <v>26.2</v>
      </c>
      <c r="T61" s="87">
        <f t="shared" si="22"/>
        <v>27.78</v>
      </c>
      <c r="U61" s="87">
        <f t="shared" si="22"/>
        <v>28.919999999999998</v>
      </c>
      <c r="V61" s="87">
        <f t="shared" si="22"/>
        <v>27.579999999999995</v>
      </c>
      <c r="W61" s="87">
        <f t="shared" si="22"/>
        <v>28.4</v>
      </c>
      <c r="X61" s="87">
        <f t="shared" si="22"/>
        <v>28.425000000000001</v>
      </c>
      <c r="Y61" s="87">
        <f t="shared" si="22"/>
        <v>28.25</v>
      </c>
      <c r="Z61" s="87">
        <f t="shared" si="22"/>
        <v>27.674999999999997</v>
      </c>
      <c r="AA61" s="87">
        <f t="shared" si="22"/>
        <v>28.3</v>
      </c>
      <c r="AB61" s="87">
        <f t="shared" si="22"/>
        <v>26.65</v>
      </c>
      <c r="AC61" s="87">
        <f t="shared" si="22"/>
        <v>27.5</v>
      </c>
      <c r="AD61" s="87">
        <f t="shared" si="22"/>
        <v>28.5</v>
      </c>
      <c r="AE61" s="87">
        <f t="shared" si="22"/>
        <v>27.8</v>
      </c>
      <c r="AF61" s="87" t="e">
        <f t="shared" si="22"/>
        <v>#DIV/0!</v>
      </c>
      <c r="AG61" s="87" t="e">
        <f t="shared" si="22"/>
        <v>#DIV/0!</v>
      </c>
      <c r="AH61" s="87" t="e">
        <f t="shared" si="22"/>
        <v>#DIV/0!</v>
      </c>
      <c r="AI61" s="87" t="e">
        <f t="shared" si="22"/>
        <v>#DIV/0!</v>
      </c>
      <c r="AJ61" s="87" t="e">
        <f t="shared" si="22"/>
        <v>#DIV/0!</v>
      </c>
      <c r="AK61" s="87" t="e">
        <f t="shared" si="22"/>
        <v>#DIV/0!</v>
      </c>
      <c r="AL61" s="87" t="e">
        <f t="shared" si="22"/>
        <v>#DIV/0!</v>
      </c>
      <c r="AM61" s="87" t="e">
        <f t="shared" si="22"/>
        <v>#DIV/0!</v>
      </c>
      <c r="AN61" s="87" t="e">
        <f t="shared" si="22"/>
        <v>#DIV/0!</v>
      </c>
      <c r="AO61" s="87" t="e">
        <f t="shared" si="22"/>
        <v>#DIV/0!</v>
      </c>
      <c r="AP61" s="87" t="e">
        <f t="shared" si="22"/>
        <v>#DIV/0!</v>
      </c>
      <c r="AQ61" s="87" t="e">
        <f t="shared" si="22"/>
        <v>#DIV/0!</v>
      </c>
      <c r="AR61" s="87" t="e">
        <f t="shared" si="22"/>
        <v>#DIV/0!</v>
      </c>
      <c r="AS61" s="87" t="e">
        <f t="shared" si="22"/>
        <v>#DIV/0!</v>
      </c>
      <c r="AT61" s="87" t="e">
        <f t="shared" si="22"/>
        <v>#DIV/0!</v>
      </c>
      <c r="AU61" s="87" t="e">
        <f t="shared" si="22"/>
        <v>#DIV/0!</v>
      </c>
      <c r="AV61" s="87" t="e">
        <f t="shared" si="22"/>
        <v>#DIV/0!</v>
      </c>
      <c r="AW61" s="87" t="e">
        <f t="shared" si="22"/>
        <v>#DIV/0!</v>
      </c>
      <c r="AX61" s="87" t="e">
        <f t="shared" si="22"/>
        <v>#DIV/0!</v>
      </c>
      <c r="AY61" s="87" t="e">
        <f t="shared" si="22"/>
        <v>#DIV/0!</v>
      </c>
      <c r="AZ61" s="87" t="e">
        <f t="shared" si="22"/>
        <v>#DIV/0!</v>
      </c>
      <c r="BA61" s="87" t="e">
        <f t="shared" si="22"/>
        <v>#DIV/0!</v>
      </c>
      <c r="BB61" s="87" t="e">
        <f t="shared" si="22"/>
        <v>#DIV/0!</v>
      </c>
      <c r="BC61" s="114" t="s">
        <v>10</v>
      </c>
      <c r="BD61" s="82">
        <f t="shared" ref="BD61:CU61" si="23">AVERAGEIF($E$5:$E$53,$E61,BD$5:BD$53)</f>
        <v>0.96986167985927829</v>
      </c>
      <c r="BE61" s="82">
        <f t="shared" si="23"/>
        <v>0.98802570995951911</v>
      </c>
      <c r="BF61" s="82">
        <f t="shared" si="23"/>
        <v>1</v>
      </c>
      <c r="BG61" s="82">
        <f t="shared" si="23"/>
        <v>1.0132189133898322</v>
      </c>
      <c r="BH61" s="82">
        <f t="shared" si="23"/>
        <v>0.98811123157850678</v>
      </c>
      <c r="BI61" s="82">
        <f t="shared" si="23"/>
        <v>1.0119014340623687</v>
      </c>
      <c r="BJ61" s="82">
        <f t="shared" si="23"/>
        <v>1.033622183689376</v>
      </c>
      <c r="BK61" s="82">
        <f t="shared" si="23"/>
        <v>0.98994780284821005</v>
      </c>
      <c r="BL61" s="82">
        <f t="shared" si="23"/>
        <v>0.94687077439584999</v>
      </c>
      <c r="BM61" s="82">
        <f t="shared" si="23"/>
        <v>0.99604644088285443</v>
      </c>
      <c r="BN61" s="82">
        <f t="shared" si="23"/>
        <v>1.0662420719723218</v>
      </c>
      <c r="BO61" s="82">
        <f t="shared" si="23"/>
        <v>0.98921596669582179</v>
      </c>
      <c r="BP61" s="82">
        <f t="shared" si="23"/>
        <v>1.0137988865522245</v>
      </c>
      <c r="BQ61" s="82">
        <f t="shared" si="23"/>
        <v>1.0142628788857588</v>
      </c>
      <c r="BR61" s="82">
        <f t="shared" si="23"/>
        <v>1.0074754759727065</v>
      </c>
      <c r="BS61" s="82">
        <f t="shared" si="23"/>
        <v>0.98746274800497436</v>
      </c>
      <c r="BT61" s="82">
        <f t="shared" si="23"/>
        <v>0.97838190002369119</v>
      </c>
      <c r="BU61" s="82">
        <f t="shared" si="23"/>
        <v>0.97969392169586844</v>
      </c>
      <c r="BV61" s="82">
        <f t="shared" si="23"/>
        <v>0.99637681159420288</v>
      </c>
      <c r="BW61" s="82">
        <f t="shared" si="23"/>
        <v>1.0326086956521738</v>
      </c>
      <c r="BX61" s="82">
        <f t="shared" si="23"/>
        <v>1.0072463768115942</v>
      </c>
      <c r="BY61" s="82" t="e">
        <f t="shared" si="23"/>
        <v>#DIV/0!</v>
      </c>
      <c r="BZ61" s="82" t="e">
        <f t="shared" si="23"/>
        <v>#DIV/0!</v>
      </c>
      <c r="CA61" s="82" t="e">
        <f t="shared" si="23"/>
        <v>#DIV/0!</v>
      </c>
      <c r="CB61" s="82" t="e">
        <f t="shared" si="23"/>
        <v>#DIV/0!</v>
      </c>
      <c r="CC61" s="82" t="e">
        <f t="shared" si="23"/>
        <v>#DIV/0!</v>
      </c>
      <c r="CD61" s="82" t="e">
        <f t="shared" si="23"/>
        <v>#DIV/0!</v>
      </c>
      <c r="CE61" s="82" t="e">
        <f t="shared" si="23"/>
        <v>#DIV/0!</v>
      </c>
      <c r="CF61" s="82" t="e">
        <f t="shared" si="23"/>
        <v>#DIV/0!</v>
      </c>
      <c r="CG61" s="82" t="e">
        <f t="shared" si="23"/>
        <v>#DIV/0!</v>
      </c>
      <c r="CH61" s="82" t="e">
        <f t="shared" si="23"/>
        <v>#DIV/0!</v>
      </c>
      <c r="CI61" s="82" t="e">
        <f t="shared" si="23"/>
        <v>#DIV/0!</v>
      </c>
      <c r="CJ61" s="82" t="e">
        <f t="shared" si="23"/>
        <v>#DIV/0!</v>
      </c>
      <c r="CK61" s="82" t="e">
        <f t="shared" si="23"/>
        <v>#DIV/0!</v>
      </c>
      <c r="CL61" s="82" t="e">
        <f t="shared" si="23"/>
        <v>#DIV/0!</v>
      </c>
      <c r="CM61" s="82" t="e">
        <f t="shared" si="23"/>
        <v>#DIV/0!</v>
      </c>
      <c r="CN61" s="82" t="e">
        <f t="shared" si="23"/>
        <v>#DIV/0!</v>
      </c>
      <c r="CO61" s="82" t="e">
        <f t="shared" si="23"/>
        <v>#DIV/0!</v>
      </c>
      <c r="CP61" s="82" t="e">
        <f t="shared" si="23"/>
        <v>#DIV/0!</v>
      </c>
      <c r="CQ61" s="82" t="e">
        <f t="shared" si="23"/>
        <v>#DIV/0!</v>
      </c>
      <c r="CR61" s="82" t="e">
        <f t="shared" si="23"/>
        <v>#DIV/0!</v>
      </c>
      <c r="CS61" s="82" t="e">
        <f t="shared" si="23"/>
        <v>#DIV/0!</v>
      </c>
      <c r="CT61" s="82" t="e">
        <f t="shared" si="23"/>
        <v>#DIV/0!</v>
      </c>
      <c r="CU61" s="82" t="e">
        <f t="shared" si="23"/>
        <v>#DIV/0!</v>
      </c>
      <c r="CV61" s="85"/>
    </row>
    <row r="62" spans="1:100" ht="14.25" customHeight="1">
      <c r="A62" s="129"/>
      <c r="E62" s="104"/>
      <c r="H62" s="104"/>
      <c r="I62" s="256">
        <f t="array" ref="I62">_xlfn.STDEV.P(IF($E$5:$E$53=$E61,I$5:I$53))</f>
        <v>2.297476876923902</v>
      </c>
      <c r="J62" s="81" t="s">
        <v>12</v>
      </c>
      <c r="K62" s="90">
        <f t="array" ref="K62">_xlfn.STDEV.P(IF($E$5:$E$53=$E61,K$5:K$53))</f>
        <v>2.2346364357541471</v>
      </c>
      <c r="L62" s="90">
        <f t="array" ref="L62">_xlfn.STDEV.P(IF($E$5:$E$53=$E61,L$5:L$53))</f>
        <v>2.2103393404633596</v>
      </c>
      <c r="M62" s="90">
        <f t="array" ref="M62">_xlfn.STDEV.P(IF($E$5:$E$53=$E61,M$5:M$53))</f>
        <v>2.297476876923902</v>
      </c>
      <c r="N62" s="90">
        <f t="array" ref="N62">_xlfn.STDEV.P(IF($E$5:$E$53=$E61,N$5:N$53))</f>
        <v>2.4832237112270001</v>
      </c>
      <c r="O62" s="90">
        <f t="array" ref="O62">_xlfn.STDEV.P(IF($E$5:$E$53=$E61,O$5:O$53))</f>
        <v>2.4434401977539788</v>
      </c>
      <c r="P62" s="90">
        <f t="array" ref="P62">_xlfn.STDEV.P(IF($E$5:$E$53=$E61,P$5:P$53))</f>
        <v>2.503597411725774</v>
      </c>
      <c r="Q62" s="90">
        <f t="array" ref="Q62">_xlfn.STDEV.P(IF($E$5:$E$53=$E61,Q$5:Q$53))</f>
        <v>2.4787093415727455</v>
      </c>
      <c r="R62" s="90">
        <f t="array" ref="R62">_xlfn.STDEV.P(IF($E$5:$E$53=$E61,R$5:R$53))</f>
        <v>2.3378622713923929</v>
      </c>
      <c r="S62" s="90">
        <f t="array" ref="S62">_xlfn.STDEV.P(IF($E$5:$E$53=$E61,S$5:S$53))</f>
        <v>1.3870832707519758</v>
      </c>
      <c r="T62" s="90">
        <f t="array" ref="T62">_xlfn.STDEV.P(IF($E$5:$E$53=$E61,T$5:T$53))</f>
        <v>2.6791043279424569</v>
      </c>
      <c r="U62" s="90">
        <f t="array" ref="U62">_xlfn.STDEV.P(IF($E$5:$E$53=$E61,U$5:U$53))</f>
        <v>3.0155596495509762</v>
      </c>
      <c r="V62" s="90">
        <f t="array" ref="V62">_xlfn.STDEV.P(IF($E$5:$E$53=$E61,V$5:V$53))</f>
        <v>2.5537423519219784</v>
      </c>
      <c r="W62" s="90">
        <f t="array" ref="W62">_xlfn.STDEV.P(IF($E$5:$E$53=$E61,W$5:W$53))</f>
        <v>11.62882625203421</v>
      </c>
      <c r="X62" s="90">
        <f t="array" ref="X62">_xlfn.STDEV.P(IF($E$5:$E$53=$E61,X$5:X$53))</f>
        <v>11.67606097962836</v>
      </c>
      <c r="Y62" s="90">
        <f t="array" ref="Y62">_xlfn.STDEV.P(IF($E$5:$E$53=$E61,Y$5:Y$53))</f>
        <v>11.629789336011207</v>
      </c>
      <c r="Z62" s="90">
        <f t="array" ref="Z62">_xlfn.STDEV.P(IF($E$5:$E$53=$E61,Z$5:Z$53))</f>
        <v>11.357041868374003</v>
      </c>
      <c r="AA62" s="90">
        <f t="array" ref="AA62">_xlfn.STDEV.P(IF($E$5:$E$53=$E61,AA$5:AA$53))</f>
        <v>14.065617654408216</v>
      </c>
      <c r="AB62" s="90">
        <f t="array" ref="AB62">_xlfn.STDEV.P(IF($E$5:$E$53=$E61,AB$5:AB$53))</f>
        <v>13.060413469718332</v>
      </c>
      <c r="AC62" s="90">
        <f t="array" ref="AC62">_xlfn.STDEV.P(IF($E$5:$E$53=$E61,AC$5:AC$53))</f>
        <v>11</v>
      </c>
      <c r="AD62" s="90">
        <f t="array" ref="AD62">_xlfn.STDEV.P(IF($E$5:$E$53=$E61,AD$5:AD$53))</f>
        <v>11.4</v>
      </c>
      <c r="AE62" s="90">
        <f t="array" ref="AE62">_xlfn.STDEV.P(IF($E$5:$E$53=$E61,AE$5:AE$53))</f>
        <v>11.120000000000001</v>
      </c>
      <c r="AF62" s="90">
        <f t="array" ref="AF62">_xlfn.STDEV.P(IF($E$5:$E$53=$E61,AF$5:AF$53))</f>
        <v>0</v>
      </c>
      <c r="AG62" s="90">
        <f t="array" ref="AG62">_xlfn.STDEV.P(IF($E$5:$E$53=$E61,AG$5:AG$53))</f>
        <v>0</v>
      </c>
      <c r="AH62" s="90">
        <f t="array" ref="AH62">_xlfn.STDEV.P(IF($E$5:$E$53=$E61,AH$5:AH$53))</f>
        <v>0</v>
      </c>
      <c r="AI62" s="90">
        <f t="array" ref="AI62">_xlfn.STDEV.P(IF($E$5:$E$53=$E61,AI$5:AI$53))</f>
        <v>0</v>
      </c>
      <c r="AJ62" s="90">
        <f t="array" ref="AJ62">_xlfn.STDEV.P(IF($E$5:$E$53=$E61,AJ$5:AJ$53))</f>
        <v>0</v>
      </c>
      <c r="AK62" s="90">
        <f t="array" ref="AK62">_xlfn.STDEV.P(IF($E$5:$E$53=$E61,AK$5:AK$53))</f>
        <v>0</v>
      </c>
      <c r="AL62" s="90">
        <f t="array" ref="AL62">_xlfn.STDEV.P(IF($E$5:$E$53=$E61,AL$5:AL$53))</f>
        <v>0</v>
      </c>
      <c r="AM62" s="90">
        <f t="array" ref="AM62">_xlfn.STDEV.P(IF($E$5:$E$53=$E61,AM$5:AM$53))</f>
        <v>0</v>
      </c>
      <c r="AN62" s="90">
        <f t="array" ref="AN62">_xlfn.STDEV.P(IF($E$5:$E$53=$E61,AN$5:AN$53))</f>
        <v>0</v>
      </c>
      <c r="AO62" s="90">
        <f t="array" ref="AO62">_xlfn.STDEV.P(IF($E$5:$E$53=$E61,AO$5:AO$53))</f>
        <v>0</v>
      </c>
      <c r="AP62" s="90">
        <f t="array" ref="AP62">_xlfn.STDEV.P(IF($E$5:$E$53=$E61,AP$5:AP$53))</f>
        <v>0</v>
      </c>
      <c r="AQ62" s="90">
        <f t="array" ref="AQ62">_xlfn.STDEV.P(IF($E$5:$E$53=$E61,AQ$5:AQ$53))</f>
        <v>0</v>
      </c>
      <c r="AR62" s="90">
        <f t="array" ref="AR62">_xlfn.STDEV.P(IF($E$5:$E$53=$E61,AR$5:AR$53))</f>
        <v>0</v>
      </c>
      <c r="AS62" s="90">
        <f t="array" ref="AS62">_xlfn.STDEV.P(IF($E$5:$E$53=$E61,AS$5:AS$53))</f>
        <v>0</v>
      </c>
      <c r="AT62" s="90">
        <f t="array" ref="AT62">_xlfn.STDEV.P(IF($E$5:$E$53=$E61,AT$5:AT$53))</f>
        <v>0</v>
      </c>
      <c r="AU62" s="90">
        <f t="array" ref="AU62">_xlfn.STDEV.P(IF($E$5:$E$53=$E61,AU$5:AU$53))</f>
        <v>0</v>
      </c>
      <c r="AV62" s="90">
        <f t="array" ref="AV62">_xlfn.STDEV.P(IF($E$5:$E$53=$E61,AV$5:AV$53))</f>
        <v>0</v>
      </c>
      <c r="AW62" s="90">
        <f t="array" ref="AW62">_xlfn.STDEV.P(IF($E$5:$E$53=$E61,AW$5:AW$53))</f>
        <v>0</v>
      </c>
      <c r="AX62" s="90">
        <f t="array" ref="AX62">_xlfn.STDEV.P(IF($E$5:$E$53=$E61,AX$5:AX$53))</f>
        <v>0</v>
      </c>
      <c r="AY62" s="90">
        <f t="array" ref="AY62">_xlfn.STDEV.P(IF($E$5:$E$53=$E61,AY$5:AY$53))</f>
        <v>0</v>
      </c>
      <c r="AZ62" s="90">
        <f t="array" ref="AZ62">_xlfn.STDEV.P(IF($E$5:$E$53=$E61,AZ$5:AZ$53))</f>
        <v>0</v>
      </c>
      <c r="BA62" s="90">
        <f t="array" ref="BA62">_xlfn.STDEV.P(IF($E$5:$E$53=$E61,BA$5:BA$53))</f>
        <v>0</v>
      </c>
      <c r="BB62" s="90">
        <f t="array" ref="BB62">_xlfn.STDEV.P(IF($E$5:$E$53=$E61,BB$5:BB$53))</f>
        <v>0</v>
      </c>
      <c r="BC62" s="115" t="s">
        <v>12</v>
      </c>
      <c r="BD62" s="83">
        <f t="array" ref="BD62">_xlfn.STDEV.P(IF($E$5:$E$53=$E61,BD$5:BD$53))</f>
        <v>8.5191451785755837E-3</v>
      </c>
      <c r="BE62" s="83">
        <f t="array" ref="BE62">_xlfn.STDEV.P(IF($E$5:$E$53=$E61,BE$5:BE$53))</f>
        <v>1.1183077316709937E-2</v>
      </c>
      <c r="BF62" s="83">
        <f t="array" ref="BF62">_xlfn.STDEV.P(IF($E$5:$E$53=$E61,BF$5:BF$53))</f>
        <v>0</v>
      </c>
      <c r="BG62" s="83">
        <f t="array" ref="BG62">_xlfn.STDEV.P(IF($E$5:$E$53=$E61,BG$5:BG$53))</f>
        <v>7.4194500912474048E-3</v>
      </c>
      <c r="BH62" s="83">
        <f t="array" ref="BH62">_xlfn.STDEV.P(IF($E$5:$E$53=$E61,BH$5:BH$53))</f>
        <v>1.4138051153399058E-2</v>
      </c>
      <c r="BI62" s="83">
        <f t="array" ref="BI62">_xlfn.STDEV.P(IF($E$5:$E$53=$E61,BI$5:BI$53))</f>
        <v>2.1871373175637258E-2</v>
      </c>
      <c r="BJ62" s="83">
        <f t="array" ref="BJ62">_xlfn.STDEV.P(IF($E$5:$E$53=$E61,BJ$5:BJ$53))</f>
        <v>2.1649209671510815E-2</v>
      </c>
      <c r="BK62" s="83">
        <f t="array" ref="BK62">_xlfn.STDEV.P(IF($E$5:$E$53=$E61,BK$5:BK$53))</f>
        <v>2.2879982722708667E-2</v>
      </c>
      <c r="BL62" s="83">
        <f t="array" ref="BL62">_xlfn.STDEV.P(IF($E$5:$E$53=$E61,BL$5:BL$53))</f>
        <v>9.0456177456216633E-2</v>
      </c>
      <c r="BM62" s="83">
        <f t="array" ref="BM62">_xlfn.STDEV.P(IF($E$5:$E$53=$E61,BM$5:BM$53))</f>
        <v>1.5646567438401579E-2</v>
      </c>
      <c r="BN62" s="83">
        <f t="array" ref="BN62">_xlfn.STDEV.P(IF($E$5:$E$53=$E61,BN$5:BN$53))</f>
        <v>6.0718153307730859E-2</v>
      </c>
      <c r="BO62" s="83">
        <f t="array" ref="BO62">_xlfn.STDEV.P(IF($E$5:$E$53=$E61,BO$5:BO$53))</f>
        <v>1.2064281824082493E-2</v>
      </c>
      <c r="BP62" s="83">
        <f t="array" ref="BP62">_xlfn.STDEV.P(IF($E$5:$E$53=$E61,BP$5:BP$53))</f>
        <v>1.2152277463981641E-2</v>
      </c>
      <c r="BQ62" s="83">
        <f t="array" ref="BQ62">_xlfn.STDEV.P(IF($E$5:$E$53=$E61,BQ$5:BQ$53))</f>
        <v>2.2060538718574718E-2</v>
      </c>
      <c r="BR62" s="83">
        <f t="array" ref="BR62">_xlfn.STDEV.P(IF($E$5:$E$53=$E61,BR$5:BR$53))</f>
        <v>1.8819528631375503E-2</v>
      </c>
      <c r="BS62" s="83">
        <f t="array" ref="BS62">_xlfn.STDEV.P(IF($E$5:$E$53=$E61,BS$5:BS$53))</f>
        <v>1.172722925575998E-2</v>
      </c>
      <c r="BT62" s="83">
        <f t="array" ref="BT62">_xlfn.STDEV.P(IF($E$5:$E$53=$E61,BT$5:BT$53))</f>
        <v>2.4150302713543154E-2</v>
      </c>
      <c r="BU62" s="83">
        <f t="array" ref="BU62">_xlfn.STDEV.P(IF($E$5:$E$53=$E61,BU$5:BU$53))</f>
        <v>5.8133246809430883E-3</v>
      </c>
      <c r="BV62" s="83">
        <f t="array" ref="BV62">_xlfn.STDEV.P(IF($E$5:$E$53=$E61,BV$5:BV$53))</f>
        <v>0</v>
      </c>
      <c r="BW62" s="83">
        <f t="array" ref="BW62">_xlfn.STDEV.P(IF($E$5:$E$53=$E61,BW$5:BW$53))</f>
        <v>0</v>
      </c>
      <c r="BX62" s="83">
        <f t="array" ref="BX62">_xlfn.STDEV.P(IF($E$5:$E$53=$E61,BX$5:BX$53))</f>
        <v>0</v>
      </c>
      <c r="BY62" s="83" t="e">
        <f t="array" ref="BY62">_xlfn.STDEV.P(IF($E$5:$E$53=$E61,BY$5:BY$53))</f>
        <v>#DIV/0!</v>
      </c>
      <c r="BZ62" s="83" t="e">
        <f t="array" ref="BZ62">_xlfn.STDEV.P(IF($E$5:$E$53=$E61,BZ$5:BZ$53))</f>
        <v>#DIV/0!</v>
      </c>
      <c r="CA62" s="83" t="e">
        <f t="array" ref="CA62">_xlfn.STDEV.P(IF($E$5:$E$53=$E61,CA$5:CA$53))</f>
        <v>#DIV/0!</v>
      </c>
      <c r="CB62" s="83" t="e">
        <f t="array" ref="CB62">_xlfn.STDEV.P(IF($E$5:$E$53=$E61,CB$5:CB$53))</f>
        <v>#DIV/0!</v>
      </c>
      <c r="CC62" s="83" t="e">
        <f t="array" ref="CC62">_xlfn.STDEV.P(IF($E$5:$E$53=$E61,CC$5:CC$53))</f>
        <v>#DIV/0!</v>
      </c>
      <c r="CD62" s="83" t="e">
        <f t="array" ref="CD62">_xlfn.STDEV.P(IF($E$5:$E$53=$E61,CD$5:CD$53))</f>
        <v>#DIV/0!</v>
      </c>
      <c r="CE62" s="83" t="e">
        <f t="array" ref="CE62">_xlfn.STDEV.P(IF($E$5:$E$53=$E61,CE$5:CE$53))</f>
        <v>#DIV/0!</v>
      </c>
      <c r="CF62" s="83" t="e">
        <f t="array" ref="CF62">_xlfn.STDEV.P(IF($E$5:$E$53=$E61,CF$5:CF$53))</f>
        <v>#DIV/0!</v>
      </c>
      <c r="CG62" s="83" t="e">
        <f t="array" ref="CG62">_xlfn.STDEV.P(IF($E$5:$E$53=$E61,CG$5:CG$53))</f>
        <v>#DIV/0!</v>
      </c>
      <c r="CH62" s="83" t="e">
        <f t="array" ref="CH62">_xlfn.STDEV.P(IF($E$5:$E$53=$E61,CH$5:CH$53))</f>
        <v>#DIV/0!</v>
      </c>
      <c r="CI62" s="83" t="e">
        <f t="array" ref="CI62">_xlfn.STDEV.P(IF($E$5:$E$53=$E61,CI$5:CI$53))</f>
        <v>#DIV/0!</v>
      </c>
      <c r="CJ62" s="83" t="e">
        <f t="array" ref="CJ62">_xlfn.STDEV.P(IF($E$5:$E$53=$E61,CJ$5:CJ$53))</f>
        <v>#DIV/0!</v>
      </c>
      <c r="CK62" s="83" t="e">
        <f t="array" ref="CK62">_xlfn.STDEV.P(IF($E$5:$E$53=$E61,CK$5:CK$53))</f>
        <v>#DIV/0!</v>
      </c>
      <c r="CL62" s="83" t="e">
        <f t="array" ref="CL62">_xlfn.STDEV.P(IF($E$5:$E$53=$E61,CL$5:CL$53))</f>
        <v>#DIV/0!</v>
      </c>
      <c r="CM62" s="83" t="e">
        <f t="array" ref="CM62">_xlfn.STDEV.P(IF($E$5:$E$53=$E61,CM$5:CM$53))</f>
        <v>#DIV/0!</v>
      </c>
      <c r="CN62" s="83" t="e">
        <f t="array" ref="CN62">_xlfn.STDEV.P(IF($E$5:$E$53=$E61,CN$5:CN$53))</f>
        <v>#DIV/0!</v>
      </c>
      <c r="CO62" s="83" t="e">
        <f t="array" ref="CO62">_xlfn.STDEV.P(IF($E$5:$E$53=$E61,CO$5:CO$53))</f>
        <v>#DIV/0!</v>
      </c>
      <c r="CP62" s="83" t="e">
        <f t="array" ref="CP62">_xlfn.STDEV.P(IF($E$5:$E$53=$E61,CP$5:CP$53))</f>
        <v>#DIV/0!</v>
      </c>
      <c r="CQ62" s="83" t="e">
        <f t="array" ref="CQ62">_xlfn.STDEV.P(IF($E$5:$E$53=$E61,CQ$5:CQ$53))</f>
        <v>#DIV/0!</v>
      </c>
      <c r="CR62" s="83" t="e">
        <f t="array" ref="CR62">_xlfn.STDEV.P(IF($E$5:$E$53=$E61,CR$5:CR$53))</f>
        <v>#DIV/0!</v>
      </c>
      <c r="CS62" s="83" t="e">
        <f t="array" ref="CS62">_xlfn.STDEV.P(IF($E$5:$E$53=$E61,CS$5:CS$53))</f>
        <v>#DIV/0!</v>
      </c>
      <c r="CT62" s="83" t="e">
        <f t="array" ref="CT62">_xlfn.STDEV.P(IF($E$5:$E$53=$E61,CT$5:CT$53))</f>
        <v>#DIV/0!</v>
      </c>
      <c r="CU62" s="83" t="e">
        <f t="array" ref="CU62">_xlfn.STDEV.P(IF($E$5:$E$53=$E61,CU$5:CU$53))</f>
        <v>#DIV/0!</v>
      </c>
      <c r="CV62" s="85"/>
    </row>
    <row r="63" spans="1:100" ht="15">
      <c r="A63" s="129"/>
      <c r="E63" s="58"/>
      <c r="H63" s="58"/>
    </row>
    <row r="64" spans="1:100" ht="14.25" customHeight="1">
      <c r="A64" s="129"/>
      <c r="E64" s="134" t="str">
        <f>'PTX_DOSE Groups'!C8</f>
        <v>12.5mg CP-PTX</v>
      </c>
      <c r="H64" s="134" t="str">
        <f>E64</f>
        <v>12.5mg CP-PTX</v>
      </c>
      <c r="I64" s="256">
        <f>AVERAGEIF($E$5:$E$53,$E64,I$5:I$53)</f>
        <v>28.266666666666666</v>
      </c>
      <c r="J64" s="81" t="s">
        <v>10</v>
      </c>
      <c r="K64" s="87">
        <f t="shared" ref="K64:BB64" si="24">AVERAGEIF($E$5:$E$53,$E64,K$5:K$53)</f>
        <v>27.083333333333339</v>
      </c>
      <c r="L64" s="87">
        <f t="shared" si="24"/>
        <v>27.683333333333337</v>
      </c>
      <c r="M64" s="87">
        <f t="shared" si="24"/>
        <v>28.266666666666666</v>
      </c>
      <c r="N64" s="87">
        <f t="shared" si="24"/>
        <v>28.049999999999997</v>
      </c>
      <c r="O64" s="87">
        <f t="shared" si="24"/>
        <v>27.700000000000003</v>
      </c>
      <c r="P64" s="87">
        <f t="shared" si="24"/>
        <v>28.5</v>
      </c>
      <c r="Q64" s="87">
        <f t="shared" si="24"/>
        <v>28.983333333333334</v>
      </c>
      <c r="R64" s="87">
        <f t="shared" si="24"/>
        <v>28.133333333333336</v>
      </c>
      <c r="S64" s="87">
        <f t="shared" si="24"/>
        <v>27.900000000000002</v>
      </c>
      <c r="T64" s="87">
        <f t="shared" si="24"/>
        <v>27.899999999999995</v>
      </c>
      <c r="U64" s="87">
        <f t="shared" si="24"/>
        <v>28.45</v>
      </c>
      <c r="V64" s="87">
        <f t="shared" si="24"/>
        <v>27.033333333333331</v>
      </c>
      <c r="W64" s="87">
        <f t="shared" si="24"/>
        <v>27.52</v>
      </c>
      <c r="X64" s="87">
        <f t="shared" si="24"/>
        <v>27.7</v>
      </c>
      <c r="Y64" s="87">
        <f t="shared" si="24"/>
        <v>25.7</v>
      </c>
      <c r="Z64" s="87">
        <f t="shared" si="24"/>
        <v>25.2</v>
      </c>
      <c r="AA64" s="87" t="e">
        <f t="shared" si="24"/>
        <v>#DIV/0!</v>
      </c>
      <c r="AB64" s="87" t="e">
        <f t="shared" si="24"/>
        <v>#DIV/0!</v>
      </c>
      <c r="AC64" s="87" t="e">
        <f t="shared" si="24"/>
        <v>#DIV/0!</v>
      </c>
      <c r="AD64" s="87" t="e">
        <f t="shared" si="24"/>
        <v>#DIV/0!</v>
      </c>
      <c r="AE64" s="87" t="e">
        <f t="shared" si="24"/>
        <v>#DIV/0!</v>
      </c>
      <c r="AF64" s="87" t="e">
        <f t="shared" si="24"/>
        <v>#DIV/0!</v>
      </c>
      <c r="AG64" s="87" t="e">
        <f t="shared" si="24"/>
        <v>#DIV/0!</v>
      </c>
      <c r="AH64" s="87" t="e">
        <f t="shared" si="24"/>
        <v>#DIV/0!</v>
      </c>
      <c r="AI64" s="87" t="e">
        <f t="shared" si="24"/>
        <v>#DIV/0!</v>
      </c>
      <c r="AJ64" s="87" t="e">
        <f t="shared" si="24"/>
        <v>#DIV/0!</v>
      </c>
      <c r="AK64" s="87" t="e">
        <f t="shared" si="24"/>
        <v>#DIV/0!</v>
      </c>
      <c r="AL64" s="87" t="e">
        <f t="shared" si="24"/>
        <v>#DIV/0!</v>
      </c>
      <c r="AM64" s="87" t="e">
        <f t="shared" si="24"/>
        <v>#DIV/0!</v>
      </c>
      <c r="AN64" s="87" t="e">
        <f t="shared" si="24"/>
        <v>#DIV/0!</v>
      </c>
      <c r="AO64" s="87" t="e">
        <f t="shared" si="24"/>
        <v>#DIV/0!</v>
      </c>
      <c r="AP64" s="87" t="e">
        <f t="shared" si="24"/>
        <v>#DIV/0!</v>
      </c>
      <c r="AQ64" s="87" t="e">
        <f t="shared" si="24"/>
        <v>#DIV/0!</v>
      </c>
      <c r="AR64" s="87" t="e">
        <f t="shared" si="24"/>
        <v>#DIV/0!</v>
      </c>
      <c r="AS64" s="87" t="e">
        <f t="shared" si="24"/>
        <v>#DIV/0!</v>
      </c>
      <c r="AT64" s="87" t="e">
        <f t="shared" si="24"/>
        <v>#DIV/0!</v>
      </c>
      <c r="AU64" s="87" t="e">
        <f t="shared" si="24"/>
        <v>#DIV/0!</v>
      </c>
      <c r="AV64" s="87" t="e">
        <f t="shared" si="24"/>
        <v>#DIV/0!</v>
      </c>
      <c r="AW64" s="87" t="e">
        <f t="shared" si="24"/>
        <v>#DIV/0!</v>
      </c>
      <c r="AX64" s="87" t="e">
        <f t="shared" si="24"/>
        <v>#DIV/0!</v>
      </c>
      <c r="AY64" s="87" t="e">
        <f t="shared" si="24"/>
        <v>#DIV/0!</v>
      </c>
      <c r="AZ64" s="87" t="e">
        <f t="shared" si="24"/>
        <v>#DIV/0!</v>
      </c>
      <c r="BA64" s="87" t="e">
        <f t="shared" si="24"/>
        <v>#DIV/0!</v>
      </c>
      <c r="BB64" s="87" t="e">
        <f t="shared" si="24"/>
        <v>#DIV/0!</v>
      </c>
      <c r="BC64" s="114" t="s">
        <v>10</v>
      </c>
      <c r="BD64" s="82">
        <f t="shared" ref="BD64:CU64" si="25">AVERAGEIF($E$5:$E$53,$E64,BD$5:BD$53)</f>
        <v>0.95936371529982578</v>
      </c>
      <c r="BE64" s="82">
        <f t="shared" si="25"/>
        <v>0.98098443564694948</v>
      </c>
      <c r="BF64" s="82">
        <f t="shared" si="25"/>
        <v>1</v>
      </c>
      <c r="BG64" s="82">
        <f t="shared" si="25"/>
        <v>0.99297302390917375</v>
      </c>
      <c r="BH64" s="82">
        <f t="shared" si="25"/>
        <v>0.98052016590097502</v>
      </c>
      <c r="BI64" s="82">
        <f t="shared" si="25"/>
        <v>1.0082672537320907</v>
      </c>
      <c r="BJ64" s="82">
        <f t="shared" si="25"/>
        <v>1.0254996443808737</v>
      </c>
      <c r="BK64" s="82">
        <f t="shared" si="25"/>
        <v>0.99493386198371325</v>
      </c>
      <c r="BL64" s="82">
        <f t="shared" si="25"/>
        <v>0.98718629489793985</v>
      </c>
      <c r="BM64" s="82">
        <f t="shared" si="25"/>
        <v>0.98683417636515847</v>
      </c>
      <c r="BN64" s="82">
        <f t="shared" si="25"/>
        <v>0.96940324737550665</v>
      </c>
      <c r="BO64" s="82">
        <f t="shared" si="25"/>
        <v>0.95577971518264804</v>
      </c>
      <c r="BP64" s="82">
        <f t="shared" si="25"/>
        <v>0.97764395445363195</v>
      </c>
      <c r="BQ64" s="82">
        <f t="shared" si="25"/>
        <v>0.96017359924599255</v>
      </c>
      <c r="BR64" s="82">
        <f t="shared" si="25"/>
        <v>0.95185185185185184</v>
      </c>
      <c r="BS64" s="82">
        <f t="shared" si="25"/>
        <v>0.93333333333333335</v>
      </c>
      <c r="BT64" s="82" t="e">
        <f t="shared" si="25"/>
        <v>#DIV/0!</v>
      </c>
      <c r="BU64" s="82" t="e">
        <f t="shared" si="25"/>
        <v>#DIV/0!</v>
      </c>
      <c r="BV64" s="82" t="e">
        <f t="shared" si="25"/>
        <v>#DIV/0!</v>
      </c>
      <c r="BW64" s="82" t="e">
        <f t="shared" si="25"/>
        <v>#DIV/0!</v>
      </c>
      <c r="BX64" s="82" t="e">
        <f t="shared" si="25"/>
        <v>#DIV/0!</v>
      </c>
      <c r="BY64" s="82" t="e">
        <f t="shared" si="25"/>
        <v>#DIV/0!</v>
      </c>
      <c r="BZ64" s="82" t="e">
        <f t="shared" si="25"/>
        <v>#DIV/0!</v>
      </c>
      <c r="CA64" s="82" t="e">
        <f t="shared" si="25"/>
        <v>#DIV/0!</v>
      </c>
      <c r="CB64" s="82" t="e">
        <f t="shared" si="25"/>
        <v>#DIV/0!</v>
      </c>
      <c r="CC64" s="82" t="e">
        <f t="shared" si="25"/>
        <v>#DIV/0!</v>
      </c>
      <c r="CD64" s="82" t="e">
        <f t="shared" si="25"/>
        <v>#DIV/0!</v>
      </c>
      <c r="CE64" s="82" t="e">
        <f t="shared" si="25"/>
        <v>#DIV/0!</v>
      </c>
      <c r="CF64" s="82" t="e">
        <f t="shared" si="25"/>
        <v>#DIV/0!</v>
      </c>
      <c r="CG64" s="82" t="e">
        <f t="shared" si="25"/>
        <v>#DIV/0!</v>
      </c>
      <c r="CH64" s="82" t="e">
        <f t="shared" si="25"/>
        <v>#DIV/0!</v>
      </c>
      <c r="CI64" s="82" t="e">
        <f t="shared" si="25"/>
        <v>#DIV/0!</v>
      </c>
      <c r="CJ64" s="82" t="e">
        <f t="shared" si="25"/>
        <v>#DIV/0!</v>
      </c>
      <c r="CK64" s="82" t="e">
        <f t="shared" si="25"/>
        <v>#DIV/0!</v>
      </c>
      <c r="CL64" s="82" t="e">
        <f t="shared" si="25"/>
        <v>#DIV/0!</v>
      </c>
      <c r="CM64" s="82" t="e">
        <f t="shared" si="25"/>
        <v>#DIV/0!</v>
      </c>
      <c r="CN64" s="82" t="e">
        <f t="shared" si="25"/>
        <v>#DIV/0!</v>
      </c>
      <c r="CO64" s="82" t="e">
        <f t="shared" si="25"/>
        <v>#DIV/0!</v>
      </c>
      <c r="CP64" s="82" t="e">
        <f t="shared" si="25"/>
        <v>#DIV/0!</v>
      </c>
      <c r="CQ64" s="82" t="e">
        <f t="shared" si="25"/>
        <v>#DIV/0!</v>
      </c>
      <c r="CR64" s="82" t="e">
        <f t="shared" si="25"/>
        <v>#DIV/0!</v>
      </c>
      <c r="CS64" s="82" t="e">
        <f t="shared" si="25"/>
        <v>#DIV/0!</v>
      </c>
      <c r="CT64" s="82" t="e">
        <f t="shared" si="25"/>
        <v>#DIV/0!</v>
      </c>
      <c r="CU64" s="82" t="e">
        <f t="shared" si="25"/>
        <v>#DIV/0!</v>
      </c>
      <c r="CV64" s="85"/>
    </row>
    <row r="65" spans="1:100" ht="14.25" customHeight="1">
      <c r="A65" s="129"/>
      <c r="E65" s="104"/>
      <c r="H65" s="104"/>
      <c r="I65" s="256">
        <f t="array" ref="I65">_xlfn.STDEV.P(IF($E$5:$E$53=$E64,I$5:I$53))</f>
        <v>2.6468010041473762</v>
      </c>
      <c r="J65" s="81" t="s">
        <v>12</v>
      </c>
      <c r="K65" s="90">
        <f t="array" ref="K65">_xlfn.STDEV.P(IF($E$5:$E$53=$E64,K$5:K$53))</f>
        <v>2.1774730512428588</v>
      </c>
      <c r="L65" s="90">
        <f t="array" ref="L65">_xlfn.STDEV.P(IF($E$5:$E$53=$E64,L$5:L$53))</f>
        <v>2.1474144660239407</v>
      </c>
      <c r="M65" s="90">
        <f t="array" ref="M65">_xlfn.STDEV.P(IF($E$5:$E$53=$E64,M$5:M$53))</f>
        <v>2.6468010041473762</v>
      </c>
      <c r="N65" s="90">
        <f t="array" ref="N65">_xlfn.STDEV.P(IF($E$5:$E$53=$E64,N$5:N$53))</f>
        <v>2.4527195790251546</v>
      </c>
      <c r="O65" s="90">
        <f t="array" ref="O65">_xlfn.STDEV.P(IF($E$5:$E$53=$E64,O$5:O$53))</f>
        <v>2.4283053075481815</v>
      </c>
      <c r="P65" s="90">
        <f t="array" ref="P65">_xlfn.STDEV.P(IF($E$5:$E$53=$E64,P$5:P$53))</f>
        <v>2.6876259660401662</v>
      </c>
      <c r="Q65" s="90">
        <f t="array" ref="Q65">_xlfn.STDEV.P(IF($E$5:$E$53=$E64,Q$5:Q$53))</f>
        <v>2.6891241862154462</v>
      </c>
      <c r="R65" s="90">
        <f t="array" ref="R65">_xlfn.STDEV.P(IF($E$5:$E$53=$E64,R$5:R$53))</f>
        <v>2.7614408477379264</v>
      </c>
      <c r="S65" s="90">
        <f t="array" ref="S65">_xlfn.STDEV.P(IF($E$5:$E$53=$E64,S$5:S$53))</f>
        <v>2.5980762113533165</v>
      </c>
      <c r="T65" s="90">
        <f t="array" ref="T65">_xlfn.STDEV.P(IF($E$5:$E$53=$E64,T$5:T$53))</f>
        <v>2.7325202042558923</v>
      </c>
      <c r="U65" s="90">
        <f t="array" ref="U65">_xlfn.STDEV.P(IF($E$5:$E$53=$E64,U$5:U$53))</f>
        <v>3.0782841540919454</v>
      </c>
      <c r="V65" s="90">
        <f t="array" ref="V65">_xlfn.STDEV.P(IF($E$5:$E$53=$E64,V$5:V$53))</f>
        <v>2.828819934570292</v>
      </c>
      <c r="W65" s="90">
        <f t="array" ref="W65">_xlfn.STDEV.P(IF($E$5:$E$53=$E64,W$5:W$53))</f>
        <v>10.616915224719886</v>
      </c>
      <c r="X65" s="90">
        <f t="array" ref="X65">_xlfn.STDEV.P(IF($E$5:$E$53=$E64,X$5:X$53))</f>
        <v>13.280520404796729</v>
      </c>
      <c r="Y65" s="90">
        <f t="array" ref="Y65">_xlfn.STDEV.P(IF($E$5:$E$53=$E64,Y$5:Y$53))</f>
        <v>9.5778245036240985</v>
      </c>
      <c r="Z65" s="90">
        <f t="array" ref="Z65">_xlfn.STDEV.P(IF($E$5:$E$53=$E64,Z$5:Z$53))</f>
        <v>9.3914855054991158</v>
      </c>
      <c r="AA65" s="90">
        <f t="array" ref="AA65">_xlfn.STDEV.P(IF($E$5:$E$53=$E64,AA$5:AA$53))</f>
        <v>0</v>
      </c>
      <c r="AB65" s="90">
        <f t="array" ref="AB65">_xlfn.STDEV.P(IF($E$5:$E$53=$E64,AB$5:AB$53))</f>
        <v>0</v>
      </c>
      <c r="AC65" s="90">
        <f t="array" ref="AC65">_xlfn.STDEV.P(IF($E$5:$E$53=$E64,AC$5:AC$53))</f>
        <v>0</v>
      </c>
      <c r="AD65" s="90">
        <f t="array" ref="AD65">_xlfn.STDEV.P(IF($E$5:$E$53=$E64,AD$5:AD$53))</f>
        <v>0</v>
      </c>
      <c r="AE65" s="90">
        <f t="array" ref="AE65">_xlfn.STDEV.P(IF($E$5:$E$53=$E64,AE$5:AE$53))</f>
        <v>0</v>
      </c>
      <c r="AF65" s="90">
        <f t="array" ref="AF65">_xlfn.STDEV.P(IF($E$5:$E$53=$E64,AF$5:AF$53))</f>
        <v>0</v>
      </c>
      <c r="AG65" s="90">
        <f t="array" ref="AG65">_xlfn.STDEV.P(IF($E$5:$E$53=$E64,AG$5:AG$53))</f>
        <v>0</v>
      </c>
      <c r="AH65" s="90">
        <f t="array" ref="AH65">_xlfn.STDEV.P(IF($E$5:$E$53=$E64,AH$5:AH$53))</f>
        <v>0</v>
      </c>
      <c r="AI65" s="90">
        <f t="array" ref="AI65">_xlfn.STDEV.P(IF($E$5:$E$53=$E64,AI$5:AI$53))</f>
        <v>0</v>
      </c>
      <c r="AJ65" s="90">
        <f t="array" ref="AJ65">_xlfn.STDEV.P(IF($E$5:$E$53=$E64,AJ$5:AJ$53))</f>
        <v>0</v>
      </c>
      <c r="AK65" s="90">
        <f t="array" ref="AK65">_xlfn.STDEV.P(IF($E$5:$E$53=$E64,AK$5:AK$53))</f>
        <v>0</v>
      </c>
      <c r="AL65" s="90">
        <f t="array" ref="AL65">_xlfn.STDEV.P(IF($E$5:$E$53=$E64,AL$5:AL$53))</f>
        <v>0</v>
      </c>
      <c r="AM65" s="90">
        <f t="array" ref="AM65">_xlfn.STDEV.P(IF($E$5:$E$53=$E64,AM$5:AM$53))</f>
        <v>0</v>
      </c>
      <c r="AN65" s="90">
        <f t="array" ref="AN65">_xlfn.STDEV.P(IF($E$5:$E$53=$E64,AN$5:AN$53))</f>
        <v>0</v>
      </c>
      <c r="AO65" s="90">
        <f t="array" ref="AO65">_xlfn.STDEV.P(IF($E$5:$E$53=$E64,AO$5:AO$53))</f>
        <v>0</v>
      </c>
      <c r="AP65" s="90">
        <f t="array" ref="AP65">_xlfn.STDEV.P(IF($E$5:$E$53=$E64,AP$5:AP$53))</f>
        <v>0</v>
      </c>
      <c r="AQ65" s="90">
        <f t="array" ref="AQ65">_xlfn.STDEV.P(IF($E$5:$E$53=$E64,AQ$5:AQ$53))</f>
        <v>0</v>
      </c>
      <c r="AR65" s="90">
        <f t="array" ref="AR65">_xlfn.STDEV.P(IF($E$5:$E$53=$E64,AR$5:AR$53))</f>
        <v>0</v>
      </c>
      <c r="AS65" s="90">
        <f t="array" ref="AS65">_xlfn.STDEV.P(IF($E$5:$E$53=$E64,AS$5:AS$53))</f>
        <v>0</v>
      </c>
      <c r="AT65" s="90">
        <f t="array" ref="AT65">_xlfn.STDEV.P(IF($E$5:$E$53=$E64,AT$5:AT$53))</f>
        <v>0</v>
      </c>
      <c r="AU65" s="90">
        <f t="array" ref="AU65">_xlfn.STDEV.P(IF($E$5:$E$53=$E64,AU$5:AU$53))</f>
        <v>0</v>
      </c>
      <c r="AV65" s="90">
        <f t="array" ref="AV65">_xlfn.STDEV.P(IF($E$5:$E$53=$E64,AV$5:AV$53))</f>
        <v>0</v>
      </c>
      <c r="AW65" s="90">
        <f t="array" ref="AW65">_xlfn.STDEV.P(IF($E$5:$E$53=$E64,AW$5:AW$53))</f>
        <v>0</v>
      </c>
      <c r="AX65" s="90">
        <f t="array" ref="AX65">_xlfn.STDEV.P(IF($E$5:$E$53=$E64,AX$5:AX$53))</f>
        <v>0</v>
      </c>
      <c r="AY65" s="90">
        <f t="array" ref="AY65">_xlfn.STDEV.P(IF($E$5:$E$53=$E64,AY$5:AY$53))</f>
        <v>0</v>
      </c>
      <c r="AZ65" s="90">
        <f t="array" ref="AZ65">_xlfn.STDEV.P(IF($E$5:$E$53=$E64,AZ$5:AZ$53))</f>
        <v>0</v>
      </c>
      <c r="BA65" s="90">
        <f t="array" ref="BA65">_xlfn.STDEV.P(IF($E$5:$E$53=$E64,BA$5:BA$53))</f>
        <v>0</v>
      </c>
      <c r="BB65" s="90">
        <f t="array" ref="BB65">_xlfn.STDEV.P(IF($E$5:$E$53=$E64,BB$5:BB$53))</f>
        <v>0</v>
      </c>
      <c r="BC65" s="115" t="s">
        <v>12</v>
      </c>
      <c r="BD65" s="83">
        <f t="array" ref="BD65">_xlfn.STDEV.P(IF($E$5:$E$53=$E64,BD$5:BD$53))</f>
        <v>1.6288782930171754E-2</v>
      </c>
      <c r="BE65" s="83">
        <f t="array" ref="BE65">_xlfn.STDEV.P(IF($E$5:$E$53=$E64,BE$5:BE$53))</f>
        <v>2.5828809412237901E-2</v>
      </c>
      <c r="BF65" s="83">
        <f t="array" ref="BF65">_xlfn.STDEV.P(IF($E$5:$E$53=$E64,BF$5:BF$53))</f>
        <v>0</v>
      </c>
      <c r="BG65" s="83">
        <f t="array" ref="BG65">_xlfn.STDEV.P(IF($E$5:$E$53=$E64,BG$5:BG$53))</f>
        <v>1.7029712888769668E-2</v>
      </c>
      <c r="BH65" s="83">
        <f t="array" ref="BH65">_xlfn.STDEV.P(IF($E$5:$E$53=$E64,BH$5:BH$53))</f>
        <v>1.3024472644444179E-2</v>
      </c>
      <c r="BI65" s="83">
        <f t="array" ref="BI65">_xlfn.STDEV.P(IF($E$5:$E$53=$E64,BI$5:BI$53))</f>
        <v>1.3268422349432837E-2</v>
      </c>
      <c r="BJ65" s="83">
        <f t="array" ref="BJ65">_xlfn.STDEV.P(IF($E$5:$E$53=$E64,BJ$5:BJ$53))</f>
        <v>1.6975560633952294E-2</v>
      </c>
      <c r="BK65" s="83">
        <f t="array" ref="BK65">_xlfn.STDEV.P(IF($E$5:$E$53=$E64,BK$5:BK$53))</f>
        <v>1.8756186166542375E-2</v>
      </c>
      <c r="BL65" s="83">
        <f t="array" ref="BL65">_xlfn.STDEV.P(IF($E$5:$E$53=$E64,BL$5:BL$53))</f>
        <v>1.4888179369946823E-2</v>
      </c>
      <c r="BM65" s="83">
        <f t="array" ref="BM65">_xlfn.STDEV.P(IF($E$5:$E$53=$E64,BM$5:BM$53))</f>
        <v>2.0578712868318184E-2</v>
      </c>
      <c r="BN65" s="83">
        <f t="array" ref="BN65">_xlfn.STDEV.P(IF($E$5:$E$53=$E64,BN$5:BN$53))</f>
        <v>5.0422376859799889E-2</v>
      </c>
      <c r="BO65" s="83">
        <f t="array" ref="BO65">_xlfn.STDEV.P(IF($E$5:$E$53=$E64,BO$5:BO$53))</f>
        <v>3.3380689537862031E-2</v>
      </c>
      <c r="BP65" s="83">
        <f t="array" ref="BP65">_xlfn.STDEV.P(IF($E$5:$E$53=$E64,BP$5:BP$53))</f>
        <v>2.9368187196000858E-2</v>
      </c>
      <c r="BQ65" s="83">
        <f t="array" ref="BQ65">_xlfn.STDEV.P(IF($E$5:$E$53=$E64,BQ$5:BQ$53))</f>
        <v>1.3660660901335711E-2</v>
      </c>
      <c r="BR65" s="83">
        <f t="array" ref="BR65">_xlfn.STDEV.P(IF($E$5:$E$53=$E64,BR$5:BR$53))</f>
        <v>0</v>
      </c>
      <c r="BS65" s="83">
        <f t="array" ref="BS65">_xlfn.STDEV.P(IF($E$5:$E$53=$E64,BS$5:BS$53))</f>
        <v>0</v>
      </c>
      <c r="BT65" s="83" t="e">
        <f t="array" ref="BT65">_xlfn.STDEV.P(IF($E$5:$E$53=$E64,BT$5:BT$53))</f>
        <v>#DIV/0!</v>
      </c>
      <c r="BU65" s="83" t="e">
        <f t="array" ref="BU65">_xlfn.STDEV.P(IF($E$5:$E$53=$E64,BU$5:BU$53))</f>
        <v>#DIV/0!</v>
      </c>
      <c r="BV65" s="83" t="e">
        <f t="array" ref="BV65">_xlfn.STDEV.P(IF($E$5:$E$53=$E64,BV$5:BV$53))</f>
        <v>#DIV/0!</v>
      </c>
      <c r="BW65" s="83" t="e">
        <f t="array" ref="BW65">_xlfn.STDEV.P(IF($E$5:$E$53=$E64,BW$5:BW$53))</f>
        <v>#DIV/0!</v>
      </c>
      <c r="BX65" s="83" t="e">
        <f t="array" ref="BX65">_xlfn.STDEV.P(IF($E$5:$E$53=$E64,BX$5:BX$53))</f>
        <v>#DIV/0!</v>
      </c>
      <c r="BY65" s="83" t="e">
        <f t="array" ref="BY65">_xlfn.STDEV.P(IF($E$5:$E$53=$E64,BY$5:BY$53))</f>
        <v>#DIV/0!</v>
      </c>
      <c r="BZ65" s="83" t="e">
        <f t="array" ref="BZ65">_xlfn.STDEV.P(IF($E$5:$E$53=$E64,BZ$5:BZ$53))</f>
        <v>#DIV/0!</v>
      </c>
      <c r="CA65" s="83" t="e">
        <f t="array" ref="CA65">_xlfn.STDEV.P(IF($E$5:$E$53=$E64,CA$5:CA$53))</f>
        <v>#DIV/0!</v>
      </c>
      <c r="CB65" s="83" t="e">
        <f t="array" ref="CB65">_xlfn.STDEV.P(IF($E$5:$E$53=$E64,CB$5:CB$53))</f>
        <v>#DIV/0!</v>
      </c>
      <c r="CC65" s="83" t="e">
        <f t="array" ref="CC65">_xlfn.STDEV.P(IF($E$5:$E$53=$E64,CC$5:CC$53))</f>
        <v>#DIV/0!</v>
      </c>
      <c r="CD65" s="83" t="e">
        <f t="array" ref="CD65">_xlfn.STDEV.P(IF($E$5:$E$53=$E64,CD$5:CD$53))</f>
        <v>#DIV/0!</v>
      </c>
      <c r="CE65" s="83" t="e">
        <f t="array" ref="CE65">_xlfn.STDEV.P(IF($E$5:$E$53=$E64,CE$5:CE$53))</f>
        <v>#DIV/0!</v>
      </c>
      <c r="CF65" s="83" t="e">
        <f t="array" ref="CF65">_xlfn.STDEV.P(IF($E$5:$E$53=$E64,CF$5:CF$53))</f>
        <v>#DIV/0!</v>
      </c>
      <c r="CG65" s="83" t="e">
        <f t="array" ref="CG65">_xlfn.STDEV.P(IF($E$5:$E$53=$E64,CG$5:CG$53))</f>
        <v>#DIV/0!</v>
      </c>
      <c r="CH65" s="83" t="e">
        <f t="array" ref="CH65">_xlfn.STDEV.P(IF($E$5:$E$53=$E64,CH$5:CH$53))</f>
        <v>#DIV/0!</v>
      </c>
      <c r="CI65" s="83" t="e">
        <f t="array" ref="CI65">_xlfn.STDEV.P(IF($E$5:$E$53=$E64,CI$5:CI$53))</f>
        <v>#DIV/0!</v>
      </c>
      <c r="CJ65" s="83" t="e">
        <f t="array" ref="CJ65">_xlfn.STDEV.P(IF($E$5:$E$53=$E64,CJ$5:CJ$53))</f>
        <v>#DIV/0!</v>
      </c>
      <c r="CK65" s="83" t="e">
        <f t="array" ref="CK65">_xlfn.STDEV.P(IF($E$5:$E$53=$E64,CK$5:CK$53))</f>
        <v>#DIV/0!</v>
      </c>
      <c r="CL65" s="83" t="e">
        <f t="array" ref="CL65">_xlfn.STDEV.P(IF($E$5:$E$53=$E64,CL$5:CL$53))</f>
        <v>#DIV/0!</v>
      </c>
      <c r="CM65" s="83" t="e">
        <f t="array" ref="CM65">_xlfn.STDEV.P(IF($E$5:$E$53=$E64,CM$5:CM$53))</f>
        <v>#DIV/0!</v>
      </c>
      <c r="CN65" s="83" t="e">
        <f t="array" ref="CN65">_xlfn.STDEV.P(IF($E$5:$E$53=$E64,CN$5:CN$53))</f>
        <v>#DIV/0!</v>
      </c>
      <c r="CO65" s="83" t="e">
        <f t="array" ref="CO65">_xlfn.STDEV.P(IF($E$5:$E$53=$E64,CO$5:CO$53))</f>
        <v>#DIV/0!</v>
      </c>
      <c r="CP65" s="83" t="e">
        <f t="array" ref="CP65">_xlfn.STDEV.P(IF($E$5:$E$53=$E64,CP$5:CP$53))</f>
        <v>#DIV/0!</v>
      </c>
      <c r="CQ65" s="83" t="e">
        <f t="array" ref="CQ65">_xlfn.STDEV.P(IF($E$5:$E$53=$E64,CQ$5:CQ$53))</f>
        <v>#DIV/0!</v>
      </c>
      <c r="CR65" s="83" t="e">
        <f t="array" ref="CR65">_xlfn.STDEV.P(IF($E$5:$E$53=$E64,CR$5:CR$53))</f>
        <v>#DIV/0!</v>
      </c>
      <c r="CS65" s="83" t="e">
        <f t="array" ref="CS65">_xlfn.STDEV.P(IF($E$5:$E$53=$E64,CS$5:CS$53))</f>
        <v>#DIV/0!</v>
      </c>
      <c r="CT65" s="83" t="e">
        <f t="array" ref="CT65">_xlfn.STDEV.P(IF($E$5:$E$53=$E64,CT$5:CT$53))</f>
        <v>#DIV/0!</v>
      </c>
      <c r="CU65" s="83" t="e">
        <f t="array" ref="CU65">_xlfn.STDEV.P(IF($E$5:$E$53=$E64,CU$5:CU$53))</f>
        <v>#DIV/0!</v>
      </c>
      <c r="CV65" s="85"/>
    </row>
    <row r="66" spans="1:100" ht="15">
      <c r="A66" s="129"/>
      <c r="E66" s="58"/>
      <c r="H66" s="58"/>
    </row>
    <row r="67" spans="1:100" ht="14.25" customHeight="1">
      <c r="A67" s="129"/>
      <c r="E67" s="134" t="str">
        <f>'PTX_DOSE Groups'!C9</f>
        <v>12.5mg Combotherapy</v>
      </c>
      <c r="H67" s="134" t="str">
        <f>E67</f>
        <v>12.5mg Combotherapy</v>
      </c>
      <c r="I67" s="256">
        <f>AVERAGEIF($E$5:$E$53,$E67,I$5:I$53)</f>
        <v>29.375</v>
      </c>
      <c r="J67" s="81" t="s">
        <v>10</v>
      </c>
      <c r="K67" s="87">
        <f t="shared" ref="K67:BB67" si="26">AVERAGEIF($E$5:$E$53,$E67,K$5:K$53)</f>
        <v>28.375</v>
      </c>
      <c r="L67" s="87">
        <f t="shared" si="26"/>
        <v>29.200000000000003</v>
      </c>
      <c r="M67" s="87">
        <f t="shared" si="26"/>
        <v>29.375</v>
      </c>
      <c r="N67" s="87">
        <f t="shared" si="26"/>
        <v>29.25</v>
      </c>
      <c r="O67" s="87">
        <f t="shared" si="26"/>
        <v>29.075000000000003</v>
      </c>
      <c r="P67" s="87">
        <f t="shared" si="26"/>
        <v>30.15</v>
      </c>
      <c r="Q67" s="87">
        <f t="shared" si="26"/>
        <v>30.5</v>
      </c>
      <c r="R67" s="87">
        <f t="shared" si="26"/>
        <v>29.324999999999999</v>
      </c>
      <c r="S67" s="87">
        <f t="shared" si="26"/>
        <v>30.125</v>
      </c>
      <c r="T67" s="87">
        <f t="shared" si="26"/>
        <v>29.799999999999997</v>
      </c>
      <c r="U67" s="87">
        <f t="shared" si="26"/>
        <v>31.35</v>
      </c>
      <c r="V67" s="87">
        <f t="shared" si="26"/>
        <v>29.8</v>
      </c>
      <c r="W67" s="87">
        <f t="shared" si="26"/>
        <v>30.625</v>
      </c>
      <c r="X67" s="87">
        <f t="shared" si="26"/>
        <v>30.15</v>
      </c>
      <c r="Y67" s="87">
        <f t="shared" si="26"/>
        <v>29.875</v>
      </c>
      <c r="Z67" s="87">
        <f t="shared" si="26"/>
        <v>29.474999999999998</v>
      </c>
      <c r="AA67" s="87">
        <f t="shared" si="26"/>
        <v>29.425000000000001</v>
      </c>
      <c r="AB67" s="87">
        <f t="shared" si="26"/>
        <v>29.824999999999999</v>
      </c>
      <c r="AC67" s="87">
        <f t="shared" si="26"/>
        <v>29.574999999999996</v>
      </c>
      <c r="AD67" s="87">
        <f t="shared" si="26"/>
        <v>30.650000000000002</v>
      </c>
      <c r="AE67" s="87">
        <f t="shared" si="26"/>
        <v>29.95</v>
      </c>
      <c r="AF67" s="87">
        <f t="shared" si="26"/>
        <v>30.7</v>
      </c>
      <c r="AG67" s="87">
        <f t="shared" si="26"/>
        <v>29.1</v>
      </c>
      <c r="AH67" s="87">
        <f t="shared" si="26"/>
        <v>30.15</v>
      </c>
      <c r="AI67" s="87">
        <f t="shared" si="26"/>
        <v>29.8</v>
      </c>
      <c r="AJ67" s="87">
        <f t="shared" si="26"/>
        <v>30</v>
      </c>
      <c r="AK67" s="87">
        <f t="shared" si="26"/>
        <v>30.4</v>
      </c>
      <c r="AL67" s="87">
        <f t="shared" si="26"/>
        <v>30.5</v>
      </c>
      <c r="AM67" s="87">
        <f t="shared" si="26"/>
        <v>30.299999999999997</v>
      </c>
      <c r="AN67" s="87">
        <f t="shared" si="26"/>
        <v>31.15</v>
      </c>
      <c r="AO67" s="87">
        <f t="shared" si="26"/>
        <v>30.799999999999997</v>
      </c>
      <c r="AP67" s="87">
        <f t="shared" si="26"/>
        <v>30.3</v>
      </c>
      <c r="AQ67" s="87">
        <f t="shared" si="26"/>
        <v>30.450000000000003</v>
      </c>
      <c r="AR67" s="87">
        <f t="shared" si="26"/>
        <v>31.75</v>
      </c>
      <c r="AS67" s="87">
        <f t="shared" si="26"/>
        <v>31.6</v>
      </c>
      <c r="AT67" s="87">
        <f t="shared" si="26"/>
        <v>33.15</v>
      </c>
      <c r="AU67" s="87">
        <f t="shared" si="26"/>
        <v>32.450000000000003</v>
      </c>
      <c r="AV67" s="87">
        <f t="shared" si="26"/>
        <v>31.65</v>
      </c>
      <c r="AW67" s="87">
        <f t="shared" si="26"/>
        <v>32.200000000000003</v>
      </c>
      <c r="AX67" s="87">
        <f t="shared" si="26"/>
        <v>32.4</v>
      </c>
      <c r="AY67" s="87">
        <f t="shared" si="26"/>
        <v>32.6</v>
      </c>
      <c r="AZ67" s="87" t="e">
        <f t="shared" si="26"/>
        <v>#DIV/0!</v>
      </c>
      <c r="BA67" s="87" t="e">
        <f t="shared" si="26"/>
        <v>#DIV/0!</v>
      </c>
      <c r="BB67" s="87" t="e">
        <f t="shared" si="26"/>
        <v>#DIV/0!</v>
      </c>
      <c r="BC67" s="114" t="s">
        <v>10</v>
      </c>
      <c r="BD67" s="82">
        <f t="shared" ref="BD67:CU67" si="27">AVERAGEIF($E$5:$E$53,$E67,BD$5:BD$53)</f>
        <v>0.96612892242387294</v>
      </c>
      <c r="BE67" s="82">
        <f t="shared" si="27"/>
        <v>0.99400958576490495</v>
      </c>
      <c r="BF67" s="82">
        <f t="shared" si="27"/>
        <v>1</v>
      </c>
      <c r="BG67" s="82">
        <f t="shared" si="27"/>
        <v>0.99523932037229912</v>
      </c>
      <c r="BH67" s="82">
        <f t="shared" si="27"/>
        <v>0.98948720024911219</v>
      </c>
      <c r="BI67" s="82">
        <f t="shared" si="27"/>
        <v>1.0265176885457077</v>
      </c>
      <c r="BJ67" s="82">
        <f t="shared" si="27"/>
        <v>1.0381388165325833</v>
      </c>
      <c r="BK67" s="82">
        <f t="shared" si="27"/>
        <v>0.99831779351182992</v>
      </c>
      <c r="BL67" s="82">
        <f t="shared" si="27"/>
        <v>1.0256455879301998</v>
      </c>
      <c r="BM67" s="82">
        <f t="shared" si="27"/>
        <v>1.0144077092121744</v>
      </c>
      <c r="BN67" s="82">
        <f t="shared" si="27"/>
        <v>1.0580492819592311</v>
      </c>
      <c r="BO67" s="82">
        <f t="shared" si="27"/>
        <v>1.0141586533368074</v>
      </c>
      <c r="BP67" s="82">
        <f t="shared" si="27"/>
        <v>1.0420748375310858</v>
      </c>
      <c r="BQ67" s="82">
        <f t="shared" si="27"/>
        <v>1.0259214184521348</v>
      </c>
      <c r="BR67" s="82">
        <f t="shared" si="27"/>
        <v>1.0166675437127941</v>
      </c>
      <c r="BS67" s="82">
        <f t="shared" si="27"/>
        <v>1.0028086213750733</v>
      </c>
      <c r="BT67" s="82">
        <f t="shared" si="27"/>
        <v>1.0010312665392078</v>
      </c>
      <c r="BU67" s="82">
        <f t="shared" si="27"/>
        <v>1.0148036509101837</v>
      </c>
      <c r="BV67" s="82">
        <f t="shared" si="27"/>
        <v>1.0061868158118534</v>
      </c>
      <c r="BW67" s="82">
        <f t="shared" si="27"/>
        <v>1.0427318920632525</v>
      </c>
      <c r="BX67" s="82">
        <f t="shared" si="27"/>
        <v>1.0194024553760095</v>
      </c>
      <c r="BY67" s="82">
        <f t="shared" si="27"/>
        <v>1.0315022744600213</v>
      </c>
      <c r="BZ67" s="82">
        <f t="shared" si="27"/>
        <v>1.0017605633802817</v>
      </c>
      <c r="CA67" s="82">
        <f t="shared" si="27"/>
        <v>1.0378847157016171</v>
      </c>
      <c r="CB67" s="82">
        <f t="shared" si="27"/>
        <v>1.0257919571299854</v>
      </c>
      <c r="CC67" s="82">
        <f t="shared" si="27"/>
        <v>1.0325259638639921</v>
      </c>
      <c r="CD67" s="82">
        <f t="shared" si="27"/>
        <v>1.0463022241191255</v>
      </c>
      <c r="CE67" s="82">
        <f t="shared" si="27"/>
        <v>1.0499774742732488</v>
      </c>
      <c r="CF67" s="82">
        <f t="shared" si="27"/>
        <v>1.0430893441456823</v>
      </c>
      <c r="CG67" s="82">
        <f t="shared" si="27"/>
        <v>1.0721712429458909</v>
      </c>
      <c r="CH67" s="82">
        <f t="shared" si="27"/>
        <v>1.060078484374259</v>
      </c>
      <c r="CI67" s="82">
        <f t="shared" si="27"/>
        <v>1.0429352207521223</v>
      </c>
      <c r="CJ67" s="82">
        <f t="shared" si="27"/>
        <v>1.0482169108929673</v>
      </c>
      <c r="CK67" s="82">
        <f t="shared" si="27"/>
        <v>1.093452126902831</v>
      </c>
      <c r="CL67" s="82">
        <f t="shared" si="27"/>
        <v>1.0886328069426661</v>
      </c>
      <c r="CM67" s="82">
        <f t="shared" si="27"/>
        <v>1.1423625930668182</v>
      </c>
      <c r="CN67" s="82">
        <f t="shared" si="27"/>
        <v>1.1179458908332147</v>
      </c>
      <c r="CO67" s="82">
        <f t="shared" si="27"/>
        <v>1.0900080618390477</v>
      </c>
      <c r="CP67" s="82">
        <f t="shared" si="27"/>
        <v>1.1090660122350262</v>
      </c>
      <c r="CQ67" s="82">
        <f t="shared" si="27"/>
        <v>1.1158000189690331</v>
      </c>
      <c r="CR67" s="82">
        <f t="shared" si="27"/>
        <v>1.147887323943662</v>
      </c>
      <c r="CS67" s="82" t="e">
        <f t="shared" si="27"/>
        <v>#DIV/0!</v>
      </c>
      <c r="CT67" s="82" t="e">
        <f t="shared" si="27"/>
        <v>#DIV/0!</v>
      </c>
      <c r="CU67" s="82" t="e">
        <f t="shared" si="27"/>
        <v>#DIV/0!</v>
      </c>
      <c r="CV67" s="85"/>
    </row>
    <row r="68" spans="1:100" ht="14.25" customHeight="1">
      <c r="A68" s="129"/>
      <c r="E68" s="134"/>
      <c r="H68" s="104"/>
      <c r="I68" s="256">
        <f t="array" ref="I68">_xlfn.STDEV.P(IF($E$5:$E$53=$E67,I$5:I$53))</f>
        <v>1.200780995852283</v>
      </c>
      <c r="J68" s="81" t="s">
        <v>12</v>
      </c>
      <c r="K68" s="90">
        <f t="array" ref="K68">_xlfn.STDEV.P(IF($E$5:$E$53=$E67,K$5:K$53))</f>
        <v>1.1098986440211551</v>
      </c>
      <c r="L68" s="90">
        <f t="array" ref="L68">_xlfn.STDEV.P(IF($E$5:$E$53=$E67,L$5:L$53))</f>
        <v>1.2247448713915892</v>
      </c>
      <c r="M68" s="90">
        <f t="array" ref="M68">_xlfn.STDEV.P(IF($E$5:$E$53=$E67,M$5:M$53))</f>
        <v>1.200780995852283</v>
      </c>
      <c r="N68" s="90">
        <f t="array" ref="N68">_xlfn.STDEV.P(IF($E$5:$E$53=$E67,N$5:N$53))</f>
        <v>1.619413474070164</v>
      </c>
      <c r="O68" s="90">
        <f t="array" ref="O68">_xlfn.STDEV.P(IF($E$5:$E$53=$E67,O$5:O$53))</f>
        <v>1.4872373717735856</v>
      </c>
      <c r="P68" s="90">
        <f t="array" ref="P68">_xlfn.STDEV.P(IF($E$5:$E$53=$E67,P$5:P$53))</f>
        <v>1.3388427838995882</v>
      </c>
      <c r="Q68" s="90">
        <f t="array" ref="Q68">_xlfn.STDEV.P(IF($E$5:$E$53=$E67,Q$5:Q$53))</f>
        <v>1.5795568998931331</v>
      </c>
      <c r="R68" s="90">
        <f t="array" ref="R68">_xlfn.STDEV.P(IF($E$5:$E$53=$E67,R$5:R$53))</f>
        <v>1.3064742630453914</v>
      </c>
      <c r="S68" s="90">
        <f t="array" ref="S68">_xlfn.STDEV.P(IF($E$5:$E$53=$E67,S$5:S$53))</f>
        <v>1.3497684986693075</v>
      </c>
      <c r="T68" s="90">
        <f t="array" ref="T68">_xlfn.STDEV.P(IF($E$5:$E$53=$E67,T$5:T$53))</f>
        <v>1.4053469322555192</v>
      </c>
      <c r="U68" s="90">
        <f t="array" ref="U68">_xlfn.STDEV.P(IF($E$5:$E$53=$E67,U$5:U$53))</f>
        <v>1.6992645467966438</v>
      </c>
      <c r="V68" s="90">
        <f t="array" ref="V68">_xlfn.STDEV.P(IF($E$5:$E$53=$E67,V$5:V$53))</f>
        <v>1.668831926827864</v>
      </c>
      <c r="W68" s="90">
        <f t="array" ref="W68">_xlfn.STDEV.P(IF($E$5:$E$53=$E67,W$5:W$53))</f>
        <v>1.9841559918514466</v>
      </c>
      <c r="X68" s="90">
        <f t="array" ref="X68">_xlfn.STDEV.P(IF($E$5:$E$53=$E67,X$5:X$53))</f>
        <v>1.8794946129212495</v>
      </c>
      <c r="Y68" s="90">
        <f t="array" ref="Y68">_xlfn.STDEV.P(IF($E$5:$E$53=$E67,Y$5:Y$53))</f>
        <v>1.6990806337546178</v>
      </c>
      <c r="Z68" s="90">
        <f t="array" ref="Z68">_xlfn.STDEV.P(IF($E$5:$E$53=$E67,Z$5:Z$53))</f>
        <v>1.766882848408462</v>
      </c>
      <c r="AA68" s="90">
        <f t="array" ref="AA68">_xlfn.STDEV.P(IF($E$5:$E$53=$E67,AA$5:AA$53))</f>
        <v>1.7668828484084613</v>
      </c>
      <c r="AB68" s="90">
        <f t="array" ref="AB68">_xlfn.STDEV.P(IF($E$5:$E$53=$E67,AB$5:AB$53))</f>
        <v>1.6976086121364966</v>
      </c>
      <c r="AC68" s="90">
        <f t="array" ref="AC68">_xlfn.STDEV.P(IF($E$5:$E$53=$E67,AC$5:AC$53))</f>
        <v>1.6976086121364944</v>
      </c>
      <c r="AD68" s="90">
        <f t="array" ref="AD68">_xlfn.STDEV.P(IF($E$5:$E$53=$E67,AD$5:AD$53))</f>
        <v>1.8296174463532002</v>
      </c>
      <c r="AE68" s="90">
        <f t="array" ref="AE68">_xlfn.STDEV.P(IF($E$5:$E$53=$E67,AE$5:AE$53))</f>
        <v>1.411559421349309</v>
      </c>
      <c r="AF68" s="90">
        <f t="array" ref="AF68">_xlfn.STDEV.P(IF($E$5:$E$53=$E67,AF$5:AF$53))</f>
        <v>13.327485696859705</v>
      </c>
      <c r="AG68" s="90">
        <f t="array" ref="AG68">_xlfn.STDEV.P(IF($E$5:$E$53=$E67,AG$5:AG$53))</f>
        <v>14.556184252749755</v>
      </c>
      <c r="AH68" s="90">
        <f t="array" ref="AH68">_xlfn.STDEV.P(IF($E$5:$E$53=$E67,AH$5:AH$53))</f>
        <v>15.082005005966549</v>
      </c>
      <c r="AI68" s="90">
        <f t="array" ref="AI68">_xlfn.STDEV.P(IF($E$5:$E$53=$E67,AI$5:AI$53))</f>
        <v>14.908219209550145</v>
      </c>
      <c r="AJ68" s="90">
        <f t="array" ref="AJ68">_xlfn.STDEV.P(IF($E$5:$E$53=$E67,AJ$5:AJ$53))</f>
        <v>15.013493930461356</v>
      </c>
      <c r="AK68" s="90">
        <f t="array" ref="AK68">_xlfn.STDEV.P(IF($E$5:$E$53=$E67,AK$5:AK$53))</f>
        <v>15.213316535193766</v>
      </c>
      <c r="AL68" s="90">
        <f t="array" ref="AL68">_xlfn.STDEV.P(IF($E$5:$E$53=$E67,AL$5:AL$53))</f>
        <v>15.25590049784017</v>
      </c>
      <c r="AM68" s="90">
        <f t="array" ref="AM68">_xlfn.STDEV.P(IF($E$5:$E$53=$E67,AM$5:AM$53))</f>
        <v>15.155939429807709</v>
      </c>
      <c r="AN68" s="90">
        <f t="array" ref="AN68">_xlfn.STDEV.P(IF($E$5:$E$53=$E67,AN$5:AN$53))</f>
        <v>15.586592796374712</v>
      </c>
      <c r="AO68" s="90">
        <f t="array" ref="AO68">_xlfn.STDEV.P(IF($E$5:$E$53=$E67,AO$5:AO$53))</f>
        <v>15.413143741625198</v>
      </c>
      <c r="AP68" s="90">
        <f t="array" ref="AP68">_xlfn.STDEV.P(IF($E$5:$E$53=$E67,AP$5:AP$53))</f>
        <v>15.160557377616431</v>
      </c>
      <c r="AQ68" s="90">
        <f t="array" ref="AQ68">_xlfn.STDEV.P(IF($E$5:$E$53=$E67,AQ$5:AQ$53))</f>
        <v>15.231936022712279</v>
      </c>
      <c r="AR68" s="90">
        <f t="array" ref="AR68">_xlfn.STDEV.P(IF($E$5:$E$53=$E67,AR$5:AR$53))</f>
        <v>15.875039370029922</v>
      </c>
      <c r="AS68" s="90">
        <f t="array" ref="AS68">_xlfn.STDEV.P(IF($E$5:$E$53=$E67,AS$5:AS$53))</f>
        <v>15.802531442778401</v>
      </c>
      <c r="AT68" s="90">
        <f t="array" ref="AT68">_xlfn.STDEV.P(IF($E$5:$E$53=$E67,AT$5:AT$53))</f>
        <v>16.585893855924677</v>
      </c>
      <c r="AU68" s="90">
        <f t="array" ref="AU68">_xlfn.STDEV.P(IF($E$5:$E$53=$E67,AU$5:AU$53))</f>
        <v>16.228119884940458</v>
      </c>
      <c r="AV68" s="90">
        <f t="array" ref="AV68">_xlfn.STDEV.P(IF($E$5:$E$53=$E67,AV$5:AV$53))</f>
        <v>15.825039494421492</v>
      </c>
      <c r="AW68" s="90">
        <f t="array" ref="AW68">_xlfn.STDEV.P(IF($E$5:$E$53=$E67,AW$5:AW$53))</f>
        <v>16.100155278754301</v>
      </c>
      <c r="AX68" s="90">
        <f t="array" ref="AX68">_xlfn.STDEV.P(IF($E$5:$E$53=$E67,AX$5:AX$53))</f>
        <v>16.200154320252633</v>
      </c>
      <c r="AY68" s="90">
        <f t="array" ref="AY68">_xlfn.STDEV.P(IF($E$5:$E$53=$E67,AY$5:AY$53))</f>
        <v>14.11621408168635</v>
      </c>
      <c r="AZ68" s="90">
        <f t="array" ref="AZ68">_xlfn.STDEV.P(IF($E$5:$E$53=$E67,AZ$5:AZ$53))</f>
        <v>0</v>
      </c>
      <c r="BA68" s="90">
        <f t="array" ref="BA68">_xlfn.STDEV.P(IF($E$5:$E$53=$E67,BA$5:BA$53))</f>
        <v>0</v>
      </c>
      <c r="BB68" s="90">
        <f t="array" ref="BB68">_xlfn.STDEV.P(IF($E$5:$E$53=$E67,BB$5:BB$53))</f>
        <v>0</v>
      </c>
      <c r="BC68" s="115" t="s">
        <v>12</v>
      </c>
      <c r="BD68" s="83">
        <f t="array" ref="BD68">_xlfn.STDEV.P(IF($E$5:$E$53=$E67,BD$5:BD$53))</f>
        <v>1.4904493150770694E-2</v>
      </c>
      <c r="BE68" s="83">
        <f t="array" ref="BE68">_xlfn.STDEV.P(IF($E$5:$E$53=$E67,BE$5:BE$53))</f>
        <v>5.2460692658329432E-3</v>
      </c>
      <c r="BF68" s="83">
        <f t="array" ref="BF68">_xlfn.STDEV.P(IF($E$5:$E$53=$E67,BF$5:BF$53))</f>
        <v>0</v>
      </c>
      <c r="BG68" s="83">
        <f t="array" ref="BG68">_xlfn.STDEV.P(IF($E$5:$E$53=$E67,BG$5:BG$53))</f>
        <v>1.7843264544423178E-2</v>
      </c>
      <c r="BH68" s="83">
        <f t="array" ref="BH68">_xlfn.STDEV.P(IF($E$5:$E$53=$E67,BH$5:BH$53))</f>
        <v>1.6437147460168635E-2</v>
      </c>
      <c r="BI68" s="83">
        <f t="array" ref="BI68">_xlfn.STDEV.P(IF($E$5:$E$53=$E67,BI$5:BI$53))</f>
        <v>2.366958951899353E-2</v>
      </c>
      <c r="BJ68" s="83">
        <f t="array" ref="BJ68">_xlfn.STDEV.P(IF($E$5:$E$53=$E67,BJ$5:BJ$53))</f>
        <v>2.6069511910625249E-2</v>
      </c>
      <c r="BK68" s="83">
        <f t="array" ref="BK68">_xlfn.STDEV.P(IF($E$5:$E$53=$E67,BK$5:BK$53))</f>
        <v>1.8545188763740464E-2</v>
      </c>
      <c r="BL68" s="83">
        <f t="array" ref="BL68">_xlfn.STDEV.P(IF($E$5:$E$53=$E67,BL$5:BL$53))</f>
        <v>2.3958015932680675E-2</v>
      </c>
      <c r="BM68" s="83">
        <f t="array" ref="BM68">_xlfn.STDEV.P(IF($E$5:$E$53=$E67,BM$5:BM$53))</f>
        <v>2.0913470335284689E-2</v>
      </c>
      <c r="BN68" s="83">
        <f t="array" ref="BN68">_xlfn.STDEV.P(IF($E$5:$E$53=$E67,BN$5:BN$53))</f>
        <v>5.4125662213842046E-2</v>
      </c>
      <c r="BO68" s="83">
        <f t="array" ref="BO68">_xlfn.STDEV.P(IF($E$5:$E$53=$E67,BO$5:BO$53))</f>
        <v>2.8243921091343667E-2</v>
      </c>
      <c r="BP68" s="83">
        <f t="array" ref="BP68">_xlfn.STDEV.P(IF($E$5:$E$53=$E67,BP$5:BP$53))</f>
        <v>3.9689922865605756E-2</v>
      </c>
      <c r="BQ68" s="83">
        <f t="array" ref="BQ68">_xlfn.STDEV.P(IF($E$5:$E$53=$E67,BQ$5:BQ$53))</f>
        <v>3.4910342425382698E-2</v>
      </c>
      <c r="BR68" s="83">
        <f t="array" ref="BR68">_xlfn.STDEV.P(IF($E$5:$E$53=$E67,BR$5:BR$53))</f>
        <v>2.8027992129575345E-2</v>
      </c>
      <c r="BS68" s="83">
        <f t="array" ref="BS68">_xlfn.STDEV.P(IF($E$5:$E$53=$E67,BS$5:BS$53))</f>
        <v>2.4961347103728718E-2</v>
      </c>
      <c r="BT68" s="83">
        <f t="array" ref="BT68">_xlfn.STDEV.P(IF($E$5:$E$53=$E67,BT$5:BT$53))</f>
        <v>2.226572553133957E-2</v>
      </c>
      <c r="BU68" s="83">
        <f t="array" ref="BU68">_xlfn.STDEV.P(IF($E$5:$E$53=$E67,BU$5:BU$53))</f>
        <v>2.2505694478515845E-2</v>
      </c>
      <c r="BV68" s="83">
        <f t="array" ref="BV68">_xlfn.STDEV.P(IF($E$5:$E$53=$E67,BV$5:BV$53))</f>
        <v>1.8385013420035103E-2</v>
      </c>
      <c r="BW68" s="83">
        <f t="array" ref="BW68">_xlfn.STDEV.P(IF($E$5:$E$53=$E67,BW$5:BW$53))</f>
        <v>2.3643588232968582E-2</v>
      </c>
      <c r="BX68" s="83">
        <f t="array" ref="BX68">_xlfn.STDEV.P(IF($E$5:$E$53=$E67,BX$5:BX$53))</f>
        <v>1.3526675894971849E-2</v>
      </c>
      <c r="BY68" s="83">
        <f t="array" ref="BY68">_xlfn.STDEV.P(IF($E$5:$E$53=$E67,BY$5:BY$53))</f>
        <v>9.0108538352331284E-3</v>
      </c>
      <c r="BZ68" s="83">
        <f t="array" ref="BZ68">_xlfn.STDEV.P(IF($E$5:$E$53=$E67,BZ$5:BZ$53))</f>
        <v>1.7605633802817433E-3</v>
      </c>
      <c r="CA68" s="83">
        <f t="array" ref="CA68">_xlfn.STDEV.P(IF($E$5:$E$53=$E67,CA$5:CA$53))</f>
        <v>8.4767866458013152E-4</v>
      </c>
      <c r="CB68" s="83">
        <f t="array" ref="CB68">_xlfn.STDEV.P(IF($E$5:$E$53=$E67,CB$5:CB$53))</f>
        <v>1.1440698060416477E-3</v>
      </c>
      <c r="CC68" s="83">
        <f t="array" ref="CC68">_xlfn.STDEV.P(IF($E$5:$E$53=$E67,CC$5:CC$53))</f>
        <v>7.878076540048351E-3</v>
      </c>
      <c r="CD68" s="83">
        <f t="array" ref="CD68">_xlfn.STDEV.P(IF($E$5:$E$53=$E67,CD$5:CD$53))</f>
        <v>7.5698297529283032E-3</v>
      </c>
      <c r="CE68" s="83">
        <f t="array" ref="CE68">_xlfn.STDEV.P(IF($E$5:$E$53=$E67,CE$5:CE$53))</f>
        <v>2.8394271352017997E-3</v>
      </c>
      <c r="CF68" s="83">
        <f t="array" ref="CF68">_xlfn.STDEV.P(IF($E$5:$E$53=$E67,CF$5:CF$53))</f>
        <v>2.6853037416417758E-3</v>
      </c>
      <c r="CG68" s="83">
        <f t="array" ref="CG68">_xlfn.STDEV.P(IF($E$5:$E$53=$E67,CG$5:CG$53))</f>
        <v>5.2698344951865872E-3</v>
      </c>
      <c r="CH68" s="83">
        <f t="array" ref="CH68">_xlfn.STDEV.P(IF($E$5:$E$53=$E67,CH$5:CH$53))</f>
        <v>7.2615829658082554E-3</v>
      </c>
      <c r="CI68" s="83">
        <f t="array" ref="CI68">_xlfn.STDEV.P(IF($E$5:$E$53=$E67,CI$5:CI$53))</f>
        <v>4.2028263859249515E-3</v>
      </c>
      <c r="CJ68" s="83">
        <f t="array" ref="CJ68">_xlfn.STDEV.P(IF($E$5:$E$53=$E67,CJ$5:CJ$53))</f>
        <v>1.0788637549201674E-3</v>
      </c>
      <c r="CK68" s="83">
        <f t="array" ref="CK68">_xlfn.STDEV.P(IF($E$5:$E$53=$E67,CK$5:CK$53))</f>
        <v>2.2745056195760394E-2</v>
      </c>
      <c r="CL68" s="83">
        <f t="array" ref="CL68">_xlfn.STDEV.P(IF($E$5:$E$53=$E67,CL$5:CL$53))</f>
        <v>3.8127756437615568E-2</v>
      </c>
      <c r="CM68" s="83">
        <f t="array" ref="CM68">_xlfn.STDEV.P(IF($E$5:$E$53=$E67,CM$5:CM$53))</f>
        <v>5.4820505524730945E-2</v>
      </c>
      <c r="CN68" s="83">
        <f t="array" ref="CN68">_xlfn.STDEV.P(IF($E$5:$E$53=$E67,CN$5:CN$53))</f>
        <v>4.0504813392137295E-2</v>
      </c>
      <c r="CO68" s="83">
        <f t="array" ref="CO68">_xlfn.STDEV.P(IF($E$5:$E$53=$E67,CO$5:CO$53))</f>
        <v>2.2667994498980493E-2</v>
      </c>
      <c r="CP68" s="83">
        <f t="array" ref="CP68">_xlfn.STDEV.P(IF($E$5:$E$53=$E67,CP$5:CP$53))</f>
        <v>2.8257931426945437E-2</v>
      </c>
      <c r="CQ68" s="83">
        <f t="array" ref="CQ68">_xlfn.STDEV.P(IF($E$5:$E$53=$E67,CQ$5:CQ$53))</f>
        <v>2.1523924692938734E-2</v>
      </c>
      <c r="CR68" s="83">
        <f t="array" ref="CR68">_xlfn.STDEV.P(IF($E$5:$E$53=$E67,CR$5:CR$53))</f>
        <v>0</v>
      </c>
      <c r="CS68" s="83" t="e">
        <f t="array" ref="CS68">_xlfn.STDEV.P(IF($E$5:$E$53=$E67,CS$5:CS$53))</f>
        <v>#DIV/0!</v>
      </c>
      <c r="CT68" s="83" t="e">
        <f t="array" ref="CT68">_xlfn.STDEV.P(IF($E$5:$E$53=$E67,CT$5:CT$53))</f>
        <v>#DIV/0!</v>
      </c>
      <c r="CU68" s="83" t="e">
        <f t="array" ref="CU68">_xlfn.STDEV.P(IF($E$5:$E$53=$E67,CU$5:CU$53))</f>
        <v>#DIV/0!</v>
      </c>
      <c r="CV68" s="85"/>
    </row>
    <row r="69" spans="1:100" ht="15">
      <c r="A69" s="129"/>
      <c r="E69" s="134"/>
      <c r="H69" s="58"/>
    </row>
    <row r="70" spans="1:100" ht="14.25" customHeight="1">
      <c r="A70" s="129"/>
      <c r="E70" s="134" t="str">
        <f>'PTX_DOSE Groups'!C10</f>
        <v>25mg CP-PTX</v>
      </c>
      <c r="H70" s="134" t="str">
        <f>E70</f>
        <v>25mg CP-PTX</v>
      </c>
      <c r="I70" s="256">
        <f>AVERAGEIF($E$5:$E$53,$E70,I$5:I$53)</f>
        <v>30.674999999999997</v>
      </c>
      <c r="J70" s="81" t="s">
        <v>10</v>
      </c>
      <c r="K70" s="87">
        <f t="shared" ref="K70:BB70" si="28">AVERAGEIF($E$5:$E$53,$E70,K$5:K$53)</f>
        <v>29.7</v>
      </c>
      <c r="L70" s="87">
        <f t="shared" si="28"/>
        <v>30.549999999999997</v>
      </c>
      <c r="M70" s="87">
        <f t="shared" si="28"/>
        <v>30.674999999999997</v>
      </c>
      <c r="N70" s="87">
        <f t="shared" si="28"/>
        <v>30.65</v>
      </c>
      <c r="O70" s="87">
        <f t="shared" si="28"/>
        <v>29.775000000000002</v>
      </c>
      <c r="P70" s="87">
        <f t="shared" si="28"/>
        <v>31.025000000000002</v>
      </c>
      <c r="Q70" s="87">
        <f t="shared" si="28"/>
        <v>31.200000000000003</v>
      </c>
      <c r="R70" s="87">
        <f t="shared" si="28"/>
        <v>30.400000000000002</v>
      </c>
      <c r="S70" s="87">
        <f t="shared" si="28"/>
        <v>30.800000000000004</v>
      </c>
      <c r="T70" s="87">
        <f t="shared" si="28"/>
        <v>30.475000000000001</v>
      </c>
      <c r="U70" s="87">
        <f t="shared" si="28"/>
        <v>31.55</v>
      </c>
      <c r="V70" s="87">
        <f t="shared" si="28"/>
        <v>30.675000000000001</v>
      </c>
      <c r="W70" s="87">
        <f t="shared" si="28"/>
        <v>31.55</v>
      </c>
      <c r="X70" s="87">
        <f t="shared" si="28"/>
        <v>31.274999999999999</v>
      </c>
      <c r="Y70" s="87">
        <f t="shared" si="28"/>
        <v>30.166666666666668</v>
      </c>
      <c r="Z70" s="87">
        <f t="shared" si="28"/>
        <v>30.133333333333336</v>
      </c>
      <c r="AA70" s="87">
        <f t="shared" si="28"/>
        <v>33.6</v>
      </c>
      <c r="AB70" s="87" t="e">
        <f t="shared" si="28"/>
        <v>#DIV/0!</v>
      </c>
      <c r="AC70" s="87" t="e">
        <f t="shared" si="28"/>
        <v>#DIV/0!</v>
      </c>
      <c r="AD70" s="87" t="e">
        <f t="shared" si="28"/>
        <v>#DIV/0!</v>
      </c>
      <c r="AE70" s="87" t="e">
        <f t="shared" si="28"/>
        <v>#DIV/0!</v>
      </c>
      <c r="AF70" s="87" t="e">
        <f t="shared" si="28"/>
        <v>#DIV/0!</v>
      </c>
      <c r="AG70" s="87" t="e">
        <f t="shared" si="28"/>
        <v>#DIV/0!</v>
      </c>
      <c r="AH70" s="87" t="e">
        <f t="shared" si="28"/>
        <v>#DIV/0!</v>
      </c>
      <c r="AI70" s="87" t="e">
        <f t="shared" si="28"/>
        <v>#DIV/0!</v>
      </c>
      <c r="AJ70" s="87" t="e">
        <f t="shared" si="28"/>
        <v>#DIV/0!</v>
      </c>
      <c r="AK70" s="87" t="e">
        <f t="shared" si="28"/>
        <v>#DIV/0!</v>
      </c>
      <c r="AL70" s="87" t="e">
        <f t="shared" si="28"/>
        <v>#DIV/0!</v>
      </c>
      <c r="AM70" s="87" t="e">
        <f t="shared" si="28"/>
        <v>#DIV/0!</v>
      </c>
      <c r="AN70" s="87" t="e">
        <f t="shared" si="28"/>
        <v>#DIV/0!</v>
      </c>
      <c r="AO70" s="87" t="e">
        <f t="shared" si="28"/>
        <v>#DIV/0!</v>
      </c>
      <c r="AP70" s="87" t="e">
        <f t="shared" si="28"/>
        <v>#DIV/0!</v>
      </c>
      <c r="AQ70" s="87" t="e">
        <f t="shared" si="28"/>
        <v>#DIV/0!</v>
      </c>
      <c r="AR70" s="87" t="e">
        <f t="shared" si="28"/>
        <v>#DIV/0!</v>
      </c>
      <c r="AS70" s="87" t="e">
        <f t="shared" si="28"/>
        <v>#DIV/0!</v>
      </c>
      <c r="AT70" s="87" t="e">
        <f t="shared" si="28"/>
        <v>#DIV/0!</v>
      </c>
      <c r="AU70" s="87" t="e">
        <f t="shared" si="28"/>
        <v>#DIV/0!</v>
      </c>
      <c r="AV70" s="87" t="e">
        <f t="shared" si="28"/>
        <v>#DIV/0!</v>
      </c>
      <c r="AW70" s="87" t="e">
        <f t="shared" si="28"/>
        <v>#DIV/0!</v>
      </c>
      <c r="AX70" s="87" t="e">
        <f t="shared" si="28"/>
        <v>#DIV/0!</v>
      </c>
      <c r="AY70" s="87" t="e">
        <f t="shared" si="28"/>
        <v>#DIV/0!</v>
      </c>
      <c r="AZ70" s="87" t="e">
        <f t="shared" si="28"/>
        <v>#DIV/0!</v>
      </c>
      <c r="BA70" s="87" t="e">
        <f t="shared" si="28"/>
        <v>#DIV/0!</v>
      </c>
      <c r="BB70" s="87" t="e">
        <f t="shared" si="28"/>
        <v>#DIV/0!</v>
      </c>
      <c r="BC70" s="114" t="s">
        <v>10</v>
      </c>
      <c r="BD70" s="82">
        <f t="shared" ref="BD70:CU70" si="29">AVERAGEIF($E$5:$E$53,$E70,BD$5:BD$53)</f>
        <v>0.96754373458980691</v>
      </c>
      <c r="BE70" s="82">
        <f t="shared" si="29"/>
        <v>0.9954264135791413</v>
      </c>
      <c r="BF70" s="82">
        <f t="shared" si="29"/>
        <v>1</v>
      </c>
      <c r="BG70" s="82">
        <f t="shared" si="29"/>
        <v>0.99899635397698305</v>
      </c>
      <c r="BH70" s="82">
        <f t="shared" si="29"/>
        <v>0.97054848151154727</v>
      </c>
      <c r="BI70" s="82">
        <f t="shared" si="29"/>
        <v>1.0109381517146576</v>
      </c>
      <c r="BJ70" s="82">
        <f t="shared" si="29"/>
        <v>1.016731046014391</v>
      </c>
      <c r="BK70" s="82">
        <f t="shared" si="29"/>
        <v>0.99054705211093808</v>
      </c>
      <c r="BL70" s="82">
        <f t="shared" si="29"/>
        <v>1.0035158862905116</v>
      </c>
      <c r="BM70" s="82">
        <f t="shared" si="29"/>
        <v>0.9925982587901212</v>
      </c>
      <c r="BN70" s="82">
        <f t="shared" si="29"/>
        <v>1.027845386308516</v>
      </c>
      <c r="BO70" s="82">
        <f t="shared" si="29"/>
        <v>0.99905966028637394</v>
      </c>
      <c r="BP70" s="82">
        <f t="shared" si="29"/>
        <v>1.0273806978040272</v>
      </c>
      <c r="BQ70" s="82">
        <f t="shared" si="29"/>
        <v>1.0176531658777643</v>
      </c>
      <c r="BR70" s="82">
        <f t="shared" si="29"/>
        <v>0.99113330022667545</v>
      </c>
      <c r="BS70" s="82">
        <f t="shared" si="29"/>
        <v>0.99076288360904685</v>
      </c>
      <c r="BT70" s="82">
        <f t="shared" si="29"/>
        <v>1.0566037735849056</v>
      </c>
      <c r="BU70" s="82" t="e">
        <f t="shared" si="29"/>
        <v>#DIV/0!</v>
      </c>
      <c r="BV70" s="82" t="e">
        <f t="shared" si="29"/>
        <v>#DIV/0!</v>
      </c>
      <c r="BW70" s="82" t="e">
        <f t="shared" si="29"/>
        <v>#DIV/0!</v>
      </c>
      <c r="BX70" s="82" t="e">
        <f t="shared" si="29"/>
        <v>#DIV/0!</v>
      </c>
      <c r="BY70" s="82" t="e">
        <f t="shared" si="29"/>
        <v>#DIV/0!</v>
      </c>
      <c r="BZ70" s="82" t="e">
        <f t="shared" si="29"/>
        <v>#DIV/0!</v>
      </c>
      <c r="CA70" s="82" t="e">
        <f t="shared" si="29"/>
        <v>#DIV/0!</v>
      </c>
      <c r="CB70" s="82" t="e">
        <f t="shared" si="29"/>
        <v>#DIV/0!</v>
      </c>
      <c r="CC70" s="82" t="e">
        <f t="shared" si="29"/>
        <v>#DIV/0!</v>
      </c>
      <c r="CD70" s="82" t="e">
        <f t="shared" si="29"/>
        <v>#DIV/0!</v>
      </c>
      <c r="CE70" s="82" t="e">
        <f t="shared" si="29"/>
        <v>#DIV/0!</v>
      </c>
      <c r="CF70" s="82" t="e">
        <f t="shared" si="29"/>
        <v>#DIV/0!</v>
      </c>
      <c r="CG70" s="82" t="e">
        <f t="shared" si="29"/>
        <v>#DIV/0!</v>
      </c>
      <c r="CH70" s="82" t="e">
        <f t="shared" si="29"/>
        <v>#DIV/0!</v>
      </c>
      <c r="CI70" s="82" t="e">
        <f t="shared" si="29"/>
        <v>#DIV/0!</v>
      </c>
      <c r="CJ70" s="82" t="e">
        <f t="shared" si="29"/>
        <v>#DIV/0!</v>
      </c>
      <c r="CK70" s="82" t="e">
        <f t="shared" si="29"/>
        <v>#DIV/0!</v>
      </c>
      <c r="CL70" s="82" t="e">
        <f t="shared" si="29"/>
        <v>#DIV/0!</v>
      </c>
      <c r="CM70" s="82" t="e">
        <f t="shared" si="29"/>
        <v>#DIV/0!</v>
      </c>
      <c r="CN70" s="82" t="e">
        <f t="shared" si="29"/>
        <v>#DIV/0!</v>
      </c>
      <c r="CO70" s="82" t="e">
        <f t="shared" si="29"/>
        <v>#DIV/0!</v>
      </c>
      <c r="CP70" s="82" t="e">
        <f t="shared" si="29"/>
        <v>#DIV/0!</v>
      </c>
      <c r="CQ70" s="82" t="e">
        <f t="shared" si="29"/>
        <v>#DIV/0!</v>
      </c>
      <c r="CR70" s="82" t="e">
        <f t="shared" si="29"/>
        <v>#DIV/0!</v>
      </c>
      <c r="CS70" s="82" t="e">
        <f t="shared" si="29"/>
        <v>#DIV/0!</v>
      </c>
      <c r="CT70" s="82" t="e">
        <f t="shared" si="29"/>
        <v>#DIV/0!</v>
      </c>
      <c r="CU70" s="82" t="e">
        <f t="shared" si="29"/>
        <v>#DIV/0!</v>
      </c>
      <c r="CV70" s="85"/>
    </row>
    <row r="71" spans="1:100" ht="14.25" customHeight="1">
      <c r="A71" s="129"/>
      <c r="E71" s="134"/>
      <c r="H71" s="104"/>
      <c r="I71" s="256">
        <f t="array" ref="I71">_xlfn.STDEV.P(IF($E$5:$E$53=$E70,I$5:I$53))</f>
        <v>1.5546301811041754</v>
      </c>
      <c r="J71" s="81" t="s">
        <v>12</v>
      </c>
      <c r="K71" s="90">
        <f t="array" ref="K71">_xlfn.STDEV.P(IF($E$5:$E$53=$E70,K$5:K$53))</f>
        <v>1.913112646970899</v>
      </c>
      <c r="L71" s="90">
        <f t="array" ref="L71">_xlfn.STDEV.P(IF($E$5:$E$53=$E70,L$5:L$53))</f>
        <v>1.8350749303502576</v>
      </c>
      <c r="M71" s="90">
        <f t="array" ref="M71">_xlfn.STDEV.P(IF($E$5:$E$53=$E70,M$5:M$53))</f>
        <v>1.5546301811041754</v>
      </c>
      <c r="N71" s="90">
        <f t="array" ref="N71">_xlfn.STDEV.P(IF($E$5:$E$53=$E70,N$5:N$53))</f>
        <v>1.8090052515125543</v>
      </c>
      <c r="O71" s="90">
        <f t="array" ref="O71">_xlfn.STDEV.P(IF($E$5:$E$53=$E70,O$5:O$53))</f>
        <v>1.6498105951896418</v>
      </c>
      <c r="P71" s="90">
        <f t="array" ref="P71">_xlfn.STDEV.P(IF($E$5:$E$53=$E70,P$5:P$53))</f>
        <v>1.8833148966649202</v>
      </c>
      <c r="Q71" s="90">
        <f t="array" ref="Q71">_xlfn.STDEV.P(IF($E$5:$E$53=$E70,Q$5:Q$53))</f>
        <v>1.841195263952196</v>
      </c>
      <c r="R71" s="90">
        <f t="array" ref="R71">_xlfn.STDEV.P(IF($E$5:$E$53=$E70,R$5:R$53))</f>
        <v>1.9710403344427028</v>
      </c>
      <c r="S71" s="90">
        <f t="array" ref="S71">_xlfn.STDEV.P(IF($E$5:$E$53=$E70,S$5:S$53))</f>
        <v>2.0211382931407735</v>
      </c>
      <c r="T71" s="90">
        <f t="array" ref="T71">_xlfn.STDEV.P(IF($E$5:$E$53=$E70,T$5:T$53))</f>
        <v>2.0873128658636686</v>
      </c>
      <c r="U71" s="90">
        <f t="array" ref="U71">_xlfn.STDEV.P(IF($E$5:$E$53=$E70,U$5:U$53))</f>
        <v>1.9931131427994744</v>
      </c>
      <c r="V71" s="90">
        <f t="array" ref="V71">_xlfn.STDEV.P(IF($E$5:$E$53=$E70,V$5:V$53))</f>
        <v>2.0956800805466456</v>
      </c>
      <c r="W71" s="90">
        <f t="array" ref="W71">_xlfn.STDEV.P(IF($E$5:$E$53=$E70,W$5:W$53))</f>
        <v>2.2688102609076859</v>
      </c>
      <c r="X71" s="90">
        <f t="array" ref="X71">_xlfn.STDEV.P(IF($E$5:$E$53=$E70,X$5:X$53))</f>
        <v>2.7343874999714277</v>
      </c>
      <c r="Y71" s="90">
        <f t="array" ref="Y71">_xlfn.STDEV.P(IF($E$5:$E$53=$E70,Y$5:Y$53))</f>
        <v>13.303453498997918</v>
      </c>
      <c r="Z71" s="90">
        <f t="array" ref="Z71">_xlfn.STDEV.P(IF($E$5:$E$53=$E70,Z$5:Z$53))</f>
        <v>13.230079364841316</v>
      </c>
      <c r="AA71" s="90">
        <f t="array" ref="AA71">_xlfn.STDEV.P(IF($E$5:$E$53=$E70,AA$5:AA$53))</f>
        <v>14.54922678357857</v>
      </c>
      <c r="AB71" s="90">
        <f t="array" ref="AB71">_xlfn.STDEV.P(IF($E$5:$E$53=$E70,AB$5:AB$53))</f>
        <v>0</v>
      </c>
      <c r="AC71" s="90">
        <f t="array" ref="AC71">_xlfn.STDEV.P(IF($E$5:$E$53=$E70,AC$5:AC$53))</f>
        <v>0</v>
      </c>
      <c r="AD71" s="90">
        <f t="array" ref="AD71">_xlfn.STDEV.P(IF($E$5:$E$53=$E70,AD$5:AD$53))</f>
        <v>0</v>
      </c>
      <c r="AE71" s="90">
        <f t="array" ref="AE71">_xlfn.STDEV.P(IF($E$5:$E$53=$E70,AE$5:AE$53))</f>
        <v>0</v>
      </c>
      <c r="AF71" s="90">
        <f t="array" ref="AF71">_xlfn.STDEV.P(IF($E$5:$E$53=$E70,AF$5:AF$53))</f>
        <v>0</v>
      </c>
      <c r="AG71" s="90">
        <f t="array" ref="AG71">_xlfn.STDEV.P(IF($E$5:$E$53=$E70,AG$5:AG$53))</f>
        <v>0</v>
      </c>
      <c r="AH71" s="90">
        <f t="array" ref="AH71">_xlfn.STDEV.P(IF($E$5:$E$53=$E70,AH$5:AH$53))</f>
        <v>0</v>
      </c>
      <c r="AI71" s="90">
        <f t="array" ref="AI71">_xlfn.STDEV.P(IF($E$5:$E$53=$E70,AI$5:AI$53))</f>
        <v>0</v>
      </c>
      <c r="AJ71" s="90">
        <f t="array" ref="AJ71">_xlfn.STDEV.P(IF($E$5:$E$53=$E70,AJ$5:AJ$53))</f>
        <v>0</v>
      </c>
      <c r="AK71" s="90">
        <f t="array" ref="AK71">_xlfn.STDEV.P(IF($E$5:$E$53=$E70,AK$5:AK$53))</f>
        <v>0</v>
      </c>
      <c r="AL71" s="90">
        <f t="array" ref="AL71">_xlfn.STDEV.P(IF($E$5:$E$53=$E70,AL$5:AL$53))</f>
        <v>0</v>
      </c>
      <c r="AM71" s="90">
        <f t="array" ref="AM71">_xlfn.STDEV.P(IF($E$5:$E$53=$E70,AM$5:AM$53))</f>
        <v>0</v>
      </c>
      <c r="AN71" s="90">
        <f t="array" ref="AN71">_xlfn.STDEV.P(IF($E$5:$E$53=$E70,AN$5:AN$53))</f>
        <v>0</v>
      </c>
      <c r="AO71" s="90">
        <f t="array" ref="AO71">_xlfn.STDEV.P(IF($E$5:$E$53=$E70,AO$5:AO$53))</f>
        <v>0</v>
      </c>
      <c r="AP71" s="90">
        <f t="array" ref="AP71">_xlfn.STDEV.P(IF($E$5:$E$53=$E70,AP$5:AP$53))</f>
        <v>0</v>
      </c>
      <c r="AQ71" s="90">
        <f t="array" ref="AQ71">_xlfn.STDEV.P(IF($E$5:$E$53=$E70,AQ$5:AQ$53))</f>
        <v>0</v>
      </c>
      <c r="AR71" s="90">
        <f t="array" ref="AR71">_xlfn.STDEV.P(IF($E$5:$E$53=$E70,AR$5:AR$53))</f>
        <v>0</v>
      </c>
      <c r="AS71" s="90">
        <f t="array" ref="AS71">_xlfn.STDEV.P(IF($E$5:$E$53=$E70,AS$5:AS$53))</f>
        <v>0</v>
      </c>
      <c r="AT71" s="90">
        <f t="array" ref="AT71">_xlfn.STDEV.P(IF($E$5:$E$53=$E70,AT$5:AT$53))</f>
        <v>0</v>
      </c>
      <c r="AU71" s="90">
        <f t="array" ref="AU71">_xlfn.STDEV.P(IF($E$5:$E$53=$E70,AU$5:AU$53))</f>
        <v>0</v>
      </c>
      <c r="AV71" s="90">
        <f t="array" ref="AV71">_xlfn.STDEV.P(IF($E$5:$E$53=$E70,AV$5:AV$53))</f>
        <v>0</v>
      </c>
      <c r="AW71" s="90">
        <f t="array" ref="AW71">_xlfn.STDEV.P(IF($E$5:$E$53=$E70,AW$5:AW$53))</f>
        <v>0</v>
      </c>
      <c r="AX71" s="90">
        <f t="array" ref="AX71">_xlfn.STDEV.P(IF($E$5:$E$53=$E70,AX$5:AX$53))</f>
        <v>0</v>
      </c>
      <c r="AY71" s="90">
        <f t="array" ref="AY71">_xlfn.STDEV.P(IF($E$5:$E$53=$E70,AY$5:AY$53))</f>
        <v>0</v>
      </c>
      <c r="AZ71" s="90">
        <f t="array" ref="AZ71">_xlfn.STDEV.P(IF($E$5:$E$53=$E70,AZ$5:AZ$53))</f>
        <v>0</v>
      </c>
      <c r="BA71" s="90">
        <f t="array" ref="BA71">_xlfn.STDEV.P(IF($E$5:$E$53=$E70,BA$5:BA$53))</f>
        <v>0</v>
      </c>
      <c r="BB71" s="90">
        <f t="array" ref="BB71">_xlfn.STDEV.P(IF($E$5:$E$53=$E70,BB$5:BB$53))</f>
        <v>0</v>
      </c>
      <c r="BC71" s="115" t="s">
        <v>12</v>
      </c>
      <c r="BD71" s="83">
        <f t="array" ref="BD71">_xlfn.STDEV.P(IF($E$5:$E$53=$E70,BD$5:BD$53))</f>
        <v>1.6017816145042146E-2</v>
      </c>
      <c r="BE71" s="83">
        <f t="array" ref="BE71">_xlfn.STDEV.P(IF($E$5:$E$53=$E70,BE$5:BE$53))</f>
        <v>1.0317193126191275E-2</v>
      </c>
      <c r="BF71" s="83">
        <f t="array" ref="BF71">_xlfn.STDEV.P(IF($E$5:$E$53=$E70,BF$5:BF$53))</f>
        <v>0</v>
      </c>
      <c r="BG71" s="83">
        <f t="array" ref="BG71">_xlfn.STDEV.P(IF($E$5:$E$53=$E70,BG$5:BG$53))</f>
        <v>2.3470317196799918E-2</v>
      </c>
      <c r="BH71" s="83">
        <f t="array" ref="BH71">_xlfn.STDEV.P(IF($E$5:$E$53=$E70,BH$5:BH$53))</f>
        <v>1.6425843893895578E-2</v>
      </c>
      <c r="BI71" s="83">
        <f t="array" ref="BI71">_xlfn.STDEV.P(IF($E$5:$E$53=$E70,BI$5:BI$53))</f>
        <v>1.6176932328567747E-2</v>
      </c>
      <c r="BJ71" s="83">
        <f t="array" ref="BJ71">_xlfn.STDEV.P(IF($E$5:$E$53=$E70,BJ$5:BJ$53))</f>
        <v>1.447236349175016E-2</v>
      </c>
      <c r="BK71" s="83">
        <f t="array" ref="BK71">_xlfn.STDEV.P(IF($E$5:$E$53=$E70,BK$5:BK$53))</f>
        <v>2.5797784507799595E-2</v>
      </c>
      <c r="BL71" s="83">
        <f t="array" ref="BL71">_xlfn.STDEV.P(IF($E$5:$E$53=$E70,BL$5:BL$53))</f>
        <v>2.5850300242828632E-2</v>
      </c>
      <c r="BM71" s="83">
        <f t="array" ref="BM71">_xlfn.STDEV.P(IF($E$5:$E$53=$E70,BM$5:BM$53))</f>
        <v>2.1353599429390639E-2</v>
      </c>
      <c r="BN71" s="83">
        <f t="array" ref="BN71">_xlfn.STDEV.P(IF($E$5:$E$53=$E70,BN$5:BN$53))</f>
        <v>1.4827354821963347E-2</v>
      </c>
      <c r="BO71" s="83">
        <f t="array" ref="BO71">_xlfn.STDEV.P(IF($E$5:$E$53=$E70,BO$5:BO$53))</f>
        <v>1.8954407639054299E-2</v>
      </c>
      <c r="BP71" s="83">
        <f t="array" ref="BP71">_xlfn.STDEV.P(IF($E$5:$E$53=$E70,BP$5:BP$53))</f>
        <v>2.415903805297482E-2</v>
      </c>
      <c r="BQ71" s="83">
        <f t="array" ref="BQ71">_xlfn.STDEV.P(IF($E$5:$E$53=$E70,BQ$5:BQ$53))</f>
        <v>4.1833367449939811E-2</v>
      </c>
      <c r="BR71" s="83">
        <f t="array" ref="BR71">_xlfn.STDEV.P(IF($E$5:$E$53=$E70,BR$5:BR$53))</f>
        <v>4.3120841111344704E-2</v>
      </c>
      <c r="BS71" s="83">
        <f t="array" ref="BS71">_xlfn.STDEV.P(IF($E$5:$E$53=$E70,BS$5:BS$53))</f>
        <v>3.0509571599377349E-2</v>
      </c>
      <c r="BT71" s="83">
        <f t="array" ref="BT71">_xlfn.STDEV.P(IF($E$5:$E$53=$E70,BT$5:BT$53))</f>
        <v>0</v>
      </c>
      <c r="BU71" s="83" t="e">
        <f t="array" ref="BU71">_xlfn.STDEV.P(IF($E$5:$E$53=$E70,BU$5:BU$53))</f>
        <v>#DIV/0!</v>
      </c>
      <c r="BV71" s="83" t="e">
        <f t="array" ref="BV71">_xlfn.STDEV.P(IF($E$5:$E$53=$E70,BV$5:BV$53))</f>
        <v>#DIV/0!</v>
      </c>
      <c r="BW71" s="83" t="e">
        <f t="array" ref="BW71">_xlfn.STDEV.P(IF($E$5:$E$53=$E70,BW$5:BW$53))</f>
        <v>#DIV/0!</v>
      </c>
      <c r="BX71" s="83" t="e">
        <f t="array" ref="BX71">_xlfn.STDEV.P(IF($E$5:$E$53=$E70,BX$5:BX$53))</f>
        <v>#DIV/0!</v>
      </c>
      <c r="BY71" s="83" t="e">
        <f t="array" ref="BY71">_xlfn.STDEV.P(IF($E$5:$E$53=$E70,BY$5:BY$53))</f>
        <v>#DIV/0!</v>
      </c>
      <c r="BZ71" s="83" t="e">
        <f t="array" ref="BZ71">_xlfn.STDEV.P(IF($E$5:$E$53=$E70,BZ$5:BZ$53))</f>
        <v>#DIV/0!</v>
      </c>
      <c r="CA71" s="83" t="e">
        <f t="array" ref="CA71">_xlfn.STDEV.P(IF($E$5:$E$53=$E70,CA$5:CA$53))</f>
        <v>#DIV/0!</v>
      </c>
      <c r="CB71" s="83" t="e">
        <f t="array" ref="CB71">_xlfn.STDEV.P(IF($E$5:$E$53=$E70,CB$5:CB$53))</f>
        <v>#DIV/0!</v>
      </c>
      <c r="CC71" s="83" t="e">
        <f t="array" ref="CC71">_xlfn.STDEV.P(IF($E$5:$E$53=$E70,CC$5:CC$53))</f>
        <v>#DIV/0!</v>
      </c>
      <c r="CD71" s="83" t="e">
        <f t="array" ref="CD71">_xlfn.STDEV.P(IF($E$5:$E$53=$E70,CD$5:CD$53))</f>
        <v>#DIV/0!</v>
      </c>
      <c r="CE71" s="83" t="e">
        <f t="array" ref="CE71">_xlfn.STDEV.P(IF($E$5:$E$53=$E70,CE$5:CE$53))</f>
        <v>#DIV/0!</v>
      </c>
      <c r="CF71" s="83" t="e">
        <f t="array" ref="CF71">_xlfn.STDEV.P(IF($E$5:$E$53=$E70,CF$5:CF$53))</f>
        <v>#DIV/0!</v>
      </c>
      <c r="CG71" s="83" t="e">
        <f t="array" ref="CG71">_xlfn.STDEV.P(IF($E$5:$E$53=$E70,CG$5:CG$53))</f>
        <v>#DIV/0!</v>
      </c>
      <c r="CH71" s="83" t="e">
        <f t="array" ref="CH71">_xlfn.STDEV.P(IF($E$5:$E$53=$E70,CH$5:CH$53))</f>
        <v>#DIV/0!</v>
      </c>
      <c r="CI71" s="83" t="e">
        <f t="array" ref="CI71">_xlfn.STDEV.P(IF($E$5:$E$53=$E70,CI$5:CI$53))</f>
        <v>#DIV/0!</v>
      </c>
      <c r="CJ71" s="83" t="e">
        <f t="array" ref="CJ71">_xlfn.STDEV.P(IF($E$5:$E$53=$E70,CJ$5:CJ$53))</f>
        <v>#DIV/0!</v>
      </c>
      <c r="CK71" s="83" t="e">
        <f t="array" ref="CK71">_xlfn.STDEV.P(IF($E$5:$E$53=$E70,CK$5:CK$53))</f>
        <v>#DIV/0!</v>
      </c>
      <c r="CL71" s="83" t="e">
        <f t="array" ref="CL71">_xlfn.STDEV.P(IF($E$5:$E$53=$E70,CL$5:CL$53))</f>
        <v>#DIV/0!</v>
      </c>
      <c r="CM71" s="83" t="e">
        <f t="array" ref="CM71">_xlfn.STDEV.P(IF($E$5:$E$53=$E70,CM$5:CM$53))</f>
        <v>#DIV/0!</v>
      </c>
      <c r="CN71" s="83" t="e">
        <f t="array" ref="CN71">_xlfn.STDEV.P(IF($E$5:$E$53=$E70,CN$5:CN$53))</f>
        <v>#DIV/0!</v>
      </c>
      <c r="CO71" s="83" t="e">
        <f t="array" ref="CO71">_xlfn.STDEV.P(IF($E$5:$E$53=$E70,CO$5:CO$53))</f>
        <v>#DIV/0!</v>
      </c>
      <c r="CP71" s="83" t="e">
        <f t="array" ref="CP71">_xlfn.STDEV.P(IF($E$5:$E$53=$E70,CP$5:CP$53))</f>
        <v>#DIV/0!</v>
      </c>
      <c r="CQ71" s="83" t="e">
        <f t="array" ref="CQ71">_xlfn.STDEV.P(IF($E$5:$E$53=$E70,CQ$5:CQ$53))</f>
        <v>#DIV/0!</v>
      </c>
      <c r="CR71" s="83" t="e">
        <f t="array" ref="CR71">_xlfn.STDEV.P(IF($E$5:$E$53=$E70,CR$5:CR$53))</f>
        <v>#DIV/0!</v>
      </c>
      <c r="CS71" s="83" t="e">
        <f t="array" ref="CS71">_xlfn.STDEV.P(IF($E$5:$E$53=$E70,CS$5:CS$53))</f>
        <v>#DIV/0!</v>
      </c>
      <c r="CT71" s="83" t="e">
        <f t="array" ref="CT71">_xlfn.STDEV.P(IF($E$5:$E$53=$E70,CT$5:CT$53))</f>
        <v>#DIV/0!</v>
      </c>
      <c r="CU71" s="83" t="e">
        <f t="array" ref="CU71">_xlfn.STDEV.P(IF($E$5:$E$53=$E70,CU$5:CU$53))</f>
        <v>#DIV/0!</v>
      </c>
      <c r="CV71" s="85"/>
    </row>
    <row r="72" spans="1:100" ht="15">
      <c r="A72" s="129"/>
      <c r="E72" s="134"/>
      <c r="H72" s="58"/>
    </row>
    <row r="73" spans="1:100" ht="14.25" customHeight="1">
      <c r="A73" s="129"/>
      <c r="E73" s="134" t="str">
        <f>'PTX_DOSE Groups'!C11</f>
        <v>25mg Combotherapy</v>
      </c>
      <c r="H73" s="134" t="str">
        <f>E73</f>
        <v>25mg Combotherapy</v>
      </c>
      <c r="I73" s="256">
        <f>AVERAGEIF($E$5:$E$53,$E73,I$5:I$53)</f>
        <v>28.22</v>
      </c>
      <c r="J73" s="81" t="s">
        <v>10</v>
      </c>
      <c r="K73" s="87">
        <f t="shared" ref="K73:BB73" si="30">AVERAGEIF($E$5:$E$53,$E73,K$5:K$53)</f>
        <v>27.420000000000005</v>
      </c>
      <c r="L73" s="87">
        <f t="shared" si="30"/>
        <v>28.26</v>
      </c>
      <c r="M73" s="87">
        <f t="shared" si="30"/>
        <v>28.22</v>
      </c>
      <c r="N73" s="87">
        <f t="shared" si="30"/>
        <v>28.22</v>
      </c>
      <c r="O73" s="87">
        <f t="shared" si="30"/>
        <v>27.880000000000003</v>
      </c>
      <c r="P73" s="87">
        <f t="shared" si="30"/>
        <v>28.639999999999997</v>
      </c>
      <c r="Q73" s="87">
        <f t="shared" si="30"/>
        <v>29.2</v>
      </c>
      <c r="R73" s="87">
        <f t="shared" si="30"/>
        <v>28.5</v>
      </c>
      <c r="S73" s="87">
        <f t="shared" si="30"/>
        <v>27.7</v>
      </c>
      <c r="T73" s="87">
        <f t="shared" si="30"/>
        <v>28.840000000000003</v>
      </c>
      <c r="U73" s="87">
        <f t="shared" si="30"/>
        <v>30.080000000000002</v>
      </c>
      <c r="V73" s="87">
        <f t="shared" si="30"/>
        <v>28.82</v>
      </c>
      <c r="W73" s="87">
        <f t="shared" si="30"/>
        <v>29.320000000000004</v>
      </c>
      <c r="X73" s="87">
        <f t="shared" si="30"/>
        <v>28.860000000000003</v>
      </c>
      <c r="Y73" s="87">
        <f t="shared" si="30"/>
        <v>28.925000000000001</v>
      </c>
      <c r="Z73" s="87">
        <f t="shared" si="30"/>
        <v>28.125</v>
      </c>
      <c r="AA73" s="87">
        <f t="shared" si="30"/>
        <v>28.375</v>
      </c>
      <c r="AB73" s="87">
        <f t="shared" si="30"/>
        <v>30.25</v>
      </c>
      <c r="AC73" s="87">
        <f t="shared" si="30"/>
        <v>29.7</v>
      </c>
      <c r="AD73" s="87">
        <f t="shared" si="30"/>
        <v>31.25</v>
      </c>
      <c r="AE73" s="87">
        <f t="shared" si="30"/>
        <v>30.650000000000002</v>
      </c>
      <c r="AF73" s="87">
        <f t="shared" si="30"/>
        <v>28</v>
      </c>
      <c r="AG73" s="87">
        <f t="shared" si="30"/>
        <v>28.4</v>
      </c>
      <c r="AH73" s="87" t="e">
        <f t="shared" si="30"/>
        <v>#DIV/0!</v>
      </c>
      <c r="AI73" s="87" t="e">
        <f t="shared" si="30"/>
        <v>#DIV/0!</v>
      </c>
      <c r="AJ73" s="87" t="e">
        <f t="shared" si="30"/>
        <v>#DIV/0!</v>
      </c>
      <c r="AK73" s="87" t="e">
        <f t="shared" si="30"/>
        <v>#DIV/0!</v>
      </c>
      <c r="AL73" s="87" t="e">
        <f t="shared" si="30"/>
        <v>#DIV/0!</v>
      </c>
      <c r="AM73" s="87" t="e">
        <f t="shared" si="30"/>
        <v>#DIV/0!</v>
      </c>
      <c r="AN73" s="87" t="e">
        <f t="shared" si="30"/>
        <v>#DIV/0!</v>
      </c>
      <c r="AO73" s="87" t="e">
        <f t="shared" si="30"/>
        <v>#DIV/0!</v>
      </c>
      <c r="AP73" s="87" t="e">
        <f t="shared" si="30"/>
        <v>#DIV/0!</v>
      </c>
      <c r="AQ73" s="87" t="e">
        <f t="shared" si="30"/>
        <v>#DIV/0!</v>
      </c>
      <c r="AR73" s="87" t="e">
        <f t="shared" si="30"/>
        <v>#DIV/0!</v>
      </c>
      <c r="AS73" s="87" t="e">
        <f t="shared" si="30"/>
        <v>#DIV/0!</v>
      </c>
      <c r="AT73" s="87" t="e">
        <f t="shared" si="30"/>
        <v>#DIV/0!</v>
      </c>
      <c r="AU73" s="87" t="e">
        <f t="shared" si="30"/>
        <v>#DIV/0!</v>
      </c>
      <c r="AV73" s="87" t="e">
        <f t="shared" si="30"/>
        <v>#DIV/0!</v>
      </c>
      <c r="AW73" s="87" t="e">
        <f t="shared" si="30"/>
        <v>#DIV/0!</v>
      </c>
      <c r="AX73" s="87" t="e">
        <f t="shared" si="30"/>
        <v>#DIV/0!</v>
      </c>
      <c r="AY73" s="87" t="e">
        <f t="shared" si="30"/>
        <v>#DIV/0!</v>
      </c>
      <c r="AZ73" s="87" t="e">
        <f t="shared" si="30"/>
        <v>#DIV/0!</v>
      </c>
      <c r="BA73" s="87" t="e">
        <f t="shared" si="30"/>
        <v>#DIV/0!</v>
      </c>
      <c r="BB73" s="87" t="e">
        <f t="shared" si="30"/>
        <v>#DIV/0!</v>
      </c>
      <c r="BC73" s="114" t="s">
        <v>10</v>
      </c>
      <c r="BD73" s="82">
        <f t="shared" ref="BD73:CU73" si="31">AVERAGEIF($E$5:$E$53,$E73,BD$5:BD$53)</f>
        <v>0.9720578254681792</v>
      </c>
      <c r="BE73" s="82">
        <f t="shared" si="31"/>
        <v>1.0014756134890184</v>
      </c>
      <c r="BF73" s="82">
        <f t="shared" si="31"/>
        <v>1</v>
      </c>
      <c r="BG73" s="82">
        <f t="shared" si="31"/>
        <v>0.99994118068485294</v>
      </c>
      <c r="BH73" s="82">
        <f t="shared" si="31"/>
        <v>0.98843364825197444</v>
      </c>
      <c r="BI73" s="82">
        <f t="shared" si="31"/>
        <v>1.0153435093436418</v>
      </c>
      <c r="BJ73" s="82">
        <f t="shared" si="31"/>
        <v>1.035211267258185</v>
      </c>
      <c r="BK73" s="82">
        <f t="shared" si="31"/>
        <v>1.0104185443271783</v>
      </c>
      <c r="BL73" s="82">
        <f t="shared" si="31"/>
        <v>0.98025958174758776</v>
      </c>
      <c r="BM73" s="82">
        <f t="shared" si="31"/>
        <v>1.022431403590677</v>
      </c>
      <c r="BN73" s="82">
        <f t="shared" si="31"/>
        <v>1.066374880227513</v>
      </c>
      <c r="BO73" s="82">
        <f t="shared" si="31"/>
        <v>1.0214411844879698</v>
      </c>
      <c r="BP73" s="82">
        <f t="shared" si="31"/>
        <v>1.0389921087378975</v>
      </c>
      <c r="BQ73" s="82">
        <f t="shared" si="31"/>
        <v>1.0225794013729459</v>
      </c>
      <c r="BR73" s="82">
        <f t="shared" si="31"/>
        <v>1.0092065501854175</v>
      </c>
      <c r="BS73" s="82">
        <f t="shared" si="31"/>
        <v>0.9812231899527406</v>
      </c>
      <c r="BT73" s="82">
        <f t="shared" si="31"/>
        <v>0.98976052967448802</v>
      </c>
      <c r="BU73" s="82">
        <f t="shared" si="31"/>
        <v>1.0336728488902402</v>
      </c>
      <c r="BV73" s="82">
        <f t="shared" si="31"/>
        <v>1.0147461234417756</v>
      </c>
      <c r="BW73" s="82">
        <f t="shared" si="31"/>
        <v>1.0677257525083612</v>
      </c>
      <c r="BX73" s="82">
        <f t="shared" si="31"/>
        <v>1.0468227424749164</v>
      </c>
      <c r="BY73" s="82">
        <f t="shared" si="31"/>
        <v>0.97902097902097895</v>
      </c>
      <c r="BZ73" s="82">
        <f t="shared" si="31"/>
        <v>0.99300699300699291</v>
      </c>
      <c r="CA73" s="82" t="e">
        <f t="shared" si="31"/>
        <v>#DIV/0!</v>
      </c>
      <c r="CB73" s="82" t="e">
        <f t="shared" si="31"/>
        <v>#DIV/0!</v>
      </c>
      <c r="CC73" s="82" t="e">
        <f t="shared" si="31"/>
        <v>#DIV/0!</v>
      </c>
      <c r="CD73" s="82" t="e">
        <f t="shared" si="31"/>
        <v>#DIV/0!</v>
      </c>
      <c r="CE73" s="82" t="e">
        <f t="shared" si="31"/>
        <v>#DIV/0!</v>
      </c>
      <c r="CF73" s="82" t="e">
        <f t="shared" si="31"/>
        <v>#DIV/0!</v>
      </c>
      <c r="CG73" s="82" t="e">
        <f t="shared" si="31"/>
        <v>#DIV/0!</v>
      </c>
      <c r="CH73" s="82" t="e">
        <f t="shared" si="31"/>
        <v>#DIV/0!</v>
      </c>
      <c r="CI73" s="82" t="e">
        <f t="shared" si="31"/>
        <v>#DIV/0!</v>
      </c>
      <c r="CJ73" s="82" t="e">
        <f t="shared" si="31"/>
        <v>#DIV/0!</v>
      </c>
      <c r="CK73" s="82" t="e">
        <f t="shared" si="31"/>
        <v>#DIV/0!</v>
      </c>
      <c r="CL73" s="82" t="e">
        <f t="shared" si="31"/>
        <v>#DIV/0!</v>
      </c>
      <c r="CM73" s="82" t="e">
        <f t="shared" si="31"/>
        <v>#DIV/0!</v>
      </c>
      <c r="CN73" s="82" t="e">
        <f t="shared" si="31"/>
        <v>#DIV/0!</v>
      </c>
      <c r="CO73" s="82" t="e">
        <f t="shared" si="31"/>
        <v>#DIV/0!</v>
      </c>
      <c r="CP73" s="82" t="e">
        <f t="shared" si="31"/>
        <v>#DIV/0!</v>
      </c>
      <c r="CQ73" s="82" t="e">
        <f t="shared" si="31"/>
        <v>#DIV/0!</v>
      </c>
      <c r="CR73" s="82" t="e">
        <f t="shared" si="31"/>
        <v>#DIV/0!</v>
      </c>
      <c r="CS73" s="82" t="e">
        <f t="shared" si="31"/>
        <v>#DIV/0!</v>
      </c>
      <c r="CT73" s="82" t="e">
        <f t="shared" si="31"/>
        <v>#DIV/0!</v>
      </c>
      <c r="CU73" s="82" t="e">
        <f t="shared" si="31"/>
        <v>#DIV/0!</v>
      </c>
      <c r="CV73" s="85"/>
    </row>
    <row r="74" spans="1:100" ht="14.25" customHeight="1">
      <c r="A74" s="129"/>
      <c r="E74" s="134"/>
      <c r="H74" s="104"/>
      <c r="I74" s="256">
        <f t="array" ref="I74">_xlfn.STDEV.P(IF($E$5:$E$53=$E73,I$5:I$53))</f>
        <v>1.2592060990957759</v>
      </c>
      <c r="J74" s="81" t="s">
        <v>12</v>
      </c>
      <c r="K74" s="90">
        <f t="array" ref="K74">_xlfn.STDEV.P(IF($E$5:$E$53=$E73,K$5:K$53))</f>
        <v>1.0925200226998131</v>
      </c>
      <c r="L74" s="90">
        <f t="array" ref="L74">_xlfn.STDEV.P(IF($E$5:$E$53=$E73,L$5:L$53))</f>
        <v>1.3001538370516001</v>
      </c>
      <c r="M74" s="90">
        <f t="array" ref="M74">_xlfn.STDEV.P(IF($E$5:$E$53=$E73,M$5:M$53))</f>
        <v>1.2592060990957759</v>
      </c>
      <c r="N74" s="90">
        <f t="array" ref="N74">_xlfn.STDEV.P(IF($E$5:$E$53=$E73,N$5:N$53))</f>
        <v>1.4496896219536095</v>
      </c>
      <c r="O74" s="90">
        <f t="array" ref="O74">_xlfn.STDEV.P(IF($E$5:$E$53=$E73,O$5:O$53))</f>
        <v>1.0833282051160673</v>
      </c>
      <c r="P74" s="90">
        <f t="array" ref="P74">_xlfn.STDEV.P(IF($E$5:$E$53=$E73,P$5:P$53))</f>
        <v>1.0818502669038814</v>
      </c>
      <c r="Q74" s="90">
        <f t="array" ref="Q74">_xlfn.STDEV.P(IF($E$5:$E$53=$E73,Q$5:Q$53))</f>
        <v>1.0198039027185577</v>
      </c>
      <c r="R74" s="90">
        <f t="array" ref="R74">_xlfn.STDEV.P(IF($E$5:$E$53=$E73,R$5:R$53))</f>
        <v>0.98183501669068629</v>
      </c>
      <c r="S74" s="90">
        <f t="array" ref="S74">_xlfn.STDEV.P(IF($E$5:$E$53=$E73,S$5:S$53))</f>
        <v>2.987306479087799</v>
      </c>
      <c r="T74" s="90">
        <f t="array" ref="T74">_xlfn.STDEV.P(IF($E$5:$E$53=$E73,T$5:T$53))</f>
        <v>1.0209799214480175</v>
      </c>
      <c r="U74" s="90">
        <f t="array" ref="U74">_xlfn.STDEV.P(IF($E$5:$E$53=$E73,U$5:U$53))</f>
        <v>1.0740577265678037</v>
      </c>
      <c r="V74" s="90">
        <f t="array" ref="V74">_xlfn.STDEV.P(IF($E$5:$E$53=$E73,V$5:V$53))</f>
        <v>1.1822013364905319</v>
      </c>
      <c r="W74" s="90">
        <f t="array" ref="W74">_xlfn.STDEV.P(IF($E$5:$E$53=$E73,W$5:W$53))</f>
        <v>1.3347658970770866</v>
      </c>
      <c r="X74" s="90">
        <f t="array" ref="X74">_xlfn.STDEV.P(IF($E$5:$E$53=$E73,X$5:X$53))</f>
        <v>1.3836184445142381</v>
      </c>
      <c r="Y74" s="90">
        <f t="array" ref="Y74">_xlfn.STDEV.P(IF($E$5:$E$53=$E73,Y$5:Y$53))</f>
        <v>11.59078944679783</v>
      </c>
      <c r="Z74" s="90">
        <f t="array" ref="Z74">_xlfn.STDEV.P(IF($E$5:$E$53=$E73,Z$5:Z$53))</f>
        <v>11.278829726527487</v>
      </c>
      <c r="AA74" s="90">
        <f t="array" ref="AA74">_xlfn.STDEV.P(IF($E$5:$E$53=$E73,AA$5:AA$53))</f>
        <v>11.401228004035353</v>
      </c>
      <c r="AB74" s="90">
        <f t="array" ref="AB74">_xlfn.STDEV.P(IF($E$5:$E$53=$E73,AB$5:AB$53))</f>
        <v>14.843988682291563</v>
      </c>
      <c r="AC74" s="90">
        <f t="array" ref="AC74">_xlfn.STDEV.P(IF($E$5:$E$53=$E73,AC$5:AC$53))</f>
        <v>14.580864171920675</v>
      </c>
      <c r="AD74" s="90">
        <f t="array" ref="AD74">_xlfn.STDEV.P(IF($E$5:$E$53=$E73,AD$5:AD$53))</f>
        <v>15.340664913881666</v>
      </c>
      <c r="AE74" s="90">
        <f t="array" ref="AE74">_xlfn.STDEV.P(IF($E$5:$E$53=$E73,AE$5:AE$53))</f>
        <v>15.071244142405764</v>
      </c>
      <c r="AF74" s="90">
        <f t="array" ref="AF74">_xlfn.STDEV.P(IF($E$5:$E$53=$E73,AF$5:AF$53))</f>
        <v>11.2</v>
      </c>
      <c r="AG74" s="90">
        <f t="array" ref="AG74">_xlfn.STDEV.P(IF($E$5:$E$53=$E73,AG$5:AG$53))</f>
        <v>11.36</v>
      </c>
      <c r="AH74" s="90">
        <f t="array" ref="AH74">_xlfn.STDEV.P(IF($E$5:$E$53=$E73,AH$5:AH$53))</f>
        <v>0</v>
      </c>
      <c r="AI74" s="90">
        <f t="array" ref="AI74">_xlfn.STDEV.P(IF($E$5:$E$53=$E73,AI$5:AI$53))</f>
        <v>0</v>
      </c>
      <c r="AJ74" s="90">
        <f t="array" ref="AJ74">_xlfn.STDEV.P(IF($E$5:$E$53=$E73,AJ$5:AJ$53))</f>
        <v>0</v>
      </c>
      <c r="AK74" s="90">
        <f t="array" ref="AK74">_xlfn.STDEV.P(IF($E$5:$E$53=$E73,AK$5:AK$53))</f>
        <v>0</v>
      </c>
      <c r="AL74" s="90">
        <f t="array" ref="AL74">_xlfn.STDEV.P(IF($E$5:$E$53=$E73,AL$5:AL$53))</f>
        <v>0</v>
      </c>
      <c r="AM74" s="90">
        <f t="array" ref="AM74">_xlfn.STDEV.P(IF($E$5:$E$53=$E73,AM$5:AM$53))</f>
        <v>0</v>
      </c>
      <c r="AN74" s="90">
        <f t="array" ref="AN74">_xlfn.STDEV.P(IF($E$5:$E$53=$E73,AN$5:AN$53))</f>
        <v>0</v>
      </c>
      <c r="AO74" s="90">
        <f t="array" ref="AO74">_xlfn.STDEV.P(IF($E$5:$E$53=$E73,AO$5:AO$53))</f>
        <v>0</v>
      </c>
      <c r="AP74" s="90">
        <f t="array" ref="AP74">_xlfn.STDEV.P(IF($E$5:$E$53=$E73,AP$5:AP$53))</f>
        <v>0</v>
      </c>
      <c r="AQ74" s="90">
        <f t="array" ref="AQ74">_xlfn.STDEV.P(IF($E$5:$E$53=$E73,AQ$5:AQ$53))</f>
        <v>0</v>
      </c>
      <c r="AR74" s="90">
        <f t="array" ref="AR74">_xlfn.STDEV.P(IF($E$5:$E$53=$E73,AR$5:AR$53))</f>
        <v>0</v>
      </c>
      <c r="AS74" s="90">
        <f t="array" ref="AS74">_xlfn.STDEV.P(IF($E$5:$E$53=$E73,AS$5:AS$53))</f>
        <v>0</v>
      </c>
      <c r="AT74" s="90">
        <f t="array" ref="AT74">_xlfn.STDEV.P(IF($E$5:$E$53=$E73,AT$5:AT$53))</f>
        <v>0</v>
      </c>
      <c r="AU74" s="90">
        <f t="array" ref="AU74">_xlfn.STDEV.P(IF($E$5:$E$53=$E73,AU$5:AU$53))</f>
        <v>0</v>
      </c>
      <c r="AV74" s="90">
        <f t="array" ref="AV74">_xlfn.STDEV.P(IF($E$5:$E$53=$E73,AV$5:AV$53))</f>
        <v>0</v>
      </c>
      <c r="AW74" s="90">
        <f t="array" ref="AW74">_xlfn.STDEV.P(IF($E$5:$E$53=$E73,AW$5:AW$53))</f>
        <v>0</v>
      </c>
      <c r="AX74" s="90">
        <f t="array" ref="AX74">_xlfn.STDEV.P(IF($E$5:$E$53=$E73,AX$5:AX$53))</f>
        <v>0</v>
      </c>
      <c r="AY74" s="90">
        <f t="array" ref="AY74">_xlfn.STDEV.P(IF($E$5:$E$53=$E73,AY$5:AY$53))</f>
        <v>0</v>
      </c>
      <c r="AZ74" s="90">
        <f t="array" ref="AZ74">_xlfn.STDEV.P(IF($E$5:$E$53=$E73,AZ$5:AZ$53))</f>
        <v>0</v>
      </c>
      <c r="BA74" s="90">
        <f t="array" ref="BA74">_xlfn.STDEV.P(IF($E$5:$E$53=$E73,BA$5:BA$53))</f>
        <v>0</v>
      </c>
      <c r="BB74" s="90">
        <f t="array" ref="BB74">_xlfn.STDEV.P(IF($E$5:$E$53=$E73,BB$5:BB$53))</f>
        <v>0</v>
      </c>
      <c r="BC74" s="115" t="s">
        <v>12</v>
      </c>
      <c r="BD74" s="83">
        <f t="array" ref="BD74">_xlfn.STDEV.P(IF($E$5:$E$53=$E73,BD$5:BD$53))</f>
        <v>1.962648922762324E-2</v>
      </c>
      <c r="BE74" s="83">
        <f t="array" ref="BE74">_xlfn.STDEV.P(IF($E$5:$E$53=$E73,BE$5:BE$53))</f>
        <v>1.4135396457489898E-2</v>
      </c>
      <c r="BF74" s="83">
        <f t="array" ref="BF74">_xlfn.STDEV.P(IF($E$5:$E$53=$E73,BF$5:BF$53))</f>
        <v>0</v>
      </c>
      <c r="BG74" s="83">
        <f t="array" ref="BG74">_xlfn.STDEV.P(IF($E$5:$E$53=$E73,BG$5:BG$53))</f>
        <v>2.1638225632070542E-2</v>
      </c>
      <c r="BH74" s="83">
        <f t="array" ref="BH74">_xlfn.STDEV.P(IF($E$5:$E$53=$E73,BH$5:BH$53))</f>
        <v>2.1405383201512362E-2</v>
      </c>
      <c r="BI74" s="83">
        <f t="array" ref="BI74">_xlfn.STDEV.P(IF($E$5:$E$53=$E73,BI$5:BI$53))</f>
        <v>1.8162647977662427E-2</v>
      </c>
      <c r="BJ74" s="83">
        <f t="array" ref="BJ74">_xlfn.STDEV.P(IF($E$5:$E$53=$E73,BJ$5:BJ$53))</f>
        <v>1.2816219480756626E-2</v>
      </c>
      <c r="BK74" s="83">
        <f t="array" ref="BK74">_xlfn.STDEV.P(IF($E$5:$E$53=$E73,BK$5:BK$53))</f>
        <v>1.3222596798882592E-2</v>
      </c>
      <c r="BL74" s="83">
        <f t="array" ref="BL74">_xlfn.STDEV.P(IF($E$5:$E$53=$E73,BL$5:BL$53))</f>
        <v>8.4056922419091254E-2</v>
      </c>
      <c r="BM74" s="83">
        <f t="array" ref="BM74">_xlfn.STDEV.P(IF($E$5:$E$53=$E73,BM$5:BM$53))</f>
        <v>1.3054940334008822E-2</v>
      </c>
      <c r="BN74" s="83">
        <f t="array" ref="BN74">_xlfn.STDEV.P(IF($E$5:$E$53=$E73,BN$5:BN$53))</f>
        <v>1.3336331002419205E-2</v>
      </c>
      <c r="BO74" s="83">
        <f t="array" ref="BO74">_xlfn.STDEV.P(IF($E$5:$E$53=$E73,BO$5:BO$53))</f>
        <v>7.3268816817491662E-3</v>
      </c>
      <c r="BP74" s="83">
        <f t="array" ref="BP74">_xlfn.STDEV.P(IF($E$5:$E$53=$E73,BP$5:BP$53))</f>
        <v>1.2491056662533487E-2</v>
      </c>
      <c r="BQ74" s="83">
        <f t="array" ref="BQ74">_xlfn.STDEV.P(IF($E$5:$E$53=$E73,BQ$5:BQ$53))</f>
        <v>1.0929954236845901E-2</v>
      </c>
      <c r="BR74" s="83">
        <f t="array" ref="BR74">_xlfn.STDEV.P(IF($E$5:$E$53=$E73,BR$5:BR$53))</f>
        <v>2.2857088883268869E-2</v>
      </c>
      <c r="BS74" s="83">
        <f t="array" ref="BS74">_xlfn.STDEV.P(IF($E$5:$E$53=$E73,BS$5:BS$53))</f>
        <v>2.5268890110783201E-2</v>
      </c>
      <c r="BT74" s="83">
        <f t="array" ref="BT74">_xlfn.STDEV.P(IF($E$5:$E$53=$E73,BT$5:BT$53))</f>
        <v>3.2045535505043181E-2</v>
      </c>
      <c r="BU74" s="83">
        <f t="array" ref="BU74">_xlfn.STDEV.P(IF($E$5:$E$53=$E73,BU$5:BU$53))</f>
        <v>2.3183338400729836E-2</v>
      </c>
      <c r="BV74" s="83">
        <f t="array" ref="BV74">_xlfn.STDEV.P(IF($E$5:$E$53=$E73,BV$5:BV$53))</f>
        <v>2.8732137427789628E-2</v>
      </c>
      <c r="BW74" s="83">
        <f t="array" ref="BW74">_xlfn.STDEV.P(IF($E$5:$E$53=$E73,BW$5:BW$53))</f>
        <v>2.9264214046822778E-2</v>
      </c>
      <c r="BX74" s="83">
        <f t="array" ref="BX74">_xlfn.STDEV.P(IF($E$5:$E$53=$E73,BX$5:BX$53))</f>
        <v>4.6822742474916468E-2</v>
      </c>
      <c r="BY74" s="83">
        <f t="array" ref="BY74">_xlfn.STDEV.P(IF($E$5:$E$53=$E73,BY$5:BY$53))</f>
        <v>0</v>
      </c>
      <c r="BZ74" s="83">
        <f t="array" ref="BZ74">_xlfn.STDEV.P(IF($E$5:$E$53=$E73,BZ$5:BZ$53))</f>
        <v>0</v>
      </c>
      <c r="CA74" s="83" t="e">
        <f t="array" ref="CA74">_xlfn.STDEV.P(IF($E$5:$E$53=$E73,CA$5:CA$53))</f>
        <v>#DIV/0!</v>
      </c>
      <c r="CB74" s="83" t="e">
        <f t="array" ref="CB74">_xlfn.STDEV.P(IF($E$5:$E$53=$E73,CB$5:CB$53))</f>
        <v>#DIV/0!</v>
      </c>
      <c r="CC74" s="83" t="e">
        <f t="array" ref="CC74">_xlfn.STDEV.P(IF($E$5:$E$53=$E73,CC$5:CC$53))</f>
        <v>#DIV/0!</v>
      </c>
      <c r="CD74" s="83" t="e">
        <f t="array" ref="CD74">_xlfn.STDEV.P(IF($E$5:$E$53=$E73,CD$5:CD$53))</f>
        <v>#DIV/0!</v>
      </c>
      <c r="CE74" s="83" t="e">
        <f t="array" ref="CE74">_xlfn.STDEV.P(IF($E$5:$E$53=$E73,CE$5:CE$53))</f>
        <v>#DIV/0!</v>
      </c>
      <c r="CF74" s="83" t="e">
        <f t="array" ref="CF74">_xlfn.STDEV.P(IF($E$5:$E$53=$E73,CF$5:CF$53))</f>
        <v>#DIV/0!</v>
      </c>
      <c r="CG74" s="83" t="e">
        <f t="array" ref="CG74">_xlfn.STDEV.P(IF($E$5:$E$53=$E73,CG$5:CG$53))</f>
        <v>#DIV/0!</v>
      </c>
      <c r="CH74" s="83" t="e">
        <f t="array" ref="CH74">_xlfn.STDEV.P(IF($E$5:$E$53=$E73,CH$5:CH$53))</f>
        <v>#DIV/0!</v>
      </c>
      <c r="CI74" s="83" t="e">
        <f t="array" ref="CI74">_xlfn.STDEV.P(IF($E$5:$E$53=$E73,CI$5:CI$53))</f>
        <v>#DIV/0!</v>
      </c>
      <c r="CJ74" s="83" t="e">
        <f t="array" ref="CJ74">_xlfn.STDEV.P(IF($E$5:$E$53=$E73,CJ$5:CJ$53))</f>
        <v>#DIV/0!</v>
      </c>
      <c r="CK74" s="83" t="e">
        <f t="array" ref="CK74">_xlfn.STDEV.P(IF($E$5:$E$53=$E73,CK$5:CK$53))</f>
        <v>#DIV/0!</v>
      </c>
      <c r="CL74" s="83" t="e">
        <f t="array" ref="CL74">_xlfn.STDEV.P(IF($E$5:$E$53=$E73,CL$5:CL$53))</f>
        <v>#DIV/0!</v>
      </c>
      <c r="CM74" s="83" t="e">
        <f t="array" ref="CM74">_xlfn.STDEV.P(IF($E$5:$E$53=$E73,CM$5:CM$53))</f>
        <v>#DIV/0!</v>
      </c>
      <c r="CN74" s="83" t="e">
        <f t="array" ref="CN74">_xlfn.STDEV.P(IF($E$5:$E$53=$E73,CN$5:CN$53))</f>
        <v>#DIV/0!</v>
      </c>
      <c r="CO74" s="83" t="e">
        <f t="array" ref="CO74">_xlfn.STDEV.P(IF($E$5:$E$53=$E73,CO$5:CO$53))</f>
        <v>#DIV/0!</v>
      </c>
      <c r="CP74" s="83" t="e">
        <f t="array" ref="CP74">_xlfn.STDEV.P(IF($E$5:$E$53=$E73,CP$5:CP$53))</f>
        <v>#DIV/0!</v>
      </c>
      <c r="CQ74" s="83" t="e">
        <f t="array" ref="CQ74">_xlfn.STDEV.P(IF($E$5:$E$53=$E73,CQ$5:CQ$53))</f>
        <v>#DIV/0!</v>
      </c>
      <c r="CR74" s="83" t="e">
        <f t="array" ref="CR74">_xlfn.STDEV.P(IF($E$5:$E$53=$E73,CR$5:CR$53))</f>
        <v>#DIV/0!</v>
      </c>
      <c r="CS74" s="83" t="e">
        <f t="array" ref="CS74">_xlfn.STDEV.P(IF($E$5:$E$53=$E73,CS$5:CS$53))</f>
        <v>#DIV/0!</v>
      </c>
      <c r="CT74" s="83" t="e">
        <f t="array" ref="CT74">_xlfn.STDEV.P(IF($E$5:$E$53=$E73,CT$5:CT$53))</f>
        <v>#DIV/0!</v>
      </c>
      <c r="CU74" s="83" t="e">
        <f t="array" ref="CU74">_xlfn.STDEV.P(IF($E$5:$E$53=$E73,CU$5:CU$53))</f>
        <v>#DIV/0!</v>
      </c>
      <c r="CV74" s="85"/>
    </row>
    <row r="75" spans="1:100" ht="15">
      <c r="A75" s="129"/>
      <c r="E75" s="134"/>
      <c r="H75" s="58"/>
    </row>
    <row r="76" spans="1:100" ht="14.25" customHeight="1">
      <c r="A76" s="129"/>
      <c r="E76" s="134" t="str">
        <f>'PTX_DOSE Groups'!C12</f>
        <v>50mg CP-PTX</v>
      </c>
      <c r="H76" s="134" t="str">
        <f>E76</f>
        <v>50mg CP-PTX</v>
      </c>
      <c r="I76" s="256">
        <f>AVERAGEIF($E$5:$E$53,$E76,I$5:I$53)</f>
        <v>27.22</v>
      </c>
      <c r="J76" s="81" t="s">
        <v>10</v>
      </c>
      <c r="K76" s="87">
        <f t="shared" ref="K76:BB76" si="32">AVERAGEIF($E$5:$E$53,$E76,K$5:K$53)</f>
        <v>26.02</v>
      </c>
      <c r="L76" s="87">
        <f t="shared" si="32"/>
        <v>26.740000000000002</v>
      </c>
      <c r="M76" s="87">
        <f t="shared" si="32"/>
        <v>27.22</v>
      </c>
      <c r="N76" s="87">
        <f t="shared" si="32"/>
        <v>26.779999999999994</v>
      </c>
      <c r="O76" s="87">
        <f t="shared" si="32"/>
        <v>26.160000000000004</v>
      </c>
      <c r="P76" s="87">
        <f t="shared" si="32"/>
        <v>26.7</v>
      </c>
      <c r="Q76" s="87">
        <f t="shared" si="32"/>
        <v>27.18</v>
      </c>
      <c r="R76" s="87">
        <f t="shared" si="32"/>
        <v>26.5</v>
      </c>
      <c r="S76" s="87">
        <f t="shared" si="32"/>
        <v>26.799999999999997</v>
      </c>
      <c r="T76" s="87">
        <f t="shared" si="32"/>
        <v>26.625</v>
      </c>
      <c r="U76" s="87">
        <f t="shared" si="32"/>
        <v>27.95</v>
      </c>
      <c r="V76" s="87">
        <f t="shared" si="32"/>
        <v>26.174999999999997</v>
      </c>
      <c r="W76" s="87">
        <f t="shared" si="32"/>
        <v>26.725000000000001</v>
      </c>
      <c r="X76" s="87">
        <f t="shared" si="32"/>
        <v>26.675000000000001</v>
      </c>
      <c r="Y76" s="87">
        <f t="shared" si="32"/>
        <v>26.424999999999997</v>
      </c>
      <c r="Z76" s="87">
        <f t="shared" si="32"/>
        <v>25.100000000000005</v>
      </c>
      <c r="AA76" s="87" t="e">
        <f t="shared" si="32"/>
        <v>#DIV/0!</v>
      </c>
      <c r="AB76" s="87" t="e">
        <f t="shared" si="32"/>
        <v>#DIV/0!</v>
      </c>
      <c r="AC76" s="87" t="e">
        <f t="shared" si="32"/>
        <v>#DIV/0!</v>
      </c>
      <c r="AD76" s="87" t="e">
        <f t="shared" si="32"/>
        <v>#DIV/0!</v>
      </c>
      <c r="AE76" s="87" t="e">
        <f t="shared" si="32"/>
        <v>#DIV/0!</v>
      </c>
      <c r="AF76" s="87" t="e">
        <f t="shared" si="32"/>
        <v>#DIV/0!</v>
      </c>
      <c r="AG76" s="87" t="e">
        <f t="shared" si="32"/>
        <v>#DIV/0!</v>
      </c>
      <c r="AH76" s="87" t="e">
        <f t="shared" si="32"/>
        <v>#DIV/0!</v>
      </c>
      <c r="AI76" s="87" t="e">
        <f t="shared" si="32"/>
        <v>#DIV/0!</v>
      </c>
      <c r="AJ76" s="87" t="e">
        <f t="shared" si="32"/>
        <v>#DIV/0!</v>
      </c>
      <c r="AK76" s="87" t="e">
        <f t="shared" si="32"/>
        <v>#DIV/0!</v>
      </c>
      <c r="AL76" s="87" t="e">
        <f t="shared" si="32"/>
        <v>#DIV/0!</v>
      </c>
      <c r="AM76" s="87" t="e">
        <f t="shared" si="32"/>
        <v>#DIV/0!</v>
      </c>
      <c r="AN76" s="87" t="e">
        <f t="shared" si="32"/>
        <v>#DIV/0!</v>
      </c>
      <c r="AO76" s="87" t="e">
        <f t="shared" si="32"/>
        <v>#DIV/0!</v>
      </c>
      <c r="AP76" s="87" t="e">
        <f t="shared" si="32"/>
        <v>#DIV/0!</v>
      </c>
      <c r="AQ76" s="87" t="e">
        <f t="shared" si="32"/>
        <v>#DIV/0!</v>
      </c>
      <c r="AR76" s="87" t="e">
        <f t="shared" si="32"/>
        <v>#DIV/0!</v>
      </c>
      <c r="AS76" s="87" t="e">
        <f t="shared" si="32"/>
        <v>#DIV/0!</v>
      </c>
      <c r="AT76" s="87" t="e">
        <f t="shared" si="32"/>
        <v>#DIV/0!</v>
      </c>
      <c r="AU76" s="87" t="e">
        <f t="shared" si="32"/>
        <v>#DIV/0!</v>
      </c>
      <c r="AV76" s="87" t="e">
        <f t="shared" si="32"/>
        <v>#DIV/0!</v>
      </c>
      <c r="AW76" s="87" t="e">
        <f t="shared" si="32"/>
        <v>#DIV/0!</v>
      </c>
      <c r="AX76" s="87" t="e">
        <f t="shared" si="32"/>
        <v>#DIV/0!</v>
      </c>
      <c r="AY76" s="87" t="e">
        <f t="shared" si="32"/>
        <v>#DIV/0!</v>
      </c>
      <c r="AZ76" s="87" t="e">
        <f t="shared" si="32"/>
        <v>#DIV/0!</v>
      </c>
      <c r="BA76" s="87" t="e">
        <f t="shared" si="32"/>
        <v>#DIV/0!</v>
      </c>
      <c r="BB76" s="87" t="e">
        <f t="shared" si="32"/>
        <v>#DIV/0!</v>
      </c>
      <c r="BC76" s="114" t="s">
        <v>10</v>
      </c>
      <c r="BD76" s="82">
        <f t="shared" ref="BD76:CU76" si="33">AVERAGEIF($E$5:$E$53,$E76,BD$5:BD$53)</f>
        <v>0.95545520426815389</v>
      </c>
      <c r="BE76" s="82">
        <f t="shared" si="33"/>
        <v>0.98270410644511375</v>
      </c>
      <c r="BF76" s="82">
        <f t="shared" si="33"/>
        <v>1</v>
      </c>
      <c r="BG76" s="82">
        <f t="shared" si="33"/>
        <v>0.98353132479031746</v>
      </c>
      <c r="BH76" s="82">
        <f t="shared" si="33"/>
        <v>0.96106183983881821</v>
      </c>
      <c r="BI76" s="82">
        <f t="shared" si="33"/>
        <v>0.98003706126008294</v>
      </c>
      <c r="BJ76" s="82">
        <f t="shared" si="33"/>
        <v>0.99745811742214607</v>
      </c>
      <c r="BK76" s="82">
        <f t="shared" si="33"/>
        <v>0.97318015318015316</v>
      </c>
      <c r="BL76" s="82">
        <f t="shared" si="33"/>
        <v>0.97369677684425882</v>
      </c>
      <c r="BM76" s="82">
        <f t="shared" si="33"/>
        <v>0.96863047024917537</v>
      </c>
      <c r="BN76" s="82">
        <f t="shared" si="33"/>
        <v>1.0172877781690732</v>
      </c>
      <c r="BO76" s="82">
        <f t="shared" si="33"/>
        <v>0.95229970868460079</v>
      </c>
      <c r="BP76" s="82">
        <f t="shared" si="33"/>
        <v>0.97218905195523908</v>
      </c>
      <c r="BQ76" s="82">
        <f t="shared" si="33"/>
        <v>0.96995242467364773</v>
      </c>
      <c r="BR76" s="82">
        <f t="shared" si="33"/>
        <v>0.96090712345208751</v>
      </c>
      <c r="BS76" s="82">
        <f t="shared" si="33"/>
        <v>0.95378294766783966</v>
      </c>
      <c r="BT76" s="82" t="e">
        <f t="shared" si="33"/>
        <v>#DIV/0!</v>
      </c>
      <c r="BU76" s="82" t="e">
        <f t="shared" si="33"/>
        <v>#DIV/0!</v>
      </c>
      <c r="BV76" s="82" t="e">
        <f t="shared" si="33"/>
        <v>#DIV/0!</v>
      </c>
      <c r="BW76" s="82" t="e">
        <f t="shared" si="33"/>
        <v>#DIV/0!</v>
      </c>
      <c r="BX76" s="82" t="e">
        <f t="shared" si="33"/>
        <v>#DIV/0!</v>
      </c>
      <c r="BY76" s="82" t="e">
        <f t="shared" si="33"/>
        <v>#DIV/0!</v>
      </c>
      <c r="BZ76" s="82" t="e">
        <f t="shared" si="33"/>
        <v>#DIV/0!</v>
      </c>
      <c r="CA76" s="82" t="e">
        <f t="shared" si="33"/>
        <v>#DIV/0!</v>
      </c>
      <c r="CB76" s="82" t="e">
        <f t="shared" si="33"/>
        <v>#DIV/0!</v>
      </c>
      <c r="CC76" s="82" t="e">
        <f t="shared" si="33"/>
        <v>#DIV/0!</v>
      </c>
      <c r="CD76" s="82" t="e">
        <f t="shared" si="33"/>
        <v>#DIV/0!</v>
      </c>
      <c r="CE76" s="82" t="e">
        <f t="shared" si="33"/>
        <v>#DIV/0!</v>
      </c>
      <c r="CF76" s="82" t="e">
        <f t="shared" si="33"/>
        <v>#DIV/0!</v>
      </c>
      <c r="CG76" s="82" t="e">
        <f t="shared" si="33"/>
        <v>#DIV/0!</v>
      </c>
      <c r="CH76" s="82" t="e">
        <f t="shared" si="33"/>
        <v>#DIV/0!</v>
      </c>
      <c r="CI76" s="82" t="e">
        <f t="shared" si="33"/>
        <v>#DIV/0!</v>
      </c>
      <c r="CJ76" s="82" t="e">
        <f t="shared" si="33"/>
        <v>#DIV/0!</v>
      </c>
      <c r="CK76" s="82" t="e">
        <f t="shared" si="33"/>
        <v>#DIV/0!</v>
      </c>
      <c r="CL76" s="82" t="e">
        <f t="shared" si="33"/>
        <v>#DIV/0!</v>
      </c>
      <c r="CM76" s="82" t="e">
        <f t="shared" si="33"/>
        <v>#DIV/0!</v>
      </c>
      <c r="CN76" s="82" t="e">
        <f t="shared" si="33"/>
        <v>#DIV/0!</v>
      </c>
      <c r="CO76" s="82" t="e">
        <f t="shared" si="33"/>
        <v>#DIV/0!</v>
      </c>
      <c r="CP76" s="82" t="e">
        <f t="shared" si="33"/>
        <v>#DIV/0!</v>
      </c>
      <c r="CQ76" s="82" t="e">
        <f t="shared" si="33"/>
        <v>#DIV/0!</v>
      </c>
      <c r="CR76" s="82" t="e">
        <f t="shared" si="33"/>
        <v>#DIV/0!</v>
      </c>
      <c r="CS76" s="82" t="e">
        <f t="shared" si="33"/>
        <v>#DIV/0!</v>
      </c>
      <c r="CT76" s="82" t="e">
        <f t="shared" si="33"/>
        <v>#DIV/0!</v>
      </c>
      <c r="CU76" s="82" t="e">
        <f t="shared" si="33"/>
        <v>#DIV/0!</v>
      </c>
      <c r="CV76" s="85"/>
    </row>
    <row r="77" spans="1:100" ht="14.25" customHeight="1">
      <c r="A77" s="129"/>
      <c r="E77" s="134"/>
      <c r="H77" s="104"/>
      <c r="I77" s="256">
        <f t="array" ref="I77">_xlfn.STDEV.P(IF($E$5:$E$53=$E76,I$5:I$53))</f>
        <v>2.6551082840441742</v>
      </c>
      <c r="J77" s="81" t="s">
        <v>12</v>
      </c>
      <c r="K77" s="90">
        <f t="array" ref="K77">_xlfn.STDEV.P(IF($E$5:$E$53=$E76,K$5:K$53))</f>
        <v>2.67835770575926</v>
      </c>
      <c r="L77" s="90">
        <f t="array" ref="L77">_xlfn.STDEV.P(IF($E$5:$E$53=$E76,L$5:L$53))</f>
        <v>2.5152335875619984</v>
      </c>
      <c r="M77" s="90">
        <f t="array" ref="M77">_xlfn.STDEV.P(IF($E$5:$E$53=$E76,M$5:M$53))</f>
        <v>2.6551082840441742</v>
      </c>
      <c r="N77" s="90">
        <f t="array" ref="N77">_xlfn.STDEV.P(IF($E$5:$E$53=$E76,N$5:N$53))</f>
        <v>2.6962195756281071</v>
      </c>
      <c r="O77" s="90">
        <f t="array" ref="O77">_xlfn.STDEV.P(IF($E$5:$E$53=$E76,O$5:O$53))</f>
        <v>2.5865807545870285</v>
      </c>
      <c r="P77" s="90">
        <f t="array" ref="P77">_xlfn.STDEV.P(IF($E$5:$E$53=$E76,P$5:P$53))</f>
        <v>2.9583779339361151</v>
      </c>
      <c r="Q77" s="90">
        <f t="array" ref="Q77">_xlfn.STDEV.P(IF($E$5:$E$53=$E76,Q$5:Q$53))</f>
        <v>3.1390444405901392</v>
      </c>
      <c r="R77" s="90">
        <f t="array" ref="R77">_xlfn.STDEV.P(IF($E$5:$E$53=$E76,R$5:R$53))</f>
        <v>2.7502727137503911</v>
      </c>
      <c r="S77" s="90">
        <f t="array" ref="S77">_xlfn.STDEV.P(IF($E$5:$E$53=$E76,S$5:S$53))</f>
        <v>11.022449818438735</v>
      </c>
      <c r="T77" s="90">
        <f t="array" ref="T77">_xlfn.STDEV.P(IF($E$5:$E$53=$E76,T$5:T$53))</f>
        <v>10.878051296073206</v>
      </c>
      <c r="U77" s="90">
        <f t="array" ref="U77">_xlfn.STDEV.P(IF($E$5:$E$53=$E76,U$5:U$53))</f>
        <v>11.396595983011769</v>
      </c>
      <c r="V77" s="90">
        <f t="array" ref="V77">_xlfn.STDEV.P(IF($E$5:$E$53=$E76,V$5:V$53))</f>
        <v>10.688797874410387</v>
      </c>
      <c r="W77" s="90">
        <f t="array" ref="W77">_xlfn.STDEV.P(IF($E$5:$E$53=$E76,W$5:W$53))</f>
        <v>10.918864409818452</v>
      </c>
      <c r="X77" s="90">
        <f t="array" ref="X77">_xlfn.STDEV.P(IF($E$5:$E$53=$E76,X$5:X$53))</f>
        <v>10.918717873450159</v>
      </c>
      <c r="Y77" s="90">
        <f t="array" ref="Y77">_xlfn.STDEV.P(IF($E$5:$E$53=$E76,Y$5:Y$53))</f>
        <v>10.815840235506442</v>
      </c>
      <c r="Z77" s="90">
        <f t="array" ref="Z77">_xlfn.STDEV.P(IF($E$5:$E$53=$E76,Z$5:Z$53))</f>
        <v>12.428933984859682</v>
      </c>
      <c r="AA77" s="90">
        <f t="array" ref="AA77">_xlfn.STDEV.P(IF($E$5:$E$53=$E76,AA$5:AA$53))</f>
        <v>0</v>
      </c>
      <c r="AB77" s="90">
        <f t="array" ref="AB77">_xlfn.STDEV.P(IF($E$5:$E$53=$E76,AB$5:AB$53))</f>
        <v>0</v>
      </c>
      <c r="AC77" s="90">
        <f t="array" ref="AC77">_xlfn.STDEV.P(IF($E$5:$E$53=$E76,AC$5:AC$53))</f>
        <v>0</v>
      </c>
      <c r="AD77" s="90">
        <f t="array" ref="AD77">_xlfn.STDEV.P(IF($E$5:$E$53=$E76,AD$5:AD$53))</f>
        <v>0</v>
      </c>
      <c r="AE77" s="90">
        <f t="array" ref="AE77">_xlfn.STDEV.P(IF($E$5:$E$53=$E76,AE$5:AE$53))</f>
        <v>0</v>
      </c>
      <c r="AF77" s="90">
        <f t="array" ref="AF77">_xlfn.STDEV.P(IF($E$5:$E$53=$E76,AF$5:AF$53))</f>
        <v>0</v>
      </c>
      <c r="AG77" s="90">
        <f t="array" ref="AG77">_xlfn.STDEV.P(IF($E$5:$E$53=$E76,AG$5:AG$53))</f>
        <v>0</v>
      </c>
      <c r="AH77" s="90">
        <f t="array" ref="AH77">_xlfn.STDEV.P(IF($E$5:$E$53=$E76,AH$5:AH$53))</f>
        <v>0</v>
      </c>
      <c r="AI77" s="90">
        <f t="array" ref="AI77">_xlfn.STDEV.P(IF($E$5:$E$53=$E76,AI$5:AI$53))</f>
        <v>0</v>
      </c>
      <c r="AJ77" s="90">
        <f t="array" ref="AJ77">_xlfn.STDEV.P(IF($E$5:$E$53=$E76,AJ$5:AJ$53))</f>
        <v>0</v>
      </c>
      <c r="AK77" s="90">
        <f t="array" ref="AK77">_xlfn.STDEV.P(IF($E$5:$E$53=$E76,AK$5:AK$53))</f>
        <v>0</v>
      </c>
      <c r="AL77" s="90">
        <f t="array" ref="AL77">_xlfn.STDEV.P(IF($E$5:$E$53=$E76,AL$5:AL$53))</f>
        <v>0</v>
      </c>
      <c r="AM77" s="90">
        <f t="array" ref="AM77">_xlfn.STDEV.P(IF($E$5:$E$53=$E76,AM$5:AM$53))</f>
        <v>0</v>
      </c>
      <c r="AN77" s="90">
        <f t="array" ref="AN77">_xlfn.STDEV.P(IF($E$5:$E$53=$E76,AN$5:AN$53))</f>
        <v>0</v>
      </c>
      <c r="AO77" s="90">
        <f t="array" ref="AO77">_xlfn.STDEV.P(IF($E$5:$E$53=$E76,AO$5:AO$53))</f>
        <v>0</v>
      </c>
      <c r="AP77" s="90">
        <f t="array" ref="AP77">_xlfn.STDEV.P(IF($E$5:$E$53=$E76,AP$5:AP$53))</f>
        <v>0</v>
      </c>
      <c r="AQ77" s="90">
        <f t="array" ref="AQ77">_xlfn.STDEV.P(IF($E$5:$E$53=$E76,AQ$5:AQ$53))</f>
        <v>0</v>
      </c>
      <c r="AR77" s="90">
        <f t="array" ref="AR77">_xlfn.STDEV.P(IF($E$5:$E$53=$E76,AR$5:AR$53))</f>
        <v>0</v>
      </c>
      <c r="AS77" s="90">
        <f t="array" ref="AS77">_xlfn.STDEV.P(IF($E$5:$E$53=$E76,AS$5:AS$53))</f>
        <v>0</v>
      </c>
      <c r="AT77" s="90">
        <f t="array" ref="AT77">_xlfn.STDEV.P(IF($E$5:$E$53=$E76,AT$5:AT$53))</f>
        <v>0</v>
      </c>
      <c r="AU77" s="90">
        <f t="array" ref="AU77">_xlfn.STDEV.P(IF($E$5:$E$53=$E76,AU$5:AU$53))</f>
        <v>0</v>
      </c>
      <c r="AV77" s="90">
        <f t="array" ref="AV77">_xlfn.STDEV.P(IF($E$5:$E$53=$E76,AV$5:AV$53))</f>
        <v>0</v>
      </c>
      <c r="AW77" s="90">
        <f t="array" ref="AW77">_xlfn.STDEV.P(IF($E$5:$E$53=$E76,AW$5:AW$53))</f>
        <v>0</v>
      </c>
      <c r="AX77" s="90">
        <f t="array" ref="AX77">_xlfn.STDEV.P(IF($E$5:$E$53=$E76,AX$5:AX$53))</f>
        <v>0</v>
      </c>
      <c r="AY77" s="90">
        <f t="array" ref="AY77">_xlfn.STDEV.P(IF($E$5:$E$53=$E76,AY$5:AY$53))</f>
        <v>0</v>
      </c>
      <c r="AZ77" s="90">
        <f t="array" ref="AZ77">_xlfn.STDEV.P(IF($E$5:$E$53=$E76,AZ$5:AZ$53))</f>
        <v>0</v>
      </c>
      <c r="BA77" s="90">
        <f t="array" ref="BA77">_xlfn.STDEV.P(IF($E$5:$E$53=$E76,BA$5:BA$53))</f>
        <v>0</v>
      </c>
      <c r="BB77" s="90">
        <f t="array" ref="BB77">_xlfn.STDEV.P(IF($E$5:$E$53=$E76,BB$5:BB$53))</f>
        <v>0</v>
      </c>
      <c r="BC77" s="115" t="s">
        <v>12</v>
      </c>
      <c r="BD77" s="83">
        <f t="array" ref="BD77">_xlfn.STDEV.P(IF($E$5:$E$53=$E76,BD$5:BD$53))</f>
        <v>2.512544542461603E-2</v>
      </c>
      <c r="BE77" s="83">
        <f t="array" ref="BE77">_xlfn.STDEV.P(IF($E$5:$E$53=$E76,BE$5:BE$53))</f>
        <v>1.4660538928858333E-2</v>
      </c>
      <c r="BF77" s="83">
        <f t="array" ref="BF77">_xlfn.STDEV.P(IF($E$5:$E$53=$E76,BF$5:BF$53))</f>
        <v>0</v>
      </c>
      <c r="BG77" s="83">
        <f t="array" ref="BG77">_xlfn.STDEV.P(IF($E$5:$E$53=$E76,BG$5:BG$53))</f>
        <v>1.1515791061809465E-2</v>
      </c>
      <c r="BH77" s="83">
        <f t="array" ref="BH77">_xlfn.STDEV.P(IF($E$5:$E$53=$E76,BH$5:BH$53))</f>
        <v>1.6565776505736728E-2</v>
      </c>
      <c r="BI77" s="83">
        <f t="array" ref="BI77">_xlfn.STDEV.P(IF($E$5:$E$53=$E76,BI$5:BI$53))</f>
        <v>2.9849134907325114E-2</v>
      </c>
      <c r="BJ77" s="83">
        <f t="array" ref="BJ77">_xlfn.STDEV.P(IF($E$5:$E$53=$E76,BJ$5:BJ$53))</f>
        <v>3.5204577168354151E-2</v>
      </c>
      <c r="BK77" s="83">
        <f t="array" ref="BK77">_xlfn.STDEV.P(IF($E$5:$E$53=$E76,BK$5:BK$53))</f>
        <v>1.8891370834293039E-2</v>
      </c>
      <c r="BL77" s="83">
        <f t="array" ref="BL77">_xlfn.STDEV.P(IF($E$5:$E$53=$E76,BL$5:BL$53))</f>
        <v>1.8627630898569798E-2</v>
      </c>
      <c r="BM77" s="83">
        <f t="array" ref="BM77">_xlfn.STDEV.P(IF($E$5:$E$53=$E76,BM$5:BM$53))</f>
        <v>1.5991856662320267E-2</v>
      </c>
      <c r="BN77" s="83">
        <f t="array" ref="BN77">_xlfn.STDEV.P(IF($E$5:$E$53=$E76,BN$5:BN$53))</f>
        <v>1.765795849806048E-2</v>
      </c>
      <c r="BO77" s="83">
        <f t="array" ref="BO77">_xlfn.STDEV.P(IF($E$5:$E$53=$E76,BO$5:BO$53))</f>
        <v>1.5322104636293398E-2</v>
      </c>
      <c r="BP77" s="83">
        <f t="array" ref="BP77">_xlfn.STDEV.P(IF($E$5:$E$53=$E76,BP$5:BP$53))</f>
        <v>1.2701209275627859E-2</v>
      </c>
      <c r="BQ77" s="83">
        <f t="array" ref="BQ77">_xlfn.STDEV.P(IF($E$5:$E$53=$E76,BQ$5:BQ$53))</f>
        <v>1.4514549097709923E-2</v>
      </c>
      <c r="BR77" s="83">
        <f t="array" ref="BR77">_xlfn.STDEV.P(IF($E$5:$E$53=$E76,BR$5:BR$53))</f>
        <v>1.8826941064189407E-2</v>
      </c>
      <c r="BS77" s="83">
        <f t="array" ref="BS77">_xlfn.STDEV.P(IF($E$5:$E$53=$E76,BS$5:BS$53))</f>
        <v>1.0118327954451117E-2</v>
      </c>
      <c r="BT77" s="83" t="e">
        <f t="array" ref="BT77">_xlfn.STDEV.P(IF($E$5:$E$53=$E76,BT$5:BT$53))</f>
        <v>#DIV/0!</v>
      </c>
      <c r="BU77" s="83" t="e">
        <f t="array" ref="BU77">_xlfn.STDEV.P(IF($E$5:$E$53=$E76,BU$5:BU$53))</f>
        <v>#DIV/0!</v>
      </c>
      <c r="BV77" s="83" t="e">
        <f t="array" ref="BV77">_xlfn.STDEV.P(IF($E$5:$E$53=$E76,BV$5:BV$53))</f>
        <v>#DIV/0!</v>
      </c>
      <c r="BW77" s="83" t="e">
        <f t="array" ref="BW77">_xlfn.STDEV.P(IF($E$5:$E$53=$E76,BW$5:BW$53))</f>
        <v>#DIV/0!</v>
      </c>
      <c r="BX77" s="83" t="e">
        <f t="array" ref="BX77">_xlfn.STDEV.P(IF($E$5:$E$53=$E76,BX$5:BX$53))</f>
        <v>#DIV/0!</v>
      </c>
      <c r="BY77" s="83" t="e">
        <f t="array" ref="BY77">_xlfn.STDEV.P(IF($E$5:$E$53=$E76,BY$5:BY$53))</f>
        <v>#DIV/0!</v>
      </c>
      <c r="BZ77" s="83" t="e">
        <f t="array" ref="BZ77">_xlfn.STDEV.P(IF($E$5:$E$53=$E76,BZ$5:BZ$53))</f>
        <v>#DIV/0!</v>
      </c>
      <c r="CA77" s="83" t="e">
        <f t="array" ref="CA77">_xlfn.STDEV.P(IF($E$5:$E$53=$E76,CA$5:CA$53))</f>
        <v>#DIV/0!</v>
      </c>
      <c r="CB77" s="83" t="e">
        <f t="array" ref="CB77">_xlfn.STDEV.P(IF($E$5:$E$53=$E76,CB$5:CB$53))</f>
        <v>#DIV/0!</v>
      </c>
      <c r="CC77" s="83" t="e">
        <f t="array" ref="CC77">_xlfn.STDEV.P(IF($E$5:$E$53=$E76,CC$5:CC$53))</f>
        <v>#DIV/0!</v>
      </c>
      <c r="CD77" s="83" t="e">
        <f t="array" ref="CD77">_xlfn.STDEV.P(IF($E$5:$E$53=$E76,CD$5:CD$53))</f>
        <v>#DIV/0!</v>
      </c>
      <c r="CE77" s="83" t="e">
        <f t="array" ref="CE77">_xlfn.STDEV.P(IF($E$5:$E$53=$E76,CE$5:CE$53))</f>
        <v>#DIV/0!</v>
      </c>
      <c r="CF77" s="83" t="e">
        <f t="array" ref="CF77">_xlfn.STDEV.P(IF($E$5:$E$53=$E76,CF$5:CF$53))</f>
        <v>#DIV/0!</v>
      </c>
      <c r="CG77" s="83" t="e">
        <f t="array" ref="CG77">_xlfn.STDEV.P(IF($E$5:$E$53=$E76,CG$5:CG$53))</f>
        <v>#DIV/0!</v>
      </c>
      <c r="CH77" s="83" t="e">
        <f t="array" ref="CH77">_xlfn.STDEV.P(IF($E$5:$E$53=$E76,CH$5:CH$53))</f>
        <v>#DIV/0!</v>
      </c>
      <c r="CI77" s="83" t="e">
        <f t="array" ref="CI77">_xlfn.STDEV.P(IF($E$5:$E$53=$E76,CI$5:CI$53))</f>
        <v>#DIV/0!</v>
      </c>
      <c r="CJ77" s="83" t="e">
        <f t="array" ref="CJ77">_xlfn.STDEV.P(IF($E$5:$E$53=$E76,CJ$5:CJ$53))</f>
        <v>#DIV/0!</v>
      </c>
      <c r="CK77" s="83" t="e">
        <f t="array" ref="CK77">_xlfn.STDEV.P(IF($E$5:$E$53=$E76,CK$5:CK$53))</f>
        <v>#DIV/0!</v>
      </c>
      <c r="CL77" s="83" t="e">
        <f t="array" ref="CL77">_xlfn.STDEV.P(IF($E$5:$E$53=$E76,CL$5:CL$53))</f>
        <v>#DIV/0!</v>
      </c>
      <c r="CM77" s="83" t="e">
        <f t="array" ref="CM77">_xlfn.STDEV.P(IF($E$5:$E$53=$E76,CM$5:CM$53))</f>
        <v>#DIV/0!</v>
      </c>
      <c r="CN77" s="83" t="e">
        <f t="array" ref="CN77">_xlfn.STDEV.P(IF($E$5:$E$53=$E76,CN$5:CN$53))</f>
        <v>#DIV/0!</v>
      </c>
      <c r="CO77" s="83" t="e">
        <f t="array" ref="CO77">_xlfn.STDEV.P(IF($E$5:$E$53=$E76,CO$5:CO$53))</f>
        <v>#DIV/0!</v>
      </c>
      <c r="CP77" s="83" t="e">
        <f t="array" ref="CP77">_xlfn.STDEV.P(IF($E$5:$E$53=$E76,CP$5:CP$53))</f>
        <v>#DIV/0!</v>
      </c>
      <c r="CQ77" s="83" t="e">
        <f t="array" ref="CQ77">_xlfn.STDEV.P(IF($E$5:$E$53=$E76,CQ$5:CQ$53))</f>
        <v>#DIV/0!</v>
      </c>
      <c r="CR77" s="83" t="e">
        <f t="array" ref="CR77">_xlfn.STDEV.P(IF($E$5:$E$53=$E76,CR$5:CR$53))</f>
        <v>#DIV/0!</v>
      </c>
      <c r="CS77" s="83" t="e">
        <f t="array" ref="CS77">_xlfn.STDEV.P(IF($E$5:$E$53=$E76,CS$5:CS$53))</f>
        <v>#DIV/0!</v>
      </c>
      <c r="CT77" s="83" t="e">
        <f t="array" ref="CT77">_xlfn.STDEV.P(IF($E$5:$E$53=$E76,CT$5:CT$53))</f>
        <v>#DIV/0!</v>
      </c>
      <c r="CU77" s="83" t="e">
        <f t="array" ref="CU77">_xlfn.STDEV.P(IF($E$5:$E$53=$E76,CU$5:CU$53))</f>
        <v>#DIV/0!</v>
      </c>
      <c r="CV77" s="85"/>
    </row>
    <row r="78" spans="1:100" ht="15">
      <c r="A78" s="129"/>
      <c r="E78" s="134"/>
      <c r="H78" s="58"/>
    </row>
    <row r="79" spans="1:100" ht="14.25" customHeight="1">
      <c r="A79" s="129"/>
      <c r="E79" s="134" t="str">
        <f>'PTX_DOSE Groups'!C13</f>
        <v>50mg Combotherapy</v>
      </c>
      <c r="H79" s="134" t="str">
        <f>E79</f>
        <v>50mg Combotherapy</v>
      </c>
      <c r="I79" s="256">
        <f>AVERAGEIF($E$5:$E$53,$E79,I$5:I$53)</f>
        <v>27.119999999999997</v>
      </c>
      <c r="J79" s="81" t="s">
        <v>10</v>
      </c>
      <c r="K79" s="87">
        <f t="shared" ref="K79:BB79" si="34">AVERAGEIF($E$5:$E$53,$E79,K$5:K$53)</f>
        <v>26.28</v>
      </c>
      <c r="L79" s="87">
        <f t="shared" si="34"/>
        <v>27</v>
      </c>
      <c r="M79" s="87">
        <f t="shared" si="34"/>
        <v>27.119999999999997</v>
      </c>
      <c r="N79" s="87">
        <f t="shared" si="34"/>
        <v>26.640000000000004</v>
      </c>
      <c r="O79" s="87">
        <f t="shared" si="34"/>
        <v>26.580000000000002</v>
      </c>
      <c r="P79" s="87">
        <f t="shared" si="34"/>
        <v>27.419999999999998</v>
      </c>
      <c r="Q79" s="87">
        <f t="shared" si="34"/>
        <v>28.160000000000004</v>
      </c>
      <c r="R79" s="87">
        <f t="shared" si="34"/>
        <v>27.3</v>
      </c>
      <c r="S79" s="87">
        <f t="shared" si="34"/>
        <v>27.640000000000004</v>
      </c>
      <c r="T79" s="87">
        <f t="shared" si="34"/>
        <v>27.580000000000002</v>
      </c>
      <c r="U79" s="87">
        <f t="shared" si="34"/>
        <v>28.720000000000006</v>
      </c>
      <c r="V79" s="87">
        <f t="shared" si="34"/>
        <v>27.540000000000003</v>
      </c>
      <c r="W79" s="87">
        <f t="shared" si="34"/>
        <v>28.46</v>
      </c>
      <c r="X79" s="87">
        <f t="shared" si="34"/>
        <v>28.059999999999995</v>
      </c>
      <c r="Y79" s="87">
        <f t="shared" si="34"/>
        <v>27.619999999999997</v>
      </c>
      <c r="Z79" s="87">
        <f t="shared" si="34"/>
        <v>27.18</v>
      </c>
      <c r="AA79" s="87">
        <f t="shared" si="34"/>
        <v>27.040000000000003</v>
      </c>
      <c r="AB79" s="87">
        <f t="shared" si="34"/>
        <v>28.575000000000003</v>
      </c>
      <c r="AC79" s="87">
        <f t="shared" si="34"/>
        <v>28.375</v>
      </c>
      <c r="AD79" s="87">
        <f t="shared" si="34"/>
        <v>30.766666666666669</v>
      </c>
      <c r="AE79" s="87">
        <f t="shared" si="34"/>
        <v>30.433333333333337</v>
      </c>
      <c r="AF79" s="87">
        <f t="shared" si="34"/>
        <v>30.766666666666669</v>
      </c>
      <c r="AG79" s="87">
        <f t="shared" si="34"/>
        <v>30.333333333333332</v>
      </c>
      <c r="AH79" s="87">
        <f t="shared" si="34"/>
        <v>31.049999999999997</v>
      </c>
      <c r="AI79" s="87">
        <f t="shared" si="34"/>
        <v>29.7</v>
      </c>
      <c r="AJ79" s="87">
        <f t="shared" si="34"/>
        <v>29.85</v>
      </c>
      <c r="AK79" s="87">
        <f t="shared" si="34"/>
        <v>29.75</v>
      </c>
      <c r="AL79" s="87">
        <f t="shared" si="34"/>
        <v>30.200000000000003</v>
      </c>
      <c r="AM79" s="87">
        <f t="shared" si="34"/>
        <v>30.950000000000003</v>
      </c>
      <c r="AN79" s="87">
        <f t="shared" si="34"/>
        <v>30.9</v>
      </c>
      <c r="AO79" s="87" t="e">
        <f t="shared" si="34"/>
        <v>#DIV/0!</v>
      </c>
      <c r="AP79" s="87" t="e">
        <f t="shared" si="34"/>
        <v>#DIV/0!</v>
      </c>
      <c r="AQ79" s="87" t="e">
        <f t="shared" si="34"/>
        <v>#DIV/0!</v>
      </c>
      <c r="AR79" s="87" t="e">
        <f t="shared" si="34"/>
        <v>#DIV/0!</v>
      </c>
      <c r="AS79" s="87" t="e">
        <f t="shared" si="34"/>
        <v>#DIV/0!</v>
      </c>
      <c r="AT79" s="87" t="e">
        <f t="shared" si="34"/>
        <v>#DIV/0!</v>
      </c>
      <c r="AU79" s="87" t="e">
        <f t="shared" si="34"/>
        <v>#DIV/0!</v>
      </c>
      <c r="AV79" s="87" t="e">
        <f t="shared" si="34"/>
        <v>#DIV/0!</v>
      </c>
      <c r="AW79" s="87" t="e">
        <f t="shared" si="34"/>
        <v>#DIV/0!</v>
      </c>
      <c r="AX79" s="87" t="e">
        <f t="shared" si="34"/>
        <v>#DIV/0!</v>
      </c>
      <c r="AY79" s="87" t="e">
        <f t="shared" si="34"/>
        <v>#DIV/0!</v>
      </c>
      <c r="AZ79" s="87" t="e">
        <f t="shared" si="34"/>
        <v>#DIV/0!</v>
      </c>
      <c r="BA79" s="87" t="e">
        <f t="shared" si="34"/>
        <v>#DIV/0!</v>
      </c>
      <c r="BB79" s="87" t="e">
        <f t="shared" si="34"/>
        <v>#DIV/0!</v>
      </c>
      <c r="BC79" s="114" t="s">
        <v>10</v>
      </c>
      <c r="BD79" s="82">
        <f t="shared" ref="BD79:CU79" si="35">AVERAGEIF($E$5:$E$53,$E79,BD$5:BD$53)</f>
        <v>0.96943511331623144</v>
      </c>
      <c r="BE79" s="82">
        <f t="shared" si="35"/>
        <v>0.99620275054194862</v>
      </c>
      <c r="BF79" s="82">
        <f t="shared" si="35"/>
        <v>1</v>
      </c>
      <c r="BG79" s="82">
        <f t="shared" si="35"/>
        <v>0.98184863825644408</v>
      </c>
      <c r="BH79" s="82">
        <f t="shared" si="35"/>
        <v>0.97965617570463448</v>
      </c>
      <c r="BI79" s="82">
        <f t="shared" si="35"/>
        <v>1.0110595538134857</v>
      </c>
      <c r="BJ79" s="82">
        <f t="shared" si="35"/>
        <v>1.0384461358570574</v>
      </c>
      <c r="BK79" s="82">
        <f t="shared" si="35"/>
        <v>1.0068687817303938</v>
      </c>
      <c r="BL79" s="82">
        <f t="shared" si="35"/>
        <v>1.0205120654969131</v>
      </c>
      <c r="BM79" s="82">
        <f t="shared" si="35"/>
        <v>1.0166689871982093</v>
      </c>
      <c r="BN79" s="82">
        <f t="shared" si="35"/>
        <v>1.0692671357703187</v>
      </c>
      <c r="BO79" s="82">
        <f t="shared" si="35"/>
        <v>1.0156660383001532</v>
      </c>
      <c r="BP79" s="82">
        <f t="shared" si="35"/>
        <v>1.0500228363065265</v>
      </c>
      <c r="BQ79" s="82">
        <f t="shared" si="35"/>
        <v>1.0350927570963537</v>
      </c>
      <c r="BR79" s="82">
        <f t="shared" si="35"/>
        <v>1.0183834206221862</v>
      </c>
      <c r="BS79" s="82">
        <f t="shared" si="35"/>
        <v>1.0027939062189162</v>
      </c>
      <c r="BT79" s="82">
        <f t="shared" si="35"/>
        <v>0.99886928007288933</v>
      </c>
      <c r="BU79" s="82">
        <f t="shared" si="35"/>
        <v>1.0192837621909929</v>
      </c>
      <c r="BV79" s="82">
        <f t="shared" si="35"/>
        <v>1.011842930252193</v>
      </c>
      <c r="BW79" s="82">
        <f t="shared" si="35"/>
        <v>1.080434011780419</v>
      </c>
      <c r="BX79" s="82">
        <f t="shared" si="35"/>
        <v>1.0692993872631957</v>
      </c>
      <c r="BY79" s="82">
        <f t="shared" si="35"/>
        <v>1.0807427517684223</v>
      </c>
      <c r="BZ79" s="82">
        <f t="shared" si="35"/>
        <v>1.0657258990479528</v>
      </c>
      <c r="CA79" s="82">
        <f t="shared" si="35"/>
        <v>1.0863836554930266</v>
      </c>
      <c r="CB79" s="82">
        <f t="shared" si="35"/>
        <v>1.0403107413750918</v>
      </c>
      <c r="CC79" s="82">
        <f t="shared" si="35"/>
        <v>1.0459077563004648</v>
      </c>
      <c r="CD79" s="82">
        <f t="shared" si="35"/>
        <v>1.0444396868118424</v>
      </c>
      <c r="CE79" s="82">
        <f t="shared" si="35"/>
        <v>1.059872767310986</v>
      </c>
      <c r="CF79" s="82">
        <f t="shared" si="35"/>
        <v>1.0844629312454122</v>
      </c>
      <c r="CG79" s="82">
        <f t="shared" si="35"/>
        <v>1.1529850746268655</v>
      </c>
      <c r="CH79" s="82" t="e">
        <f t="shared" si="35"/>
        <v>#DIV/0!</v>
      </c>
      <c r="CI79" s="82" t="e">
        <f t="shared" si="35"/>
        <v>#DIV/0!</v>
      </c>
      <c r="CJ79" s="82" t="e">
        <f t="shared" si="35"/>
        <v>#DIV/0!</v>
      </c>
      <c r="CK79" s="82" t="e">
        <f t="shared" si="35"/>
        <v>#DIV/0!</v>
      </c>
      <c r="CL79" s="82" t="e">
        <f t="shared" si="35"/>
        <v>#DIV/0!</v>
      </c>
      <c r="CM79" s="82" t="e">
        <f t="shared" si="35"/>
        <v>#DIV/0!</v>
      </c>
      <c r="CN79" s="82" t="e">
        <f t="shared" si="35"/>
        <v>#DIV/0!</v>
      </c>
      <c r="CO79" s="82" t="e">
        <f t="shared" si="35"/>
        <v>#DIV/0!</v>
      </c>
      <c r="CP79" s="82" t="e">
        <f t="shared" si="35"/>
        <v>#DIV/0!</v>
      </c>
      <c r="CQ79" s="82" t="e">
        <f t="shared" si="35"/>
        <v>#DIV/0!</v>
      </c>
      <c r="CR79" s="82" t="e">
        <f t="shared" si="35"/>
        <v>#DIV/0!</v>
      </c>
      <c r="CS79" s="82" t="e">
        <f t="shared" si="35"/>
        <v>#DIV/0!</v>
      </c>
      <c r="CT79" s="82" t="e">
        <f t="shared" si="35"/>
        <v>#DIV/0!</v>
      </c>
      <c r="CU79" s="82" t="e">
        <f t="shared" si="35"/>
        <v>#DIV/0!</v>
      </c>
      <c r="CV79" s="85"/>
    </row>
    <row r="80" spans="1:100" ht="14.25" customHeight="1">
      <c r="A80" s="129"/>
      <c r="E80" s="104"/>
      <c r="H80" s="104"/>
      <c r="I80" s="256">
        <f t="array" ref="I80">_xlfn.STDEV.P(IF($E$5:$E$53=$E79,I$5:I$53))</f>
        <v>2.3111901695879551</v>
      </c>
      <c r="J80" s="81" t="s">
        <v>12</v>
      </c>
      <c r="K80" s="90">
        <f t="array" ref="K80">_xlfn.STDEV.P(IF($E$5:$E$53=$E79,K$5:K$53))</f>
        <v>2.1169789795838794</v>
      </c>
      <c r="L80" s="90">
        <f t="array" ref="L80">_xlfn.STDEV.P(IF($E$5:$E$53=$E79,L$5:L$53))</f>
        <v>2.1137644144984544</v>
      </c>
      <c r="M80" s="90">
        <f t="array" ref="M80">_xlfn.STDEV.P(IF($E$5:$E$53=$E79,M$5:M$53))</f>
        <v>2.3111901695879551</v>
      </c>
      <c r="N80" s="90">
        <f t="array" ref="N80">_xlfn.STDEV.P(IF($E$5:$E$53=$E79,N$5:N$53))</f>
        <v>2.4360623965736172</v>
      </c>
      <c r="O80" s="90">
        <f t="array" ref="O80">_xlfn.STDEV.P(IF($E$5:$E$53=$E79,O$5:O$53))</f>
        <v>2.433433787880821</v>
      </c>
      <c r="P80" s="90">
        <f t="array" ref="P80">_xlfn.STDEV.P(IF($E$5:$E$53=$E79,P$5:P$53))</f>
        <v>2.3489572154468883</v>
      </c>
      <c r="Q80" s="90">
        <f t="array" ref="Q80">_xlfn.STDEV.P(IF($E$5:$E$53=$E79,Q$5:Q$53))</f>
        <v>2.3618636709175229</v>
      </c>
      <c r="R80" s="90">
        <f t="array" ref="R80">_xlfn.STDEV.P(IF($E$5:$E$53=$E79,R$5:R$53))</f>
        <v>2.2759613353482084</v>
      </c>
      <c r="S80" s="90">
        <f t="array" ref="S80">_xlfn.STDEV.P(IF($E$5:$E$53=$E79,S$5:S$53))</f>
        <v>1.95202459000905</v>
      </c>
      <c r="T80" s="90">
        <f t="array" ref="T80">_xlfn.STDEV.P(IF($E$5:$E$53=$E79,T$5:T$53))</f>
        <v>2.4652788888886392</v>
      </c>
      <c r="U80" s="90">
        <f t="array" ref="U80">_xlfn.STDEV.P(IF($E$5:$E$53=$E79,U$5:U$53))</f>
        <v>2.3693036951813506</v>
      </c>
      <c r="V80" s="90">
        <f t="array" ref="V80">_xlfn.STDEV.P(IF($E$5:$E$53=$E79,V$5:V$53))</f>
        <v>2.3644026729810634</v>
      </c>
      <c r="W80" s="90">
        <f t="array" ref="W80">_xlfn.STDEV.P(IF($E$5:$E$53=$E79,W$5:W$53))</f>
        <v>2.3337523433303722</v>
      </c>
      <c r="X80" s="90">
        <f t="array" ref="X80">_xlfn.STDEV.P(IF($E$5:$E$53=$E79,X$5:X$53))</f>
        <v>2.385455931263456</v>
      </c>
      <c r="Y80" s="90">
        <f t="array" ref="Y80">_xlfn.STDEV.P(IF($E$5:$E$53=$E79,Y$5:Y$53))</f>
        <v>2.4798387044322059</v>
      </c>
      <c r="Z80" s="90">
        <f t="array" ref="Z80">_xlfn.STDEV.P(IF($E$5:$E$53=$E79,Z$5:Z$53))</f>
        <v>2.231949820224461</v>
      </c>
      <c r="AA80" s="90">
        <f t="array" ref="AA80">_xlfn.STDEV.P(IF($E$5:$E$53=$E79,AA$5:AA$53))</f>
        <v>1.9032603605392511</v>
      </c>
      <c r="AB80" s="90">
        <f t="array" ref="AB80">_xlfn.STDEV.P(IF($E$5:$E$53=$E79,AB$5:AB$53))</f>
        <v>11.513748303658538</v>
      </c>
      <c r="AC80" s="90">
        <f t="array" ref="AC80">_xlfn.STDEV.P(IF($E$5:$E$53=$E79,AC$5:AC$53))</f>
        <v>11.464205162155814</v>
      </c>
      <c r="AD80" s="90">
        <f t="array" ref="AD80">_xlfn.STDEV.P(IF($E$5:$E$53=$E79,AD$5:AD$53))</f>
        <v>15.100940368069795</v>
      </c>
      <c r="AE80" s="90">
        <f t="array" ref="AE80">_xlfn.STDEV.P(IF($E$5:$E$53=$E79,AE$5:AE$53))</f>
        <v>14.924288927784797</v>
      </c>
      <c r="AF80" s="90">
        <f t="array" ref="AF80">_xlfn.STDEV.P(IF($E$5:$E$53=$E79,AF$5:AF$53))</f>
        <v>15.092329177433147</v>
      </c>
      <c r="AG80" s="90">
        <f t="array" ref="AG80">_xlfn.STDEV.P(IF($E$5:$E$53=$E79,AG$5:AG$53))</f>
        <v>14.875617634236232</v>
      </c>
      <c r="AH80" s="90">
        <f t="array" ref="AH80">_xlfn.STDEV.P(IF($E$5:$E$53=$E79,AH$5:AH$53))</f>
        <v>15.220827835567945</v>
      </c>
      <c r="AI80" s="90">
        <f t="array" ref="AI80">_xlfn.STDEV.P(IF($E$5:$E$53=$E79,AI$5:AI$53))</f>
        <v>14.551206135575153</v>
      </c>
      <c r="AJ80" s="90">
        <f t="array" ref="AJ80">_xlfn.STDEV.P(IF($E$5:$E$53=$E79,AJ$5:AJ$53))</f>
        <v>14.623761486019934</v>
      </c>
      <c r="AK80" s="90">
        <f t="array" ref="AK80">_xlfn.STDEV.P(IF($E$5:$E$53=$E79,AK$5:AK$53))</f>
        <v>14.582180906846547</v>
      </c>
      <c r="AL80" s="90">
        <f t="array" ref="AL80">_xlfn.STDEV.P(IF($E$5:$E$53=$E79,AL$5:AL$53))</f>
        <v>14.799783782204386</v>
      </c>
      <c r="AM80" s="90">
        <f t="array" ref="AM80">_xlfn.STDEV.P(IF($E$5:$E$53=$E79,AM$5:AM$53))</f>
        <v>15.162638292856556</v>
      </c>
      <c r="AN80" s="90">
        <f t="array" ref="AN80">_xlfn.STDEV.P(IF($E$5:$E$53=$E79,AN$5:AN$53))</f>
        <v>12.36</v>
      </c>
      <c r="AO80" s="90">
        <f t="array" ref="AO80">_xlfn.STDEV.P(IF($E$5:$E$53=$E79,AO$5:AO$53))</f>
        <v>0</v>
      </c>
      <c r="AP80" s="90">
        <f t="array" ref="AP80">_xlfn.STDEV.P(IF($E$5:$E$53=$E79,AP$5:AP$53))</f>
        <v>0</v>
      </c>
      <c r="AQ80" s="90">
        <f t="array" ref="AQ80">_xlfn.STDEV.P(IF($E$5:$E$53=$E79,AQ$5:AQ$53))</f>
        <v>0</v>
      </c>
      <c r="AR80" s="90">
        <f t="array" ref="AR80">_xlfn.STDEV.P(IF($E$5:$E$53=$E79,AR$5:AR$53))</f>
        <v>0</v>
      </c>
      <c r="AS80" s="90">
        <f t="array" ref="AS80">_xlfn.STDEV.P(IF($E$5:$E$53=$E79,AS$5:AS$53))</f>
        <v>0</v>
      </c>
      <c r="AT80" s="90">
        <f t="array" ref="AT80">_xlfn.STDEV.P(IF($E$5:$E$53=$E79,AT$5:AT$53))</f>
        <v>0</v>
      </c>
      <c r="AU80" s="90">
        <f t="array" ref="AU80">_xlfn.STDEV.P(IF($E$5:$E$53=$E79,AU$5:AU$53))</f>
        <v>0</v>
      </c>
      <c r="AV80" s="90">
        <f t="array" ref="AV80">_xlfn.STDEV.P(IF($E$5:$E$53=$E79,AV$5:AV$53))</f>
        <v>0</v>
      </c>
      <c r="AW80" s="90">
        <f t="array" ref="AW80">_xlfn.STDEV.P(IF($E$5:$E$53=$E79,AW$5:AW$53))</f>
        <v>0</v>
      </c>
      <c r="AX80" s="90">
        <f t="array" ref="AX80">_xlfn.STDEV.P(IF($E$5:$E$53=$E79,AX$5:AX$53))</f>
        <v>0</v>
      </c>
      <c r="AY80" s="90">
        <f t="array" ref="AY80">_xlfn.STDEV.P(IF($E$5:$E$53=$E79,AY$5:AY$53))</f>
        <v>0</v>
      </c>
      <c r="AZ80" s="90">
        <f t="array" ref="AZ80">_xlfn.STDEV.P(IF($E$5:$E$53=$E79,AZ$5:AZ$53))</f>
        <v>0</v>
      </c>
      <c r="BA80" s="90">
        <f t="array" ref="BA80">_xlfn.STDEV.P(IF($E$5:$E$53=$E79,BA$5:BA$53))</f>
        <v>0</v>
      </c>
      <c r="BB80" s="90">
        <f t="array" ref="BB80">_xlfn.STDEV.P(IF($E$5:$E$53=$E79,BB$5:BB$53))</f>
        <v>0</v>
      </c>
      <c r="BC80" s="115" t="s">
        <v>12</v>
      </c>
      <c r="BD80" s="83">
        <f t="array" ref="BD80">_xlfn.STDEV.P(IF($E$5:$E$53=$E79,BD$5:BD$53))</f>
        <v>6.5364142573151006E-3</v>
      </c>
      <c r="BE80" s="83">
        <f t="array" ref="BE80">_xlfn.STDEV.P(IF($E$5:$E$53=$E79,BE$5:BE$53))</f>
        <v>1.0488557493845078E-2</v>
      </c>
      <c r="BF80" s="83">
        <f t="array" ref="BF80">_xlfn.STDEV.P(IF($E$5:$E$53=$E79,BF$5:BF$53))</f>
        <v>0</v>
      </c>
      <c r="BG80" s="83">
        <f t="array" ref="BG80">_xlfn.STDEV.P(IF($E$5:$E$53=$E79,BG$5:BG$53))</f>
        <v>1.4766489628410198E-2</v>
      </c>
      <c r="BH80" s="83">
        <f t="array" ref="BH80">_xlfn.STDEV.P(IF($E$5:$E$53=$E79,BH$5:BH$53))</f>
        <v>1.9164451724764376E-2</v>
      </c>
      <c r="BI80" s="83">
        <f t="array" ref="BI80">_xlfn.STDEV.P(IF($E$5:$E$53=$E79,BI$5:BI$53))</f>
        <v>1.3691089337473488E-2</v>
      </c>
      <c r="BJ80" s="83">
        <f t="array" ref="BJ80">_xlfn.STDEV.P(IF($E$5:$E$53=$E79,BJ$5:BJ$53))</f>
        <v>1.0203969937329718E-2</v>
      </c>
      <c r="BK80" s="83">
        <f t="array" ref="BK80">_xlfn.STDEV.P(IF($E$5:$E$53=$E79,BK$5:BK$53))</f>
        <v>9.5021836646918562E-3</v>
      </c>
      <c r="BL80" s="83">
        <f t="array" ref="BL80">_xlfn.STDEV.P(IF($E$5:$E$53=$E79,BL$5:BL$53))</f>
        <v>1.9517292196667878E-2</v>
      </c>
      <c r="BM80" s="83">
        <f t="array" ref="BM80">_xlfn.STDEV.P(IF($E$5:$E$53=$E79,BM$5:BM$53))</f>
        <v>1.736999958072569E-2</v>
      </c>
      <c r="BN80" s="83">
        <f t="array" ref="BN80">_xlfn.STDEV.P(IF($E$5:$E$53=$E79,BN$5:BN$53))</f>
        <v>1.9753348315906718E-2</v>
      </c>
      <c r="BO80" s="83">
        <f t="array" ref="BO80">_xlfn.STDEV.P(IF($E$5:$E$53=$E79,BO$5:BO$53))</f>
        <v>2.3047784274262292E-2</v>
      </c>
      <c r="BP80" s="83">
        <f t="array" ref="BP80">_xlfn.STDEV.P(IF($E$5:$E$53=$E79,BP$5:BP$53))</f>
        <v>2.6108720542427886E-2</v>
      </c>
      <c r="BQ80" s="83">
        <f t="array" ref="BQ80">_xlfn.STDEV.P(IF($E$5:$E$53=$E79,BQ$5:BQ$53))</f>
        <v>3.1016378160013416E-2</v>
      </c>
      <c r="BR80" s="83">
        <f t="array" ref="BR80">_xlfn.STDEV.P(IF($E$5:$E$53=$E79,BR$5:BR$53))</f>
        <v>3.1309332556475909E-2</v>
      </c>
      <c r="BS80" s="83">
        <f t="array" ref="BS80">_xlfn.STDEV.P(IF($E$5:$E$53=$E79,BS$5:BS$53))</f>
        <v>2.8113305508262448E-2</v>
      </c>
      <c r="BT80" s="83">
        <f t="array" ref="BT80">_xlfn.STDEV.P(IF($E$5:$E$53=$E79,BT$5:BT$53))</f>
        <v>3.6890362494074E-2</v>
      </c>
      <c r="BU80" s="83">
        <f t="array" ref="BU80">_xlfn.STDEV.P(IF($E$5:$E$53=$E79,BU$5:BU$53))</f>
        <v>3.5296157341655227E-2</v>
      </c>
      <c r="BV80" s="83">
        <f t="array" ref="BV80">_xlfn.STDEV.P(IF($E$5:$E$53=$E79,BV$5:BV$53))</f>
        <v>4.2394431100446668E-2</v>
      </c>
      <c r="BW80" s="83">
        <f t="array" ref="BW80">_xlfn.STDEV.P(IF($E$5:$E$53=$E79,BW$5:BW$53))</f>
        <v>2.0176885653533316E-2</v>
      </c>
      <c r="BX80" s="83">
        <f t="array" ref="BX80">_xlfn.STDEV.P(IF($E$5:$E$53=$E79,BX$5:BX$53))</f>
        <v>2.8333969952219873E-2</v>
      </c>
      <c r="BY80" s="83">
        <f t="array" ref="BY80">_xlfn.STDEV.P(IF($E$5:$E$53=$E79,BY$5:BY$53))</f>
        <v>2.2767157467559397E-2</v>
      </c>
      <c r="BZ80" s="83">
        <f t="array" ref="BZ80">_xlfn.STDEV.P(IF($E$5:$E$53=$E79,BZ$5:BZ$53))</f>
        <v>2.6246931613069506E-2</v>
      </c>
      <c r="CA80" s="83">
        <f t="array" ref="CA80">_xlfn.STDEV.P(IF($E$5:$E$53=$E79,CA$5:CA$53))</f>
        <v>4.0482016148764455E-2</v>
      </c>
      <c r="CB80" s="83">
        <f t="array" ref="CB80">_xlfn.STDEV.P(IF($E$5:$E$53=$E79,CB$5:CB$53))</f>
        <v>5.6704183998042557E-2</v>
      </c>
      <c r="CC80" s="83">
        <f t="array" ref="CC80">_xlfn.STDEV.P(IF($E$5:$E$53=$E79,CC$5:CC$53))</f>
        <v>6.2301198923415679E-2</v>
      </c>
      <c r="CD80" s="83">
        <f t="array" ref="CD80">_xlfn.STDEV.P(IF($E$5:$E$53=$E79,CD$5:CD$53))</f>
        <v>9.3620014680694918E-2</v>
      </c>
      <c r="CE80" s="83">
        <f t="array" ref="CE80">_xlfn.STDEV.P(IF($E$5:$E$53=$E79,CE$5:CE$53))</f>
        <v>8.9380964032297505E-2</v>
      </c>
      <c r="CF80" s="83">
        <f t="array" ref="CF80">_xlfn.STDEV.P(IF($E$5:$E$53=$E79,CF$5:CF$53))</f>
        <v>6.4790800097871304E-2</v>
      </c>
      <c r="CG80" s="83">
        <f t="array" ref="CG80">_xlfn.STDEV.P(IF($E$5:$E$53=$E79,CG$5:CG$53))</f>
        <v>0</v>
      </c>
      <c r="CH80" s="83" t="e">
        <f t="array" ref="CH80">_xlfn.STDEV.P(IF($E$5:$E$53=$E79,CH$5:CH$53))</f>
        <v>#DIV/0!</v>
      </c>
      <c r="CI80" s="83" t="e">
        <f t="array" ref="CI80">_xlfn.STDEV.P(IF($E$5:$E$53=$E79,CI$5:CI$53))</f>
        <v>#DIV/0!</v>
      </c>
      <c r="CJ80" s="83" t="e">
        <f t="array" ref="CJ80">_xlfn.STDEV.P(IF($E$5:$E$53=$E79,CJ$5:CJ$53))</f>
        <v>#DIV/0!</v>
      </c>
      <c r="CK80" s="83" t="e">
        <f t="array" ref="CK80">_xlfn.STDEV.P(IF($E$5:$E$53=$E79,CK$5:CK$53))</f>
        <v>#DIV/0!</v>
      </c>
      <c r="CL80" s="83" t="e">
        <f t="array" ref="CL80">_xlfn.STDEV.P(IF($E$5:$E$53=$E79,CL$5:CL$53))</f>
        <v>#DIV/0!</v>
      </c>
      <c r="CM80" s="83" t="e">
        <f t="array" ref="CM80">_xlfn.STDEV.P(IF($E$5:$E$53=$E79,CM$5:CM$53))</f>
        <v>#DIV/0!</v>
      </c>
      <c r="CN80" s="83" t="e">
        <f t="array" ref="CN80">_xlfn.STDEV.P(IF($E$5:$E$53=$E79,CN$5:CN$53))</f>
        <v>#DIV/0!</v>
      </c>
      <c r="CO80" s="83" t="e">
        <f t="array" ref="CO80">_xlfn.STDEV.P(IF($E$5:$E$53=$E79,CO$5:CO$53))</f>
        <v>#DIV/0!</v>
      </c>
      <c r="CP80" s="83" t="e">
        <f t="array" ref="CP80">_xlfn.STDEV.P(IF($E$5:$E$53=$E79,CP$5:CP$53))</f>
        <v>#DIV/0!</v>
      </c>
      <c r="CQ80" s="83" t="e">
        <f t="array" ref="CQ80">_xlfn.STDEV.P(IF($E$5:$E$53=$E79,CQ$5:CQ$53))</f>
        <v>#DIV/0!</v>
      </c>
      <c r="CR80" s="83" t="e">
        <f t="array" ref="CR80">_xlfn.STDEV.P(IF($E$5:$E$53=$E79,CR$5:CR$53))</f>
        <v>#DIV/0!</v>
      </c>
      <c r="CS80" s="83" t="e">
        <f t="array" ref="CS80">_xlfn.STDEV.P(IF($E$5:$E$53=$E79,CS$5:CS$53))</f>
        <v>#DIV/0!</v>
      </c>
      <c r="CT80" s="83" t="e">
        <f t="array" ref="CT80">_xlfn.STDEV.P(IF($E$5:$E$53=$E79,CT$5:CT$53))</f>
        <v>#DIV/0!</v>
      </c>
      <c r="CU80" s="83" t="e">
        <f t="array" ref="CU80">_xlfn.STDEV.P(IF($E$5:$E$53=$E79,CU$5:CU$53))</f>
        <v>#DIV/0!</v>
      </c>
      <c r="CV80" s="85"/>
    </row>
    <row r="81" spans="1:100" ht="15">
      <c r="A81" s="129"/>
      <c r="E81" s="58"/>
      <c r="H81" s="58"/>
    </row>
    <row r="82" spans="1:100" ht="14.25" customHeight="1">
      <c r="A82" s="129"/>
      <c r="E82" s="134" t="str">
        <f>'PTX_DOSE Groups'!C14</f>
        <v>Metronomic CP-PTX</v>
      </c>
      <c r="H82" s="134" t="str">
        <f>E82</f>
        <v>Metronomic CP-PTX</v>
      </c>
      <c r="I82" s="256">
        <f>AVERAGEIF($E$5:$E$53,$E82,I$5:I$53)</f>
        <v>27.4</v>
      </c>
      <c r="J82" s="81" t="s">
        <v>10</v>
      </c>
      <c r="K82" s="87">
        <f t="shared" ref="K82:BB82" si="36">AVERAGEIF($E$5:$E$53,$E82,K$5:K$53)</f>
        <v>26.22</v>
      </c>
      <c r="L82" s="87">
        <f t="shared" si="36"/>
        <v>26.919999999999998</v>
      </c>
      <c r="M82" s="87">
        <f t="shared" si="36"/>
        <v>27.4</v>
      </c>
      <c r="N82" s="87">
        <f t="shared" si="36"/>
        <v>27.540000000000003</v>
      </c>
      <c r="O82" s="87">
        <f t="shared" si="36"/>
        <v>27.4</v>
      </c>
      <c r="P82" s="87">
        <f t="shared" si="36"/>
        <v>28.040000000000003</v>
      </c>
      <c r="Q82" s="87">
        <f t="shared" si="36"/>
        <v>28.880000000000003</v>
      </c>
      <c r="R82" s="87">
        <f t="shared" si="36"/>
        <v>27.78</v>
      </c>
      <c r="S82" s="87">
        <f t="shared" si="36"/>
        <v>25.9</v>
      </c>
      <c r="T82" s="87">
        <f t="shared" si="36"/>
        <v>26.940000000000005</v>
      </c>
      <c r="U82" s="87">
        <f t="shared" si="36"/>
        <v>28.220000000000006</v>
      </c>
      <c r="V82" s="87">
        <f t="shared" si="36"/>
        <v>26.8</v>
      </c>
      <c r="W82" s="87">
        <f t="shared" si="36"/>
        <v>27.079999999999995</v>
      </c>
      <c r="X82" s="87">
        <f t="shared" si="36"/>
        <v>26.6</v>
      </c>
      <c r="Y82" s="87">
        <f t="shared" si="36"/>
        <v>26.024999999999999</v>
      </c>
      <c r="Z82" s="87">
        <f t="shared" si="36"/>
        <v>25.95</v>
      </c>
      <c r="AA82" s="87" t="e">
        <f t="shared" si="36"/>
        <v>#DIV/0!</v>
      </c>
      <c r="AB82" s="87" t="e">
        <f t="shared" si="36"/>
        <v>#DIV/0!</v>
      </c>
      <c r="AC82" s="87" t="e">
        <f t="shared" si="36"/>
        <v>#DIV/0!</v>
      </c>
      <c r="AD82" s="87" t="e">
        <f t="shared" si="36"/>
        <v>#DIV/0!</v>
      </c>
      <c r="AE82" s="87" t="e">
        <f t="shared" si="36"/>
        <v>#DIV/0!</v>
      </c>
      <c r="AF82" s="87" t="e">
        <f t="shared" si="36"/>
        <v>#DIV/0!</v>
      </c>
      <c r="AG82" s="87" t="e">
        <f t="shared" si="36"/>
        <v>#DIV/0!</v>
      </c>
      <c r="AH82" s="87" t="e">
        <f t="shared" si="36"/>
        <v>#DIV/0!</v>
      </c>
      <c r="AI82" s="87" t="e">
        <f t="shared" si="36"/>
        <v>#DIV/0!</v>
      </c>
      <c r="AJ82" s="87" t="e">
        <f t="shared" si="36"/>
        <v>#DIV/0!</v>
      </c>
      <c r="AK82" s="87" t="e">
        <f t="shared" si="36"/>
        <v>#DIV/0!</v>
      </c>
      <c r="AL82" s="87" t="e">
        <f t="shared" si="36"/>
        <v>#DIV/0!</v>
      </c>
      <c r="AM82" s="87" t="e">
        <f t="shared" si="36"/>
        <v>#DIV/0!</v>
      </c>
      <c r="AN82" s="87" t="e">
        <f t="shared" si="36"/>
        <v>#DIV/0!</v>
      </c>
      <c r="AO82" s="87" t="e">
        <f t="shared" si="36"/>
        <v>#DIV/0!</v>
      </c>
      <c r="AP82" s="87" t="e">
        <f t="shared" si="36"/>
        <v>#DIV/0!</v>
      </c>
      <c r="AQ82" s="87" t="e">
        <f t="shared" si="36"/>
        <v>#DIV/0!</v>
      </c>
      <c r="AR82" s="87" t="e">
        <f t="shared" si="36"/>
        <v>#DIV/0!</v>
      </c>
      <c r="AS82" s="87" t="e">
        <f t="shared" si="36"/>
        <v>#DIV/0!</v>
      </c>
      <c r="AT82" s="87" t="e">
        <f t="shared" si="36"/>
        <v>#DIV/0!</v>
      </c>
      <c r="AU82" s="87" t="e">
        <f t="shared" si="36"/>
        <v>#DIV/0!</v>
      </c>
      <c r="AV82" s="87" t="e">
        <f t="shared" si="36"/>
        <v>#DIV/0!</v>
      </c>
      <c r="AW82" s="87" t="e">
        <f t="shared" si="36"/>
        <v>#DIV/0!</v>
      </c>
      <c r="AX82" s="87" t="e">
        <f t="shared" si="36"/>
        <v>#DIV/0!</v>
      </c>
      <c r="AY82" s="87" t="e">
        <f t="shared" si="36"/>
        <v>#DIV/0!</v>
      </c>
      <c r="AZ82" s="87" t="e">
        <f t="shared" si="36"/>
        <v>#DIV/0!</v>
      </c>
      <c r="BA82" s="87" t="e">
        <f t="shared" si="36"/>
        <v>#DIV/0!</v>
      </c>
      <c r="BB82" s="87" t="e">
        <f t="shared" si="36"/>
        <v>#DIV/0!</v>
      </c>
      <c r="BC82" s="114" t="s">
        <v>10</v>
      </c>
      <c r="BD82" s="82">
        <f t="shared" ref="BD82:CU82" si="37">AVERAGEIF($E$5:$E$53,$E82,BD$5:BD$53)</f>
        <v>0.9569288214697268</v>
      </c>
      <c r="BE82" s="82">
        <f t="shared" si="37"/>
        <v>0.98177216007356416</v>
      </c>
      <c r="BF82" s="82">
        <f t="shared" si="37"/>
        <v>1</v>
      </c>
      <c r="BG82" s="82">
        <f t="shared" si="37"/>
        <v>1.0049411490971216</v>
      </c>
      <c r="BH82" s="82">
        <f t="shared" si="37"/>
        <v>0.99882109700697796</v>
      </c>
      <c r="BI82" s="82">
        <f t="shared" si="37"/>
        <v>1.024496439595225</v>
      </c>
      <c r="BJ82" s="82">
        <f t="shared" si="37"/>
        <v>1.0549587084929186</v>
      </c>
      <c r="BK82" s="82">
        <f t="shared" si="37"/>
        <v>1.0142650347640119</v>
      </c>
      <c r="BL82" s="82">
        <f t="shared" si="37"/>
        <v>0.94583296987624599</v>
      </c>
      <c r="BM82" s="82">
        <f t="shared" si="37"/>
        <v>0.98274618737809283</v>
      </c>
      <c r="BN82" s="82">
        <f t="shared" si="37"/>
        <v>1.0330870930229996</v>
      </c>
      <c r="BO82" s="82">
        <f t="shared" si="37"/>
        <v>0.98054310824193158</v>
      </c>
      <c r="BP82" s="82">
        <f t="shared" si="37"/>
        <v>0.99115107070744612</v>
      </c>
      <c r="BQ82" s="82">
        <f t="shared" si="37"/>
        <v>0.97434041677268701</v>
      </c>
      <c r="BR82" s="82">
        <f t="shared" si="37"/>
        <v>0.95967670188606369</v>
      </c>
      <c r="BS82" s="82">
        <f t="shared" si="37"/>
        <v>0.95621138754383028</v>
      </c>
      <c r="BT82" s="82" t="e">
        <f t="shared" si="37"/>
        <v>#DIV/0!</v>
      </c>
      <c r="BU82" s="82" t="e">
        <f t="shared" si="37"/>
        <v>#DIV/0!</v>
      </c>
      <c r="BV82" s="82" t="e">
        <f t="shared" si="37"/>
        <v>#DIV/0!</v>
      </c>
      <c r="BW82" s="82" t="e">
        <f t="shared" si="37"/>
        <v>#DIV/0!</v>
      </c>
      <c r="BX82" s="82" t="e">
        <f t="shared" si="37"/>
        <v>#DIV/0!</v>
      </c>
      <c r="BY82" s="82" t="e">
        <f t="shared" si="37"/>
        <v>#DIV/0!</v>
      </c>
      <c r="BZ82" s="82" t="e">
        <f t="shared" si="37"/>
        <v>#DIV/0!</v>
      </c>
      <c r="CA82" s="82" t="e">
        <f t="shared" si="37"/>
        <v>#DIV/0!</v>
      </c>
      <c r="CB82" s="82" t="e">
        <f t="shared" si="37"/>
        <v>#DIV/0!</v>
      </c>
      <c r="CC82" s="82" t="e">
        <f t="shared" si="37"/>
        <v>#DIV/0!</v>
      </c>
      <c r="CD82" s="82" t="e">
        <f t="shared" si="37"/>
        <v>#DIV/0!</v>
      </c>
      <c r="CE82" s="82" t="e">
        <f t="shared" si="37"/>
        <v>#DIV/0!</v>
      </c>
      <c r="CF82" s="82" t="e">
        <f t="shared" si="37"/>
        <v>#DIV/0!</v>
      </c>
      <c r="CG82" s="82" t="e">
        <f t="shared" si="37"/>
        <v>#DIV/0!</v>
      </c>
      <c r="CH82" s="82" t="e">
        <f t="shared" si="37"/>
        <v>#DIV/0!</v>
      </c>
      <c r="CI82" s="82" t="e">
        <f t="shared" si="37"/>
        <v>#DIV/0!</v>
      </c>
      <c r="CJ82" s="82" t="e">
        <f t="shared" si="37"/>
        <v>#DIV/0!</v>
      </c>
      <c r="CK82" s="82" t="e">
        <f t="shared" si="37"/>
        <v>#DIV/0!</v>
      </c>
      <c r="CL82" s="82" t="e">
        <f t="shared" si="37"/>
        <v>#DIV/0!</v>
      </c>
      <c r="CM82" s="82" t="e">
        <f t="shared" si="37"/>
        <v>#DIV/0!</v>
      </c>
      <c r="CN82" s="82" t="e">
        <f t="shared" si="37"/>
        <v>#DIV/0!</v>
      </c>
      <c r="CO82" s="82" t="e">
        <f t="shared" si="37"/>
        <v>#DIV/0!</v>
      </c>
      <c r="CP82" s="82" t="e">
        <f t="shared" si="37"/>
        <v>#DIV/0!</v>
      </c>
      <c r="CQ82" s="82" t="e">
        <f t="shared" si="37"/>
        <v>#DIV/0!</v>
      </c>
      <c r="CR82" s="82" t="e">
        <f t="shared" si="37"/>
        <v>#DIV/0!</v>
      </c>
      <c r="CS82" s="82" t="e">
        <f t="shared" si="37"/>
        <v>#DIV/0!</v>
      </c>
      <c r="CT82" s="82" t="e">
        <f t="shared" si="37"/>
        <v>#DIV/0!</v>
      </c>
      <c r="CU82" s="82" t="e">
        <f t="shared" si="37"/>
        <v>#DIV/0!</v>
      </c>
      <c r="CV82" s="85"/>
    </row>
    <row r="83" spans="1:100" ht="14.25" customHeight="1">
      <c r="A83" s="129"/>
      <c r="E83" s="134"/>
      <c r="H83" s="104"/>
      <c r="I83" s="256">
        <f t="array" ref="I83">_xlfn.STDEV.P(IF($E$5:$E$53=$E82,I$5:I$53))</f>
        <v>3.2954514106567943</v>
      </c>
      <c r="J83" s="81" t="s">
        <v>12</v>
      </c>
      <c r="K83" s="90">
        <f t="array" ref="K83">_xlfn.STDEV.P(IF($E$5:$E$53=$E82,K$5:K$53))</f>
        <v>3.1764130713747014</v>
      </c>
      <c r="L83" s="90">
        <f t="array" ref="L83">_xlfn.STDEV.P(IF($E$5:$E$53=$E82,L$5:L$53))</f>
        <v>3.4718294889006294</v>
      </c>
      <c r="M83" s="90">
        <f t="array" ref="M83">_xlfn.STDEV.P(IF($E$5:$E$53=$E82,M$5:M$53))</f>
        <v>3.2954514106567943</v>
      </c>
      <c r="N83" s="90">
        <f t="array" ref="N83">_xlfn.STDEV.P(IF($E$5:$E$53=$E82,N$5:N$53))</f>
        <v>3.3749666665020248</v>
      </c>
      <c r="O83" s="90">
        <f t="array" ref="O83">_xlfn.STDEV.P(IF($E$5:$E$53=$E82,O$5:O$53))</f>
        <v>3.5944401511222859</v>
      </c>
      <c r="P83" s="90">
        <f t="array" ref="P83">_xlfn.STDEV.P(IF($E$5:$E$53=$E82,P$5:P$53))</f>
        <v>3.1714980687365739</v>
      </c>
      <c r="Q83" s="90">
        <f t="array" ref="Q83">_xlfn.STDEV.P(IF($E$5:$E$53=$E82,Q$5:Q$53))</f>
        <v>3.3258983748755817</v>
      </c>
      <c r="R83" s="90">
        <f t="array" ref="R83">_xlfn.STDEV.P(IF($E$5:$E$53=$E82,R$5:R$53))</f>
        <v>3.403174988154428</v>
      </c>
      <c r="S83" s="90">
        <f t="array" ref="S83">_xlfn.STDEV.P(IF($E$5:$E$53=$E82,S$5:S$53))</f>
        <v>4.1487347468836777</v>
      </c>
      <c r="T83" s="90">
        <f t="array" ref="T83">_xlfn.STDEV.P(IF($E$5:$E$53=$E82,T$5:T$53))</f>
        <v>3.3932874915043492</v>
      </c>
      <c r="U83" s="90">
        <f t="array" ref="U83">_xlfn.STDEV.P(IF($E$5:$E$53=$E82,U$5:U$53))</f>
        <v>2.7213232075591467</v>
      </c>
      <c r="V83" s="90">
        <f t="array" ref="V83">_xlfn.STDEV.P(IF($E$5:$E$53=$E82,V$5:V$53))</f>
        <v>2.7964262908219126</v>
      </c>
      <c r="W83" s="90">
        <f t="array" ref="W83">_xlfn.STDEV.P(IF($E$5:$E$53=$E82,W$5:W$53))</f>
        <v>2.8526478927481111</v>
      </c>
      <c r="X83" s="90">
        <f t="array" ref="X83">_xlfn.STDEV.P(IF($E$5:$E$53=$E82,X$5:X$53))</f>
        <v>2.6929537686339828</v>
      </c>
      <c r="Y83" s="90">
        <f t="array" ref="Y83">_xlfn.STDEV.P(IF($E$5:$E$53=$E82,Y$5:Y$53))</f>
        <v>10.706521377179424</v>
      </c>
      <c r="Z83" s="90">
        <f t="array" ref="Z83">_xlfn.STDEV.P(IF($E$5:$E$53=$E82,Z$5:Z$53))</f>
        <v>12.968330655870862</v>
      </c>
      <c r="AA83" s="90">
        <f t="array" ref="AA83">_xlfn.STDEV.P(IF($E$5:$E$53=$E82,AA$5:AA$53))</f>
        <v>0</v>
      </c>
      <c r="AB83" s="90">
        <f t="array" ref="AB83">_xlfn.STDEV.P(IF($E$5:$E$53=$E82,AB$5:AB$53))</f>
        <v>0</v>
      </c>
      <c r="AC83" s="90">
        <f t="array" ref="AC83">_xlfn.STDEV.P(IF($E$5:$E$53=$E82,AC$5:AC$53))</f>
        <v>0</v>
      </c>
      <c r="AD83" s="90">
        <f t="array" ref="AD83">_xlfn.STDEV.P(IF($E$5:$E$53=$E82,AD$5:AD$53))</f>
        <v>0</v>
      </c>
      <c r="AE83" s="90">
        <f t="array" ref="AE83">_xlfn.STDEV.P(IF($E$5:$E$53=$E82,AE$5:AE$53))</f>
        <v>0</v>
      </c>
      <c r="AF83" s="90">
        <f t="array" ref="AF83">_xlfn.STDEV.P(IF($E$5:$E$53=$E82,AF$5:AF$53))</f>
        <v>0</v>
      </c>
      <c r="AG83" s="90">
        <f t="array" ref="AG83">_xlfn.STDEV.P(IF($E$5:$E$53=$E82,AG$5:AG$53))</f>
        <v>0</v>
      </c>
      <c r="AH83" s="90">
        <f t="array" ref="AH83">_xlfn.STDEV.P(IF($E$5:$E$53=$E82,AH$5:AH$53))</f>
        <v>0</v>
      </c>
      <c r="AI83" s="90">
        <f t="array" ref="AI83">_xlfn.STDEV.P(IF($E$5:$E$53=$E82,AI$5:AI$53))</f>
        <v>0</v>
      </c>
      <c r="AJ83" s="90">
        <f t="array" ref="AJ83">_xlfn.STDEV.P(IF($E$5:$E$53=$E82,AJ$5:AJ$53))</f>
        <v>0</v>
      </c>
      <c r="AK83" s="90">
        <f t="array" ref="AK83">_xlfn.STDEV.P(IF($E$5:$E$53=$E82,AK$5:AK$53))</f>
        <v>0</v>
      </c>
      <c r="AL83" s="90">
        <f t="array" ref="AL83">_xlfn.STDEV.P(IF($E$5:$E$53=$E82,AL$5:AL$53))</f>
        <v>0</v>
      </c>
      <c r="AM83" s="90">
        <f t="array" ref="AM83">_xlfn.STDEV.P(IF($E$5:$E$53=$E82,AM$5:AM$53))</f>
        <v>0</v>
      </c>
      <c r="AN83" s="90">
        <f t="array" ref="AN83">_xlfn.STDEV.P(IF($E$5:$E$53=$E82,AN$5:AN$53))</f>
        <v>0</v>
      </c>
      <c r="AO83" s="90">
        <f t="array" ref="AO83">_xlfn.STDEV.P(IF($E$5:$E$53=$E82,AO$5:AO$53))</f>
        <v>0</v>
      </c>
      <c r="AP83" s="90">
        <f t="array" ref="AP83">_xlfn.STDEV.P(IF($E$5:$E$53=$E82,AP$5:AP$53))</f>
        <v>0</v>
      </c>
      <c r="AQ83" s="90">
        <f t="array" ref="AQ83">_xlfn.STDEV.P(IF($E$5:$E$53=$E82,AQ$5:AQ$53))</f>
        <v>0</v>
      </c>
      <c r="AR83" s="90">
        <f t="array" ref="AR83">_xlfn.STDEV.P(IF($E$5:$E$53=$E82,AR$5:AR$53))</f>
        <v>0</v>
      </c>
      <c r="AS83" s="90">
        <f t="array" ref="AS83">_xlfn.STDEV.P(IF($E$5:$E$53=$E82,AS$5:AS$53))</f>
        <v>0</v>
      </c>
      <c r="AT83" s="90">
        <f t="array" ref="AT83">_xlfn.STDEV.P(IF($E$5:$E$53=$E82,AT$5:AT$53))</f>
        <v>0</v>
      </c>
      <c r="AU83" s="90">
        <f t="array" ref="AU83">_xlfn.STDEV.P(IF($E$5:$E$53=$E82,AU$5:AU$53))</f>
        <v>0</v>
      </c>
      <c r="AV83" s="90">
        <f t="array" ref="AV83">_xlfn.STDEV.P(IF($E$5:$E$53=$E82,AV$5:AV$53))</f>
        <v>0</v>
      </c>
      <c r="AW83" s="90">
        <f t="array" ref="AW83">_xlfn.STDEV.P(IF($E$5:$E$53=$E82,AW$5:AW$53))</f>
        <v>0</v>
      </c>
      <c r="AX83" s="90">
        <f t="array" ref="AX83">_xlfn.STDEV.P(IF($E$5:$E$53=$E82,AX$5:AX$53))</f>
        <v>0</v>
      </c>
      <c r="AY83" s="90">
        <f t="array" ref="AY83">_xlfn.STDEV.P(IF($E$5:$E$53=$E82,AY$5:AY$53))</f>
        <v>0</v>
      </c>
      <c r="AZ83" s="90">
        <f t="array" ref="AZ83">_xlfn.STDEV.P(IF($E$5:$E$53=$E82,AZ$5:AZ$53))</f>
        <v>0</v>
      </c>
      <c r="BA83" s="90">
        <f t="array" ref="BA83">_xlfn.STDEV.P(IF($E$5:$E$53=$E82,BA$5:BA$53))</f>
        <v>0</v>
      </c>
      <c r="BB83" s="90">
        <f t="array" ref="BB83">_xlfn.STDEV.P(IF($E$5:$E$53=$E82,BB$5:BB$53))</f>
        <v>0</v>
      </c>
      <c r="BC83" s="115" t="s">
        <v>12</v>
      </c>
      <c r="BD83" s="83">
        <f t="array" ref="BD83">_xlfn.STDEV.P(IF($E$5:$E$53=$E82,BD$5:BD$53))</f>
        <v>1.0349799375157277E-2</v>
      </c>
      <c r="BE83" s="83">
        <f t="array" ref="BE83">_xlfn.STDEV.P(IF($E$5:$E$53=$E82,BE$5:BE$53))</f>
        <v>2.0693631318164346E-2</v>
      </c>
      <c r="BF83" s="83">
        <f t="array" ref="BF83">_xlfn.STDEV.P(IF($E$5:$E$53=$E82,BF$5:BF$53))</f>
        <v>0</v>
      </c>
      <c r="BG83" s="83">
        <f t="array" ref="BG83">_xlfn.STDEV.P(IF($E$5:$E$53=$E82,BG$5:BG$53))</f>
        <v>1.4891309042935306E-2</v>
      </c>
      <c r="BH83" s="83">
        <f t="array" ref="BH83">_xlfn.STDEV.P(IF($E$5:$E$53=$E82,BH$5:BH$53))</f>
        <v>2.8442822031396794E-2</v>
      </c>
      <c r="BI83" s="83">
        <f t="array" ref="BI83">_xlfn.STDEV.P(IF($E$5:$E$53=$E82,BI$5:BI$53))</f>
        <v>2.6899989737524728E-2</v>
      </c>
      <c r="BJ83" s="83">
        <f t="array" ref="BJ83">_xlfn.STDEV.P(IF($E$5:$E$53=$E82,BJ$5:BJ$53))</f>
        <v>2.8589866096192521E-2</v>
      </c>
      <c r="BK83" s="83">
        <f t="array" ref="BK83">_xlfn.STDEV.P(IF($E$5:$E$53=$E82,BK$5:BK$53))</f>
        <v>4.328366100041188E-2</v>
      </c>
      <c r="BL83" s="83">
        <f t="array" ref="BL83">_xlfn.STDEV.P(IF($E$5:$E$53=$E82,BL$5:BL$53))</f>
        <v>0.10378248338209289</v>
      </c>
      <c r="BM83" s="83">
        <f t="array" ref="BM83">_xlfn.STDEV.P(IF($E$5:$E$53=$E82,BM$5:BM$53))</f>
        <v>2.5194290238977388E-2</v>
      </c>
      <c r="BN83" s="83">
        <f t="array" ref="BN83">_xlfn.STDEV.P(IF($E$5:$E$53=$E82,BN$5:BN$53))</f>
        <v>2.7624426966465748E-2</v>
      </c>
      <c r="BO83" s="83">
        <f t="array" ref="BO83">_xlfn.STDEV.P(IF($E$5:$E$53=$E82,BO$5:BO$53))</f>
        <v>3.1375063903166168E-2</v>
      </c>
      <c r="BP83" s="83">
        <f t="array" ref="BP83">_xlfn.STDEV.P(IF($E$5:$E$53=$E82,BP$5:BP$53))</f>
        <v>4.0293271526076417E-2</v>
      </c>
      <c r="BQ83" s="83">
        <f t="array" ref="BQ83">_xlfn.STDEV.P(IF($E$5:$E$53=$E82,BQ$5:BQ$53))</f>
        <v>4.7161414912613477E-2</v>
      </c>
      <c r="BR83" s="83">
        <f t="array" ref="BR83">_xlfn.STDEV.P(IF($E$5:$E$53=$E82,BR$5:BR$53))</f>
        <v>4.7365198295561468E-2</v>
      </c>
      <c r="BS83" s="83">
        <f t="array" ref="BS83">_xlfn.STDEV.P(IF($E$5:$E$53=$E82,BS$5:BS$53))</f>
        <v>1.281516112873593E-2</v>
      </c>
      <c r="BT83" s="83" t="e">
        <f t="array" ref="BT83">_xlfn.STDEV.P(IF($E$5:$E$53=$E82,BT$5:BT$53))</f>
        <v>#DIV/0!</v>
      </c>
      <c r="BU83" s="83" t="e">
        <f t="array" ref="BU83">_xlfn.STDEV.P(IF($E$5:$E$53=$E82,BU$5:BU$53))</f>
        <v>#DIV/0!</v>
      </c>
      <c r="BV83" s="83" t="e">
        <f t="array" ref="BV83">_xlfn.STDEV.P(IF($E$5:$E$53=$E82,BV$5:BV$53))</f>
        <v>#DIV/0!</v>
      </c>
      <c r="BW83" s="83" t="e">
        <f t="array" ref="BW83">_xlfn.STDEV.P(IF($E$5:$E$53=$E82,BW$5:BW$53))</f>
        <v>#DIV/0!</v>
      </c>
      <c r="BX83" s="83" t="e">
        <f t="array" ref="BX83">_xlfn.STDEV.P(IF($E$5:$E$53=$E82,BX$5:BX$53))</f>
        <v>#DIV/0!</v>
      </c>
      <c r="BY83" s="83" t="e">
        <f t="array" ref="BY83">_xlfn.STDEV.P(IF($E$5:$E$53=$E82,BY$5:BY$53))</f>
        <v>#DIV/0!</v>
      </c>
      <c r="BZ83" s="83" t="e">
        <f t="array" ref="BZ83">_xlfn.STDEV.P(IF($E$5:$E$53=$E82,BZ$5:BZ$53))</f>
        <v>#DIV/0!</v>
      </c>
      <c r="CA83" s="83" t="e">
        <f t="array" ref="CA83">_xlfn.STDEV.P(IF($E$5:$E$53=$E82,CA$5:CA$53))</f>
        <v>#DIV/0!</v>
      </c>
      <c r="CB83" s="83" t="e">
        <f t="array" ref="CB83">_xlfn.STDEV.P(IF($E$5:$E$53=$E82,CB$5:CB$53))</f>
        <v>#DIV/0!</v>
      </c>
      <c r="CC83" s="83" t="e">
        <f t="array" ref="CC83">_xlfn.STDEV.P(IF($E$5:$E$53=$E82,CC$5:CC$53))</f>
        <v>#DIV/0!</v>
      </c>
      <c r="CD83" s="83" t="e">
        <f t="array" ref="CD83">_xlfn.STDEV.P(IF($E$5:$E$53=$E82,CD$5:CD$53))</f>
        <v>#DIV/0!</v>
      </c>
      <c r="CE83" s="83" t="e">
        <f t="array" ref="CE83">_xlfn.STDEV.P(IF($E$5:$E$53=$E82,CE$5:CE$53))</f>
        <v>#DIV/0!</v>
      </c>
      <c r="CF83" s="83" t="e">
        <f t="array" ref="CF83">_xlfn.STDEV.P(IF($E$5:$E$53=$E82,CF$5:CF$53))</f>
        <v>#DIV/0!</v>
      </c>
      <c r="CG83" s="83" t="e">
        <f t="array" ref="CG83">_xlfn.STDEV.P(IF($E$5:$E$53=$E82,CG$5:CG$53))</f>
        <v>#DIV/0!</v>
      </c>
      <c r="CH83" s="83" t="e">
        <f t="array" ref="CH83">_xlfn.STDEV.P(IF($E$5:$E$53=$E82,CH$5:CH$53))</f>
        <v>#DIV/0!</v>
      </c>
      <c r="CI83" s="83" t="e">
        <f t="array" ref="CI83">_xlfn.STDEV.P(IF($E$5:$E$53=$E82,CI$5:CI$53))</f>
        <v>#DIV/0!</v>
      </c>
      <c r="CJ83" s="83" t="e">
        <f t="array" ref="CJ83">_xlfn.STDEV.P(IF($E$5:$E$53=$E82,CJ$5:CJ$53))</f>
        <v>#DIV/0!</v>
      </c>
      <c r="CK83" s="83" t="e">
        <f t="array" ref="CK83">_xlfn.STDEV.P(IF($E$5:$E$53=$E82,CK$5:CK$53))</f>
        <v>#DIV/0!</v>
      </c>
      <c r="CL83" s="83" t="e">
        <f t="array" ref="CL83">_xlfn.STDEV.P(IF($E$5:$E$53=$E82,CL$5:CL$53))</f>
        <v>#DIV/0!</v>
      </c>
      <c r="CM83" s="83" t="e">
        <f t="array" ref="CM83">_xlfn.STDEV.P(IF($E$5:$E$53=$E82,CM$5:CM$53))</f>
        <v>#DIV/0!</v>
      </c>
      <c r="CN83" s="83" t="e">
        <f t="array" ref="CN83">_xlfn.STDEV.P(IF($E$5:$E$53=$E82,CN$5:CN$53))</f>
        <v>#DIV/0!</v>
      </c>
      <c r="CO83" s="83" t="e">
        <f t="array" ref="CO83">_xlfn.STDEV.P(IF($E$5:$E$53=$E82,CO$5:CO$53))</f>
        <v>#DIV/0!</v>
      </c>
      <c r="CP83" s="83" t="e">
        <f t="array" ref="CP83">_xlfn.STDEV.P(IF($E$5:$E$53=$E82,CP$5:CP$53))</f>
        <v>#DIV/0!</v>
      </c>
      <c r="CQ83" s="83" t="e">
        <f t="array" ref="CQ83">_xlfn.STDEV.P(IF($E$5:$E$53=$E82,CQ$5:CQ$53))</f>
        <v>#DIV/0!</v>
      </c>
      <c r="CR83" s="83" t="e">
        <f t="array" ref="CR83">_xlfn.STDEV.P(IF($E$5:$E$53=$E82,CR$5:CR$53))</f>
        <v>#DIV/0!</v>
      </c>
      <c r="CS83" s="83" t="e">
        <f t="array" ref="CS83">_xlfn.STDEV.P(IF($E$5:$E$53=$E82,CS$5:CS$53))</f>
        <v>#DIV/0!</v>
      </c>
      <c r="CT83" s="83" t="e">
        <f t="array" ref="CT83">_xlfn.STDEV.P(IF($E$5:$E$53=$E82,CT$5:CT$53))</f>
        <v>#DIV/0!</v>
      </c>
      <c r="CU83" s="83" t="e">
        <f t="array" ref="CU83">_xlfn.STDEV.P(IF($E$5:$E$53=$E82,CU$5:CU$53))</f>
        <v>#DIV/0!</v>
      </c>
      <c r="CV83" s="85"/>
    </row>
    <row r="84" spans="1:100" ht="15">
      <c r="A84" s="129"/>
      <c r="E84" s="134"/>
      <c r="H84" s="58"/>
    </row>
    <row r="85" spans="1:100" ht="14.25" customHeight="1">
      <c r="A85" s="129"/>
      <c r="E85" s="134" t="str">
        <f>'PTX_DOSE Groups'!C15</f>
        <v>Metronomic Combotherapy</v>
      </c>
      <c r="H85" s="134" t="str">
        <f>E85</f>
        <v>Metronomic Combotherapy</v>
      </c>
      <c r="I85" s="256">
        <f>AVERAGEIF($E$5:$E$53,$E85,I$5:I$53)</f>
        <v>28.340000000000003</v>
      </c>
      <c r="J85" s="81" t="s">
        <v>10</v>
      </c>
      <c r="K85" s="87">
        <f t="shared" ref="K85:BB85" si="38">AVERAGEIF($E$5:$E$53,$E85,K$5:K$53)</f>
        <v>27.54</v>
      </c>
      <c r="L85" s="87">
        <f t="shared" si="38"/>
        <v>28.52</v>
      </c>
      <c r="M85" s="87">
        <f t="shared" si="38"/>
        <v>28.340000000000003</v>
      </c>
      <c r="N85" s="87">
        <f t="shared" si="38"/>
        <v>28.580000000000002</v>
      </c>
      <c r="O85" s="87">
        <f t="shared" si="38"/>
        <v>28.48</v>
      </c>
      <c r="P85" s="87">
        <f t="shared" si="38"/>
        <v>29.279999999999994</v>
      </c>
      <c r="Q85" s="87">
        <f t="shared" si="38"/>
        <v>29.68</v>
      </c>
      <c r="R85" s="87">
        <f t="shared" si="38"/>
        <v>29.080000000000002</v>
      </c>
      <c r="S85" s="87">
        <f t="shared" si="38"/>
        <v>29.119999999999997</v>
      </c>
      <c r="T85" s="87">
        <f t="shared" si="38"/>
        <v>28.860000000000003</v>
      </c>
      <c r="U85" s="87">
        <f t="shared" si="38"/>
        <v>30.26</v>
      </c>
      <c r="V85" s="87">
        <f t="shared" si="38"/>
        <v>29.140000000000004</v>
      </c>
      <c r="W85" s="87">
        <f t="shared" si="38"/>
        <v>29.98</v>
      </c>
      <c r="X85" s="87">
        <f t="shared" si="38"/>
        <v>29.96</v>
      </c>
      <c r="Y85" s="87">
        <f t="shared" si="38"/>
        <v>29.919999999999998</v>
      </c>
      <c r="Z85" s="87">
        <f t="shared" si="38"/>
        <v>29.4</v>
      </c>
      <c r="AA85" s="87">
        <f t="shared" si="38"/>
        <v>29.419999999999998</v>
      </c>
      <c r="AB85" s="87">
        <f t="shared" si="38"/>
        <v>28.939999999999998</v>
      </c>
      <c r="AC85" s="87">
        <f t="shared" si="38"/>
        <v>29.32</v>
      </c>
      <c r="AD85" s="87">
        <f t="shared" si="38"/>
        <v>30.580000000000002</v>
      </c>
      <c r="AE85" s="87">
        <f t="shared" si="38"/>
        <v>29.98</v>
      </c>
      <c r="AF85" s="87">
        <f t="shared" si="38"/>
        <v>30.4</v>
      </c>
      <c r="AG85" s="87">
        <f t="shared" si="38"/>
        <v>29.620000000000005</v>
      </c>
      <c r="AH85" s="87">
        <f t="shared" si="38"/>
        <v>32.5</v>
      </c>
      <c r="AI85" s="87">
        <f t="shared" si="38"/>
        <v>31.7</v>
      </c>
      <c r="AJ85" s="87">
        <f t="shared" si="38"/>
        <v>31.9</v>
      </c>
      <c r="AK85" s="87">
        <f t="shared" si="38"/>
        <v>32.299999999999997</v>
      </c>
      <c r="AL85" s="87" t="e">
        <f t="shared" si="38"/>
        <v>#DIV/0!</v>
      </c>
      <c r="AM85" s="87" t="e">
        <f t="shared" si="38"/>
        <v>#DIV/0!</v>
      </c>
      <c r="AN85" s="87" t="e">
        <f t="shared" si="38"/>
        <v>#DIV/0!</v>
      </c>
      <c r="AO85" s="87" t="e">
        <f t="shared" si="38"/>
        <v>#DIV/0!</v>
      </c>
      <c r="AP85" s="87" t="e">
        <f t="shared" si="38"/>
        <v>#DIV/0!</v>
      </c>
      <c r="AQ85" s="87" t="e">
        <f t="shared" si="38"/>
        <v>#DIV/0!</v>
      </c>
      <c r="AR85" s="87" t="e">
        <f t="shared" si="38"/>
        <v>#DIV/0!</v>
      </c>
      <c r="AS85" s="87" t="e">
        <f t="shared" si="38"/>
        <v>#DIV/0!</v>
      </c>
      <c r="AT85" s="87" t="e">
        <f t="shared" si="38"/>
        <v>#DIV/0!</v>
      </c>
      <c r="AU85" s="87" t="e">
        <f t="shared" si="38"/>
        <v>#DIV/0!</v>
      </c>
      <c r="AV85" s="87" t="e">
        <f t="shared" si="38"/>
        <v>#DIV/0!</v>
      </c>
      <c r="AW85" s="87" t="e">
        <f t="shared" si="38"/>
        <v>#DIV/0!</v>
      </c>
      <c r="AX85" s="87" t="e">
        <f t="shared" si="38"/>
        <v>#DIV/0!</v>
      </c>
      <c r="AY85" s="87" t="e">
        <f t="shared" si="38"/>
        <v>#DIV/0!</v>
      </c>
      <c r="AZ85" s="87" t="e">
        <f t="shared" si="38"/>
        <v>#DIV/0!</v>
      </c>
      <c r="BA85" s="87" t="e">
        <f t="shared" si="38"/>
        <v>#DIV/0!</v>
      </c>
      <c r="BB85" s="87" t="e">
        <f t="shared" si="38"/>
        <v>#DIV/0!</v>
      </c>
      <c r="BC85" s="114" t="s">
        <v>10</v>
      </c>
      <c r="BD85" s="82">
        <f t="shared" ref="BD85:CU85" si="39">AVERAGEIF($E$5:$E$53,$E85,BD$5:BD$53)</f>
        <v>0.9722453367142283</v>
      </c>
      <c r="BE85" s="82">
        <f t="shared" si="39"/>
        <v>1.0067644873726145</v>
      </c>
      <c r="BF85" s="82">
        <f t="shared" si="39"/>
        <v>1</v>
      </c>
      <c r="BG85" s="82">
        <f t="shared" si="39"/>
        <v>1.0095847373346292</v>
      </c>
      <c r="BH85" s="82">
        <f t="shared" si="39"/>
        <v>1.0054333904564798</v>
      </c>
      <c r="BI85" s="82">
        <f t="shared" si="39"/>
        <v>1.0338026408563121</v>
      </c>
      <c r="BJ85" s="82">
        <f t="shared" si="39"/>
        <v>1.0477873474026211</v>
      </c>
      <c r="BK85" s="82">
        <f t="shared" si="39"/>
        <v>1.0271218447491368</v>
      </c>
      <c r="BL85" s="82">
        <f t="shared" si="39"/>
        <v>1.0285976922752149</v>
      </c>
      <c r="BM85" s="82">
        <f t="shared" si="39"/>
        <v>1.0202649641953287</v>
      </c>
      <c r="BN85" s="82">
        <f t="shared" si="39"/>
        <v>1.0698749127770066</v>
      </c>
      <c r="BO85" s="82">
        <f t="shared" si="39"/>
        <v>1.0302779035031813</v>
      </c>
      <c r="BP85" s="82">
        <f t="shared" si="39"/>
        <v>1.0606053674904139</v>
      </c>
      <c r="BQ85" s="82">
        <f t="shared" si="39"/>
        <v>1.0595595797946717</v>
      </c>
      <c r="BR85" s="82">
        <f t="shared" si="39"/>
        <v>1.058769595920694</v>
      </c>
      <c r="BS85" s="82">
        <f t="shared" si="39"/>
        <v>1.0405264255385323</v>
      </c>
      <c r="BT85" s="82">
        <f t="shared" si="39"/>
        <v>1.0421076349727076</v>
      </c>
      <c r="BU85" s="82">
        <f t="shared" si="39"/>
        <v>1.0236824076082889</v>
      </c>
      <c r="BV85" s="82">
        <f t="shared" si="39"/>
        <v>1.0373409216846159</v>
      </c>
      <c r="BW85" s="82">
        <f t="shared" si="39"/>
        <v>1.0814769812363267</v>
      </c>
      <c r="BX85" s="82">
        <f t="shared" si="39"/>
        <v>1.0600602251430467</v>
      </c>
      <c r="BY85" s="82">
        <f t="shared" si="39"/>
        <v>1.074346938815103</v>
      </c>
      <c r="BZ85" s="82">
        <f t="shared" si="39"/>
        <v>1.0461545270645143</v>
      </c>
      <c r="CA85" s="82">
        <f t="shared" si="39"/>
        <v>1.062085120915242</v>
      </c>
      <c r="CB85" s="82">
        <f t="shared" si="39"/>
        <v>0.98447204968944091</v>
      </c>
      <c r="CC85" s="82">
        <f t="shared" si="39"/>
        <v>0.99068322981366441</v>
      </c>
      <c r="CD85" s="82">
        <f t="shared" si="39"/>
        <v>1.0031055900621115</v>
      </c>
      <c r="CE85" s="82" t="e">
        <f t="shared" si="39"/>
        <v>#DIV/0!</v>
      </c>
      <c r="CF85" s="82" t="e">
        <f t="shared" si="39"/>
        <v>#DIV/0!</v>
      </c>
      <c r="CG85" s="82" t="e">
        <f t="shared" si="39"/>
        <v>#DIV/0!</v>
      </c>
      <c r="CH85" s="82" t="e">
        <f t="shared" si="39"/>
        <v>#DIV/0!</v>
      </c>
      <c r="CI85" s="82" t="e">
        <f t="shared" si="39"/>
        <v>#DIV/0!</v>
      </c>
      <c r="CJ85" s="82" t="e">
        <f t="shared" si="39"/>
        <v>#DIV/0!</v>
      </c>
      <c r="CK85" s="82" t="e">
        <f t="shared" si="39"/>
        <v>#DIV/0!</v>
      </c>
      <c r="CL85" s="82" t="e">
        <f t="shared" si="39"/>
        <v>#DIV/0!</v>
      </c>
      <c r="CM85" s="82" t="e">
        <f t="shared" si="39"/>
        <v>#DIV/0!</v>
      </c>
      <c r="CN85" s="82" t="e">
        <f t="shared" si="39"/>
        <v>#DIV/0!</v>
      </c>
      <c r="CO85" s="82" t="e">
        <f t="shared" si="39"/>
        <v>#DIV/0!</v>
      </c>
      <c r="CP85" s="82" t="e">
        <f t="shared" si="39"/>
        <v>#DIV/0!</v>
      </c>
      <c r="CQ85" s="82" t="e">
        <f t="shared" si="39"/>
        <v>#DIV/0!</v>
      </c>
      <c r="CR85" s="82" t="e">
        <f t="shared" si="39"/>
        <v>#DIV/0!</v>
      </c>
      <c r="CS85" s="82" t="e">
        <f t="shared" si="39"/>
        <v>#DIV/0!</v>
      </c>
      <c r="CT85" s="82" t="e">
        <f t="shared" si="39"/>
        <v>#DIV/0!</v>
      </c>
      <c r="CU85" s="82" t="e">
        <f t="shared" si="39"/>
        <v>#DIV/0!</v>
      </c>
      <c r="CV85" s="85"/>
    </row>
    <row r="86" spans="1:100" ht="14.25" customHeight="1">
      <c r="A86" s="129"/>
      <c r="E86" s="104"/>
      <c r="H86" s="104"/>
      <c r="I86" s="256">
        <f t="array" ref="I86">_xlfn.STDEV.P(IF($E$5:$E$53=$E85,I$5:I$53))</f>
        <v>2.444258578792351</v>
      </c>
      <c r="J86" s="81" t="s">
        <v>12</v>
      </c>
      <c r="K86" s="90">
        <f t="array" ref="K86">_xlfn.STDEV.P(IF($E$5:$E$53=$E85,K$5:K$53))</f>
        <v>2.2685678301518779</v>
      </c>
      <c r="L86" s="90">
        <f t="array" ref="L86">_xlfn.STDEV.P(IF($E$5:$E$53=$E85,L$5:L$53))</f>
        <v>2.3310083654933549</v>
      </c>
      <c r="M86" s="90">
        <f t="array" ref="M86">_xlfn.STDEV.P(IF($E$5:$E$53=$E85,M$5:M$53))</f>
        <v>2.444258578792351</v>
      </c>
      <c r="N86" s="90">
        <f t="array" ref="N86">_xlfn.STDEV.P(IF($E$5:$E$53=$E85,N$5:N$53))</f>
        <v>2.1535087647836493</v>
      </c>
      <c r="O86" s="90">
        <f t="array" ref="O86">_xlfn.STDEV.P(IF($E$5:$E$53=$E85,O$5:O$53))</f>
        <v>2.3016515809305282</v>
      </c>
      <c r="P86" s="90">
        <f t="array" ref="P86">_xlfn.STDEV.P(IF($E$5:$E$53=$E85,P$5:P$53))</f>
        <v>2.3163764806265847</v>
      </c>
      <c r="Q86" s="90">
        <f t="array" ref="Q86">_xlfn.STDEV.P(IF($E$5:$E$53=$E85,Q$5:Q$53))</f>
        <v>2.3852882425400925</v>
      </c>
      <c r="R86" s="90">
        <f t="array" ref="R86">_xlfn.STDEV.P(IF($E$5:$E$53=$E85,R$5:R$53))</f>
        <v>2.2148589119851416</v>
      </c>
      <c r="S86" s="90">
        <f t="array" ref="S86">_xlfn.STDEV.P(IF($E$5:$E$53=$E85,S$5:S$53))</f>
        <v>2.1646246787838299</v>
      </c>
      <c r="T86" s="90">
        <f t="array" ref="T86">_xlfn.STDEV.P(IF($E$5:$E$53=$E85,T$5:T$53))</f>
        <v>2.0135540717845157</v>
      </c>
      <c r="U86" s="90">
        <f t="array" ref="U86">_xlfn.STDEV.P(IF($E$5:$E$53=$E85,U$5:U$53))</f>
        <v>1.9895728184713424</v>
      </c>
      <c r="V86" s="90">
        <f t="array" ref="V86">_xlfn.STDEV.P(IF($E$5:$E$53=$E85,V$5:V$53))</f>
        <v>1.9499743588057767</v>
      </c>
      <c r="W86" s="90">
        <f t="array" ref="W86">_xlfn.STDEV.P(IF($E$5:$E$53=$E85,W$5:W$53))</f>
        <v>1.8893385085791261</v>
      </c>
      <c r="X86" s="90">
        <f t="array" ref="X86">_xlfn.STDEV.P(IF($E$5:$E$53=$E85,X$5:X$53))</f>
        <v>2.1415881957089695</v>
      </c>
      <c r="Y86" s="90">
        <f t="array" ref="Y86">_xlfn.STDEV.P(IF($E$5:$E$53=$E85,Y$5:Y$53))</f>
        <v>1.9332873557751309</v>
      </c>
      <c r="Z86" s="90">
        <f t="array" ref="Z86">_xlfn.STDEV.P(IF($E$5:$E$53=$E85,Z$5:Z$53))</f>
        <v>1.8055470085267795</v>
      </c>
      <c r="AA86" s="90">
        <f t="array" ref="AA86">_xlfn.STDEV.P(IF($E$5:$E$53=$E85,AA$5:AA$53))</f>
        <v>1.6363373735266207</v>
      </c>
      <c r="AB86" s="90">
        <f t="array" ref="AB86">_xlfn.STDEV.P(IF($E$5:$E$53=$E85,AB$5:AB$53))</f>
        <v>2.3363218956299656</v>
      </c>
      <c r="AC86" s="90">
        <f t="array" ref="AC86">_xlfn.STDEV.P(IF($E$5:$E$53=$E85,AC$5:AC$53))</f>
        <v>1.7645396000090214</v>
      </c>
      <c r="AD86" s="90">
        <f t="array" ref="AD86">_xlfn.STDEV.P(IF($E$5:$E$53=$E85,AD$5:AD$53))</f>
        <v>2.0439178065665944</v>
      </c>
      <c r="AE86" s="90">
        <f t="array" ref="AE86">_xlfn.STDEV.P(IF($E$5:$E$53=$E85,AE$5:AE$53))</f>
        <v>2.1637005338077624</v>
      </c>
      <c r="AF86" s="90">
        <f t="array" ref="AF86">_xlfn.STDEV.P(IF($E$5:$E$53=$E85,AF$5:AF$53))</f>
        <v>2.5369272752682526</v>
      </c>
      <c r="AG86" s="90">
        <f t="array" ref="AG86">_xlfn.STDEV.P(IF($E$5:$E$53=$E85,AG$5:AG$53))</f>
        <v>2.7952817389308011</v>
      </c>
      <c r="AH86" s="90">
        <f t="array" ref="AH86">_xlfn.STDEV.P(IF($E$5:$E$53=$E85,AH$5:AH$53))</f>
        <v>15.926204820986074</v>
      </c>
      <c r="AI86" s="90">
        <f t="array" ref="AI86">_xlfn.STDEV.P(IF($E$5:$E$53=$E85,AI$5:AI$53))</f>
        <v>12.68</v>
      </c>
      <c r="AJ86" s="90">
        <f t="array" ref="AJ86">_xlfn.STDEV.P(IF($E$5:$E$53=$E85,AJ$5:AJ$53))</f>
        <v>12.759999999999998</v>
      </c>
      <c r="AK86" s="90">
        <f t="array" ref="AK86">_xlfn.STDEV.P(IF($E$5:$E$53=$E85,AK$5:AK$53))</f>
        <v>12.919999999999998</v>
      </c>
      <c r="AL86" s="90">
        <f t="array" ref="AL86">_xlfn.STDEV.P(IF($E$5:$E$53=$E85,AL$5:AL$53))</f>
        <v>0</v>
      </c>
      <c r="AM86" s="90">
        <f t="array" ref="AM86">_xlfn.STDEV.P(IF($E$5:$E$53=$E85,AM$5:AM$53))</f>
        <v>0</v>
      </c>
      <c r="AN86" s="90">
        <f t="array" ref="AN86">_xlfn.STDEV.P(IF($E$5:$E$53=$E85,AN$5:AN$53))</f>
        <v>0</v>
      </c>
      <c r="AO86" s="90">
        <f t="array" ref="AO86">_xlfn.STDEV.P(IF($E$5:$E$53=$E85,AO$5:AO$53))</f>
        <v>0</v>
      </c>
      <c r="AP86" s="90">
        <f t="array" ref="AP86">_xlfn.STDEV.P(IF($E$5:$E$53=$E85,AP$5:AP$53))</f>
        <v>0</v>
      </c>
      <c r="AQ86" s="90">
        <f t="array" ref="AQ86">_xlfn.STDEV.P(IF($E$5:$E$53=$E85,AQ$5:AQ$53))</f>
        <v>0</v>
      </c>
      <c r="AR86" s="90">
        <f t="array" ref="AR86">_xlfn.STDEV.P(IF($E$5:$E$53=$E85,AR$5:AR$53))</f>
        <v>0</v>
      </c>
      <c r="AS86" s="90">
        <f t="array" ref="AS86">_xlfn.STDEV.P(IF($E$5:$E$53=$E85,AS$5:AS$53))</f>
        <v>0</v>
      </c>
      <c r="AT86" s="90">
        <f t="array" ref="AT86">_xlfn.STDEV.P(IF($E$5:$E$53=$E85,AT$5:AT$53))</f>
        <v>0</v>
      </c>
      <c r="AU86" s="90">
        <f t="array" ref="AU86">_xlfn.STDEV.P(IF($E$5:$E$53=$E85,AU$5:AU$53))</f>
        <v>0</v>
      </c>
      <c r="AV86" s="90">
        <f t="array" ref="AV86">_xlfn.STDEV.P(IF($E$5:$E$53=$E85,AV$5:AV$53))</f>
        <v>0</v>
      </c>
      <c r="AW86" s="90">
        <f t="array" ref="AW86">_xlfn.STDEV.P(IF($E$5:$E$53=$E85,AW$5:AW$53))</f>
        <v>0</v>
      </c>
      <c r="AX86" s="90">
        <f t="array" ref="AX86">_xlfn.STDEV.P(IF($E$5:$E$53=$E85,AX$5:AX$53))</f>
        <v>0</v>
      </c>
      <c r="AY86" s="90">
        <f t="array" ref="AY86">_xlfn.STDEV.P(IF($E$5:$E$53=$E85,AY$5:AY$53))</f>
        <v>0</v>
      </c>
      <c r="AZ86" s="90">
        <f t="array" ref="AZ86">_xlfn.STDEV.P(IF($E$5:$E$53=$E85,AZ$5:AZ$53))</f>
        <v>0</v>
      </c>
      <c r="BA86" s="90">
        <f t="array" ref="BA86">_xlfn.STDEV.P(IF($E$5:$E$53=$E85,BA$5:BA$53))</f>
        <v>0</v>
      </c>
      <c r="BB86" s="90">
        <f t="array" ref="BB86">_xlfn.STDEV.P(IF($E$5:$E$53=$E85,BB$5:BB$53))</f>
        <v>0</v>
      </c>
      <c r="BC86" s="115" t="s">
        <v>12</v>
      </c>
      <c r="BD86" s="83">
        <f t="array" ref="BD86">_xlfn.STDEV.P(IF($E$5:$E$53=$E85,BD$5:BD$53))</f>
        <v>1.9552458045282734E-2</v>
      </c>
      <c r="BE86" s="83">
        <f t="array" ref="BE86">_xlfn.STDEV.P(IF($E$5:$E$53=$E85,BE$5:BE$53))</f>
        <v>1.0127604781526156E-2</v>
      </c>
      <c r="BF86" s="83">
        <f t="array" ref="BF86">_xlfn.STDEV.P(IF($E$5:$E$53=$E85,BF$5:BF$53))</f>
        <v>0</v>
      </c>
      <c r="BG86" s="83">
        <f t="array" ref="BG86">_xlfn.STDEV.P(IF($E$5:$E$53=$E85,BG$5:BG$53))</f>
        <v>2.3557357717314643E-2</v>
      </c>
      <c r="BH86" s="83">
        <f t="array" ref="BH86">_xlfn.STDEV.P(IF($E$5:$E$53=$E85,BH$5:BH$53))</f>
        <v>1.4238872977794944E-2</v>
      </c>
      <c r="BI86" s="83">
        <f t="array" ref="BI86">_xlfn.STDEV.P(IF($E$5:$E$53=$E85,BI$5:BI$53))</f>
        <v>1.4115736807472466E-2</v>
      </c>
      <c r="BJ86" s="83">
        <f t="array" ref="BJ86">_xlfn.STDEV.P(IF($E$5:$E$53=$E85,BJ$5:BJ$53))</f>
        <v>8.8920250224342988E-3</v>
      </c>
      <c r="BK86" s="83">
        <f t="array" ref="BK86">_xlfn.STDEV.P(IF($E$5:$E$53=$E85,BK$5:BK$53))</f>
        <v>2.17009338920271E-2</v>
      </c>
      <c r="BL86" s="83">
        <f t="array" ref="BL86">_xlfn.STDEV.P(IF($E$5:$E$53=$E85,BL$5:BL$53))</f>
        <v>1.3312312377648976E-2</v>
      </c>
      <c r="BM86" s="83">
        <f t="array" ref="BM86">_xlfn.STDEV.P(IF($E$5:$E$53=$E85,BM$5:BM$53))</f>
        <v>3.8143325720135728E-2</v>
      </c>
      <c r="BN86" s="83">
        <f t="array" ref="BN86">_xlfn.STDEV.P(IF($E$5:$E$53=$E85,BN$5:BN$53))</f>
        <v>3.3314869403253011E-2</v>
      </c>
      <c r="BO86" s="83">
        <f t="array" ref="BO86">_xlfn.STDEV.P(IF($E$5:$E$53=$E85,BO$5:BO$53))</f>
        <v>3.5080668423607575E-2</v>
      </c>
      <c r="BP86" s="83">
        <f t="array" ref="BP86">_xlfn.STDEV.P(IF($E$5:$E$53=$E85,BP$5:BP$53))</f>
        <v>4.5294415594464836E-2</v>
      </c>
      <c r="BQ86" s="83">
        <f t="array" ref="BQ86">_xlfn.STDEV.P(IF($E$5:$E$53=$E85,BQ$5:BQ$53))</f>
        <v>5.1946977023007386E-2</v>
      </c>
      <c r="BR86" s="83">
        <f t="array" ref="BR86">_xlfn.STDEV.P(IF($E$5:$E$53=$E85,BR$5:BR$53))</f>
        <v>5.3578037486755666E-2</v>
      </c>
      <c r="BS86" s="83">
        <f t="array" ref="BS86">_xlfn.STDEV.P(IF($E$5:$E$53=$E85,BS$5:BS$53))</f>
        <v>5.1190872734269803E-2</v>
      </c>
      <c r="BT86" s="83">
        <f t="array" ref="BT86">_xlfn.STDEV.P(IF($E$5:$E$53=$E85,BT$5:BT$53))</f>
        <v>6.015135671040682E-2</v>
      </c>
      <c r="BU86" s="83">
        <f t="array" ref="BU86">_xlfn.STDEV.P(IF($E$5:$E$53=$E85,BU$5:BU$53))</f>
        <v>6.4464634040717714E-2</v>
      </c>
      <c r="BV86" s="83">
        <f t="array" ref="BV86">_xlfn.STDEV.P(IF($E$5:$E$53=$E85,BV$5:BV$53))</f>
        <v>4.1300007484264011E-2</v>
      </c>
      <c r="BW86" s="83">
        <f t="array" ref="BW86">_xlfn.STDEV.P(IF($E$5:$E$53=$E85,BW$5:BW$53))</f>
        <v>4.3999547372025306E-2</v>
      </c>
      <c r="BX86" s="83">
        <f t="array" ref="BX86">_xlfn.STDEV.P(IF($E$5:$E$53=$E85,BX$5:BX$53))</f>
        <v>4.8953530788873066E-2</v>
      </c>
      <c r="BY86" s="83">
        <f t="array" ref="BY86">_xlfn.STDEV.P(IF($E$5:$E$53=$E85,BY$5:BY$53))</f>
        <v>5.9299304784154495E-2</v>
      </c>
      <c r="BZ86" s="83">
        <f t="array" ref="BZ86">_xlfn.STDEV.P(IF($E$5:$E$53=$E85,BZ$5:BZ$53))</f>
        <v>6.6373347426397514E-2</v>
      </c>
      <c r="CA86" s="83">
        <f t="array" ref="CA86">_xlfn.STDEV.P(IF($E$5:$E$53=$E85,CA$5:CA$53))</f>
        <v>3.4134810356235668E-2</v>
      </c>
      <c r="CB86" s="83">
        <f t="array" ref="CB86">_xlfn.STDEV.P(IF($E$5:$E$53=$E85,CB$5:CB$53))</f>
        <v>0</v>
      </c>
      <c r="CC86" s="83">
        <f t="array" ref="CC86">_xlfn.STDEV.P(IF($E$5:$E$53=$E85,CC$5:CC$53))</f>
        <v>0</v>
      </c>
      <c r="CD86" s="83">
        <f t="array" ref="CD86">_xlfn.STDEV.P(IF($E$5:$E$53=$E85,CD$5:CD$53))</f>
        <v>0</v>
      </c>
      <c r="CE86" s="83" t="e">
        <f t="array" ref="CE86">_xlfn.STDEV.P(IF($E$5:$E$53=$E85,CE$5:CE$53))</f>
        <v>#DIV/0!</v>
      </c>
      <c r="CF86" s="83" t="e">
        <f t="array" ref="CF86">_xlfn.STDEV.P(IF($E$5:$E$53=$E85,CF$5:CF$53))</f>
        <v>#DIV/0!</v>
      </c>
      <c r="CG86" s="83" t="e">
        <f t="array" ref="CG86">_xlfn.STDEV.P(IF($E$5:$E$53=$E85,CG$5:CG$53))</f>
        <v>#DIV/0!</v>
      </c>
      <c r="CH86" s="83" t="e">
        <f t="array" ref="CH86">_xlfn.STDEV.P(IF($E$5:$E$53=$E85,CH$5:CH$53))</f>
        <v>#DIV/0!</v>
      </c>
      <c r="CI86" s="83" t="e">
        <f t="array" ref="CI86">_xlfn.STDEV.P(IF($E$5:$E$53=$E85,CI$5:CI$53))</f>
        <v>#DIV/0!</v>
      </c>
      <c r="CJ86" s="83" t="e">
        <f t="array" ref="CJ86">_xlfn.STDEV.P(IF($E$5:$E$53=$E85,CJ$5:CJ$53))</f>
        <v>#DIV/0!</v>
      </c>
      <c r="CK86" s="83" t="e">
        <f t="array" ref="CK86">_xlfn.STDEV.P(IF($E$5:$E$53=$E85,CK$5:CK$53))</f>
        <v>#DIV/0!</v>
      </c>
      <c r="CL86" s="83" t="e">
        <f t="array" ref="CL86">_xlfn.STDEV.P(IF($E$5:$E$53=$E85,CL$5:CL$53))</f>
        <v>#DIV/0!</v>
      </c>
      <c r="CM86" s="83" t="e">
        <f t="array" ref="CM86">_xlfn.STDEV.P(IF($E$5:$E$53=$E85,CM$5:CM$53))</f>
        <v>#DIV/0!</v>
      </c>
      <c r="CN86" s="83" t="e">
        <f t="array" ref="CN86">_xlfn.STDEV.P(IF($E$5:$E$53=$E85,CN$5:CN$53))</f>
        <v>#DIV/0!</v>
      </c>
      <c r="CO86" s="83" t="e">
        <f t="array" ref="CO86">_xlfn.STDEV.P(IF($E$5:$E$53=$E85,CO$5:CO$53))</f>
        <v>#DIV/0!</v>
      </c>
      <c r="CP86" s="83" t="e">
        <f t="array" ref="CP86">_xlfn.STDEV.P(IF($E$5:$E$53=$E85,CP$5:CP$53))</f>
        <v>#DIV/0!</v>
      </c>
      <c r="CQ86" s="83" t="e">
        <f t="array" ref="CQ86">_xlfn.STDEV.P(IF($E$5:$E$53=$E85,CQ$5:CQ$53))</f>
        <v>#DIV/0!</v>
      </c>
      <c r="CR86" s="83" t="e">
        <f t="array" ref="CR86">_xlfn.STDEV.P(IF($E$5:$E$53=$E85,CR$5:CR$53))</f>
        <v>#DIV/0!</v>
      </c>
      <c r="CS86" s="83" t="e">
        <f t="array" ref="CS86">_xlfn.STDEV.P(IF($E$5:$E$53=$E85,CS$5:CS$53))</f>
        <v>#DIV/0!</v>
      </c>
      <c r="CT86" s="83" t="e">
        <f t="array" ref="CT86">_xlfn.STDEV.P(IF($E$5:$E$53=$E85,CT$5:CT$53))</f>
        <v>#DIV/0!</v>
      </c>
      <c r="CU86" s="83" t="e">
        <f t="array" ref="CU86">_xlfn.STDEV.P(IF($E$5:$E$53=$E85,CU$5:CU$53))</f>
        <v>#DIV/0!</v>
      </c>
      <c r="CV86" s="85"/>
    </row>
    <row r="87" spans="1:100" ht="15">
      <c r="A87" s="129"/>
      <c r="E87" s="134"/>
      <c r="H87" s="58"/>
    </row>
    <row r="88" spans="1:100" ht="14.25" customHeight="1">
      <c r="A88" s="129"/>
      <c r="E88" s="134" t="str">
        <f>'PTX_DOSE Groups'!C16</f>
        <v>Excluded</v>
      </c>
      <c r="H88" s="134" t="str">
        <f>E88</f>
        <v>Excluded</v>
      </c>
      <c r="I88" s="256">
        <f>AVERAGEIF($E$5:$E$53,$E88,I$5:I$53)</f>
        <v>30.3</v>
      </c>
      <c r="J88" s="81" t="s">
        <v>10</v>
      </c>
      <c r="K88" s="87">
        <f t="shared" ref="K88:BB88" si="40">AVERAGEIF($E$5:$E$53,$E88,K$5:K$53)</f>
        <v>29.1</v>
      </c>
      <c r="L88" s="87">
        <f t="shared" si="40"/>
        <v>29.9</v>
      </c>
      <c r="M88" s="87">
        <f t="shared" si="40"/>
        <v>30.3</v>
      </c>
      <c r="N88" s="87">
        <f t="shared" si="40"/>
        <v>29.6</v>
      </c>
      <c r="O88" s="87">
        <f t="shared" si="40"/>
        <v>29</v>
      </c>
      <c r="P88" s="87">
        <f t="shared" si="40"/>
        <v>29.8</v>
      </c>
      <c r="Q88" s="87">
        <f t="shared" si="40"/>
        <v>30.9</v>
      </c>
      <c r="R88" s="87">
        <f t="shared" si="40"/>
        <v>30.1</v>
      </c>
      <c r="S88" s="87">
        <f t="shared" si="40"/>
        <v>30.4</v>
      </c>
      <c r="T88" s="87">
        <f t="shared" si="40"/>
        <v>30.3</v>
      </c>
      <c r="U88" s="87">
        <f t="shared" si="40"/>
        <v>30.6</v>
      </c>
      <c r="V88" s="87">
        <f t="shared" si="40"/>
        <v>29.9</v>
      </c>
      <c r="W88" s="87">
        <f t="shared" si="40"/>
        <v>30.6</v>
      </c>
      <c r="X88" s="87">
        <f t="shared" si="40"/>
        <v>30.5</v>
      </c>
      <c r="Y88" s="87">
        <f t="shared" si="40"/>
        <v>30.5</v>
      </c>
      <c r="Z88" s="87">
        <f t="shared" si="40"/>
        <v>29.1</v>
      </c>
      <c r="AA88" s="87">
        <f t="shared" si="40"/>
        <v>28.5</v>
      </c>
      <c r="AB88" s="87">
        <f t="shared" si="40"/>
        <v>29.3</v>
      </c>
      <c r="AC88" s="87">
        <f t="shared" si="40"/>
        <v>29.3</v>
      </c>
      <c r="AD88" s="87">
        <f t="shared" si="40"/>
        <v>30.4</v>
      </c>
      <c r="AE88" s="87">
        <f t="shared" si="40"/>
        <v>30.2</v>
      </c>
      <c r="AF88" s="87" t="e">
        <f t="shared" si="40"/>
        <v>#DIV/0!</v>
      </c>
      <c r="AG88" s="87" t="e">
        <f t="shared" si="40"/>
        <v>#DIV/0!</v>
      </c>
      <c r="AH88" s="87" t="e">
        <f t="shared" si="40"/>
        <v>#DIV/0!</v>
      </c>
      <c r="AI88" s="87" t="e">
        <f t="shared" si="40"/>
        <v>#DIV/0!</v>
      </c>
      <c r="AJ88" s="87" t="e">
        <f t="shared" si="40"/>
        <v>#DIV/0!</v>
      </c>
      <c r="AK88" s="87" t="e">
        <f t="shared" si="40"/>
        <v>#DIV/0!</v>
      </c>
      <c r="AL88" s="87" t="e">
        <f t="shared" si="40"/>
        <v>#DIV/0!</v>
      </c>
      <c r="AM88" s="87" t="e">
        <f t="shared" si="40"/>
        <v>#DIV/0!</v>
      </c>
      <c r="AN88" s="87" t="e">
        <f t="shared" si="40"/>
        <v>#DIV/0!</v>
      </c>
      <c r="AO88" s="87" t="e">
        <f t="shared" si="40"/>
        <v>#DIV/0!</v>
      </c>
      <c r="AP88" s="87" t="e">
        <f t="shared" si="40"/>
        <v>#DIV/0!</v>
      </c>
      <c r="AQ88" s="87" t="e">
        <f t="shared" si="40"/>
        <v>#DIV/0!</v>
      </c>
      <c r="AR88" s="87" t="e">
        <f t="shared" si="40"/>
        <v>#DIV/0!</v>
      </c>
      <c r="AS88" s="87" t="e">
        <f t="shared" si="40"/>
        <v>#DIV/0!</v>
      </c>
      <c r="AT88" s="87" t="e">
        <f t="shared" si="40"/>
        <v>#DIV/0!</v>
      </c>
      <c r="AU88" s="87" t="e">
        <f t="shared" si="40"/>
        <v>#DIV/0!</v>
      </c>
      <c r="AV88" s="87" t="e">
        <f t="shared" si="40"/>
        <v>#DIV/0!</v>
      </c>
      <c r="AW88" s="87" t="e">
        <f t="shared" si="40"/>
        <v>#DIV/0!</v>
      </c>
      <c r="AX88" s="87" t="e">
        <f t="shared" si="40"/>
        <v>#DIV/0!</v>
      </c>
      <c r="AY88" s="87" t="e">
        <f t="shared" si="40"/>
        <v>#DIV/0!</v>
      </c>
      <c r="AZ88" s="87" t="e">
        <f t="shared" si="40"/>
        <v>#DIV/0!</v>
      </c>
      <c r="BA88" s="87" t="e">
        <f t="shared" si="40"/>
        <v>#DIV/0!</v>
      </c>
      <c r="BB88" s="87" t="e">
        <f t="shared" si="40"/>
        <v>#DIV/0!</v>
      </c>
      <c r="BC88" s="114" t="s">
        <v>10</v>
      </c>
      <c r="BD88" s="82">
        <f t="shared" ref="BD88:CU88" si="41">AVERAGEIF($E$5:$E$53,$E88,BD$5:BD$53)</f>
        <v>0.96039603960396047</v>
      </c>
      <c r="BE88" s="82">
        <f t="shared" si="41"/>
        <v>0.98679867986798675</v>
      </c>
      <c r="BF88" s="82">
        <f t="shared" si="41"/>
        <v>1</v>
      </c>
      <c r="BG88" s="82">
        <f t="shared" si="41"/>
        <v>0.97689768976897695</v>
      </c>
      <c r="BH88" s="82">
        <f t="shared" si="41"/>
        <v>0.95709570957095702</v>
      </c>
      <c r="BI88" s="82">
        <f t="shared" si="41"/>
        <v>0.98349834983498352</v>
      </c>
      <c r="BJ88" s="82">
        <f t="shared" si="41"/>
        <v>1.0198019801980198</v>
      </c>
      <c r="BK88" s="82">
        <f t="shared" si="41"/>
        <v>0.99339933993399343</v>
      </c>
      <c r="BL88" s="82">
        <f t="shared" si="41"/>
        <v>1.0033003300330032</v>
      </c>
      <c r="BM88" s="82">
        <f t="shared" si="41"/>
        <v>1</v>
      </c>
      <c r="BN88" s="82">
        <f t="shared" si="41"/>
        <v>1.0099009900990099</v>
      </c>
      <c r="BO88" s="82">
        <f t="shared" si="41"/>
        <v>0.98679867986798675</v>
      </c>
      <c r="BP88" s="82">
        <f t="shared" si="41"/>
        <v>1.0099009900990099</v>
      </c>
      <c r="BQ88" s="82">
        <f t="shared" si="41"/>
        <v>1.0066006600660067</v>
      </c>
      <c r="BR88" s="82">
        <f t="shared" si="41"/>
        <v>1.0066006600660067</v>
      </c>
      <c r="BS88" s="82">
        <f t="shared" si="41"/>
        <v>0.96039603960396047</v>
      </c>
      <c r="BT88" s="82">
        <f t="shared" si="41"/>
        <v>0.94059405940594054</v>
      </c>
      <c r="BU88" s="82">
        <f t="shared" si="41"/>
        <v>0.96699669966996704</v>
      </c>
      <c r="BV88" s="82">
        <f t="shared" si="41"/>
        <v>0.96699669966996704</v>
      </c>
      <c r="BW88" s="82">
        <f t="shared" si="41"/>
        <v>1.0033003300330032</v>
      </c>
      <c r="BX88" s="82">
        <f t="shared" si="41"/>
        <v>0.99669966996699666</v>
      </c>
      <c r="BY88" s="82" t="e">
        <f t="shared" si="41"/>
        <v>#DIV/0!</v>
      </c>
      <c r="BZ88" s="82" t="e">
        <f t="shared" si="41"/>
        <v>#DIV/0!</v>
      </c>
      <c r="CA88" s="82" t="e">
        <f t="shared" si="41"/>
        <v>#DIV/0!</v>
      </c>
      <c r="CB88" s="82" t="e">
        <f t="shared" si="41"/>
        <v>#DIV/0!</v>
      </c>
      <c r="CC88" s="82" t="e">
        <f t="shared" si="41"/>
        <v>#DIV/0!</v>
      </c>
      <c r="CD88" s="82" t="e">
        <f t="shared" si="41"/>
        <v>#DIV/0!</v>
      </c>
      <c r="CE88" s="82" t="e">
        <f t="shared" si="41"/>
        <v>#DIV/0!</v>
      </c>
      <c r="CF88" s="82" t="e">
        <f t="shared" si="41"/>
        <v>#DIV/0!</v>
      </c>
      <c r="CG88" s="82" t="e">
        <f t="shared" si="41"/>
        <v>#DIV/0!</v>
      </c>
      <c r="CH88" s="82" t="e">
        <f t="shared" si="41"/>
        <v>#DIV/0!</v>
      </c>
      <c r="CI88" s="82" t="e">
        <f t="shared" si="41"/>
        <v>#DIV/0!</v>
      </c>
      <c r="CJ88" s="82" t="e">
        <f t="shared" si="41"/>
        <v>#DIV/0!</v>
      </c>
      <c r="CK88" s="82" t="e">
        <f t="shared" si="41"/>
        <v>#DIV/0!</v>
      </c>
      <c r="CL88" s="82" t="e">
        <f t="shared" si="41"/>
        <v>#DIV/0!</v>
      </c>
      <c r="CM88" s="82" t="e">
        <f t="shared" si="41"/>
        <v>#DIV/0!</v>
      </c>
      <c r="CN88" s="82" t="e">
        <f t="shared" si="41"/>
        <v>#DIV/0!</v>
      </c>
      <c r="CO88" s="82" t="e">
        <f t="shared" si="41"/>
        <v>#DIV/0!</v>
      </c>
      <c r="CP88" s="82" t="e">
        <f t="shared" si="41"/>
        <v>#DIV/0!</v>
      </c>
      <c r="CQ88" s="82" t="e">
        <f t="shared" si="41"/>
        <v>#DIV/0!</v>
      </c>
      <c r="CR88" s="82" t="e">
        <f t="shared" si="41"/>
        <v>#DIV/0!</v>
      </c>
      <c r="CS88" s="82" t="e">
        <f t="shared" si="41"/>
        <v>#DIV/0!</v>
      </c>
      <c r="CT88" s="82" t="e">
        <f t="shared" si="41"/>
        <v>#DIV/0!</v>
      </c>
      <c r="CU88" s="82" t="e">
        <f t="shared" si="41"/>
        <v>#DIV/0!</v>
      </c>
      <c r="CV88" s="85"/>
    </row>
    <row r="89" spans="1:100" ht="14.25" customHeight="1">
      <c r="A89" s="129"/>
      <c r="E89" s="104"/>
      <c r="H89" s="104"/>
      <c r="I89" s="256">
        <f t="array" ref="I89">_xlfn.STDEV.P(IF($E$5:$E$53=$E88,I$5:I$53))</f>
        <v>0</v>
      </c>
      <c r="J89" s="81" t="s">
        <v>12</v>
      </c>
      <c r="K89" s="90">
        <f t="array" ref="K89">_xlfn.STDEV.P(IF($E$5:$E$53=$E88,K$5:K$53))</f>
        <v>0</v>
      </c>
      <c r="L89" s="90">
        <f t="array" ref="L89">_xlfn.STDEV.P(IF($E$5:$E$53=$E88,L$5:L$53))</f>
        <v>0</v>
      </c>
      <c r="M89" s="90">
        <f t="array" ref="M89">_xlfn.STDEV.P(IF($E$5:$E$53=$E88,M$5:M$53))</f>
        <v>0</v>
      </c>
      <c r="N89" s="90">
        <f t="array" ref="N89">_xlfn.STDEV.P(IF($E$5:$E$53=$E88,N$5:N$53))</f>
        <v>0</v>
      </c>
      <c r="O89" s="90">
        <f t="array" ref="O89">_xlfn.STDEV.P(IF($E$5:$E$53=$E88,O$5:O$53))</f>
        <v>0</v>
      </c>
      <c r="P89" s="90">
        <f t="array" ref="P89">_xlfn.STDEV.P(IF($E$5:$E$53=$E88,P$5:P$53))</f>
        <v>0</v>
      </c>
      <c r="Q89" s="90">
        <f t="array" ref="Q89">_xlfn.STDEV.P(IF($E$5:$E$53=$E88,Q$5:Q$53))</f>
        <v>0</v>
      </c>
      <c r="R89" s="90">
        <f t="array" ref="R89">_xlfn.STDEV.P(IF($E$5:$E$53=$E88,R$5:R$53))</f>
        <v>0</v>
      </c>
      <c r="S89" s="90">
        <f t="array" ref="S89">_xlfn.STDEV.P(IF($E$5:$E$53=$E88,S$5:S$53))</f>
        <v>0</v>
      </c>
      <c r="T89" s="90">
        <f t="array" ref="T89">_xlfn.STDEV.P(IF($E$5:$E$53=$E88,T$5:T$53))</f>
        <v>0</v>
      </c>
      <c r="U89" s="90">
        <f t="array" ref="U89">_xlfn.STDEV.P(IF($E$5:$E$53=$E88,U$5:U$53))</f>
        <v>0</v>
      </c>
      <c r="V89" s="90">
        <f t="array" ref="V89">_xlfn.STDEV.P(IF($E$5:$E$53=$E88,V$5:V$53))</f>
        <v>0</v>
      </c>
      <c r="W89" s="90">
        <f t="array" ref="W89">_xlfn.STDEV.P(IF($E$5:$E$53=$E88,W$5:W$53))</f>
        <v>0</v>
      </c>
      <c r="X89" s="90">
        <f t="array" ref="X89">_xlfn.STDEV.P(IF($E$5:$E$53=$E88,X$5:X$53))</f>
        <v>0</v>
      </c>
      <c r="Y89" s="90">
        <f t="array" ref="Y89">_xlfn.STDEV.P(IF($E$5:$E$53=$E88,Y$5:Y$53))</f>
        <v>0</v>
      </c>
      <c r="Z89" s="90">
        <f t="array" ref="Z89">_xlfn.STDEV.P(IF($E$5:$E$53=$E88,Z$5:Z$53))</f>
        <v>0</v>
      </c>
      <c r="AA89" s="90">
        <f t="array" ref="AA89">_xlfn.STDEV.P(IF($E$5:$E$53=$E88,AA$5:AA$53))</f>
        <v>0</v>
      </c>
      <c r="AB89" s="90">
        <f t="array" ref="AB89">_xlfn.STDEV.P(IF($E$5:$E$53=$E88,AB$5:AB$53))</f>
        <v>0</v>
      </c>
      <c r="AC89" s="90">
        <f t="array" ref="AC89">_xlfn.STDEV.P(IF($E$5:$E$53=$E88,AC$5:AC$53))</f>
        <v>0</v>
      </c>
      <c r="AD89" s="90">
        <f t="array" ref="AD89">_xlfn.STDEV.P(IF($E$5:$E$53=$E88,AD$5:AD$53))</f>
        <v>0</v>
      </c>
      <c r="AE89" s="90">
        <f t="array" ref="AE89">_xlfn.STDEV.P(IF($E$5:$E$53=$E88,AE$5:AE$53))</f>
        <v>0</v>
      </c>
      <c r="AF89" s="90">
        <f t="array" ref="AF89">_xlfn.STDEV.P(IF($E$5:$E$53=$E88,AF$5:AF$53))</f>
        <v>0</v>
      </c>
      <c r="AG89" s="90">
        <f t="array" ref="AG89">_xlfn.STDEV.P(IF($E$5:$E$53=$E88,AG$5:AG$53))</f>
        <v>0</v>
      </c>
      <c r="AH89" s="90">
        <f t="array" ref="AH89">_xlfn.STDEV.P(IF($E$5:$E$53=$E88,AH$5:AH$53))</f>
        <v>0</v>
      </c>
      <c r="AI89" s="90">
        <f t="array" ref="AI89">_xlfn.STDEV.P(IF($E$5:$E$53=$E88,AI$5:AI$53))</f>
        <v>0</v>
      </c>
      <c r="AJ89" s="90">
        <f t="array" ref="AJ89">_xlfn.STDEV.P(IF($E$5:$E$53=$E88,AJ$5:AJ$53))</f>
        <v>0</v>
      </c>
      <c r="AK89" s="90">
        <f t="array" ref="AK89">_xlfn.STDEV.P(IF($E$5:$E$53=$E88,AK$5:AK$53))</f>
        <v>0</v>
      </c>
      <c r="AL89" s="90">
        <f t="array" ref="AL89">_xlfn.STDEV.P(IF($E$5:$E$53=$E88,AL$5:AL$53))</f>
        <v>0</v>
      </c>
      <c r="AM89" s="90">
        <f t="array" ref="AM89">_xlfn.STDEV.P(IF($E$5:$E$53=$E88,AM$5:AM$53))</f>
        <v>0</v>
      </c>
      <c r="AN89" s="90">
        <f t="array" ref="AN89">_xlfn.STDEV.P(IF($E$5:$E$53=$E88,AN$5:AN$53))</f>
        <v>0</v>
      </c>
      <c r="AO89" s="90">
        <f t="array" ref="AO89">_xlfn.STDEV.P(IF($E$5:$E$53=$E88,AO$5:AO$53))</f>
        <v>0</v>
      </c>
      <c r="AP89" s="90">
        <f t="array" ref="AP89">_xlfn.STDEV.P(IF($E$5:$E$53=$E88,AP$5:AP$53))</f>
        <v>0</v>
      </c>
      <c r="AQ89" s="90">
        <f t="array" ref="AQ89">_xlfn.STDEV.P(IF($E$5:$E$53=$E88,AQ$5:AQ$53))</f>
        <v>0</v>
      </c>
      <c r="AR89" s="90">
        <f t="array" ref="AR89">_xlfn.STDEV.P(IF($E$5:$E$53=$E88,AR$5:AR$53))</f>
        <v>0</v>
      </c>
      <c r="AS89" s="90">
        <f t="array" ref="AS89">_xlfn.STDEV.P(IF($E$5:$E$53=$E88,AS$5:AS$53))</f>
        <v>0</v>
      </c>
      <c r="AT89" s="90">
        <f t="array" ref="AT89">_xlfn.STDEV.P(IF($E$5:$E$53=$E88,AT$5:AT$53))</f>
        <v>0</v>
      </c>
      <c r="AU89" s="90">
        <f t="array" ref="AU89">_xlfn.STDEV.P(IF($E$5:$E$53=$E88,AU$5:AU$53))</f>
        <v>0</v>
      </c>
      <c r="AV89" s="90">
        <f t="array" ref="AV89">_xlfn.STDEV.P(IF($E$5:$E$53=$E88,AV$5:AV$53))</f>
        <v>0</v>
      </c>
      <c r="AW89" s="90">
        <f t="array" ref="AW89">_xlfn.STDEV.P(IF($E$5:$E$53=$E88,AW$5:AW$53))</f>
        <v>0</v>
      </c>
      <c r="AX89" s="90">
        <f t="array" ref="AX89">_xlfn.STDEV.P(IF($E$5:$E$53=$E88,AX$5:AX$53))</f>
        <v>0</v>
      </c>
      <c r="AY89" s="90">
        <f t="array" ref="AY89">_xlfn.STDEV.P(IF($E$5:$E$53=$E88,AY$5:AY$53))</f>
        <v>0</v>
      </c>
      <c r="AZ89" s="90">
        <f t="array" ref="AZ89">_xlfn.STDEV.P(IF($E$5:$E$53=$E88,AZ$5:AZ$53))</f>
        <v>0</v>
      </c>
      <c r="BA89" s="90">
        <f t="array" ref="BA89">_xlfn.STDEV.P(IF($E$5:$E$53=$E88,BA$5:BA$53))</f>
        <v>0</v>
      </c>
      <c r="BB89" s="90">
        <f t="array" ref="BB89">_xlfn.STDEV.P(IF($E$5:$E$53=$E88,BB$5:BB$53))</f>
        <v>0</v>
      </c>
      <c r="BC89" s="115" t="s">
        <v>12</v>
      </c>
      <c r="BD89" s="83">
        <f t="array" ref="BD89">_xlfn.STDEV.P(IF($E$5:$E$53=$E88,BD$5:BD$53))</f>
        <v>0</v>
      </c>
      <c r="BE89" s="83">
        <f t="array" ref="BE89">_xlfn.STDEV.P(IF($E$5:$E$53=$E88,BE$5:BE$53))</f>
        <v>0</v>
      </c>
      <c r="BF89" s="83">
        <f t="array" ref="BF89">_xlfn.STDEV.P(IF($E$5:$E$53=$E88,BF$5:BF$53))</f>
        <v>0</v>
      </c>
      <c r="BG89" s="83">
        <f t="array" ref="BG89">_xlfn.STDEV.P(IF($E$5:$E$53=$E88,BG$5:BG$53))</f>
        <v>0</v>
      </c>
      <c r="BH89" s="83">
        <f t="array" ref="BH89">_xlfn.STDEV.P(IF($E$5:$E$53=$E88,BH$5:BH$53))</f>
        <v>0</v>
      </c>
      <c r="BI89" s="83">
        <f t="array" ref="BI89">_xlfn.STDEV.P(IF($E$5:$E$53=$E88,BI$5:BI$53))</f>
        <v>0</v>
      </c>
      <c r="BJ89" s="83">
        <f t="array" ref="BJ89">_xlfn.STDEV.P(IF($E$5:$E$53=$E88,BJ$5:BJ$53))</f>
        <v>0</v>
      </c>
      <c r="BK89" s="83">
        <f t="array" ref="BK89">_xlfn.STDEV.P(IF($E$5:$E$53=$E88,BK$5:BK$53))</f>
        <v>0</v>
      </c>
      <c r="BL89" s="83">
        <f t="array" ref="BL89">_xlfn.STDEV.P(IF($E$5:$E$53=$E88,BL$5:BL$53))</f>
        <v>0</v>
      </c>
      <c r="BM89" s="83">
        <f t="array" ref="BM89">_xlfn.STDEV.P(IF($E$5:$E$53=$E88,BM$5:BM$53))</f>
        <v>0</v>
      </c>
      <c r="BN89" s="83">
        <f t="array" ref="BN89">_xlfn.STDEV.P(IF($E$5:$E$53=$E88,BN$5:BN$53))</f>
        <v>0</v>
      </c>
      <c r="BO89" s="83">
        <f t="array" ref="BO89">_xlfn.STDEV.P(IF($E$5:$E$53=$E88,BO$5:BO$53))</f>
        <v>0</v>
      </c>
      <c r="BP89" s="83">
        <f t="array" ref="BP89">_xlfn.STDEV.P(IF($E$5:$E$53=$E88,BP$5:BP$53))</f>
        <v>0</v>
      </c>
      <c r="BQ89" s="83">
        <f t="array" ref="BQ89">_xlfn.STDEV.P(IF($E$5:$E$53=$E88,BQ$5:BQ$53))</f>
        <v>0</v>
      </c>
      <c r="BR89" s="83">
        <f t="array" ref="BR89">_xlfn.STDEV.P(IF($E$5:$E$53=$E88,BR$5:BR$53))</f>
        <v>0</v>
      </c>
      <c r="BS89" s="83">
        <f t="array" ref="BS89">_xlfn.STDEV.P(IF($E$5:$E$53=$E88,BS$5:BS$53))</f>
        <v>0</v>
      </c>
      <c r="BT89" s="83">
        <f t="array" ref="BT89">_xlfn.STDEV.P(IF($E$5:$E$53=$E88,BT$5:BT$53))</f>
        <v>0</v>
      </c>
      <c r="BU89" s="83">
        <f t="array" ref="BU89">_xlfn.STDEV.P(IF($E$5:$E$53=$E88,BU$5:BU$53))</f>
        <v>0</v>
      </c>
      <c r="BV89" s="83">
        <f t="array" ref="BV89">_xlfn.STDEV.P(IF($E$5:$E$53=$E88,BV$5:BV$53))</f>
        <v>0</v>
      </c>
      <c r="BW89" s="83">
        <f t="array" ref="BW89">_xlfn.STDEV.P(IF($E$5:$E$53=$E88,BW$5:BW$53))</f>
        <v>0</v>
      </c>
      <c r="BX89" s="83">
        <f t="array" ref="BX89">_xlfn.STDEV.P(IF($E$5:$E$53=$E88,BX$5:BX$53))</f>
        <v>0</v>
      </c>
      <c r="BY89" s="83" t="e">
        <f t="array" ref="BY89">_xlfn.STDEV.P(IF($E$5:$E$53=$E88,BY$5:BY$53))</f>
        <v>#DIV/0!</v>
      </c>
      <c r="BZ89" s="83" t="e">
        <f t="array" ref="BZ89">_xlfn.STDEV.P(IF($E$5:$E$53=$E88,BZ$5:BZ$53))</f>
        <v>#DIV/0!</v>
      </c>
      <c r="CA89" s="83" t="e">
        <f t="array" ref="CA89">_xlfn.STDEV.P(IF($E$5:$E$53=$E88,CA$5:CA$53))</f>
        <v>#DIV/0!</v>
      </c>
      <c r="CB89" s="83" t="e">
        <f t="array" ref="CB89">_xlfn.STDEV.P(IF($E$5:$E$53=$E88,CB$5:CB$53))</f>
        <v>#DIV/0!</v>
      </c>
      <c r="CC89" s="83" t="e">
        <f t="array" ref="CC89">_xlfn.STDEV.P(IF($E$5:$E$53=$E88,CC$5:CC$53))</f>
        <v>#DIV/0!</v>
      </c>
      <c r="CD89" s="83" t="e">
        <f t="array" ref="CD89">_xlfn.STDEV.P(IF($E$5:$E$53=$E88,CD$5:CD$53))</f>
        <v>#DIV/0!</v>
      </c>
      <c r="CE89" s="83" t="e">
        <f t="array" ref="CE89">_xlfn.STDEV.P(IF($E$5:$E$53=$E88,CE$5:CE$53))</f>
        <v>#DIV/0!</v>
      </c>
      <c r="CF89" s="83" t="e">
        <f t="array" ref="CF89">_xlfn.STDEV.P(IF($E$5:$E$53=$E88,CF$5:CF$53))</f>
        <v>#DIV/0!</v>
      </c>
      <c r="CG89" s="83" t="e">
        <f t="array" ref="CG89">_xlfn.STDEV.P(IF($E$5:$E$53=$E88,CG$5:CG$53))</f>
        <v>#DIV/0!</v>
      </c>
      <c r="CH89" s="83" t="e">
        <f t="array" ref="CH89">_xlfn.STDEV.P(IF($E$5:$E$53=$E88,CH$5:CH$53))</f>
        <v>#DIV/0!</v>
      </c>
      <c r="CI89" s="83" t="e">
        <f t="array" ref="CI89">_xlfn.STDEV.P(IF($E$5:$E$53=$E88,CI$5:CI$53))</f>
        <v>#DIV/0!</v>
      </c>
      <c r="CJ89" s="83" t="e">
        <f t="array" ref="CJ89">_xlfn.STDEV.P(IF($E$5:$E$53=$E88,CJ$5:CJ$53))</f>
        <v>#DIV/0!</v>
      </c>
      <c r="CK89" s="83" t="e">
        <f t="array" ref="CK89">_xlfn.STDEV.P(IF($E$5:$E$53=$E88,CK$5:CK$53))</f>
        <v>#DIV/0!</v>
      </c>
      <c r="CL89" s="83" t="e">
        <f t="array" ref="CL89">_xlfn.STDEV.P(IF($E$5:$E$53=$E88,CL$5:CL$53))</f>
        <v>#DIV/0!</v>
      </c>
      <c r="CM89" s="83" t="e">
        <f t="array" ref="CM89">_xlfn.STDEV.P(IF($E$5:$E$53=$E88,CM$5:CM$53))</f>
        <v>#DIV/0!</v>
      </c>
      <c r="CN89" s="83" t="e">
        <f t="array" ref="CN89">_xlfn.STDEV.P(IF($E$5:$E$53=$E88,CN$5:CN$53))</f>
        <v>#DIV/0!</v>
      </c>
      <c r="CO89" s="83" t="e">
        <f t="array" ref="CO89">_xlfn.STDEV.P(IF($E$5:$E$53=$E88,CO$5:CO$53))</f>
        <v>#DIV/0!</v>
      </c>
      <c r="CP89" s="83" t="e">
        <f t="array" ref="CP89">_xlfn.STDEV.P(IF($E$5:$E$53=$E88,CP$5:CP$53))</f>
        <v>#DIV/0!</v>
      </c>
      <c r="CQ89" s="83" t="e">
        <f t="array" ref="CQ89">_xlfn.STDEV.P(IF($E$5:$E$53=$E88,CQ$5:CQ$53))</f>
        <v>#DIV/0!</v>
      </c>
      <c r="CR89" s="83" t="e">
        <f t="array" ref="CR89">_xlfn.STDEV.P(IF($E$5:$E$53=$E88,CR$5:CR$53))</f>
        <v>#DIV/0!</v>
      </c>
      <c r="CS89" s="83" t="e">
        <f t="array" ref="CS89">_xlfn.STDEV.P(IF($E$5:$E$53=$E88,CS$5:CS$53))</f>
        <v>#DIV/0!</v>
      </c>
      <c r="CT89" s="83" t="e">
        <f t="array" ref="CT89">_xlfn.STDEV.P(IF($E$5:$E$53=$E88,CT$5:CT$53))</f>
        <v>#DIV/0!</v>
      </c>
      <c r="CU89" s="83" t="e">
        <f t="array" ref="CU89">_xlfn.STDEV.P(IF($E$5:$E$53=$E88,CU$5:CU$53))</f>
        <v>#DIV/0!</v>
      </c>
      <c r="CV89" s="85"/>
    </row>
    <row r="90" spans="1:100" ht="15">
      <c r="A90" s="129"/>
      <c r="E90" s="134"/>
      <c r="H90" s="58"/>
    </row>
    <row r="91" spans="1:100" ht="14.25" customHeight="1">
      <c r="A91" s="129"/>
      <c r="E91" s="134" t="str">
        <f>'PTX_DOSE Groups'!C17</f>
        <v>Group 12</v>
      </c>
      <c r="H91" s="134" t="str">
        <f>E91</f>
        <v>Group 12</v>
      </c>
      <c r="I91" s="256" t="e">
        <f>AVERAGEIF($E$5:$E$53,$E91,I$5:I$53)</f>
        <v>#DIV/0!</v>
      </c>
      <c r="J91" s="81" t="s">
        <v>10</v>
      </c>
      <c r="K91" s="87" t="e">
        <f t="shared" ref="K91:BB91" si="42">AVERAGEIF($E$5:$E$53,$E91,K$5:K$53)</f>
        <v>#DIV/0!</v>
      </c>
      <c r="L91" s="87" t="e">
        <f t="shared" si="42"/>
        <v>#DIV/0!</v>
      </c>
      <c r="M91" s="87" t="e">
        <f t="shared" si="42"/>
        <v>#DIV/0!</v>
      </c>
      <c r="N91" s="87" t="e">
        <f t="shared" si="42"/>
        <v>#DIV/0!</v>
      </c>
      <c r="O91" s="87" t="e">
        <f t="shared" si="42"/>
        <v>#DIV/0!</v>
      </c>
      <c r="P91" s="87" t="e">
        <f t="shared" si="42"/>
        <v>#DIV/0!</v>
      </c>
      <c r="Q91" s="87" t="e">
        <f t="shared" si="42"/>
        <v>#DIV/0!</v>
      </c>
      <c r="R91" s="87" t="e">
        <f t="shared" si="42"/>
        <v>#DIV/0!</v>
      </c>
      <c r="S91" s="87" t="e">
        <f t="shared" si="42"/>
        <v>#DIV/0!</v>
      </c>
      <c r="T91" s="87" t="e">
        <f t="shared" si="42"/>
        <v>#DIV/0!</v>
      </c>
      <c r="U91" s="87" t="e">
        <f t="shared" si="42"/>
        <v>#DIV/0!</v>
      </c>
      <c r="V91" s="87" t="e">
        <f t="shared" si="42"/>
        <v>#DIV/0!</v>
      </c>
      <c r="W91" s="87" t="e">
        <f t="shared" si="42"/>
        <v>#DIV/0!</v>
      </c>
      <c r="X91" s="87" t="e">
        <f t="shared" si="42"/>
        <v>#DIV/0!</v>
      </c>
      <c r="Y91" s="87" t="e">
        <f t="shared" si="42"/>
        <v>#DIV/0!</v>
      </c>
      <c r="Z91" s="87" t="e">
        <f t="shared" si="42"/>
        <v>#DIV/0!</v>
      </c>
      <c r="AA91" s="87" t="e">
        <f t="shared" si="42"/>
        <v>#DIV/0!</v>
      </c>
      <c r="AB91" s="87" t="e">
        <f t="shared" si="42"/>
        <v>#DIV/0!</v>
      </c>
      <c r="AC91" s="87" t="e">
        <f t="shared" si="42"/>
        <v>#DIV/0!</v>
      </c>
      <c r="AD91" s="87" t="e">
        <f t="shared" si="42"/>
        <v>#DIV/0!</v>
      </c>
      <c r="AE91" s="87" t="e">
        <f t="shared" si="42"/>
        <v>#DIV/0!</v>
      </c>
      <c r="AF91" s="87" t="e">
        <f t="shared" si="42"/>
        <v>#DIV/0!</v>
      </c>
      <c r="AG91" s="87" t="e">
        <f t="shared" si="42"/>
        <v>#DIV/0!</v>
      </c>
      <c r="AH91" s="87" t="e">
        <f t="shared" si="42"/>
        <v>#DIV/0!</v>
      </c>
      <c r="AI91" s="87" t="e">
        <f t="shared" si="42"/>
        <v>#DIV/0!</v>
      </c>
      <c r="AJ91" s="87" t="e">
        <f t="shared" si="42"/>
        <v>#DIV/0!</v>
      </c>
      <c r="AK91" s="87" t="e">
        <f t="shared" si="42"/>
        <v>#DIV/0!</v>
      </c>
      <c r="AL91" s="87" t="e">
        <f t="shared" si="42"/>
        <v>#DIV/0!</v>
      </c>
      <c r="AM91" s="87" t="e">
        <f t="shared" si="42"/>
        <v>#DIV/0!</v>
      </c>
      <c r="AN91" s="87" t="e">
        <f t="shared" si="42"/>
        <v>#DIV/0!</v>
      </c>
      <c r="AO91" s="87" t="e">
        <f t="shared" si="42"/>
        <v>#DIV/0!</v>
      </c>
      <c r="AP91" s="87" t="e">
        <f t="shared" si="42"/>
        <v>#DIV/0!</v>
      </c>
      <c r="AQ91" s="87" t="e">
        <f t="shared" si="42"/>
        <v>#DIV/0!</v>
      </c>
      <c r="AR91" s="87" t="e">
        <f t="shared" si="42"/>
        <v>#DIV/0!</v>
      </c>
      <c r="AS91" s="87" t="e">
        <f t="shared" si="42"/>
        <v>#DIV/0!</v>
      </c>
      <c r="AT91" s="87" t="e">
        <f t="shared" si="42"/>
        <v>#DIV/0!</v>
      </c>
      <c r="AU91" s="87" t="e">
        <f t="shared" si="42"/>
        <v>#DIV/0!</v>
      </c>
      <c r="AV91" s="87" t="e">
        <f t="shared" si="42"/>
        <v>#DIV/0!</v>
      </c>
      <c r="AW91" s="87" t="e">
        <f t="shared" si="42"/>
        <v>#DIV/0!</v>
      </c>
      <c r="AX91" s="87" t="e">
        <f t="shared" si="42"/>
        <v>#DIV/0!</v>
      </c>
      <c r="AY91" s="87" t="e">
        <f t="shared" si="42"/>
        <v>#DIV/0!</v>
      </c>
      <c r="AZ91" s="87" t="e">
        <f t="shared" si="42"/>
        <v>#DIV/0!</v>
      </c>
      <c r="BA91" s="87" t="e">
        <f t="shared" si="42"/>
        <v>#DIV/0!</v>
      </c>
      <c r="BB91" s="87" t="e">
        <f t="shared" si="42"/>
        <v>#DIV/0!</v>
      </c>
      <c r="BC91" s="114" t="s">
        <v>10</v>
      </c>
      <c r="BD91" s="82" t="e">
        <f t="shared" ref="BD91:CU91" si="43">AVERAGEIF($E$5:$E$53,$E91,BD$5:BD$53)</f>
        <v>#DIV/0!</v>
      </c>
      <c r="BE91" s="82" t="e">
        <f t="shared" si="43"/>
        <v>#DIV/0!</v>
      </c>
      <c r="BF91" s="82" t="e">
        <f t="shared" si="43"/>
        <v>#DIV/0!</v>
      </c>
      <c r="BG91" s="82" t="e">
        <f t="shared" si="43"/>
        <v>#DIV/0!</v>
      </c>
      <c r="BH91" s="82" t="e">
        <f t="shared" si="43"/>
        <v>#DIV/0!</v>
      </c>
      <c r="BI91" s="82" t="e">
        <f t="shared" si="43"/>
        <v>#DIV/0!</v>
      </c>
      <c r="BJ91" s="82" t="e">
        <f t="shared" si="43"/>
        <v>#DIV/0!</v>
      </c>
      <c r="BK91" s="82" t="e">
        <f t="shared" si="43"/>
        <v>#DIV/0!</v>
      </c>
      <c r="BL91" s="82" t="e">
        <f t="shared" si="43"/>
        <v>#DIV/0!</v>
      </c>
      <c r="BM91" s="82" t="e">
        <f t="shared" si="43"/>
        <v>#DIV/0!</v>
      </c>
      <c r="BN91" s="82" t="e">
        <f t="shared" si="43"/>
        <v>#DIV/0!</v>
      </c>
      <c r="BO91" s="82" t="e">
        <f t="shared" si="43"/>
        <v>#DIV/0!</v>
      </c>
      <c r="BP91" s="82" t="e">
        <f t="shared" si="43"/>
        <v>#DIV/0!</v>
      </c>
      <c r="BQ91" s="82" t="e">
        <f t="shared" si="43"/>
        <v>#DIV/0!</v>
      </c>
      <c r="BR91" s="82" t="e">
        <f t="shared" si="43"/>
        <v>#DIV/0!</v>
      </c>
      <c r="BS91" s="82" t="e">
        <f t="shared" si="43"/>
        <v>#DIV/0!</v>
      </c>
      <c r="BT91" s="82" t="e">
        <f t="shared" si="43"/>
        <v>#DIV/0!</v>
      </c>
      <c r="BU91" s="82" t="e">
        <f t="shared" si="43"/>
        <v>#DIV/0!</v>
      </c>
      <c r="BV91" s="82" t="e">
        <f t="shared" si="43"/>
        <v>#DIV/0!</v>
      </c>
      <c r="BW91" s="82" t="e">
        <f t="shared" si="43"/>
        <v>#DIV/0!</v>
      </c>
      <c r="BX91" s="82" t="e">
        <f t="shared" si="43"/>
        <v>#DIV/0!</v>
      </c>
      <c r="BY91" s="82" t="e">
        <f t="shared" si="43"/>
        <v>#DIV/0!</v>
      </c>
      <c r="BZ91" s="82" t="e">
        <f t="shared" si="43"/>
        <v>#DIV/0!</v>
      </c>
      <c r="CA91" s="82" t="e">
        <f t="shared" si="43"/>
        <v>#DIV/0!</v>
      </c>
      <c r="CB91" s="82" t="e">
        <f t="shared" si="43"/>
        <v>#DIV/0!</v>
      </c>
      <c r="CC91" s="82" t="e">
        <f t="shared" si="43"/>
        <v>#DIV/0!</v>
      </c>
      <c r="CD91" s="82" t="e">
        <f t="shared" si="43"/>
        <v>#DIV/0!</v>
      </c>
      <c r="CE91" s="82" t="e">
        <f t="shared" si="43"/>
        <v>#DIV/0!</v>
      </c>
      <c r="CF91" s="82" t="e">
        <f t="shared" si="43"/>
        <v>#DIV/0!</v>
      </c>
      <c r="CG91" s="82" t="e">
        <f t="shared" si="43"/>
        <v>#DIV/0!</v>
      </c>
      <c r="CH91" s="82" t="e">
        <f t="shared" si="43"/>
        <v>#DIV/0!</v>
      </c>
      <c r="CI91" s="82" t="e">
        <f t="shared" si="43"/>
        <v>#DIV/0!</v>
      </c>
      <c r="CJ91" s="82" t="e">
        <f t="shared" si="43"/>
        <v>#DIV/0!</v>
      </c>
      <c r="CK91" s="82" t="e">
        <f t="shared" si="43"/>
        <v>#DIV/0!</v>
      </c>
      <c r="CL91" s="82" t="e">
        <f t="shared" si="43"/>
        <v>#DIV/0!</v>
      </c>
      <c r="CM91" s="82" t="e">
        <f t="shared" si="43"/>
        <v>#DIV/0!</v>
      </c>
      <c r="CN91" s="82" t="e">
        <f t="shared" si="43"/>
        <v>#DIV/0!</v>
      </c>
      <c r="CO91" s="82" t="e">
        <f t="shared" si="43"/>
        <v>#DIV/0!</v>
      </c>
      <c r="CP91" s="82" t="e">
        <f t="shared" si="43"/>
        <v>#DIV/0!</v>
      </c>
      <c r="CQ91" s="82" t="e">
        <f t="shared" si="43"/>
        <v>#DIV/0!</v>
      </c>
      <c r="CR91" s="82" t="e">
        <f t="shared" si="43"/>
        <v>#DIV/0!</v>
      </c>
      <c r="CS91" s="82" t="e">
        <f t="shared" si="43"/>
        <v>#DIV/0!</v>
      </c>
      <c r="CT91" s="82" t="e">
        <f t="shared" si="43"/>
        <v>#DIV/0!</v>
      </c>
      <c r="CU91" s="82" t="e">
        <f t="shared" si="43"/>
        <v>#DIV/0!</v>
      </c>
      <c r="CV91" s="85"/>
    </row>
    <row r="92" spans="1:100" ht="14.25" customHeight="1">
      <c r="A92" s="129"/>
      <c r="E92" s="104"/>
      <c r="H92" s="104"/>
      <c r="I92" s="256" t="e">
        <f t="array" ref="I92">_xlfn.STDEV.P(IF($E$5:$E$53=$E91,I$5:I$53))</f>
        <v>#DIV/0!</v>
      </c>
      <c r="J92" s="81" t="s">
        <v>12</v>
      </c>
      <c r="K92" s="90" t="e">
        <f t="array" ref="K92">_xlfn.STDEV.P(IF($E$5:$E$53=$E91,K$5:K$53))</f>
        <v>#DIV/0!</v>
      </c>
      <c r="L92" s="90" t="e">
        <f t="array" ref="L92">_xlfn.STDEV.P(IF($E$5:$E$53=$E91,L$5:L$53))</f>
        <v>#DIV/0!</v>
      </c>
      <c r="M92" s="90" t="e">
        <f t="array" ref="M92">_xlfn.STDEV.P(IF($E$5:$E$53=$E91,M$5:M$53))</f>
        <v>#DIV/0!</v>
      </c>
      <c r="N92" s="90" t="e">
        <f t="array" ref="N92">_xlfn.STDEV.P(IF($E$5:$E$53=$E91,N$5:N$53))</f>
        <v>#DIV/0!</v>
      </c>
      <c r="O92" s="90" t="e">
        <f t="array" ref="O92">_xlfn.STDEV.P(IF($E$5:$E$53=$E91,O$5:O$53))</f>
        <v>#DIV/0!</v>
      </c>
      <c r="P92" s="90" t="e">
        <f t="array" ref="P92">_xlfn.STDEV.P(IF($E$5:$E$53=$E91,P$5:P$53))</f>
        <v>#DIV/0!</v>
      </c>
      <c r="Q92" s="90" t="e">
        <f t="array" ref="Q92">_xlfn.STDEV.P(IF($E$5:$E$53=$E91,Q$5:Q$53))</f>
        <v>#DIV/0!</v>
      </c>
      <c r="R92" s="90" t="e">
        <f t="array" ref="R92">_xlfn.STDEV.P(IF($E$5:$E$53=$E91,R$5:R$53))</f>
        <v>#DIV/0!</v>
      </c>
      <c r="S92" s="90" t="e">
        <f t="array" ref="S92">_xlfn.STDEV.P(IF($E$5:$E$53=$E91,S$5:S$53))</f>
        <v>#DIV/0!</v>
      </c>
      <c r="T92" s="90" t="e">
        <f t="array" ref="T92">_xlfn.STDEV.P(IF($E$5:$E$53=$E91,T$5:T$53))</f>
        <v>#DIV/0!</v>
      </c>
      <c r="U92" s="90" t="e">
        <f t="array" ref="U92">_xlfn.STDEV.P(IF($E$5:$E$53=$E91,U$5:U$53))</f>
        <v>#DIV/0!</v>
      </c>
      <c r="V92" s="90" t="e">
        <f t="array" ref="V92">_xlfn.STDEV.P(IF($E$5:$E$53=$E91,V$5:V$53))</f>
        <v>#DIV/0!</v>
      </c>
      <c r="W92" s="90" t="e">
        <f t="array" ref="W92">_xlfn.STDEV.P(IF($E$5:$E$53=$E91,W$5:W$53))</f>
        <v>#DIV/0!</v>
      </c>
      <c r="X92" s="90" t="e">
        <f t="array" ref="X92">_xlfn.STDEV.P(IF($E$5:$E$53=$E91,X$5:X$53))</f>
        <v>#DIV/0!</v>
      </c>
      <c r="Y92" s="90" t="e">
        <f t="array" ref="Y92">_xlfn.STDEV.P(IF($E$5:$E$53=$E91,Y$5:Y$53))</f>
        <v>#DIV/0!</v>
      </c>
      <c r="Z92" s="90" t="e">
        <f t="array" ref="Z92">_xlfn.STDEV.P(IF($E$5:$E$53=$E91,Z$5:Z$53))</f>
        <v>#DIV/0!</v>
      </c>
      <c r="AA92" s="90" t="e">
        <f t="array" ref="AA92">_xlfn.STDEV.P(IF($E$5:$E$53=$E91,AA$5:AA$53))</f>
        <v>#DIV/0!</v>
      </c>
      <c r="AB92" s="90" t="e">
        <f t="array" ref="AB92">_xlfn.STDEV.P(IF($E$5:$E$53=$E91,AB$5:AB$53))</f>
        <v>#DIV/0!</v>
      </c>
      <c r="AC92" s="90" t="e">
        <f t="array" ref="AC92">_xlfn.STDEV.P(IF($E$5:$E$53=$E91,AC$5:AC$53))</f>
        <v>#DIV/0!</v>
      </c>
      <c r="AD92" s="90" t="e">
        <f t="array" ref="AD92">_xlfn.STDEV.P(IF($E$5:$E$53=$E91,AD$5:AD$53))</f>
        <v>#DIV/0!</v>
      </c>
      <c r="AE92" s="90" t="e">
        <f t="array" ref="AE92">_xlfn.STDEV.P(IF($E$5:$E$53=$E91,AE$5:AE$53))</f>
        <v>#DIV/0!</v>
      </c>
      <c r="AF92" s="90" t="e">
        <f t="array" ref="AF92">_xlfn.STDEV.P(IF($E$5:$E$53=$E91,AF$5:AF$53))</f>
        <v>#DIV/0!</v>
      </c>
      <c r="AG92" s="90" t="e">
        <f t="array" ref="AG92">_xlfn.STDEV.P(IF($E$5:$E$53=$E91,AG$5:AG$53))</f>
        <v>#DIV/0!</v>
      </c>
      <c r="AH92" s="90" t="e">
        <f t="array" ref="AH92">_xlfn.STDEV.P(IF($E$5:$E$53=$E91,AH$5:AH$53))</f>
        <v>#DIV/0!</v>
      </c>
      <c r="AI92" s="90" t="e">
        <f t="array" ref="AI92">_xlfn.STDEV.P(IF($E$5:$E$53=$E91,AI$5:AI$53))</f>
        <v>#DIV/0!</v>
      </c>
      <c r="AJ92" s="90" t="e">
        <f t="array" ref="AJ92">_xlfn.STDEV.P(IF($E$5:$E$53=$E91,AJ$5:AJ$53))</f>
        <v>#DIV/0!</v>
      </c>
      <c r="AK92" s="90" t="e">
        <f t="array" ref="AK92">_xlfn.STDEV.P(IF($E$5:$E$53=$E91,AK$5:AK$53))</f>
        <v>#DIV/0!</v>
      </c>
      <c r="AL92" s="90" t="e">
        <f t="array" ref="AL92">_xlfn.STDEV.P(IF($E$5:$E$53=$E91,AL$5:AL$53))</f>
        <v>#DIV/0!</v>
      </c>
      <c r="AM92" s="90" t="e">
        <f t="array" ref="AM92">_xlfn.STDEV.P(IF($E$5:$E$53=$E91,AM$5:AM$53))</f>
        <v>#DIV/0!</v>
      </c>
      <c r="AN92" s="90" t="e">
        <f t="array" ref="AN92">_xlfn.STDEV.P(IF($E$5:$E$53=$E91,AN$5:AN$53))</f>
        <v>#DIV/0!</v>
      </c>
      <c r="AO92" s="90" t="e">
        <f t="array" ref="AO92">_xlfn.STDEV.P(IF($E$5:$E$53=$E91,AO$5:AO$53))</f>
        <v>#DIV/0!</v>
      </c>
      <c r="AP92" s="90" t="e">
        <f t="array" ref="AP92">_xlfn.STDEV.P(IF($E$5:$E$53=$E91,AP$5:AP$53))</f>
        <v>#DIV/0!</v>
      </c>
      <c r="AQ92" s="90" t="e">
        <f t="array" ref="AQ92">_xlfn.STDEV.P(IF($E$5:$E$53=$E91,AQ$5:AQ$53))</f>
        <v>#DIV/0!</v>
      </c>
      <c r="AR92" s="90" t="e">
        <f t="array" ref="AR92">_xlfn.STDEV.P(IF($E$5:$E$53=$E91,AR$5:AR$53))</f>
        <v>#DIV/0!</v>
      </c>
      <c r="AS92" s="90" t="e">
        <f t="array" ref="AS92">_xlfn.STDEV.P(IF($E$5:$E$53=$E91,AS$5:AS$53))</f>
        <v>#DIV/0!</v>
      </c>
      <c r="AT92" s="90" t="e">
        <f t="array" ref="AT92">_xlfn.STDEV.P(IF($E$5:$E$53=$E91,AT$5:AT$53))</f>
        <v>#DIV/0!</v>
      </c>
      <c r="AU92" s="90" t="e">
        <f t="array" ref="AU92">_xlfn.STDEV.P(IF($E$5:$E$53=$E91,AU$5:AU$53))</f>
        <v>#DIV/0!</v>
      </c>
      <c r="AV92" s="90" t="e">
        <f t="array" ref="AV92">_xlfn.STDEV.P(IF($E$5:$E$53=$E91,AV$5:AV$53))</f>
        <v>#DIV/0!</v>
      </c>
      <c r="AW92" s="90" t="e">
        <f t="array" ref="AW92">_xlfn.STDEV.P(IF($E$5:$E$53=$E91,AW$5:AW$53))</f>
        <v>#DIV/0!</v>
      </c>
      <c r="AX92" s="90" t="e">
        <f t="array" ref="AX92">_xlfn.STDEV.P(IF($E$5:$E$53=$E91,AX$5:AX$53))</f>
        <v>#DIV/0!</v>
      </c>
      <c r="AY92" s="90" t="e">
        <f t="array" ref="AY92">_xlfn.STDEV.P(IF($E$5:$E$53=$E91,AY$5:AY$53))</f>
        <v>#DIV/0!</v>
      </c>
      <c r="AZ92" s="90" t="e">
        <f t="array" ref="AZ92">_xlfn.STDEV.P(IF($E$5:$E$53=$E91,AZ$5:AZ$53))</f>
        <v>#DIV/0!</v>
      </c>
      <c r="BA92" s="90" t="e">
        <f t="array" ref="BA92">_xlfn.STDEV.P(IF($E$5:$E$53=$E91,BA$5:BA$53))</f>
        <v>#DIV/0!</v>
      </c>
      <c r="BB92" s="90" t="e">
        <f t="array" ref="BB92">_xlfn.STDEV.P(IF($E$5:$E$53=$E91,BB$5:BB$53))</f>
        <v>#DIV/0!</v>
      </c>
      <c r="BC92" s="115" t="s">
        <v>12</v>
      </c>
      <c r="BD92" s="83" t="e">
        <f t="array" ref="BD92">_xlfn.STDEV.P(IF($E$5:$E$53=$E91,BD$5:BD$53))</f>
        <v>#DIV/0!</v>
      </c>
      <c r="BE92" s="83" t="e">
        <f t="array" ref="BE92">_xlfn.STDEV.P(IF($E$5:$E$53=$E91,BE$5:BE$53))</f>
        <v>#DIV/0!</v>
      </c>
      <c r="BF92" s="83" t="e">
        <f t="array" ref="BF92">_xlfn.STDEV.P(IF($E$5:$E$53=$E91,BF$5:BF$53))</f>
        <v>#DIV/0!</v>
      </c>
      <c r="BG92" s="83" t="e">
        <f t="array" ref="BG92">_xlfn.STDEV.P(IF($E$5:$E$53=$E91,BG$5:BG$53))</f>
        <v>#DIV/0!</v>
      </c>
      <c r="BH92" s="83" t="e">
        <f t="array" ref="BH92">_xlfn.STDEV.P(IF($E$5:$E$53=$E91,BH$5:BH$53))</f>
        <v>#DIV/0!</v>
      </c>
      <c r="BI92" s="83" t="e">
        <f t="array" ref="BI92">_xlfn.STDEV.P(IF($E$5:$E$53=$E91,BI$5:BI$53))</f>
        <v>#DIV/0!</v>
      </c>
      <c r="BJ92" s="83" t="e">
        <f t="array" ref="BJ92">_xlfn.STDEV.P(IF($E$5:$E$53=$E91,BJ$5:BJ$53))</f>
        <v>#DIV/0!</v>
      </c>
      <c r="BK92" s="83" t="e">
        <f t="array" ref="BK92">_xlfn.STDEV.P(IF($E$5:$E$53=$E91,BK$5:BK$53))</f>
        <v>#DIV/0!</v>
      </c>
      <c r="BL92" s="83" t="e">
        <f t="array" ref="BL92">_xlfn.STDEV.P(IF($E$5:$E$53=$E91,BL$5:BL$53))</f>
        <v>#DIV/0!</v>
      </c>
      <c r="BM92" s="83" t="e">
        <f t="array" ref="BM92">_xlfn.STDEV.P(IF($E$5:$E$53=$E91,BM$5:BM$53))</f>
        <v>#DIV/0!</v>
      </c>
      <c r="BN92" s="83" t="e">
        <f t="array" ref="BN92">_xlfn.STDEV.P(IF($E$5:$E$53=$E91,BN$5:BN$53))</f>
        <v>#DIV/0!</v>
      </c>
      <c r="BO92" s="83" t="e">
        <f t="array" ref="BO92">_xlfn.STDEV.P(IF($E$5:$E$53=$E91,BO$5:BO$53))</f>
        <v>#DIV/0!</v>
      </c>
      <c r="BP92" s="83" t="e">
        <f t="array" ref="BP92">_xlfn.STDEV.P(IF($E$5:$E$53=$E91,BP$5:BP$53))</f>
        <v>#DIV/0!</v>
      </c>
      <c r="BQ92" s="83" t="e">
        <f t="array" ref="BQ92">_xlfn.STDEV.P(IF($E$5:$E$53=$E91,BQ$5:BQ$53))</f>
        <v>#DIV/0!</v>
      </c>
      <c r="BR92" s="83" t="e">
        <f t="array" ref="BR92">_xlfn.STDEV.P(IF($E$5:$E$53=$E91,BR$5:BR$53))</f>
        <v>#DIV/0!</v>
      </c>
      <c r="BS92" s="83" t="e">
        <f t="array" ref="BS92">_xlfn.STDEV.P(IF($E$5:$E$53=$E91,BS$5:BS$53))</f>
        <v>#DIV/0!</v>
      </c>
      <c r="BT92" s="83" t="e">
        <f t="array" ref="BT92">_xlfn.STDEV.P(IF($E$5:$E$53=$E91,BT$5:BT$53))</f>
        <v>#DIV/0!</v>
      </c>
      <c r="BU92" s="83" t="e">
        <f t="array" ref="BU92">_xlfn.STDEV.P(IF($E$5:$E$53=$E91,BU$5:BU$53))</f>
        <v>#DIV/0!</v>
      </c>
      <c r="BV92" s="83" t="e">
        <f t="array" ref="BV92">_xlfn.STDEV.P(IF($E$5:$E$53=$E91,BV$5:BV$53))</f>
        <v>#DIV/0!</v>
      </c>
      <c r="BW92" s="83" t="e">
        <f t="array" ref="BW92">_xlfn.STDEV.P(IF($E$5:$E$53=$E91,BW$5:BW$53))</f>
        <v>#DIV/0!</v>
      </c>
      <c r="BX92" s="83" t="e">
        <f t="array" ref="BX92">_xlfn.STDEV.P(IF($E$5:$E$53=$E91,BX$5:BX$53))</f>
        <v>#DIV/0!</v>
      </c>
      <c r="BY92" s="83" t="e">
        <f t="array" ref="BY92">_xlfn.STDEV.P(IF($E$5:$E$53=$E91,BY$5:BY$53))</f>
        <v>#DIV/0!</v>
      </c>
      <c r="BZ92" s="83" t="e">
        <f t="array" ref="BZ92">_xlfn.STDEV.P(IF($E$5:$E$53=$E91,BZ$5:BZ$53))</f>
        <v>#DIV/0!</v>
      </c>
      <c r="CA92" s="83" t="e">
        <f t="array" ref="CA92">_xlfn.STDEV.P(IF($E$5:$E$53=$E91,CA$5:CA$53))</f>
        <v>#DIV/0!</v>
      </c>
      <c r="CB92" s="83" t="e">
        <f t="array" ref="CB92">_xlfn.STDEV.P(IF($E$5:$E$53=$E91,CB$5:CB$53))</f>
        <v>#DIV/0!</v>
      </c>
      <c r="CC92" s="83" t="e">
        <f t="array" ref="CC92">_xlfn.STDEV.P(IF($E$5:$E$53=$E91,CC$5:CC$53))</f>
        <v>#DIV/0!</v>
      </c>
      <c r="CD92" s="83" t="e">
        <f t="array" ref="CD92">_xlfn.STDEV.P(IF($E$5:$E$53=$E91,CD$5:CD$53))</f>
        <v>#DIV/0!</v>
      </c>
      <c r="CE92" s="83" t="e">
        <f t="array" ref="CE92">_xlfn.STDEV.P(IF($E$5:$E$53=$E91,CE$5:CE$53))</f>
        <v>#DIV/0!</v>
      </c>
      <c r="CF92" s="83" t="e">
        <f t="array" ref="CF92">_xlfn.STDEV.P(IF($E$5:$E$53=$E91,CF$5:CF$53))</f>
        <v>#DIV/0!</v>
      </c>
      <c r="CG92" s="83" t="e">
        <f t="array" ref="CG92">_xlfn.STDEV.P(IF($E$5:$E$53=$E91,CG$5:CG$53))</f>
        <v>#DIV/0!</v>
      </c>
      <c r="CH92" s="83" t="e">
        <f t="array" ref="CH92">_xlfn.STDEV.P(IF($E$5:$E$53=$E91,CH$5:CH$53))</f>
        <v>#DIV/0!</v>
      </c>
      <c r="CI92" s="83" t="e">
        <f t="array" ref="CI92">_xlfn.STDEV.P(IF($E$5:$E$53=$E91,CI$5:CI$53))</f>
        <v>#DIV/0!</v>
      </c>
      <c r="CJ92" s="83" t="e">
        <f t="array" ref="CJ92">_xlfn.STDEV.P(IF($E$5:$E$53=$E91,CJ$5:CJ$53))</f>
        <v>#DIV/0!</v>
      </c>
      <c r="CK92" s="83" t="e">
        <f t="array" ref="CK92">_xlfn.STDEV.P(IF($E$5:$E$53=$E91,CK$5:CK$53))</f>
        <v>#DIV/0!</v>
      </c>
      <c r="CL92" s="83" t="e">
        <f t="array" ref="CL92">_xlfn.STDEV.P(IF($E$5:$E$53=$E91,CL$5:CL$53))</f>
        <v>#DIV/0!</v>
      </c>
      <c r="CM92" s="83" t="e">
        <f t="array" ref="CM92">_xlfn.STDEV.P(IF($E$5:$E$53=$E91,CM$5:CM$53))</f>
        <v>#DIV/0!</v>
      </c>
      <c r="CN92" s="83" t="e">
        <f t="array" ref="CN92">_xlfn.STDEV.P(IF($E$5:$E$53=$E91,CN$5:CN$53))</f>
        <v>#DIV/0!</v>
      </c>
      <c r="CO92" s="83" t="e">
        <f t="array" ref="CO92">_xlfn.STDEV.P(IF($E$5:$E$53=$E91,CO$5:CO$53))</f>
        <v>#DIV/0!</v>
      </c>
      <c r="CP92" s="83" t="e">
        <f t="array" ref="CP92">_xlfn.STDEV.P(IF($E$5:$E$53=$E91,CP$5:CP$53))</f>
        <v>#DIV/0!</v>
      </c>
      <c r="CQ92" s="83" t="e">
        <f t="array" ref="CQ92">_xlfn.STDEV.P(IF($E$5:$E$53=$E91,CQ$5:CQ$53))</f>
        <v>#DIV/0!</v>
      </c>
      <c r="CR92" s="83" t="e">
        <f t="array" ref="CR92">_xlfn.STDEV.P(IF($E$5:$E$53=$E91,CR$5:CR$53))</f>
        <v>#DIV/0!</v>
      </c>
      <c r="CS92" s="83" t="e">
        <f t="array" ref="CS92">_xlfn.STDEV.P(IF($E$5:$E$53=$E91,CS$5:CS$53))</f>
        <v>#DIV/0!</v>
      </c>
      <c r="CT92" s="83" t="e">
        <f t="array" ref="CT92">_xlfn.STDEV.P(IF($E$5:$E$53=$E91,CT$5:CT$53))</f>
        <v>#DIV/0!</v>
      </c>
      <c r="CU92" s="83" t="e">
        <f t="array" ref="CU92">_xlfn.STDEV.P(IF($E$5:$E$53=$E91,CU$5:CU$53))</f>
        <v>#DIV/0!</v>
      </c>
      <c r="CV92" s="85"/>
    </row>
    <row r="93" spans="1:100" ht="15">
      <c r="A93" s="129"/>
      <c r="E93" s="134"/>
      <c r="H93" s="58"/>
    </row>
    <row r="94" spans="1:100" ht="14.25" customHeight="1">
      <c r="A94" s="129"/>
      <c r="E94" s="134" t="str">
        <f>'PTX_DOSE Groups'!C18</f>
        <v>Group 13</v>
      </c>
      <c r="H94" s="134" t="str">
        <f>E94</f>
        <v>Group 13</v>
      </c>
      <c r="I94" s="256" t="e">
        <f>AVERAGEIF($E$5:$E$53,$E94,I$5:I$53)</f>
        <v>#DIV/0!</v>
      </c>
      <c r="J94" s="81" t="s">
        <v>10</v>
      </c>
      <c r="K94" s="87" t="e">
        <f t="shared" ref="K94:BB94" si="44">AVERAGEIF($E$5:$E$53,$E94,K$5:K$53)</f>
        <v>#DIV/0!</v>
      </c>
      <c r="L94" s="87" t="e">
        <f t="shared" si="44"/>
        <v>#DIV/0!</v>
      </c>
      <c r="M94" s="87" t="e">
        <f t="shared" si="44"/>
        <v>#DIV/0!</v>
      </c>
      <c r="N94" s="87" t="e">
        <f t="shared" si="44"/>
        <v>#DIV/0!</v>
      </c>
      <c r="O94" s="87" t="e">
        <f t="shared" si="44"/>
        <v>#DIV/0!</v>
      </c>
      <c r="P94" s="87" t="e">
        <f t="shared" si="44"/>
        <v>#DIV/0!</v>
      </c>
      <c r="Q94" s="87" t="e">
        <f t="shared" si="44"/>
        <v>#DIV/0!</v>
      </c>
      <c r="R94" s="87" t="e">
        <f t="shared" si="44"/>
        <v>#DIV/0!</v>
      </c>
      <c r="S94" s="87" t="e">
        <f t="shared" si="44"/>
        <v>#DIV/0!</v>
      </c>
      <c r="T94" s="87" t="e">
        <f t="shared" si="44"/>
        <v>#DIV/0!</v>
      </c>
      <c r="U94" s="87" t="e">
        <f t="shared" si="44"/>
        <v>#DIV/0!</v>
      </c>
      <c r="V94" s="87" t="e">
        <f t="shared" si="44"/>
        <v>#DIV/0!</v>
      </c>
      <c r="W94" s="87" t="e">
        <f t="shared" si="44"/>
        <v>#DIV/0!</v>
      </c>
      <c r="X94" s="87" t="e">
        <f t="shared" si="44"/>
        <v>#DIV/0!</v>
      </c>
      <c r="Y94" s="87" t="e">
        <f t="shared" si="44"/>
        <v>#DIV/0!</v>
      </c>
      <c r="Z94" s="87" t="e">
        <f t="shared" si="44"/>
        <v>#DIV/0!</v>
      </c>
      <c r="AA94" s="87" t="e">
        <f t="shared" si="44"/>
        <v>#DIV/0!</v>
      </c>
      <c r="AB94" s="87" t="e">
        <f t="shared" si="44"/>
        <v>#DIV/0!</v>
      </c>
      <c r="AC94" s="87" t="e">
        <f t="shared" si="44"/>
        <v>#DIV/0!</v>
      </c>
      <c r="AD94" s="87" t="e">
        <f t="shared" si="44"/>
        <v>#DIV/0!</v>
      </c>
      <c r="AE94" s="87" t="e">
        <f t="shared" si="44"/>
        <v>#DIV/0!</v>
      </c>
      <c r="AF94" s="87" t="e">
        <f t="shared" si="44"/>
        <v>#DIV/0!</v>
      </c>
      <c r="AG94" s="87" t="e">
        <f t="shared" si="44"/>
        <v>#DIV/0!</v>
      </c>
      <c r="AH94" s="87" t="e">
        <f t="shared" si="44"/>
        <v>#DIV/0!</v>
      </c>
      <c r="AI94" s="87" t="e">
        <f t="shared" si="44"/>
        <v>#DIV/0!</v>
      </c>
      <c r="AJ94" s="87" t="e">
        <f t="shared" si="44"/>
        <v>#DIV/0!</v>
      </c>
      <c r="AK94" s="87" t="e">
        <f t="shared" si="44"/>
        <v>#DIV/0!</v>
      </c>
      <c r="AL94" s="87" t="e">
        <f t="shared" si="44"/>
        <v>#DIV/0!</v>
      </c>
      <c r="AM94" s="87" t="e">
        <f t="shared" si="44"/>
        <v>#DIV/0!</v>
      </c>
      <c r="AN94" s="87" t="e">
        <f t="shared" si="44"/>
        <v>#DIV/0!</v>
      </c>
      <c r="AO94" s="87" t="e">
        <f t="shared" si="44"/>
        <v>#DIV/0!</v>
      </c>
      <c r="AP94" s="87" t="e">
        <f t="shared" si="44"/>
        <v>#DIV/0!</v>
      </c>
      <c r="AQ94" s="87" t="e">
        <f t="shared" si="44"/>
        <v>#DIV/0!</v>
      </c>
      <c r="AR94" s="87" t="e">
        <f t="shared" si="44"/>
        <v>#DIV/0!</v>
      </c>
      <c r="AS94" s="87" t="e">
        <f t="shared" si="44"/>
        <v>#DIV/0!</v>
      </c>
      <c r="AT94" s="87" t="e">
        <f t="shared" si="44"/>
        <v>#DIV/0!</v>
      </c>
      <c r="AU94" s="87" t="e">
        <f t="shared" si="44"/>
        <v>#DIV/0!</v>
      </c>
      <c r="AV94" s="87" t="e">
        <f t="shared" si="44"/>
        <v>#DIV/0!</v>
      </c>
      <c r="AW94" s="87" t="e">
        <f t="shared" si="44"/>
        <v>#DIV/0!</v>
      </c>
      <c r="AX94" s="87" t="e">
        <f t="shared" si="44"/>
        <v>#DIV/0!</v>
      </c>
      <c r="AY94" s="87" t="e">
        <f t="shared" si="44"/>
        <v>#DIV/0!</v>
      </c>
      <c r="AZ94" s="87" t="e">
        <f t="shared" si="44"/>
        <v>#DIV/0!</v>
      </c>
      <c r="BA94" s="87" t="e">
        <f t="shared" si="44"/>
        <v>#DIV/0!</v>
      </c>
      <c r="BB94" s="87" t="e">
        <f t="shared" si="44"/>
        <v>#DIV/0!</v>
      </c>
      <c r="BC94" s="114" t="s">
        <v>10</v>
      </c>
      <c r="BD94" s="82" t="e">
        <f t="shared" ref="BD94:CU94" si="45">AVERAGEIF($E$5:$E$53,$E94,BD$5:BD$53)</f>
        <v>#DIV/0!</v>
      </c>
      <c r="BE94" s="82" t="e">
        <f t="shared" si="45"/>
        <v>#DIV/0!</v>
      </c>
      <c r="BF94" s="82" t="e">
        <f t="shared" si="45"/>
        <v>#DIV/0!</v>
      </c>
      <c r="BG94" s="82" t="e">
        <f t="shared" si="45"/>
        <v>#DIV/0!</v>
      </c>
      <c r="BH94" s="82" t="e">
        <f t="shared" si="45"/>
        <v>#DIV/0!</v>
      </c>
      <c r="BI94" s="82" t="e">
        <f t="shared" si="45"/>
        <v>#DIV/0!</v>
      </c>
      <c r="BJ94" s="82" t="e">
        <f t="shared" si="45"/>
        <v>#DIV/0!</v>
      </c>
      <c r="BK94" s="82" t="e">
        <f t="shared" si="45"/>
        <v>#DIV/0!</v>
      </c>
      <c r="BL94" s="82" t="e">
        <f t="shared" si="45"/>
        <v>#DIV/0!</v>
      </c>
      <c r="BM94" s="82" t="e">
        <f t="shared" si="45"/>
        <v>#DIV/0!</v>
      </c>
      <c r="BN94" s="82" t="e">
        <f t="shared" si="45"/>
        <v>#DIV/0!</v>
      </c>
      <c r="BO94" s="82" t="e">
        <f t="shared" si="45"/>
        <v>#DIV/0!</v>
      </c>
      <c r="BP94" s="82" t="e">
        <f t="shared" si="45"/>
        <v>#DIV/0!</v>
      </c>
      <c r="BQ94" s="82" t="e">
        <f t="shared" si="45"/>
        <v>#DIV/0!</v>
      </c>
      <c r="BR94" s="82" t="e">
        <f t="shared" si="45"/>
        <v>#DIV/0!</v>
      </c>
      <c r="BS94" s="82" t="e">
        <f t="shared" si="45"/>
        <v>#DIV/0!</v>
      </c>
      <c r="BT94" s="82" t="e">
        <f t="shared" si="45"/>
        <v>#DIV/0!</v>
      </c>
      <c r="BU94" s="82" t="e">
        <f t="shared" si="45"/>
        <v>#DIV/0!</v>
      </c>
      <c r="BV94" s="82" t="e">
        <f t="shared" si="45"/>
        <v>#DIV/0!</v>
      </c>
      <c r="BW94" s="82" t="e">
        <f t="shared" si="45"/>
        <v>#DIV/0!</v>
      </c>
      <c r="BX94" s="82" t="e">
        <f t="shared" si="45"/>
        <v>#DIV/0!</v>
      </c>
      <c r="BY94" s="82" t="e">
        <f t="shared" si="45"/>
        <v>#DIV/0!</v>
      </c>
      <c r="BZ94" s="82" t="e">
        <f t="shared" si="45"/>
        <v>#DIV/0!</v>
      </c>
      <c r="CA94" s="82" t="e">
        <f t="shared" si="45"/>
        <v>#DIV/0!</v>
      </c>
      <c r="CB94" s="82" t="e">
        <f t="shared" si="45"/>
        <v>#DIV/0!</v>
      </c>
      <c r="CC94" s="82" t="e">
        <f t="shared" si="45"/>
        <v>#DIV/0!</v>
      </c>
      <c r="CD94" s="82" t="e">
        <f t="shared" si="45"/>
        <v>#DIV/0!</v>
      </c>
      <c r="CE94" s="82" t="e">
        <f t="shared" si="45"/>
        <v>#DIV/0!</v>
      </c>
      <c r="CF94" s="82" t="e">
        <f t="shared" si="45"/>
        <v>#DIV/0!</v>
      </c>
      <c r="CG94" s="82" t="e">
        <f t="shared" si="45"/>
        <v>#DIV/0!</v>
      </c>
      <c r="CH94" s="82" t="e">
        <f t="shared" si="45"/>
        <v>#DIV/0!</v>
      </c>
      <c r="CI94" s="82" t="e">
        <f t="shared" si="45"/>
        <v>#DIV/0!</v>
      </c>
      <c r="CJ94" s="82" t="e">
        <f t="shared" si="45"/>
        <v>#DIV/0!</v>
      </c>
      <c r="CK94" s="82" t="e">
        <f t="shared" si="45"/>
        <v>#DIV/0!</v>
      </c>
      <c r="CL94" s="82" t="e">
        <f t="shared" si="45"/>
        <v>#DIV/0!</v>
      </c>
      <c r="CM94" s="82" t="e">
        <f t="shared" si="45"/>
        <v>#DIV/0!</v>
      </c>
      <c r="CN94" s="82" t="e">
        <f t="shared" si="45"/>
        <v>#DIV/0!</v>
      </c>
      <c r="CO94" s="82" t="e">
        <f t="shared" si="45"/>
        <v>#DIV/0!</v>
      </c>
      <c r="CP94" s="82" t="e">
        <f t="shared" si="45"/>
        <v>#DIV/0!</v>
      </c>
      <c r="CQ94" s="82" t="e">
        <f t="shared" si="45"/>
        <v>#DIV/0!</v>
      </c>
      <c r="CR94" s="82" t="e">
        <f t="shared" si="45"/>
        <v>#DIV/0!</v>
      </c>
      <c r="CS94" s="82" t="e">
        <f t="shared" si="45"/>
        <v>#DIV/0!</v>
      </c>
      <c r="CT94" s="82" t="e">
        <f t="shared" si="45"/>
        <v>#DIV/0!</v>
      </c>
      <c r="CU94" s="82" t="e">
        <f t="shared" si="45"/>
        <v>#DIV/0!</v>
      </c>
      <c r="CV94" s="85"/>
    </row>
    <row r="95" spans="1:100" ht="14.25" customHeight="1">
      <c r="A95" s="129"/>
      <c r="E95" s="104"/>
      <c r="H95" s="104"/>
      <c r="I95" s="256" t="e">
        <f t="array" ref="I95">_xlfn.STDEV.P(IF($E$5:$E$53=$E94,I$5:I$53))</f>
        <v>#DIV/0!</v>
      </c>
      <c r="J95" s="81" t="s">
        <v>12</v>
      </c>
      <c r="K95" s="90" t="e">
        <f t="array" ref="K95">_xlfn.STDEV.P(IF($E$5:$E$53=$E94,K$5:K$53))</f>
        <v>#DIV/0!</v>
      </c>
      <c r="L95" s="90" t="e">
        <f t="array" ref="L95">_xlfn.STDEV.P(IF($E$5:$E$53=$E94,L$5:L$53))</f>
        <v>#DIV/0!</v>
      </c>
      <c r="M95" s="90" t="e">
        <f t="array" ref="M95">_xlfn.STDEV.P(IF($E$5:$E$53=$E94,M$5:M$53))</f>
        <v>#DIV/0!</v>
      </c>
      <c r="N95" s="90" t="e">
        <f t="array" ref="N95">_xlfn.STDEV.P(IF($E$5:$E$53=$E94,N$5:N$53))</f>
        <v>#DIV/0!</v>
      </c>
      <c r="O95" s="90" t="e">
        <f t="array" ref="O95">_xlfn.STDEV.P(IF($E$5:$E$53=$E94,O$5:O$53))</f>
        <v>#DIV/0!</v>
      </c>
      <c r="P95" s="90" t="e">
        <f t="array" ref="P95">_xlfn.STDEV.P(IF($E$5:$E$53=$E94,P$5:P$53))</f>
        <v>#DIV/0!</v>
      </c>
      <c r="Q95" s="90" t="e">
        <f t="array" ref="Q95">_xlfn.STDEV.P(IF($E$5:$E$53=$E94,Q$5:Q$53))</f>
        <v>#DIV/0!</v>
      </c>
      <c r="R95" s="90" t="e">
        <f t="array" ref="R95">_xlfn.STDEV.P(IF($E$5:$E$53=$E94,R$5:R$53))</f>
        <v>#DIV/0!</v>
      </c>
      <c r="S95" s="90" t="e">
        <f t="array" ref="S95">_xlfn.STDEV.P(IF($E$5:$E$53=$E94,S$5:S$53))</f>
        <v>#DIV/0!</v>
      </c>
      <c r="T95" s="90" t="e">
        <f t="array" ref="T95">_xlfn.STDEV.P(IF($E$5:$E$53=$E94,T$5:T$53))</f>
        <v>#DIV/0!</v>
      </c>
      <c r="U95" s="90" t="e">
        <f t="array" ref="U95">_xlfn.STDEV.P(IF($E$5:$E$53=$E94,U$5:U$53))</f>
        <v>#DIV/0!</v>
      </c>
      <c r="V95" s="90" t="e">
        <f t="array" ref="V95">_xlfn.STDEV.P(IF($E$5:$E$53=$E94,V$5:V$53))</f>
        <v>#DIV/0!</v>
      </c>
      <c r="W95" s="90" t="e">
        <f t="array" ref="W95">_xlfn.STDEV.P(IF($E$5:$E$53=$E94,W$5:W$53))</f>
        <v>#DIV/0!</v>
      </c>
      <c r="X95" s="90" t="e">
        <f t="array" ref="X95">_xlfn.STDEV.P(IF($E$5:$E$53=$E94,X$5:X$53))</f>
        <v>#DIV/0!</v>
      </c>
      <c r="Y95" s="90" t="e">
        <f t="array" ref="Y95">_xlfn.STDEV.P(IF($E$5:$E$53=$E94,Y$5:Y$53))</f>
        <v>#DIV/0!</v>
      </c>
      <c r="Z95" s="90" t="e">
        <f t="array" ref="Z95">_xlfn.STDEV.P(IF($E$5:$E$53=$E94,Z$5:Z$53))</f>
        <v>#DIV/0!</v>
      </c>
      <c r="AA95" s="90" t="e">
        <f t="array" ref="AA95">_xlfn.STDEV.P(IF($E$5:$E$53=$E94,AA$5:AA$53))</f>
        <v>#DIV/0!</v>
      </c>
      <c r="AB95" s="90" t="e">
        <f t="array" ref="AB95">_xlfn.STDEV.P(IF($E$5:$E$53=$E94,AB$5:AB$53))</f>
        <v>#DIV/0!</v>
      </c>
      <c r="AC95" s="90" t="e">
        <f t="array" ref="AC95">_xlfn.STDEV.P(IF($E$5:$E$53=$E94,AC$5:AC$53))</f>
        <v>#DIV/0!</v>
      </c>
      <c r="AD95" s="90" t="e">
        <f t="array" ref="AD95">_xlfn.STDEV.P(IF($E$5:$E$53=$E94,AD$5:AD$53))</f>
        <v>#DIV/0!</v>
      </c>
      <c r="AE95" s="90" t="e">
        <f t="array" ref="AE95">_xlfn.STDEV.P(IF($E$5:$E$53=$E94,AE$5:AE$53))</f>
        <v>#DIV/0!</v>
      </c>
      <c r="AF95" s="90" t="e">
        <f t="array" ref="AF95">_xlfn.STDEV.P(IF($E$5:$E$53=$E94,AF$5:AF$53))</f>
        <v>#DIV/0!</v>
      </c>
      <c r="AG95" s="90" t="e">
        <f t="array" ref="AG95">_xlfn.STDEV.P(IF($E$5:$E$53=$E94,AG$5:AG$53))</f>
        <v>#DIV/0!</v>
      </c>
      <c r="AH95" s="90" t="e">
        <f t="array" ref="AH95">_xlfn.STDEV.P(IF($E$5:$E$53=$E94,AH$5:AH$53))</f>
        <v>#DIV/0!</v>
      </c>
      <c r="AI95" s="90" t="e">
        <f t="array" ref="AI95">_xlfn.STDEV.P(IF($E$5:$E$53=$E94,AI$5:AI$53))</f>
        <v>#DIV/0!</v>
      </c>
      <c r="AJ95" s="90" t="e">
        <f t="array" ref="AJ95">_xlfn.STDEV.P(IF($E$5:$E$53=$E94,AJ$5:AJ$53))</f>
        <v>#DIV/0!</v>
      </c>
      <c r="AK95" s="90" t="e">
        <f t="array" ref="AK95">_xlfn.STDEV.P(IF($E$5:$E$53=$E94,AK$5:AK$53))</f>
        <v>#DIV/0!</v>
      </c>
      <c r="AL95" s="90" t="e">
        <f t="array" ref="AL95">_xlfn.STDEV.P(IF($E$5:$E$53=$E94,AL$5:AL$53))</f>
        <v>#DIV/0!</v>
      </c>
      <c r="AM95" s="90" t="e">
        <f t="array" ref="AM95">_xlfn.STDEV.P(IF($E$5:$E$53=$E94,AM$5:AM$53))</f>
        <v>#DIV/0!</v>
      </c>
      <c r="AN95" s="90" t="e">
        <f t="array" ref="AN95">_xlfn.STDEV.P(IF($E$5:$E$53=$E94,AN$5:AN$53))</f>
        <v>#DIV/0!</v>
      </c>
      <c r="AO95" s="90" t="e">
        <f t="array" ref="AO95">_xlfn.STDEV.P(IF($E$5:$E$53=$E94,AO$5:AO$53))</f>
        <v>#DIV/0!</v>
      </c>
      <c r="AP95" s="90" t="e">
        <f t="array" ref="AP95">_xlfn.STDEV.P(IF($E$5:$E$53=$E94,AP$5:AP$53))</f>
        <v>#DIV/0!</v>
      </c>
      <c r="AQ95" s="90" t="e">
        <f t="array" ref="AQ95">_xlfn.STDEV.P(IF($E$5:$E$53=$E94,AQ$5:AQ$53))</f>
        <v>#DIV/0!</v>
      </c>
      <c r="AR95" s="90" t="e">
        <f t="array" ref="AR95">_xlfn.STDEV.P(IF($E$5:$E$53=$E94,AR$5:AR$53))</f>
        <v>#DIV/0!</v>
      </c>
      <c r="AS95" s="90" t="e">
        <f t="array" ref="AS95">_xlfn.STDEV.P(IF($E$5:$E$53=$E94,AS$5:AS$53))</f>
        <v>#DIV/0!</v>
      </c>
      <c r="AT95" s="90" t="e">
        <f t="array" ref="AT95">_xlfn.STDEV.P(IF($E$5:$E$53=$E94,AT$5:AT$53))</f>
        <v>#DIV/0!</v>
      </c>
      <c r="AU95" s="90" t="e">
        <f t="array" ref="AU95">_xlfn.STDEV.P(IF($E$5:$E$53=$E94,AU$5:AU$53))</f>
        <v>#DIV/0!</v>
      </c>
      <c r="AV95" s="90" t="e">
        <f t="array" ref="AV95">_xlfn.STDEV.P(IF($E$5:$E$53=$E94,AV$5:AV$53))</f>
        <v>#DIV/0!</v>
      </c>
      <c r="AW95" s="90" t="e">
        <f t="array" ref="AW95">_xlfn.STDEV.P(IF($E$5:$E$53=$E94,AW$5:AW$53))</f>
        <v>#DIV/0!</v>
      </c>
      <c r="AX95" s="90" t="e">
        <f t="array" ref="AX95">_xlfn.STDEV.P(IF($E$5:$E$53=$E94,AX$5:AX$53))</f>
        <v>#DIV/0!</v>
      </c>
      <c r="AY95" s="90" t="e">
        <f t="array" ref="AY95">_xlfn.STDEV.P(IF($E$5:$E$53=$E94,AY$5:AY$53))</f>
        <v>#DIV/0!</v>
      </c>
      <c r="AZ95" s="90" t="e">
        <f t="array" ref="AZ95">_xlfn.STDEV.P(IF($E$5:$E$53=$E94,AZ$5:AZ$53))</f>
        <v>#DIV/0!</v>
      </c>
      <c r="BA95" s="90" t="e">
        <f t="array" ref="BA95">_xlfn.STDEV.P(IF($E$5:$E$53=$E94,BA$5:BA$53))</f>
        <v>#DIV/0!</v>
      </c>
      <c r="BB95" s="90" t="e">
        <f t="array" ref="BB95">_xlfn.STDEV.P(IF($E$5:$E$53=$E94,BB$5:BB$53))</f>
        <v>#DIV/0!</v>
      </c>
      <c r="BC95" s="115" t="s">
        <v>12</v>
      </c>
      <c r="BD95" s="83" t="e">
        <f t="array" ref="BD95">_xlfn.STDEV.P(IF($E$5:$E$53=$E94,BD$5:BD$53))</f>
        <v>#DIV/0!</v>
      </c>
      <c r="BE95" s="83" t="e">
        <f t="array" ref="BE95">_xlfn.STDEV.P(IF($E$5:$E$53=$E94,BE$5:BE$53))</f>
        <v>#DIV/0!</v>
      </c>
      <c r="BF95" s="83" t="e">
        <f t="array" ref="BF95">_xlfn.STDEV.P(IF($E$5:$E$53=$E94,BF$5:BF$53))</f>
        <v>#DIV/0!</v>
      </c>
      <c r="BG95" s="83" t="e">
        <f t="array" ref="BG95">_xlfn.STDEV.P(IF($E$5:$E$53=$E94,BG$5:BG$53))</f>
        <v>#DIV/0!</v>
      </c>
      <c r="BH95" s="83" t="e">
        <f t="array" ref="BH95">_xlfn.STDEV.P(IF($E$5:$E$53=$E94,BH$5:BH$53))</f>
        <v>#DIV/0!</v>
      </c>
      <c r="BI95" s="83" t="e">
        <f t="array" ref="BI95">_xlfn.STDEV.P(IF($E$5:$E$53=$E94,BI$5:BI$53))</f>
        <v>#DIV/0!</v>
      </c>
      <c r="BJ95" s="83" t="e">
        <f t="array" ref="BJ95">_xlfn.STDEV.P(IF($E$5:$E$53=$E94,BJ$5:BJ$53))</f>
        <v>#DIV/0!</v>
      </c>
      <c r="BK95" s="83" t="e">
        <f t="array" ref="BK95">_xlfn.STDEV.P(IF($E$5:$E$53=$E94,BK$5:BK$53))</f>
        <v>#DIV/0!</v>
      </c>
      <c r="BL95" s="83" t="e">
        <f t="array" ref="BL95">_xlfn.STDEV.P(IF($E$5:$E$53=$E94,BL$5:BL$53))</f>
        <v>#DIV/0!</v>
      </c>
      <c r="BM95" s="83" t="e">
        <f t="array" ref="BM95">_xlfn.STDEV.P(IF($E$5:$E$53=$E94,BM$5:BM$53))</f>
        <v>#DIV/0!</v>
      </c>
      <c r="BN95" s="83" t="e">
        <f t="array" ref="BN95">_xlfn.STDEV.P(IF($E$5:$E$53=$E94,BN$5:BN$53))</f>
        <v>#DIV/0!</v>
      </c>
      <c r="BO95" s="83" t="e">
        <f t="array" ref="BO95">_xlfn.STDEV.P(IF($E$5:$E$53=$E94,BO$5:BO$53))</f>
        <v>#DIV/0!</v>
      </c>
      <c r="BP95" s="83" t="e">
        <f t="array" ref="BP95">_xlfn.STDEV.P(IF($E$5:$E$53=$E94,BP$5:BP$53))</f>
        <v>#DIV/0!</v>
      </c>
      <c r="BQ95" s="83" t="e">
        <f t="array" ref="BQ95">_xlfn.STDEV.P(IF($E$5:$E$53=$E94,BQ$5:BQ$53))</f>
        <v>#DIV/0!</v>
      </c>
      <c r="BR95" s="83" t="e">
        <f t="array" ref="BR95">_xlfn.STDEV.P(IF($E$5:$E$53=$E94,BR$5:BR$53))</f>
        <v>#DIV/0!</v>
      </c>
      <c r="BS95" s="83" t="e">
        <f t="array" ref="BS95">_xlfn.STDEV.P(IF($E$5:$E$53=$E94,BS$5:BS$53))</f>
        <v>#DIV/0!</v>
      </c>
      <c r="BT95" s="83" t="e">
        <f t="array" ref="BT95">_xlfn.STDEV.P(IF($E$5:$E$53=$E94,BT$5:BT$53))</f>
        <v>#DIV/0!</v>
      </c>
      <c r="BU95" s="83" t="e">
        <f t="array" ref="BU95">_xlfn.STDEV.P(IF($E$5:$E$53=$E94,BU$5:BU$53))</f>
        <v>#DIV/0!</v>
      </c>
      <c r="BV95" s="83" t="e">
        <f t="array" ref="BV95">_xlfn.STDEV.P(IF($E$5:$E$53=$E94,BV$5:BV$53))</f>
        <v>#DIV/0!</v>
      </c>
      <c r="BW95" s="83" t="e">
        <f t="array" ref="BW95">_xlfn.STDEV.P(IF($E$5:$E$53=$E94,BW$5:BW$53))</f>
        <v>#DIV/0!</v>
      </c>
      <c r="BX95" s="83" t="e">
        <f t="array" ref="BX95">_xlfn.STDEV.P(IF($E$5:$E$53=$E94,BX$5:BX$53))</f>
        <v>#DIV/0!</v>
      </c>
      <c r="BY95" s="83" t="e">
        <f t="array" ref="BY95">_xlfn.STDEV.P(IF($E$5:$E$53=$E94,BY$5:BY$53))</f>
        <v>#DIV/0!</v>
      </c>
      <c r="BZ95" s="83" t="e">
        <f t="array" ref="BZ95">_xlfn.STDEV.P(IF($E$5:$E$53=$E94,BZ$5:BZ$53))</f>
        <v>#DIV/0!</v>
      </c>
      <c r="CA95" s="83" t="e">
        <f t="array" ref="CA95">_xlfn.STDEV.P(IF($E$5:$E$53=$E94,CA$5:CA$53))</f>
        <v>#DIV/0!</v>
      </c>
      <c r="CB95" s="83" t="e">
        <f t="array" ref="CB95">_xlfn.STDEV.P(IF($E$5:$E$53=$E94,CB$5:CB$53))</f>
        <v>#DIV/0!</v>
      </c>
      <c r="CC95" s="83" t="e">
        <f t="array" ref="CC95">_xlfn.STDEV.P(IF($E$5:$E$53=$E94,CC$5:CC$53))</f>
        <v>#DIV/0!</v>
      </c>
      <c r="CD95" s="83" t="e">
        <f t="array" ref="CD95">_xlfn.STDEV.P(IF($E$5:$E$53=$E94,CD$5:CD$53))</f>
        <v>#DIV/0!</v>
      </c>
      <c r="CE95" s="83" t="e">
        <f t="array" ref="CE95">_xlfn.STDEV.P(IF($E$5:$E$53=$E94,CE$5:CE$53))</f>
        <v>#DIV/0!</v>
      </c>
      <c r="CF95" s="83" t="e">
        <f t="array" ref="CF95">_xlfn.STDEV.P(IF($E$5:$E$53=$E94,CF$5:CF$53))</f>
        <v>#DIV/0!</v>
      </c>
      <c r="CG95" s="83" t="e">
        <f t="array" ref="CG95">_xlfn.STDEV.P(IF($E$5:$E$53=$E94,CG$5:CG$53))</f>
        <v>#DIV/0!</v>
      </c>
      <c r="CH95" s="83" t="e">
        <f t="array" ref="CH95">_xlfn.STDEV.P(IF($E$5:$E$53=$E94,CH$5:CH$53))</f>
        <v>#DIV/0!</v>
      </c>
      <c r="CI95" s="83" t="e">
        <f t="array" ref="CI95">_xlfn.STDEV.P(IF($E$5:$E$53=$E94,CI$5:CI$53))</f>
        <v>#DIV/0!</v>
      </c>
      <c r="CJ95" s="83" t="e">
        <f t="array" ref="CJ95">_xlfn.STDEV.P(IF($E$5:$E$53=$E94,CJ$5:CJ$53))</f>
        <v>#DIV/0!</v>
      </c>
      <c r="CK95" s="83" t="e">
        <f t="array" ref="CK95">_xlfn.STDEV.P(IF($E$5:$E$53=$E94,CK$5:CK$53))</f>
        <v>#DIV/0!</v>
      </c>
      <c r="CL95" s="83" t="e">
        <f t="array" ref="CL95">_xlfn.STDEV.P(IF($E$5:$E$53=$E94,CL$5:CL$53))</f>
        <v>#DIV/0!</v>
      </c>
      <c r="CM95" s="83" t="e">
        <f t="array" ref="CM95">_xlfn.STDEV.P(IF($E$5:$E$53=$E94,CM$5:CM$53))</f>
        <v>#DIV/0!</v>
      </c>
      <c r="CN95" s="83" t="e">
        <f t="array" ref="CN95">_xlfn.STDEV.P(IF($E$5:$E$53=$E94,CN$5:CN$53))</f>
        <v>#DIV/0!</v>
      </c>
      <c r="CO95" s="83" t="e">
        <f t="array" ref="CO95">_xlfn.STDEV.P(IF($E$5:$E$53=$E94,CO$5:CO$53))</f>
        <v>#DIV/0!</v>
      </c>
      <c r="CP95" s="83" t="e">
        <f t="array" ref="CP95">_xlfn.STDEV.P(IF($E$5:$E$53=$E94,CP$5:CP$53))</f>
        <v>#DIV/0!</v>
      </c>
      <c r="CQ95" s="83" t="e">
        <f t="array" ref="CQ95">_xlfn.STDEV.P(IF($E$5:$E$53=$E94,CQ$5:CQ$53))</f>
        <v>#DIV/0!</v>
      </c>
      <c r="CR95" s="83" t="e">
        <f t="array" ref="CR95">_xlfn.STDEV.P(IF($E$5:$E$53=$E94,CR$5:CR$53))</f>
        <v>#DIV/0!</v>
      </c>
      <c r="CS95" s="83" t="e">
        <f t="array" ref="CS95">_xlfn.STDEV.P(IF($E$5:$E$53=$E94,CS$5:CS$53))</f>
        <v>#DIV/0!</v>
      </c>
      <c r="CT95" s="83" t="e">
        <f t="array" ref="CT95">_xlfn.STDEV.P(IF($E$5:$E$53=$E94,CT$5:CT$53))</f>
        <v>#DIV/0!</v>
      </c>
      <c r="CU95" s="83" t="e">
        <f t="array" ref="CU95">_xlfn.STDEV.P(IF($E$5:$E$53=$E94,CU$5:CU$53))</f>
        <v>#DIV/0!</v>
      </c>
      <c r="CV95" s="85"/>
    </row>
    <row r="96" spans="1:100" ht="15">
      <c r="A96" s="129"/>
      <c r="E96" s="134"/>
      <c r="H96" s="58"/>
    </row>
    <row r="97" spans="1:100" ht="14.25" customHeight="1">
      <c r="A97" s="129"/>
      <c r="E97" s="134" t="str">
        <f>'PTX_DOSE Groups'!C19</f>
        <v>Group 14</v>
      </c>
      <c r="H97" s="134" t="str">
        <f>E97</f>
        <v>Group 14</v>
      </c>
      <c r="I97" s="256" t="e">
        <f>AVERAGEIF($E$5:$E$53,$E97,I$5:I$53)</f>
        <v>#DIV/0!</v>
      </c>
      <c r="J97" s="81" t="s">
        <v>10</v>
      </c>
      <c r="K97" s="87" t="e">
        <f t="shared" ref="K97:BB97" si="46">AVERAGEIF($E$5:$E$53,$E97,K$5:K$53)</f>
        <v>#DIV/0!</v>
      </c>
      <c r="L97" s="87" t="e">
        <f t="shared" si="46"/>
        <v>#DIV/0!</v>
      </c>
      <c r="M97" s="87" t="e">
        <f t="shared" si="46"/>
        <v>#DIV/0!</v>
      </c>
      <c r="N97" s="87" t="e">
        <f t="shared" si="46"/>
        <v>#DIV/0!</v>
      </c>
      <c r="O97" s="87" t="e">
        <f t="shared" si="46"/>
        <v>#DIV/0!</v>
      </c>
      <c r="P97" s="87" t="e">
        <f t="shared" si="46"/>
        <v>#DIV/0!</v>
      </c>
      <c r="Q97" s="87" t="e">
        <f t="shared" si="46"/>
        <v>#DIV/0!</v>
      </c>
      <c r="R97" s="87" t="e">
        <f t="shared" si="46"/>
        <v>#DIV/0!</v>
      </c>
      <c r="S97" s="87" t="e">
        <f t="shared" si="46"/>
        <v>#DIV/0!</v>
      </c>
      <c r="T97" s="87" t="e">
        <f t="shared" si="46"/>
        <v>#DIV/0!</v>
      </c>
      <c r="U97" s="87" t="e">
        <f t="shared" si="46"/>
        <v>#DIV/0!</v>
      </c>
      <c r="V97" s="87" t="e">
        <f t="shared" si="46"/>
        <v>#DIV/0!</v>
      </c>
      <c r="W97" s="87" t="e">
        <f t="shared" si="46"/>
        <v>#DIV/0!</v>
      </c>
      <c r="X97" s="87" t="e">
        <f t="shared" si="46"/>
        <v>#DIV/0!</v>
      </c>
      <c r="Y97" s="87" t="e">
        <f t="shared" si="46"/>
        <v>#DIV/0!</v>
      </c>
      <c r="Z97" s="87" t="e">
        <f t="shared" si="46"/>
        <v>#DIV/0!</v>
      </c>
      <c r="AA97" s="87" t="e">
        <f t="shared" si="46"/>
        <v>#DIV/0!</v>
      </c>
      <c r="AB97" s="87" t="e">
        <f t="shared" si="46"/>
        <v>#DIV/0!</v>
      </c>
      <c r="AC97" s="87" t="e">
        <f t="shared" si="46"/>
        <v>#DIV/0!</v>
      </c>
      <c r="AD97" s="87" t="e">
        <f t="shared" si="46"/>
        <v>#DIV/0!</v>
      </c>
      <c r="AE97" s="87" t="e">
        <f t="shared" si="46"/>
        <v>#DIV/0!</v>
      </c>
      <c r="AF97" s="87" t="e">
        <f t="shared" si="46"/>
        <v>#DIV/0!</v>
      </c>
      <c r="AG97" s="87" t="e">
        <f t="shared" si="46"/>
        <v>#DIV/0!</v>
      </c>
      <c r="AH97" s="87" t="e">
        <f t="shared" si="46"/>
        <v>#DIV/0!</v>
      </c>
      <c r="AI97" s="87" t="e">
        <f t="shared" si="46"/>
        <v>#DIV/0!</v>
      </c>
      <c r="AJ97" s="87" t="e">
        <f t="shared" si="46"/>
        <v>#DIV/0!</v>
      </c>
      <c r="AK97" s="87" t="e">
        <f t="shared" si="46"/>
        <v>#DIV/0!</v>
      </c>
      <c r="AL97" s="87" t="e">
        <f t="shared" si="46"/>
        <v>#DIV/0!</v>
      </c>
      <c r="AM97" s="87" t="e">
        <f t="shared" si="46"/>
        <v>#DIV/0!</v>
      </c>
      <c r="AN97" s="87" t="e">
        <f t="shared" si="46"/>
        <v>#DIV/0!</v>
      </c>
      <c r="AO97" s="87" t="e">
        <f t="shared" si="46"/>
        <v>#DIV/0!</v>
      </c>
      <c r="AP97" s="87" t="e">
        <f t="shared" si="46"/>
        <v>#DIV/0!</v>
      </c>
      <c r="AQ97" s="87" t="e">
        <f t="shared" si="46"/>
        <v>#DIV/0!</v>
      </c>
      <c r="AR97" s="87" t="e">
        <f t="shared" si="46"/>
        <v>#DIV/0!</v>
      </c>
      <c r="AS97" s="87" t="e">
        <f t="shared" si="46"/>
        <v>#DIV/0!</v>
      </c>
      <c r="AT97" s="87" t="e">
        <f t="shared" si="46"/>
        <v>#DIV/0!</v>
      </c>
      <c r="AU97" s="87" t="e">
        <f t="shared" si="46"/>
        <v>#DIV/0!</v>
      </c>
      <c r="AV97" s="87" t="e">
        <f t="shared" si="46"/>
        <v>#DIV/0!</v>
      </c>
      <c r="AW97" s="87" t="e">
        <f t="shared" si="46"/>
        <v>#DIV/0!</v>
      </c>
      <c r="AX97" s="87" t="e">
        <f t="shared" si="46"/>
        <v>#DIV/0!</v>
      </c>
      <c r="AY97" s="87" t="e">
        <f t="shared" si="46"/>
        <v>#DIV/0!</v>
      </c>
      <c r="AZ97" s="87" t="e">
        <f t="shared" si="46"/>
        <v>#DIV/0!</v>
      </c>
      <c r="BA97" s="87" t="e">
        <f t="shared" si="46"/>
        <v>#DIV/0!</v>
      </c>
      <c r="BB97" s="87" t="e">
        <f t="shared" si="46"/>
        <v>#DIV/0!</v>
      </c>
      <c r="BC97" s="114" t="s">
        <v>10</v>
      </c>
      <c r="BD97" s="82" t="e">
        <f t="shared" ref="BD97:CU97" si="47">AVERAGEIF($E$5:$E$53,$E97,BD$5:BD$53)</f>
        <v>#DIV/0!</v>
      </c>
      <c r="BE97" s="82" t="e">
        <f t="shared" si="47"/>
        <v>#DIV/0!</v>
      </c>
      <c r="BF97" s="82" t="e">
        <f t="shared" si="47"/>
        <v>#DIV/0!</v>
      </c>
      <c r="BG97" s="82" t="e">
        <f t="shared" si="47"/>
        <v>#DIV/0!</v>
      </c>
      <c r="BH97" s="82" t="e">
        <f t="shared" si="47"/>
        <v>#DIV/0!</v>
      </c>
      <c r="BI97" s="82" t="e">
        <f t="shared" si="47"/>
        <v>#DIV/0!</v>
      </c>
      <c r="BJ97" s="82" t="e">
        <f t="shared" si="47"/>
        <v>#DIV/0!</v>
      </c>
      <c r="BK97" s="82" t="e">
        <f t="shared" si="47"/>
        <v>#DIV/0!</v>
      </c>
      <c r="BL97" s="82" t="e">
        <f t="shared" si="47"/>
        <v>#DIV/0!</v>
      </c>
      <c r="BM97" s="82" t="e">
        <f t="shared" si="47"/>
        <v>#DIV/0!</v>
      </c>
      <c r="BN97" s="82" t="e">
        <f t="shared" si="47"/>
        <v>#DIV/0!</v>
      </c>
      <c r="BO97" s="82" t="e">
        <f t="shared" si="47"/>
        <v>#DIV/0!</v>
      </c>
      <c r="BP97" s="82" t="e">
        <f t="shared" si="47"/>
        <v>#DIV/0!</v>
      </c>
      <c r="BQ97" s="82" t="e">
        <f t="shared" si="47"/>
        <v>#DIV/0!</v>
      </c>
      <c r="BR97" s="82" t="e">
        <f t="shared" si="47"/>
        <v>#DIV/0!</v>
      </c>
      <c r="BS97" s="82" t="e">
        <f t="shared" si="47"/>
        <v>#DIV/0!</v>
      </c>
      <c r="BT97" s="82" t="e">
        <f t="shared" si="47"/>
        <v>#DIV/0!</v>
      </c>
      <c r="BU97" s="82" t="e">
        <f t="shared" si="47"/>
        <v>#DIV/0!</v>
      </c>
      <c r="BV97" s="82" t="e">
        <f t="shared" si="47"/>
        <v>#DIV/0!</v>
      </c>
      <c r="BW97" s="82" t="e">
        <f t="shared" si="47"/>
        <v>#DIV/0!</v>
      </c>
      <c r="BX97" s="82" t="e">
        <f t="shared" si="47"/>
        <v>#DIV/0!</v>
      </c>
      <c r="BY97" s="82" t="e">
        <f t="shared" si="47"/>
        <v>#DIV/0!</v>
      </c>
      <c r="BZ97" s="82" t="e">
        <f t="shared" si="47"/>
        <v>#DIV/0!</v>
      </c>
      <c r="CA97" s="82" t="e">
        <f t="shared" si="47"/>
        <v>#DIV/0!</v>
      </c>
      <c r="CB97" s="82" t="e">
        <f t="shared" si="47"/>
        <v>#DIV/0!</v>
      </c>
      <c r="CC97" s="82" t="e">
        <f t="shared" si="47"/>
        <v>#DIV/0!</v>
      </c>
      <c r="CD97" s="82" t="e">
        <f t="shared" si="47"/>
        <v>#DIV/0!</v>
      </c>
      <c r="CE97" s="82" t="e">
        <f t="shared" si="47"/>
        <v>#DIV/0!</v>
      </c>
      <c r="CF97" s="82" t="e">
        <f t="shared" si="47"/>
        <v>#DIV/0!</v>
      </c>
      <c r="CG97" s="82" t="e">
        <f t="shared" si="47"/>
        <v>#DIV/0!</v>
      </c>
      <c r="CH97" s="82" t="e">
        <f t="shared" si="47"/>
        <v>#DIV/0!</v>
      </c>
      <c r="CI97" s="82" t="e">
        <f t="shared" si="47"/>
        <v>#DIV/0!</v>
      </c>
      <c r="CJ97" s="82" t="e">
        <f t="shared" si="47"/>
        <v>#DIV/0!</v>
      </c>
      <c r="CK97" s="82" t="e">
        <f t="shared" si="47"/>
        <v>#DIV/0!</v>
      </c>
      <c r="CL97" s="82" t="e">
        <f t="shared" si="47"/>
        <v>#DIV/0!</v>
      </c>
      <c r="CM97" s="82" t="e">
        <f t="shared" si="47"/>
        <v>#DIV/0!</v>
      </c>
      <c r="CN97" s="82" t="e">
        <f t="shared" si="47"/>
        <v>#DIV/0!</v>
      </c>
      <c r="CO97" s="82" t="e">
        <f t="shared" si="47"/>
        <v>#DIV/0!</v>
      </c>
      <c r="CP97" s="82" t="e">
        <f t="shared" si="47"/>
        <v>#DIV/0!</v>
      </c>
      <c r="CQ97" s="82" t="e">
        <f t="shared" si="47"/>
        <v>#DIV/0!</v>
      </c>
      <c r="CR97" s="82" t="e">
        <f t="shared" si="47"/>
        <v>#DIV/0!</v>
      </c>
      <c r="CS97" s="82" t="e">
        <f t="shared" si="47"/>
        <v>#DIV/0!</v>
      </c>
      <c r="CT97" s="82" t="e">
        <f t="shared" si="47"/>
        <v>#DIV/0!</v>
      </c>
      <c r="CU97" s="82" t="e">
        <f t="shared" si="47"/>
        <v>#DIV/0!</v>
      </c>
      <c r="CV97" s="85"/>
    </row>
    <row r="98" spans="1:100" ht="14.25" customHeight="1">
      <c r="A98" s="129"/>
      <c r="E98" s="104"/>
      <c r="H98" s="104"/>
      <c r="I98" s="256" t="e">
        <f t="array" ref="I98">_xlfn.STDEV.P(IF($E$5:$E$53=$E97,I$5:I$53))</f>
        <v>#DIV/0!</v>
      </c>
      <c r="J98" s="81" t="s">
        <v>12</v>
      </c>
      <c r="K98" s="90" t="e">
        <f t="array" ref="K98">_xlfn.STDEV.P(IF($E$5:$E$53=$E97,K$5:K$53))</f>
        <v>#DIV/0!</v>
      </c>
      <c r="L98" s="90" t="e">
        <f t="array" ref="L98">_xlfn.STDEV.P(IF($E$5:$E$53=$E97,L$5:L$53))</f>
        <v>#DIV/0!</v>
      </c>
      <c r="M98" s="90" t="e">
        <f t="array" ref="M98">_xlfn.STDEV.P(IF($E$5:$E$53=$E97,M$5:M$53))</f>
        <v>#DIV/0!</v>
      </c>
      <c r="N98" s="90" t="e">
        <f t="array" ref="N98">_xlfn.STDEV.P(IF($E$5:$E$53=$E97,N$5:N$53))</f>
        <v>#DIV/0!</v>
      </c>
      <c r="O98" s="90" t="e">
        <f t="array" ref="O98">_xlfn.STDEV.P(IF($E$5:$E$53=$E97,O$5:O$53))</f>
        <v>#DIV/0!</v>
      </c>
      <c r="P98" s="90" t="e">
        <f t="array" ref="P98">_xlfn.STDEV.P(IF($E$5:$E$53=$E97,P$5:P$53))</f>
        <v>#DIV/0!</v>
      </c>
      <c r="Q98" s="90" t="e">
        <f t="array" ref="Q98">_xlfn.STDEV.P(IF($E$5:$E$53=$E97,Q$5:Q$53))</f>
        <v>#DIV/0!</v>
      </c>
      <c r="R98" s="90" t="e">
        <f t="array" ref="R98">_xlfn.STDEV.P(IF($E$5:$E$53=$E97,R$5:R$53))</f>
        <v>#DIV/0!</v>
      </c>
      <c r="S98" s="90" t="e">
        <f t="array" ref="S98">_xlfn.STDEV.P(IF($E$5:$E$53=$E97,S$5:S$53))</f>
        <v>#DIV/0!</v>
      </c>
      <c r="T98" s="90" t="e">
        <f t="array" ref="T98">_xlfn.STDEV.P(IF($E$5:$E$53=$E97,T$5:T$53))</f>
        <v>#DIV/0!</v>
      </c>
      <c r="U98" s="90" t="e">
        <f t="array" ref="U98">_xlfn.STDEV.P(IF($E$5:$E$53=$E97,U$5:U$53))</f>
        <v>#DIV/0!</v>
      </c>
      <c r="V98" s="90" t="e">
        <f t="array" ref="V98">_xlfn.STDEV.P(IF($E$5:$E$53=$E97,V$5:V$53))</f>
        <v>#DIV/0!</v>
      </c>
      <c r="W98" s="90" t="e">
        <f t="array" ref="W98">_xlfn.STDEV.P(IF($E$5:$E$53=$E97,W$5:W$53))</f>
        <v>#DIV/0!</v>
      </c>
      <c r="X98" s="90" t="e">
        <f t="array" ref="X98">_xlfn.STDEV.P(IF($E$5:$E$53=$E97,X$5:X$53))</f>
        <v>#DIV/0!</v>
      </c>
      <c r="Y98" s="90" t="e">
        <f t="array" ref="Y98">_xlfn.STDEV.P(IF($E$5:$E$53=$E97,Y$5:Y$53))</f>
        <v>#DIV/0!</v>
      </c>
      <c r="Z98" s="90" t="e">
        <f t="array" ref="Z98">_xlfn.STDEV.P(IF($E$5:$E$53=$E97,Z$5:Z$53))</f>
        <v>#DIV/0!</v>
      </c>
      <c r="AA98" s="90" t="e">
        <f t="array" ref="AA98">_xlfn.STDEV.P(IF($E$5:$E$53=$E97,AA$5:AA$53))</f>
        <v>#DIV/0!</v>
      </c>
      <c r="AB98" s="90" t="e">
        <f t="array" ref="AB98">_xlfn.STDEV.P(IF($E$5:$E$53=$E97,AB$5:AB$53))</f>
        <v>#DIV/0!</v>
      </c>
      <c r="AC98" s="90" t="e">
        <f t="array" ref="AC98">_xlfn.STDEV.P(IF($E$5:$E$53=$E97,AC$5:AC$53))</f>
        <v>#DIV/0!</v>
      </c>
      <c r="AD98" s="90" t="e">
        <f t="array" ref="AD98">_xlfn.STDEV.P(IF($E$5:$E$53=$E97,AD$5:AD$53))</f>
        <v>#DIV/0!</v>
      </c>
      <c r="AE98" s="90" t="e">
        <f t="array" ref="AE98">_xlfn.STDEV.P(IF($E$5:$E$53=$E97,AE$5:AE$53))</f>
        <v>#DIV/0!</v>
      </c>
      <c r="AF98" s="90" t="e">
        <f t="array" ref="AF98">_xlfn.STDEV.P(IF($E$5:$E$53=$E97,AF$5:AF$53))</f>
        <v>#DIV/0!</v>
      </c>
      <c r="AG98" s="90" t="e">
        <f t="array" ref="AG98">_xlfn.STDEV.P(IF($E$5:$E$53=$E97,AG$5:AG$53))</f>
        <v>#DIV/0!</v>
      </c>
      <c r="AH98" s="90" t="e">
        <f t="array" ref="AH98">_xlfn.STDEV.P(IF($E$5:$E$53=$E97,AH$5:AH$53))</f>
        <v>#DIV/0!</v>
      </c>
      <c r="AI98" s="90" t="e">
        <f t="array" ref="AI98">_xlfn.STDEV.P(IF($E$5:$E$53=$E97,AI$5:AI$53))</f>
        <v>#DIV/0!</v>
      </c>
      <c r="AJ98" s="90" t="e">
        <f t="array" ref="AJ98">_xlfn.STDEV.P(IF($E$5:$E$53=$E97,AJ$5:AJ$53))</f>
        <v>#DIV/0!</v>
      </c>
      <c r="AK98" s="90" t="e">
        <f t="array" ref="AK98">_xlfn.STDEV.P(IF($E$5:$E$53=$E97,AK$5:AK$53))</f>
        <v>#DIV/0!</v>
      </c>
      <c r="AL98" s="90" t="e">
        <f t="array" ref="AL98">_xlfn.STDEV.P(IF($E$5:$E$53=$E97,AL$5:AL$53))</f>
        <v>#DIV/0!</v>
      </c>
      <c r="AM98" s="90" t="e">
        <f t="array" ref="AM98">_xlfn.STDEV.P(IF($E$5:$E$53=$E97,AM$5:AM$53))</f>
        <v>#DIV/0!</v>
      </c>
      <c r="AN98" s="90" t="e">
        <f t="array" ref="AN98">_xlfn.STDEV.P(IF($E$5:$E$53=$E97,AN$5:AN$53))</f>
        <v>#DIV/0!</v>
      </c>
      <c r="AO98" s="90" t="e">
        <f t="array" ref="AO98">_xlfn.STDEV.P(IF($E$5:$E$53=$E97,AO$5:AO$53))</f>
        <v>#DIV/0!</v>
      </c>
      <c r="AP98" s="90" t="e">
        <f t="array" ref="AP98">_xlfn.STDEV.P(IF($E$5:$E$53=$E97,AP$5:AP$53))</f>
        <v>#DIV/0!</v>
      </c>
      <c r="AQ98" s="90" t="e">
        <f t="array" ref="AQ98">_xlfn.STDEV.P(IF($E$5:$E$53=$E97,AQ$5:AQ$53))</f>
        <v>#DIV/0!</v>
      </c>
      <c r="AR98" s="90" t="e">
        <f t="array" ref="AR98">_xlfn.STDEV.P(IF($E$5:$E$53=$E97,AR$5:AR$53))</f>
        <v>#DIV/0!</v>
      </c>
      <c r="AS98" s="90" t="e">
        <f t="array" ref="AS98">_xlfn.STDEV.P(IF($E$5:$E$53=$E97,AS$5:AS$53))</f>
        <v>#DIV/0!</v>
      </c>
      <c r="AT98" s="90" t="e">
        <f t="array" ref="AT98">_xlfn.STDEV.P(IF($E$5:$E$53=$E97,AT$5:AT$53))</f>
        <v>#DIV/0!</v>
      </c>
      <c r="AU98" s="90" t="e">
        <f t="array" ref="AU98">_xlfn.STDEV.P(IF($E$5:$E$53=$E97,AU$5:AU$53))</f>
        <v>#DIV/0!</v>
      </c>
      <c r="AV98" s="90" t="e">
        <f t="array" ref="AV98">_xlfn.STDEV.P(IF($E$5:$E$53=$E97,AV$5:AV$53))</f>
        <v>#DIV/0!</v>
      </c>
      <c r="AW98" s="90" t="e">
        <f t="array" ref="AW98">_xlfn.STDEV.P(IF($E$5:$E$53=$E97,AW$5:AW$53))</f>
        <v>#DIV/0!</v>
      </c>
      <c r="AX98" s="90" t="e">
        <f t="array" ref="AX98">_xlfn.STDEV.P(IF($E$5:$E$53=$E97,AX$5:AX$53))</f>
        <v>#DIV/0!</v>
      </c>
      <c r="AY98" s="90" t="e">
        <f t="array" ref="AY98">_xlfn.STDEV.P(IF($E$5:$E$53=$E97,AY$5:AY$53))</f>
        <v>#DIV/0!</v>
      </c>
      <c r="AZ98" s="90" t="e">
        <f t="array" ref="AZ98">_xlfn.STDEV.P(IF($E$5:$E$53=$E97,AZ$5:AZ$53))</f>
        <v>#DIV/0!</v>
      </c>
      <c r="BA98" s="90" t="e">
        <f t="array" ref="BA98">_xlfn.STDEV.P(IF($E$5:$E$53=$E97,BA$5:BA$53))</f>
        <v>#DIV/0!</v>
      </c>
      <c r="BB98" s="90" t="e">
        <f t="array" ref="BB98">_xlfn.STDEV.P(IF($E$5:$E$53=$E97,BB$5:BB$53))</f>
        <v>#DIV/0!</v>
      </c>
      <c r="BC98" s="115" t="s">
        <v>12</v>
      </c>
      <c r="BD98" s="83" t="e">
        <f t="array" ref="BD98">_xlfn.STDEV.P(IF($E$5:$E$53=$E97,BD$5:BD$53))</f>
        <v>#DIV/0!</v>
      </c>
      <c r="BE98" s="83" t="e">
        <f t="array" ref="BE98">_xlfn.STDEV.P(IF($E$5:$E$53=$E97,BE$5:BE$53))</f>
        <v>#DIV/0!</v>
      </c>
      <c r="BF98" s="83" t="e">
        <f t="array" ref="BF98">_xlfn.STDEV.P(IF($E$5:$E$53=$E97,BF$5:BF$53))</f>
        <v>#DIV/0!</v>
      </c>
      <c r="BG98" s="83" t="e">
        <f t="array" ref="BG98">_xlfn.STDEV.P(IF($E$5:$E$53=$E97,BG$5:BG$53))</f>
        <v>#DIV/0!</v>
      </c>
      <c r="BH98" s="83" t="e">
        <f t="array" ref="BH98">_xlfn.STDEV.P(IF($E$5:$E$53=$E97,BH$5:BH$53))</f>
        <v>#DIV/0!</v>
      </c>
      <c r="BI98" s="83" t="e">
        <f t="array" ref="BI98">_xlfn.STDEV.P(IF($E$5:$E$53=$E97,BI$5:BI$53))</f>
        <v>#DIV/0!</v>
      </c>
      <c r="BJ98" s="83" t="e">
        <f t="array" ref="BJ98">_xlfn.STDEV.P(IF($E$5:$E$53=$E97,BJ$5:BJ$53))</f>
        <v>#DIV/0!</v>
      </c>
      <c r="BK98" s="83" t="e">
        <f t="array" ref="BK98">_xlfn.STDEV.P(IF($E$5:$E$53=$E97,BK$5:BK$53))</f>
        <v>#DIV/0!</v>
      </c>
      <c r="BL98" s="83" t="e">
        <f t="array" ref="BL98">_xlfn.STDEV.P(IF($E$5:$E$53=$E97,BL$5:BL$53))</f>
        <v>#DIV/0!</v>
      </c>
      <c r="BM98" s="83" t="e">
        <f t="array" ref="BM98">_xlfn.STDEV.P(IF($E$5:$E$53=$E97,BM$5:BM$53))</f>
        <v>#DIV/0!</v>
      </c>
      <c r="BN98" s="83" t="e">
        <f t="array" ref="BN98">_xlfn.STDEV.P(IF($E$5:$E$53=$E97,BN$5:BN$53))</f>
        <v>#DIV/0!</v>
      </c>
      <c r="BO98" s="83" t="e">
        <f t="array" ref="BO98">_xlfn.STDEV.P(IF($E$5:$E$53=$E97,BO$5:BO$53))</f>
        <v>#DIV/0!</v>
      </c>
      <c r="BP98" s="83" t="e">
        <f t="array" ref="BP98">_xlfn.STDEV.P(IF($E$5:$E$53=$E97,BP$5:BP$53))</f>
        <v>#DIV/0!</v>
      </c>
      <c r="BQ98" s="83" t="e">
        <f t="array" ref="BQ98">_xlfn.STDEV.P(IF($E$5:$E$53=$E97,BQ$5:BQ$53))</f>
        <v>#DIV/0!</v>
      </c>
      <c r="BR98" s="83" t="e">
        <f t="array" ref="BR98">_xlfn.STDEV.P(IF($E$5:$E$53=$E97,BR$5:BR$53))</f>
        <v>#DIV/0!</v>
      </c>
      <c r="BS98" s="83" t="e">
        <f t="array" ref="BS98">_xlfn.STDEV.P(IF($E$5:$E$53=$E97,BS$5:BS$53))</f>
        <v>#DIV/0!</v>
      </c>
      <c r="BT98" s="83" t="e">
        <f t="array" ref="BT98">_xlfn.STDEV.P(IF($E$5:$E$53=$E97,BT$5:BT$53))</f>
        <v>#DIV/0!</v>
      </c>
      <c r="BU98" s="83" t="e">
        <f t="array" ref="BU98">_xlfn.STDEV.P(IF($E$5:$E$53=$E97,BU$5:BU$53))</f>
        <v>#DIV/0!</v>
      </c>
      <c r="BV98" s="83" t="e">
        <f t="array" ref="BV98">_xlfn.STDEV.P(IF($E$5:$E$53=$E97,BV$5:BV$53))</f>
        <v>#DIV/0!</v>
      </c>
      <c r="BW98" s="83" t="e">
        <f t="array" ref="BW98">_xlfn.STDEV.P(IF($E$5:$E$53=$E97,BW$5:BW$53))</f>
        <v>#DIV/0!</v>
      </c>
      <c r="BX98" s="83" t="e">
        <f t="array" ref="BX98">_xlfn.STDEV.P(IF($E$5:$E$53=$E97,BX$5:BX$53))</f>
        <v>#DIV/0!</v>
      </c>
      <c r="BY98" s="83" t="e">
        <f t="array" ref="BY98">_xlfn.STDEV.P(IF($E$5:$E$53=$E97,BY$5:BY$53))</f>
        <v>#DIV/0!</v>
      </c>
      <c r="BZ98" s="83" t="e">
        <f t="array" ref="BZ98">_xlfn.STDEV.P(IF($E$5:$E$53=$E97,BZ$5:BZ$53))</f>
        <v>#DIV/0!</v>
      </c>
      <c r="CA98" s="83" t="e">
        <f t="array" ref="CA98">_xlfn.STDEV.P(IF($E$5:$E$53=$E97,CA$5:CA$53))</f>
        <v>#DIV/0!</v>
      </c>
      <c r="CB98" s="83" t="e">
        <f t="array" ref="CB98">_xlfn.STDEV.P(IF($E$5:$E$53=$E97,CB$5:CB$53))</f>
        <v>#DIV/0!</v>
      </c>
      <c r="CC98" s="83" t="e">
        <f t="array" ref="CC98">_xlfn.STDEV.P(IF($E$5:$E$53=$E97,CC$5:CC$53))</f>
        <v>#DIV/0!</v>
      </c>
      <c r="CD98" s="83" t="e">
        <f t="array" ref="CD98">_xlfn.STDEV.P(IF($E$5:$E$53=$E97,CD$5:CD$53))</f>
        <v>#DIV/0!</v>
      </c>
      <c r="CE98" s="83" t="e">
        <f t="array" ref="CE98">_xlfn.STDEV.P(IF($E$5:$E$53=$E97,CE$5:CE$53))</f>
        <v>#DIV/0!</v>
      </c>
      <c r="CF98" s="83" t="e">
        <f t="array" ref="CF98">_xlfn.STDEV.P(IF($E$5:$E$53=$E97,CF$5:CF$53))</f>
        <v>#DIV/0!</v>
      </c>
      <c r="CG98" s="83" t="e">
        <f t="array" ref="CG98">_xlfn.STDEV.P(IF($E$5:$E$53=$E97,CG$5:CG$53))</f>
        <v>#DIV/0!</v>
      </c>
      <c r="CH98" s="83" t="e">
        <f t="array" ref="CH98">_xlfn.STDEV.P(IF($E$5:$E$53=$E97,CH$5:CH$53))</f>
        <v>#DIV/0!</v>
      </c>
      <c r="CI98" s="83" t="e">
        <f t="array" ref="CI98">_xlfn.STDEV.P(IF($E$5:$E$53=$E97,CI$5:CI$53))</f>
        <v>#DIV/0!</v>
      </c>
      <c r="CJ98" s="83" t="e">
        <f t="array" ref="CJ98">_xlfn.STDEV.P(IF($E$5:$E$53=$E97,CJ$5:CJ$53))</f>
        <v>#DIV/0!</v>
      </c>
      <c r="CK98" s="83" t="e">
        <f t="array" ref="CK98">_xlfn.STDEV.P(IF($E$5:$E$53=$E97,CK$5:CK$53))</f>
        <v>#DIV/0!</v>
      </c>
      <c r="CL98" s="83" t="e">
        <f t="array" ref="CL98">_xlfn.STDEV.P(IF($E$5:$E$53=$E97,CL$5:CL$53))</f>
        <v>#DIV/0!</v>
      </c>
      <c r="CM98" s="83" t="e">
        <f t="array" ref="CM98">_xlfn.STDEV.P(IF($E$5:$E$53=$E97,CM$5:CM$53))</f>
        <v>#DIV/0!</v>
      </c>
      <c r="CN98" s="83" t="e">
        <f t="array" ref="CN98">_xlfn.STDEV.P(IF($E$5:$E$53=$E97,CN$5:CN$53))</f>
        <v>#DIV/0!</v>
      </c>
      <c r="CO98" s="83" t="e">
        <f t="array" ref="CO98">_xlfn.STDEV.P(IF($E$5:$E$53=$E97,CO$5:CO$53))</f>
        <v>#DIV/0!</v>
      </c>
      <c r="CP98" s="83" t="e">
        <f t="array" ref="CP98">_xlfn.STDEV.P(IF($E$5:$E$53=$E97,CP$5:CP$53))</f>
        <v>#DIV/0!</v>
      </c>
      <c r="CQ98" s="83" t="e">
        <f t="array" ref="CQ98">_xlfn.STDEV.P(IF($E$5:$E$53=$E97,CQ$5:CQ$53))</f>
        <v>#DIV/0!</v>
      </c>
      <c r="CR98" s="83" t="e">
        <f t="array" ref="CR98">_xlfn.STDEV.P(IF($E$5:$E$53=$E97,CR$5:CR$53))</f>
        <v>#DIV/0!</v>
      </c>
      <c r="CS98" s="83" t="e">
        <f t="array" ref="CS98">_xlfn.STDEV.P(IF($E$5:$E$53=$E97,CS$5:CS$53))</f>
        <v>#DIV/0!</v>
      </c>
      <c r="CT98" s="83" t="e">
        <f t="array" ref="CT98">_xlfn.STDEV.P(IF($E$5:$E$53=$E97,CT$5:CT$53))</f>
        <v>#DIV/0!</v>
      </c>
      <c r="CU98" s="83" t="e">
        <f t="array" ref="CU98">_xlfn.STDEV.P(IF($E$5:$E$53=$E97,CU$5:CU$53))</f>
        <v>#DIV/0!</v>
      </c>
      <c r="CV98" s="85"/>
    </row>
    <row r="99" spans="1:100" ht="15">
      <c r="A99" s="129"/>
      <c r="E99" s="134"/>
      <c r="H99" s="58"/>
    </row>
    <row r="100" spans="1:100" ht="14.25" customHeight="1">
      <c r="A100" s="129"/>
      <c r="E100" s="134" t="str">
        <f>'PTX_DOSE Groups'!C20</f>
        <v>Group 15</v>
      </c>
      <c r="H100" s="134" t="str">
        <f>E100</f>
        <v>Group 15</v>
      </c>
      <c r="I100" s="256" t="e">
        <f>AVERAGEIF($E$5:$E$53,$E100,I$5:I$53)</f>
        <v>#DIV/0!</v>
      </c>
      <c r="J100" s="81" t="s">
        <v>10</v>
      </c>
      <c r="K100" s="87" t="e">
        <f t="shared" ref="K100:BB100" si="48">AVERAGEIF($E$5:$E$53,$E100,K$5:K$53)</f>
        <v>#DIV/0!</v>
      </c>
      <c r="L100" s="87" t="e">
        <f t="shared" si="48"/>
        <v>#DIV/0!</v>
      </c>
      <c r="M100" s="87" t="e">
        <f t="shared" si="48"/>
        <v>#DIV/0!</v>
      </c>
      <c r="N100" s="87" t="e">
        <f t="shared" si="48"/>
        <v>#DIV/0!</v>
      </c>
      <c r="O100" s="87" t="e">
        <f t="shared" si="48"/>
        <v>#DIV/0!</v>
      </c>
      <c r="P100" s="87" t="e">
        <f t="shared" si="48"/>
        <v>#DIV/0!</v>
      </c>
      <c r="Q100" s="87" t="e">
        <f t="shared" si="48"/>
        <v>#DIV/0!</v>
      </c>
      <c r="R100" s="87" t="e">
        <f t="shared" si="48"/>
        <v>#DIV/0!</v>
      </c>
      <c r="S100" s="87" t="e">
        <f t="shared" si="48"/>
        <v>#DIV/0!</v>
      </c>
      <c r="T100" s="87" t="e">
        <f t="shared" si="48"/>
        <v>#DIV/0!</v>
      </c>
      <c r="U100" s="87" t="e">
        <f t="shared" si="48"/>
        <v>#DIV/0!</v>
      </c>
      <c r="V100" s="87" t="e">
        <f t="shared" si="48"/>
        <v>#DIV/0!</v>
      </c>
      <c r="W100" s="87" t="e">
        <f t="shared" si="48"/>
        <v>#DIV/0!</v>
      </c>
      <c r="X100" s="87" t="e">
        <f t="shared" si="48"/>
        <v>#DIV/0!</v>
      </c>
      <c r="Y100" s="87" t="e">
        <f t="shared" si="48"/>
        <v>#DIV/0!</v>
      </c>
      <c r="Z100" s="87" t="e">
        <f t="shared" si="48"/>
        <v>#DIV/0!</v>
      </c>
      <c r="AA100" s="87" t="e">
        <f t="shared" si="48"/>
        <v>#DIV/0!</v>
      </c>
      <c r="AB100" s="87" t="e">
        <f t="shared" si="48"/>
        <v>#DIV/0!</v>
      </c>
      <c r="AC100" s="87" t="e">
        <f t="shared" si="48"/>
        <v>#DIV/0!</v>
      </c>
      <c r="AD100" s="87" t="e">
        <f t="shared" si="48"/>
        <v>#DIV/0!</v>
      </c>
      <c r="AE100" s="87" t="e">
        <f t="shared" si="48"/>
        <v>#DIV/0!</v>
      </c>
      <c r="AF100" s="87" t="e">
        <f t="shared" si="48"/>
        <v>#DIV/0!</v>
      </c>
      <c r="AG100" s="87" t="e">
        <f t="shared" si="48"/>
        <v>#DIV/0!</v>
      </c>
      <c r="AH100" s="87" t="e">
        <f t="shared" si="48"/>
        <v>#DIV/0!</v>
      </c>
      <c r="AI100" s="87" t="e">
        <f t="shared" si="48"/>
        <v>#DIV/0!</v>
      </c>
      <c r="AJ100" s="87" t="e">
        <f t="shared" si="48"/>
        <v>#DIV/0!</v>
      </c>
      <c r="AK100" s="87" t="e">
        <f t="shared" si="48"/>
        <v>#DIV/0!</v>
      </c>
      <c r="AL100" s="87" t="e">
        <f t="shared" si="48"/>
        <v>#DIV/0!</v>
      </c>
      <c r="AM100" s="87" t="e">
        <f t="shared" si="48"/>
        <v>#DIV/0!</v>
      </c>
      <c r="AN100" s="87" t="e">
        <f t="shared" si="48"/>
        <v>#DIV/0!</v>
      </c>
      <c r="AO100" s="87" t="e">
        <f t="shared" si="48"/>
        <v>#DIV/0!</v>
      </c>
      <c r="AP100" s="87" t="e">
        <f t="shared" si="48"/>
        <v>#DIV/0!</v>
      </c>
      <c r="AQ100" s="87" t="e">
        <f t="shared" si="48"/>
        <v>#DIV/0!</v>
      </c>
      <c r="AR100" s="87" t="e">
        <f t="shared" si="48"/>
        <v>#DIV/0!</v>
      </c>
      <c r="AS100" s="87" t="e">
        <f t="shared" si="48"/>
        <v>#DIV/0!</v>
      </c>
      <c r="AT100" s="87" t="e">
        <f t="shared" si="48"/>
        <v>#DIV/0!</v>
      </c>
      <c r="AU100" s="87" t="e">
        <f t="shared" si="48"/>
        <v>#DIV/0!</v>
      </c>
      <c r="AV100" s="87" t="e">
        <f t="shared" si="48"/>
        <v>#DIV/0!</v>
      </c>
      <c r="AW100" s="87" t="e">
        <f t="shared" si="48"/>
        <v>#DIV/0!</v>
      </c>
      <c r="AX100" s="87" t="e">
        <f t="shared" si="48"/>
        <v>#DIV/0!</v>
      </c>
      <c r="AY100" s="87" t="e">
        <f t="shared" si="48"/>
        <v>#DIV/0!</v>
      </c>
      <c r="AZ100" s="87" t="e">
        <f t="shared" si="48"/>
        <v>#DIV/0!</v>
      </c>
      <c r="BA100" s="87" t="e">
        <f t="shared" si="48"/>
        <v>#DIV/0!</v>
      </c>
      <c r="BB100" s="87" t="e">
        <f t="shared" si="48"/>
        <v>#DIV/0!</v>
      </c>
      <c r="BC100" s="114" t="s">
        <v>10</v>
      </c>
      <c r="BD100" s="82" t="e">
        <f t="shared" ref="BD100:CU100" si="49">AVERAGEIF($E$5:$E$53,$E100,BD$5:BD$53)</f>
        <v>#DIV/0!</v>
      </c>
      <c r="BE100" s="82" t="e">
        <f t="shared" si="49"/>
        <v>#DIV/0!</v>
      </c>
      <c r="BF100" s="82" t="e">
        <f t="shared" si="49"/>
        <v>#DIV/0!</v>
      </c>
      <c r="BG100" s="82" t="e">
        <f t="shared" si="49"/>
        <v>#DIV/0!</v>
      </c>
      <c r="BH100" s="82" t="e">
        <f t="shared" si="49"/>
        <v>#DIV/0!</v>
      </c>
      <c r="BI100" s="82" t="e">
        <f t="shared" si="49"/>
        <v>#DIV/0!</v>
      </c>
      <c r="BJ100" s="82" t="e">
        <f t="shared" si="49"/>
        <v>#DIV/0!</v>
      </c>
      <c r="BK100" s="82" t="e">
        <f t="shared" si="49"/>
        <v>#DIV/0!</v>
      </c>
      <c r="BL100" s="82" t="e">
        <f t="shared" si="49"/>
        <v>#DIV/0!</v>
      </c>
      <c r="BM100" s="82" t="e">
        <f t="shared" si="49"/>
        <v>#DIV/0!</v>
      </c>
      <c r="BN100" s="82" t="e">
        <f t="shared" si="49"/>
        <v>#DIV/0!</v>
      </c>
      <c r="BO100" s="82" t="e">
        <f t="shared" si="49"/>
        <v>#DIV/0!</v>
      </c>
      <c r="BP100" s="82" t="e">
        <f t="shared" si="49"/>
        <v>#DIV/0!</v>
      </c>
      <c r="BQ100" s="82" t="e">
        <f t="shared" si="49"/>
        <v>#DIV/0!</v>
      </c>
      <c r="BR100" s="82" t="e">
        <f t="shared" si="49"/>
        <v>#DIV/0!</v>
      </c>
      <c r="BS100" s="82" t="e">
        <f t="shared" si="49"/>
        <v>#DIV/0!</v>
      </c>
      <c r="BT100" s="82" t="e">
        <f t="shared" si="49"/>
        <v>#DIV/0!</v>
      </c>
      <c r="BU100" s="82" t="e">
        <f t="shared" si="49"/>
        <v>#DIV/0!</v>
      </c>
      <c r="BV100" s="82" t="e">
        <f t="shared" si="49"/>
        <v>#DIV/0!</v>
      </c>
      <c r="BW100" s="82" t="e">
        <f t="shared" si="49"/>
        <v>#DIV/0!</v>
      </c>
      <c r="BX100" s="82" t="e">
        <f t="shared" si="49"/>
        <v>#DIV/0!</v>
      </c>
      <c r="BY100" s="82" t="e">
        <f t="shared" si="49"/>
        <v>#DIV/0!</v>
      </c>
      <c r="BZ100" s="82" t="e">
        <f t="shared" si="49"/>
        <v>#DIV/0!</v>
      </c>
      <c r="CA100" s="82" t="e">
        <f t="shared" si="49"/>
        <v>#DIV/0!</v>
      </c>
      <c r="CB100" s="82" t="e">
        <f t="shared" si="49"/>
        <v>#DIV/0!</v>
      </c>
      <c r="CC100" s="82" t="e">
        <f t="shared" si="49"/>
        <v>#DIV/0!</v>
      </c>
      <c r="CD100" s="82" t="e">
        <f t="shared" si="49"/>
        <v>#DIV/0!</v>
      </c>
      <c r="CE100" s="82" t="e">
        <f t="shared" si="49"/>
        <v>#DIV/0!</v>
      </c>
      <c r="CF100" s="82" t="e">
        <f t="shared" si="49"/>
        <v>#DIV/0!</v>
      </c>
      <c r="CG100" s="82" t="e">
        <f t="shared" si="49"/>
        <v>#DIV/0!</v>
      </c>
      <c r="CH100" s="82" t="e">
        <f t="shared" si="49"/>
        <v>#DIV/0!</v>
      </c>
      <c r="CI100" s="82" t="e">
        <f t="shared" si="49"/>
        <v>#DIV/0!</v>
      </c>
      <c r="CJ100" s="82" t="e">
        <f t="shared" si="49"/>
        <v>#DIV/0!</v>
      </c>
      <c r="CK100" s="82" t="e">
        <f t="shared" si="49"/>
        <v>#DIV/0!</v>
      </c>
      <c r="CL100" s="82" t="e">
        <f t="shared" si="49"/>
        <v>#DIV/0!</v>
      </c>
      <c r="CM100" s="82" t="e">
        <f t="shared" si="49"/>
        <v>#DIV/0!</v>
      </c>
      <c r="CN100" s="82" t="e">
        <f t="shared" si="49"/>
        <v>#DIV/0!</v>
      </c>
      <c r="CO100" s="82" t="e">
        <f t="shared" si="49"/>
        <v>#DIV/0!</v>
      </c>
      <c r="CP100" s="82" t="e">
        <f t="shared" si="49"/>
        <v>#DIV/0!</v>
      </c>
      <c r="CQ100" s="82" t="e">
        <f t="shared" si="49"/>
        <v>#DIV/0!</v>
      </c>
      <c r="CR100" s="82" t="e">
        <f t="shared" si="49"/>
        <v>#DIV/0!</v>
      </c>
      <c r="CS100" s="82" t="e">
        <f t="shared" si="49"/>
        <v>#DIV/0!</v>
      </c>
      <c r="CT100" s="82" t="e">
        <f t="shared" si="49"/>
        <v>#DIV/0!</v>
      </c>
      <c r="CU100" s="82" t="e">
        <f t="shared" si="49"/>
        <v>#DIV/0!</v>
      </c>
      <c r="CV100" s="85"/>
    </row>
    <row r="101" spans="1:100" ht="14.25" customHeight="1">
      <c r="A101" s="129"/>
      <c r="E101" s="104"/>
      <c r="H101" s="104"/>
      <c r="I101" s="256" t="e">
        <f t="array" ref="I101">_xlfn.STDEV.P(IF($E$5:$E$53=$E100,I$5:I$53))</f>
        <v>#DIV/0!</v>
      </c>
      <c r="J101" s="81" t="s">
        <v>12</v>
      </c>
      <c r="K101" s="90" t="e">
        <f t="array" ref="K101">_xlfn.STDEV.P(IF($E$5:$E$53=$E100,K$5:K$53))</f>
        <v>#DIV/0!</v>
      </c>
      <c r="L101" s="90" t="e">
        <f t="array" ref="L101">_xlfn.STDEV.P(IF($E$5:$E$53=$E100,L$5:L$53))</f>
        <v>#DIV/0!</v>
      </c>
      <c r="M101" s="90" t="e">
        <f t="array" ref="M101">_xlfn.STDEV.P(IF($E$5:$E$53=$E100,M$5:M$53))</f>
        <v>#DIV/0!</v>
      </c>
      <c r="N101" s="90" t="e">
        <f t="array" ref="N101">_xlfn.STDEV.P(IF($E$5:$E$53=$E100,N$5:N$53))</f>
        <v>#DIV/0!</v>
      </c>
      <c r="O101" s="90" t="e">
        <f t="array" ref="O101">_xlfn.STDEV.P(IF($E$5:$E$53=$E100,O$5:O$53))</f>
        <v>#DIV/0!</v>
      </c>
      <c r="P101" s="90" t="e">
        <f t="array" ref="P101">_xlfn.STDEV.P(IF($E$5:$E$53=$E100,P$5:P$53))</f>
        <v>#DIV/0!</v>
      </c>
      <c r="Q101" s="90" t="e">
        <f t="array" ref="Q101">_xlfn.STDEV.P(IF($E$5:$E$53=$E100,Q$5:Q$53))</f>
        <v>#DIV/0!</v>
      </c>
      <c r="R101" s="90" t="e">
        <f t="array" ref="R101">_xlfn.STDEV.P(IF($E$5:$E$53=$E100,R$5:R$53))</f>
        <v>#DIV/0!</v>
      </c>
      <c r="S101" s="90" t="e">
        <f t="array" ref="S101">_xlfn.STDEV.P(IF($E$5:$E$53=$E100,S$5:S$53))</f>
        <v>#DIV/0!</v>
      </c>
      <c r="T101" s="90" t="e">
        <f t="array" ref="T101">_xlfn.STDEV.P(IF($E$5:$E$53=$E100,T$5:T$53))</f>
        <v>#DIV/0!</v>
      </c>
      <c r="U101" s="90" t="e">
        <f t="array" ref="U101">_xlfn.STDEV.P(IF($E$5:$E$53=$E100,U$5:U$53))</f>
        <v>#DIV/0!</v>
      </c>
      <c r="V101" s="90" t="e">
        <f t="array" ref="V101">_xlfn.STDEV.P(IF($E$5:$E$53=$E100,V$5:V$53))</f>
        <v>#DIV/0!</v>
      </c>
      <c r="W101" s="90" t="e">
        <f t="array" ref="W101">_xlfn.STDEV.P(IF($E$5:$E$53=$E100,W$5:W$53))</f>
        <v>#DIV/0!</v>
      </c>
      <c r="X101" s="90" t="e">
        <f t="array" ref="X101">_xlfn.STDEV.P(IF($E$5:$E$53=$E100,X$5:X$53))</f>
        <v>#DIV/0!</v>
      </c>
      <c r="Y101" s="90" t="e">
        <f t="array" ref="Y101">_xlfn.STDEV.P(IF($E$5:$E$53=$E100,Y$5:Y$53))</f>
        <v>#DIV/0!</v>
      </c>
      <c r="Z101" s="90" t="e">
        <f t="array" ref="Z101">_xlfn.STDEV.P(IF($E$5:$E$53=$E100,Z$5:Z$53))</f>
        <v>#DIV/0!</v>
      </c>
      <c r="AA101" s="90" t="e">
        <f t="array" ref="AA101">_xlfn.STDEV.P(IF($E$5:$E$53=$E100,AA$5:AA$53))</f>
        <v>#DIV/0!</v>
      </c>
      <c r="AB101" s="90" t="e">
        <f t="array" ref="AB101">_xlfn.STDEV.P(IF($E$5:$E$53=$E100,AB$5:AB$53))</f>
        <v>#DIV/0!</v>
      </c>
      <c r="AC101" s="90" t="e">
        <f t="array" ref="AC101">_xlfn.STDEV.P(IF($E$5:$E$53=$E100,AC$5:AC$53))</f>
        <v>#DIV/0!</v>
      </c>
      <c r="AD101" s="90" t="e">
        <f t="array" ref="AD101">_xlfn.STDEV.P(IF($E$5:$E$53=$E100,AD$5:AD$53))</f>
        <v>#DIV/0!</v>
      </c>
      <c r="AE101" s="90" t="e">
        <f t="array" ref="AE101">_xlfn.STDEV.P(IF($E$5:$E$53=$E100,AE$5:AE$53))</f>
        <v>#DIV/0!</v>
      </c>
      <c r="AF101" s="90" t="e">
        <f t="array" ref="AF101">_xlfn.STDEV.P(IF($E$5:$E$53=$E100,AF$5:AF$53))</f>
        <v>#DIV/0!</v>
      </c>
      <c r="AG101" s="90" t="e">
        <f t="array" ref="AG101">_xlfn.STDEV.P(IF($E$5:$E$53=$E100,AG$5:AG$53))</f>
        <v>#DIV/0!</v>
      </c>
      <c r="AH101" s="90" t="e">
        <f t="array" ref="AH101">_xlfn.STDEV.P(IF($E$5:$E$53=$E100,AH$5:AH$53))</f>
        <v>#DIV/0!</v>
      </c>
      <c r="AI101" s="90" t="e">
        <f t="array" ref="AI101">_xlfn.STDEV.P(IF($E$5:$E$53=$E100,AI$5:AI$53))</f>
        <v>#DIV/0!</v>
      </c>
      <c r="AJ101" s="90" t="e">
        <f t="array" ref="AJ101">_xlfn.STDEV.P(IF($E$5:$E$53=$E100,AJ$5:AJ$53))</f>
        <v>#DIV/0!</v>
      </c>
      <c r="AK101" s="90" t="e">
        <f t="array" ref="AK101">_xlfn.STDEV.P(IF($E$5:$E$53=$E100,AK$5:AK$53))</f>
        <v>#DIV/0!</v>
      </c>
      <c r="AL101" s="90" t="e">
        <f t="array" ref="AL101">_xlfn.STDEV.P(IF($E$5:$E$53=$E100,AL$5:AL$53))</f>
        <v>#DIV/0!</v>
      </c>
      <c r="AM101" s="90" t="e">
        <f t="array" ref="AM101">_xlfn.STDEV.P(IF($E$5:$E$53=$E100,AM$5:AM$53))</f>
        <v>#DIV/0!</v>
      </c>
      <c r="AN101" s="90" t="e">
        <f t="array" ref="AN101">_xlfn.STDEV.P(IF($E$5:$E$53=$E100,AN$5:AN$53))</f>
        <v>#DIV/0!</v>
      </c>
      <c r="AO101" s="90" t="e">
        <f t="array" ref="AO101">_xlfn.STDEV.P(IF($E$5:$E$53=$E100,AO$5:AO$53))</f>
        <v>#DIV/0!</v>
      </c>
      <c r="AP101" s="90" t="e">
        <f t="array" ref="AP101">_xlfn.STDEV.P(IF($E$5:$E$53=$E100,AP$5:AP$53))</f>
        <v>#DIV/0!</v>
      </c>
      <c r="AQ101" s="90" t="e">
        <f t="array" ref="AQ101">_xlfn.STDEV.P(IF($E$5:$E$53=$E100,AQ$5:AQ$53))</f>
        <v>#DIV/0!</v>
      </c>
      <c r="AR101" s="90" t="e">
        <f t="array" ref="AR101">_xlfn.STDEV.P(IF($E$5:$E$53=$E100,AR$5:AR$53))</f>
        <v>#DIV/0!</v>
      </c>
      <c r="AS101" s="90" t="e">
        <f t="array" ref="AS101">_xlfn.STDEV.P(IF($E$5:$E$53=$E100,AS$5:AS$53))</f>
        <v>#DIV/0!</v>
      </c>
      <c r="AT101" s="90" t="e">
        <f t="array" ref="AT101">_xlfn.STDEV.P(IF($E$5:$E$53=$E100,AT$5:AT$53))</f>
        <v>#DIV/0!</v>
      </c>
      <c r="AU101" s="90" t="e">
        <f t="array" ref="AU101">_xlfn.STDEV.P(IF($E$5:$E$53=$E100,AU$5:AU$53))</f>
        <v>#DIV/0!</v>
      </c>
      <c r="AV101" s="90" t="e">
        <f t="array" ref="AV101">_xlfn.STDEV.P(IF($E$5:$E$53=$E100,AV$5:AV$53))</f>
        <v>#DIV/0!</v>
      </c>
      <c r="AW101" s="90" t="e">
        <f t="array" ref="AW101">_xlfn.STDEV.P(IF($E$5:$E$53=$E100,AW$5:AW$53))</f>
        <v>#DIV/0!</v>
      </c>
      <c r="AX101" s="90" t="e">
        <f t="array" ref="AX101">_xlfn.STDEV.P(IF($E$5:$E$53=$E100,AX$5:AX$53))</f>
        <v>#DIV/0!</v>
      </c>
      <c r="AY101" s="90" t="e">
        <f t="array" ref="AY101">_xlfn.STDEV.P(IF($E$5:$E$53=$E100,AY$5:AY$53))</f>
        <v>#DIV/0!</v>
      </c>
      <c r="AZ101" s="90" t="e">
        <f t="array" ref="AZ101">_xlfn.STDEV.P(IF($E$5:$E$53=$E100,AZ$5:AZ$53))</f>
        <v>#DIV/0!</v>
      </c>
      <c r="BA101" s="90" t="e">
        <f t="array" ref="BA101">_xlfn.STDEV.P(IF($E$5:$E$53=$E100,BA$5:BA$53))</f>
        <v>#DIV/0!</v>
      </c>
      <c r="BB101" s="90" t="e">
        <f t="array" ref="BB101">_xlfn.STDEV.P(IF($E$5:$E$53=$E100,BB$5:BB$53))</f>
        <v>#DIV/0!</v>
      </c>
      <c r="BC101" s="115" t="s">
        <v>12</v>
      </c>
      <c r="BD101" s="83" t="e">
        <f t="array" ref="BD101">_xlfn.STDEV.P(IF($E$5:$E$53=$E100,BD$5:BD$53))</f>
        <v>#DIV/0!</v>
      </c>
      <c r="BE101" s="83" t="e">
        <f t="array" ref="BE101">_xlfn.STDEV.P(IF($E$5:$E$53=$E100,BE$5:BE$53))</f>
        <v>#DIV/0!</v>
      </c>
      <c r="BF101" s="83" t="e">
        <f t="array" ref="BF101">_xlfn.STDEV.P(IF($E$5:$E$53=$E100,BF$5:BF$53))</f>
        <v>#DIV/0!</v>
      </c>
      <c r="BG101" s="83" t="e">
        <f t="array" ref="BG101">_xlfn.STDEV.P(IF($E$5:$E$53=$E100,BG$5:BG$53))</f>
        <v>#DIV/0!</v>
      </c>
      <c r="BH101" s="83" t="e">
        <f t="array" ref="BH101">_xlfn.STDEV.P(IF($E$5:$E$53=$E100,BH$5:BH$53))</f>
        <v>#DIV/0!</v>
      </c>
      <c r="BI101" s="83" t="e">
        <f t="array" ref="BI101">_xlfn.STDEV.P(IF($E$5:$E$53=$E100,BI$5:BI$53))</f>
        <v>#DIV/0!</v>
      </c>
      <c r="BJ101" s="83" t="e">
        <f t="array" ref="BJ101">_xlfn.STDEV.P(IF($E$5:$E$53=$E100,BJ$5:BJ$53))</f>
        <v>#DIV/0!</v>
      </c>
      <c r="BK101" s="83" t="e">
        <f t="array" ref="BK101">_xlfn.STDEV.P(IF($E$5:$E$53=$E100,BK$5:BK$53))</f>
        <v>#DIV/0!</v>
      </c>
      <c r="BL101" s="83" t="e">
        <f t="array" ref="BL101">_xlfn.STDEV.P(IF($E$5:$E$53=$E100,BL$5:BL$53))</f>
        <v>#DIV/0!</v>
      </c>
      <c r="BM101" s="83" t="e">
        <f t="array" ref="BM101">_xlfn.STDEV.P(IF($E$5:$E$53=$E100,BM$5:BM$53))</f>
        <v>#DIV/0!</v>
      </c>
      <c r="BN101" s="83" t="e">
        <f t="array" ref="BN101">_xlfn.STDEV.P(IF($E$5:$E$53=$E100,BN$5:BN$53))</f>
        <v>#DIV/0!</v>
      </c>
      <c r="BO101" s="83" t="e">
        <f t="array" ref="BO101">_xlfn.STDEV.P(IF($E$5:$E$53=$E100,BO$5:BO$53))</f>
        <v>#DIV/0!</v>
      </c>
      <c r="BP101" s="83" t="e">
        <f t="array" ref="BP101">_xlfn.STDEV.P(IF($E$5:$E$53=$E100,BP$5:BP$53))</f>
        <v>#DIV/0!</v>
      </c>
      <c r="BQ101" s="83" t="e">
        <f t="array" ref="BQ101">_xlfn.STDEV.P(IF($E$5:$E$53=$E100,BQ$5:BQ$53))</f>
        <v>#DIV/0!</v>
      </c>
      <c r="BR101" s="83" t="e">
        <f t="array" ref="BR101">_xlfn.STDEV.P(IF($E$5:$E$53=$E100,BR$5:BR$53))</f>
        <v>#DIV/0!</v>
      </c>
      <c r="BS101" s="83" t="e">
        <f t="array" ref="BS101">_xlfn.STDEV.P(IF($E$5:$E$53=$E100,BS$5:BS$53))</f>
        <v>#DIV/0!</v>
      </c>
      <c r="BT101" s="83" t="e">
        <f t="array" ref="BT101">_xlfn.STDEV.P(IF($E$5:$E$53=$E100,BT$5:BT$53))</f>
        <v>#DIV/0!</v>
      </c>
      <c r="BU101" s="83" t="e">
        <f t="array" ref="BU101">_xlfn.STDEV.P(IF($E$5:$E$53=$E100,BU$5:BU$53))</f>
        <v>#DIV/0!</v>
      </c>
      <c r="BV101" s="83" t="e">
        <f t="array" ref="BV101">_xlfn.STDEV.P(IF($E$5:$E$53=$E100,BV$5:BV$53))</f>
        <v>#DIV/0!</v>
      </c>
      <c r="BW101" s="83" t="e">
        <f t="array" ref="BW101">_xlfn.STDEV.P(IF($E$5:$E$53=$E100,BW$5:BW$53))</f>
        <v>#DIV/0!</v>
      </c>
      <c r="BX101" s="83" t="e">
        <f t="array" ref="BX101">_xlfn.STDEV.P(IF($E$5:$E$53=$E100,BX$5:BX$53))</f>
        <v>#DIV/0!</v>
      </c>
      <c r="BY101" s="83" t="e">
        <f t="array" ref="BY101">_xlfn.STDEV.P(IF($E$5:$E$53=$E100,BY$5:BY$53))</f>
        <v>#DIV/0!</v>
      </c>
      <c r="BZ101" s="83" t="e">
        <f t="array" ref="BZ101">_xlfn.STDEV.P(IF($E$5:$E$53=$E100,BZ$5:BZ$53))</f>
        <v>#DIV/0!</v>
      </c>
      <c r="CA101" s="83" t="e">
        <f t="array" ref="CA101">_xlfn.STDEV.P(IF($E$5:$E$53=$E100,CA$5:CA$53))</f>
        <v>#DIV/0!</v>
      </c>
      <c r="CB101" s="83" t="e">
        <f t="array" ref="CB101">_xlfn.STDEV.P(IF($E$5:$E$53=$E100,CB$5:CB$53))</f>
        <v>#DIV/0!</v>
      </c>
      <c r="CC101" s="83" t="e">
        <f t="array" ref="CC101">_xlfn.STDEV.P(IF($E$5:$E$53=$E100,CC$5:CC$53))</f>
        <v>#DIV/0!</v>
      </c>
      <c r="CD101" s="83" t="e">
        <f t="array" ref="CD101">_xlfn.STDEV.P(IF($E$5:$E$53=$E100,CD$5:CD$53))</f>
        <v>#DIV/0!</v>
      </c>
      <c r="CE101" s="83" t="e">
        <f t="array" ref="CE101">_xlfn.STDEV.P(IF($E$5:$E$53=$E100,CE$5:CE$53))</f>
        <v>#DIV/0!</v>
      </c>
      <c r="CF101" s="83" t="e">
        <f t="array" ref="CF101">_xlfn.STDEV.P(IF($E$5:$E$53=$E100,CF$5:CF$53))</f>
        <v>#DIV/0!</v>
      </c>
      <c r="CG101" s="83" t="e">
        <f t="array" ref="CG101">_xlfn.STDEV.P(IF($E$5:$E$53=$E100,CG$5:CG$53))</f>
        <v>#DIV/0!</v>
      </c>
      <c r="CH101" s="83" t="e">
        <f t="array" ref="CH101">_xlfn.STDEV.P(IF($E$5:$E$53=$E100,CH$5:CH$53))</f>
        <v>#DIV/0!</v>
      </c>
      <c r="CI101" s="83" t="e">
        <f t="array" ref="CI101">_xlfn.STDEV.P(IF($E$5:$E$53=$E100,CI$5:CI$53))</f>
        <v>#DIV/0!</v>
      </c>
      <c r="CJ101" s="83" t="e">
        <f t="array" ref="CJ101">_xlfn.STDEV.P(IF($E$5:$E$53=$E100,CJ$5:CJ$53))</f>
        <v>#DIV/0!</v>
      </c>
      <c r="CK101" s="83" t="e">
        <f t="array" ref="CK101">_xlfn.STDEV.P(IF($E$5:$E$53=$E100,CK$5:CK$53))</f>
        <v>#DIV/0!</v>
      </c>
      <c r="CL101" s="83" t="e">
        <f t="array" ref="CL101">_xlfn.STDEV.P(IF($E$5:$E$53=$E100,CL$5:CL$53))</f>
        <v>#DIV/0!</v>
      </c>
      <c r="CM101" s="83" t="e">
        <f t="array" ref="CM101">_xlfn.STDEV.P(IF($E$5:$E$53=$E100,CM$5:CM$53))</f>
        <v>#DIV/0!</v>
      </c>
      <c r="CN101" s="83" t="e">
        <f t="array" ref="CN101">_xlfn.STDEV.P(IF($E$5:$E$53=$E100,CN$5:CN$53))</f>
        <v>#DIV/0!</v>
      </c>
      <c r="CO101" s="83" t="e">
        <f t="array" ref="CO101">_xlfn.STDEV.P(IF($E$5:$E$53=$E100,CO$5:CO$53))</f>
        <v>#DIV/0!</v>
      </c>
      <c r="CP101" s="83" t="e">
        <f t="array" ref="CP101">_xlfn.STDEV.P(IF($E$5:$E$53=$E100,CP$5:CP$53))</f>
        <v>#DIV/0!</v>
      </c>
      <c r="CQ101" s="83" t="e">
        <f t="array" ref="CQ101">_xlfn.STDEV.P(IF($E$5:$E$53=$E100,CQ$5:CQ$53))</f>
        <v>#DIV/0!</v>
      </c>
      <c r="CR101" s="83" t="e">
        <f t="array" ref="CR101">_xlfn.STDEV.P(IF($E$5:$E$53=$E100,CR$5:CR$53))</f>
        <v>#DIV/0!</v>
      </c>
      <c r="CS101" s="83" t="e">
        <f t="array" ref="CS101">_xlfn.STDEV.P(IF($E$5:$E$53=$E100,CS$5:CS$53))</f>
        <v>#DIV/0!</v>
      </c>
      <c r="CT101" s="83" t="e">
        <f t="array" ref="CT101">_xlfn.STDEV.P(IF($E$5:$E$53=$E100,CT$5:CT$53))</f>
        <v>#DIV/0!</v>
      </c>
      <c r="CU101" s="83" t="e">
        <f t="array" ref="CU101">_xlfn.STDEV.P(IF($E$5:$E$53=$E100,CU$5:CU$53))</f>
        <v>#DIV/0!</v>
      </c>
      <c r="CV101" s="85"/>
    </row>
    <row r="102" spans="1:100" ht="15">
      <c r="A102" s="129"/>
      <c r="E102" s="134"/>
      <c r="H102" s="58"/>
    </row>
    <row r="103" spans="1:100" ht="14.25" customHeight="1">
      <c r="A103" s="129"/>
      <c r="E103" s="134" t="str">
        <f>'PTX_DOSE Groups'!C21</f>
        <v>Group 16</v>
      </c>
      <c r="H103" s="134" t="str">
        <f>E103</f>
        <v>Group 16</v>
      </c>
      <c r="I103" s="256" t="e">
        <f>AVERAGEIF($E$5:$E$53,$E103,I$5:I$53)</f>
        <v>#DIV/0!</v>
      </c>
      <c r="J103" s="81" t="s">
        <v>10</v>
      </c>
      <c r="K103" s="87" t="e">
        <f t="shared" ref="K103:BB103" si="50">AVERAGEIF($E$5:$E$53,$E103,K$5:K$53)</f>
        <v>#DIV/0!</v>
      </c>
      <c r="L103" s="87" t="e">
        <f t="shared" si="50"/>
        <v>#DIV/0!</v>
      </c>
      <c r="M103" s="87" t="e">
        <f t="shared" si="50"/>
        <v>#DIV/0!</v>
      </c>
      <c r="N103" s="87" t="e">
        <f t="shared" si="50"/>
        <v>#DIV/0!</v>
      </c>
      <c r="O103" s="87" t="e">
        <f t="shared" si="50"/>
        <v>#DIV/0!</v>
      </c>
      <c r="P103" s="87" t="e">
        <f t="shared" si="50"/>
        <v>#DIV/0!</v>
      </c>
      <c r="Q103" s="87" t="e">
        <f t="shared" si="50"/>
        <v>#DIV/0!</v>
      </c>
      <c r="R103" s="87" t="e">
        <f t="shared" si="50"/>
        <v>#DIV/0!</v>
      </c>
      <c r="S103" s="87" t="e">
        <f t="shared" si="50"/>
        <v>#DIV/0!</v>
      </c>
      <c r="T103" s="87" t="e">
        <f t="shared" si="50"/>
        <v>#DIV/0!</v>
      </c>
      <c r="U103" s="87" t="e">
        <f t="shared" si="50"/>
        <v>#DIV/0!</v>
      </c>
      <c r="V103" s="87" t="e">
        <f t="shared" si="50"/>
        <v>#DIV/0!</v>
      </c>
      <c r="W103" s="87" t="e">
        <f t="shared" si="50"/>
        <v>#DIV/0!</v>
      </c>
      <c r="X103" s="87" t="e">
        <f t="shared" si="50"/>
        <v>#DIV/0!</v>
      </c>
      <c r="Y103" s="87" t="e">
        <f t="shared" si="50"/>
        <v>#DIV/0!</v>
      </c>
      <c r="Z103" s="87" t="e">
        <f t="shared" si="50"/>
        <v>#DIV/0!</v>
      </c>
      <c r="AA103" s="87" t="e">
        <f t="shared" si="50"/>
        <v>#DIV/0!</v>
      </c>
      <c r="AB103" s="87" t="e">
        <f t="shared" si="50"/>
        <v>#DIV/0!</v>
      </c>
      <c r="AC103" s="87" t="e">
        <f t="shared" si="50"/>
        <v>#DIV/0!</v>
      </c>
      <c r="AD103" s="87" t="e">
        <f t="shared" si="50"/>
        <v>#DIV/0!</v>
      </c>
      <c r="AE103" s="87" t="e">
        <f t="shared" si="50"/>
        <v>#DIV/0!</v>
      </c>
      <c r="AF103" s="87" t="e">
        <f t="shared" si="50"/>
        <v>#DIV/0!</v>
      </c>
      <c r="AG103" s="87" t="e">
        <f t="shared" si="50"/>
        <v>#DIV/0!</v>
      </c>
      <c r="AH103" s="87" t="e">
        <f t="shared" si="50"/>
        <v>#DIV/0!</v>
      </c>
      <c r="AI103" s="87" t="e">
        <f t="shared" si="50"/>
        <v>#DIV/0!</v>
      </c>
      <c r="AJ103" s="87" t="e">
        <f t="shared" si="50"/>
        <v>#DIV/0!</v>
      </c>
      <c r="AK103" s="87" t="e">
        <f t="shared" si="50"/>
        <v>#DIV/0!</v>
      </c>
      <c r="AL103" s="87" t="e">
        <f t="shared" si="50"/>
        <v>#DIV/0!</v>
      </c>
      <c r="AM103" s="87" t="e">
        <f t="shared" si="50"/>
        <v>#DIV/0!</v>
      </c>
      <c r="AN103" s="87" t="e">
        <f t="shared" si="50"/>
        <v>#DIV/0!</v>
      </c>
      <c r="AO103" s="87" t="e">
        <f t="shared" si="50"/>
        <v>#DIV/0!</v>
      </c>
      <c r="AP103" s="87" t="e">
        <f t="shared" si="50"/>
        <v>#DIV/0!</v>
      </c>
      <c r="AQ103" s="87" t="e">
        <f t="shared" si="50"/>
        <v>#DIV/0!</v>
      </c>
      <c r="AR103" s="87" t="e">
        <f t="shared" si="50"/>
        <v>#DIV/0!</v>
      </c>
      <c r="AS103" s="87" t="e">
        <f t="shared" si="50"/>
        <v>#DIV/0!</v>
      </c>
      <c r="AT103" s="87" t="e">
        <f t="shared" si="50"/>
        <v>#DIV/0!</v>
      </c>
      <c r="AU103" s="87" t="e">
        <f t="shared" si="50"/>
        <v>#DIV/0!</v>
      </c>
      <c r="AV103" s="87" t="e">
        <f t="shared" si="50"/>
        <v>#DIV/0!</v>
      </c>
      <c r="AW103" s="87" t="e">
        <f t="shared" si="50"/>
        <v>#DIV/0!</v>
      </c>
      <c r="AX103" s="87" t="e">
        <f t="shared" si="50"/>
        <v>#DIV/0!</v>
      </c>
      <c r="AY103" s="87" t="e">
        <f t="shared" si="50"/>
        <v>#DIV/0!</v>
      </c>
      <c r="AZ103" s="87" t="e">
        <f t="shared" si="50"/>
        <v>#DIV/0!</v>
      </c>
      <c r="BA103" s="87" t="e">
        <f t="shared" si="50"/>
        <v>#DIV/0!</v>
      </c>
      <c r="BB103" s="87" t="e">
        <f t="shared" si="50"/>
        <v>#DIV/0!</v>
      </c>
      <c r="BC103" s="114" t="s">
        <v>10</v>
      </c>
      <c r="BD103" s="82" t="e">
        <f t="shared" ref="BD103:CU103" si="51">AVERAGEIF($E$5:$E$53,$E103,BD$5:BD$53)</f>
        <v>#DIV/0!</v>
      </c>
      <c r="BE103" s="82" t="e">
        <f t="shared" si="51"/>
        <v>#DIV/0!</v>
      </c>
      <c r="BF103" s="82" t="e">
        <f t="shared" si="51"/>
        <v>#DIV/0!</v>
      </c>
      <c r="BG103" s="82" t="e">
        <f t="shared" si="51"/>
        <v>#DIV/0!</v>
      </c>
      <c r="BH103" s="82" t="e">
        <f t="shared" si="51"/>
        <v>#DIV/0!</v>
      </c>
      <c r="BI103" s="82" t="e">
        <f t="shared" si="51"/>
        <v>#DIV/0!</v>
      </c>
      <c r="BJ103" s="82" t="e">
        <f t="shared" si="51"/>
        <v>#DIV/0!</v>
      </c>
      <c r="BK103" s="82" t="e">
        <f t="shared" si="51"/>
        <v>#DIV/0!</v>
      </c>
      <c r="BL103" s="82" t="e">
        <f t="shared" si="51"/>
        <v>#DIV/0!</v>
      </c>
      <c r="BM103" s="82" t="e">
        <f t="shared" si="51"/>
        <v>#DIV/0!</v>
      </c>
      <c r="BN103" s="82" t="e">
        <f t="shared" si="51"/>
        <v>#DIV/0!</v>
      </c>
      <c r="BO103" s="82" t="e">
        <f t="shared" si="51"/>
        <v>#DIV/0!</v>
      </c>
      <c r="BP103" s="82" t="e">
        <f t="shared" si="51"/>
        <v>#DIV/0!</v>
      </c>
      <c r="BQ103" s="82" t="e">
        <f t="shared" si="51"/>
        <v>#DIV/0!</v>
      </c>
      <c r="BR103" s="82" t="e">
        <f t="shared" si="51"/>
        <v>#DIV/0!</v>
      </c>
      <c r="BS103" s="82" t="e">
        <f t="shared" si="51"/>
        <v>#DIV/0!</v>
      </c>
      <c r="BT103" s="82" t="e">
        <f t="shared" si="51"/>
        <v>#DIV/0!</v>
      </c>
      <c r="BU103" s="82" t="e">
        <f t="shared" si="51"/>
        <v>#DIV/0!</v>
      </c>
      <c r="BV103" s="82" t="e">
        <f t="shared" si="51"/>
        <v>#DIV/0!</v>
      </c>
      <c r="BW103" s="82" t="e">
        <f t="shared" si="51"/>
        <v>#DIV/0!</v>
      </c>
      <c r="BX103" s="82" t="e">
        <f t="shared" si="51"/>
        <v>#DIV/0!</v>
      </c>
      <c r="BY103" s="82" t="e">
        <f t="shared" si="51"/>
        <v>#DIV/0!</v>
      </c>
      <c r="BZ103" s="82" t="e">
        <f t="shared" si="51"/>
        <v>#DIV/0!</v>
      </c>
      <c r="CA103" s="82" t="e">
        <f t="shared" si="51"/>
        <v>#DIV/0!</v>
      </c>
      <c r="CB103" s="82" t="e">
        <f t="shared" si="51"/>
        <v>#DIV/0!</v>
      </c>
      <c r="CC103" s="82" t="e">
        <f t="shared" si="51"/>
        <v>#DIV/0!</v>
      </c>
      <c r="CD103" s="82" t="e">
        <f t="shared" si="51"/>
        <v>#DIV/0!</v>
      </c>
      <c r="CE103" s="82" t="e">
        <f t="shared" si="51"/>
        <v>#DIV/0!</v>
      </c>
      <c r="CF103" s="82" t="e">
        <f t="shared" si="51"/>
        <v>#DIV/0!</v>
      </c>
      <c r="CG103" s="82" t="e">
        <f t="shared" si="51"/>
        <v>#DIV/0!</v>
      </c>
      <c r="CH103" s="82" t="e">
        <f t="shared" si="51"/>
        <v>#DIV/0!</v>
      </c>
      <c r="CI103" s="82" t="e">
        <f t="shared" si="51"/>
        <v>#DIV/0!</v>
      </c>
      <c r="CJ103" s="82" t="e">
        <f t="shared" si="51"/>
        <v>#DIV/0!</v>
      </c>
      <c r="CK103" s="82" t="e">
        <f t="shared" si="51"/>
        <v>#DIV/0!</v>
      </c>
      <c r="CL103" s="82" t="e">
        <f t="shared" si="51"/>
        <v>#DIV/0!</v>
      </c>
      <c r="CM103" s="82" t="e">
        <f t="shared" si="51"/>
        <v>#DIV/0!</v>
      </c>
      <c r="CN103" s="82" t="e">
        <f t="shared" si="51"/>
        <v>#DIV/0!</v>
      </c>
      <c r="CO103" s="82" t="e">
        <f t="shared" si="51"/>
        <v>#DIV/0!</v>
      </c>
      <c r="CP103" s="82" t="e">
        <f t="shared" si="51"/>
        <v>#DIV/0!</v>
      </c>
      <c r="CQ103" s="82" t="e">
        <f t="shared" si="51"/>
        <v>#DIV/0!</v>
      </c>
      <c r="CR103" s="82" t="e">
        <f t="shared" si="51"/>
        <v>#DIV/0!</v>
      </c>
      <c r="CS103" s="82" t="e">
        <f t="shared" si="51"/>
        <v>#DIV/0!</v>
      </c>
      <c r="CT103" s="82" t="e">
        <f t="shared" si="51"/>
        <v>#DIV/0!</v>
      </c>
      <c r="CU103" s="82" t="e">
        <f t="shared" si="51"/>
        <v>#DIV/0!</v>
      </c>
      <c r="CV103" s="85"/>
    </row>
    <row r="104" spans="1:100" ht="14.25" customHeight="1">
      <c r="A104" s="129"/>
      <c r="E104" s="104"/>
      <c r="H104" s="104"/>
      <c r="I104" s="256" t="e">
        <f t="array" ref="I104">_xlfn.STDEV.P(IF($E$5:$E$53=$E103,I$5:I$53))</f>
        <v>#DIV/0!</v>
      </c>
      <c r="J104" s="81" t="s">
        <v>12</v>
      </c>
      <c r="K104" s="90" t="e">
        <f t="array" ref="K104">_xlfn.STDEV.P(IF($E$5:$E$53=$E103,K$5:K$53))</f>
        <v>#DIV/0!</v>
      </c>
      <c r="L104" s="90" t="e">
        <f t="array" ref="L104">_xlfn.STDEV.P(IF($E$5:$E$53=$E103,L$5:L$53))</f>
        <v>#DIV/0!</v>
      </c>
      <c r="M104" s="90" t="e">
        <f t="array" ref="M104">_xlfn.STDEV.P(IF($E$5:$E$53=$E103,M$5:M$53))</f>
        <v>#DIV/0!</v>
      </c>
      <c r="N104" s="90" t="e">
        <f t="array" ref="N104">_xlfn.STDEV.P(IF($E$5:$E$53=$E103,N$5:N$53))</f>
        <v>#DIV/0!</v>
      </c>
      <c r="O104" s="90" t="e">
        <f t="array" ref="O104">_xlfn.STDEV.P(IF($E$5:$E$53=$E103,O$5:O$53))</f>
        <v>#DIV/0!</v>
      </c>
      <c r="P104" s="90" t="e">
        <f t="array" ref="P104">_xlfn.STDEV.P(IF($E$5:$E$53=$E103,P$5:P$53))</f>
        <v>#DIV/0!</v>
      </c>
      <c r="Q104" s="90" t="e">
        <f t="array" ref="Q104">_xlfn.STDEV.P(IF($E$5:$E$53=$E103,Q$5:Q$53))</f>
        <v>#DIV/0!</v>
      </c>
      <c r="R104" s="90" t="e">
        <f t="array" ref="R104">_xlfn.STDEV.P(IF($E$5:$E$53=$E103,R$5:R$53))</f>
        <v>#DIV/0!</v>
      </c>
      <c r="S104" s="90" t="e">
        <f t="array" ref="S104">_xlfn.STDEV.P(IF($E$5:$E$53=$E103,S$5:S$53))</f>
        <v>#DIV/0!</v>
      </c>
      <c r="T104" s="90" t="e">
        <f t="array" ref="T104">_xlfn.STDEV.P(IF($E$5:$E$53=$E103,T$5:T$53))</f>
        <v>#DIV/0!</v>
      </c>
      <c r="U104" s="90" t="e">
        <f t="array" ref="U104">_xlfn.STDEV.P(IF($E$5:$E$53=$E103,U$5:U$53))</f>
        <v>#DIV/0!</v>
      </c>
      <c r="V104" s="90" t="e">
        <f t="array" ref="V104">_xlfn.STDEV.P(IF($E$5:$E$53=$E103,V$5:V$53))</f>
        <v>#DIV/0!</v>
      </c>
      <c r="W104" s="90" t="e">
        <f t="array" ref="W104">_xlfn.STDEV.P(IF($E$5:$E$53=$E103,W$5:W$53))</f>
        <v>#DIV/0!</v>
      </c>
      <c r="X104" s="90" t="e">
        <f t="array" ref="X104">_xlfn.STDEV.P(IF($E$5:$E$53=$E103,X$5:X$53))</f>
        <v>#DIV/0!</v>
      </c>
      <c r="Y104" s="90" t="e">
        <f t="array" ref="Y104">_xlfn.STDEV.P(IF($E$5:$E$53=$E103,Y$5:Y$53))</f>
        <v>#DIV/0!</v>
      </c>
      <c r="Z104" s="90" t="e">
        <f t="array" ref="Z104">_xlfn.STDEV.P(IF($E$5:$E$53=$E103,Z$5:Z$53))</f>
        <v>#DIV/0!</v>
      </c>
      <c r="AA104" s="90" t="e">
        <f t="array" ref="AA104">_xlfn.STDEV.P(IF($E$5:$E$53=$E103,AA$5:AA$53))</f>
        <v>#DIV/0!</v>
      </c>
      <c r="AB104" s="90" t="e">
        <f t="array" ref="AB104">_xlfn.STDEV.P(IF($E$5:$E$53=$E103,AB$5:AB$53))</f>
        <v>#DIV/0!</v>
      </c>
      <c r="AC104" s="90" t="e">
        <f t="array" ref="AC104">_xlfn.STDEV.P(IF($E$5:$E$53=$E103,AC$5:AC$53))</f>
        <v>#DIV/0!</v>
      </c>
      <c r="AD104" s="90" t="e">
        <f t="array" ref="AD104">_xlfn.STDEV.P(IF($E$5:$E$53=$E103,AD$5:AD$53))</f>
        <v>#DIV/0!</v>
      </c>
      <c r="AE104" s="90" t="e">
        <f t="array" ref="AE104">_xlfn.STDEV.P(IF($E$5:$E$53=$E103,AE$5:AE$53))</f>
        <v>#DIV/0!</v>
      </c>
      <c r="AF104" s="90" t="e">
        <f t="array" ref="AF104">_xlfn.STDEV.P(IF($E$5:$E$53=$E103,AF$5:AF$53))</f>
        <v>#DIV/0!</v>
      </c>
      <c r="AG104" s="90" t="e">
        <f t="array" ref="AG104">_xlfn.STDEV.P(IF($E$5:$E$53=$E103,AG$5:AG$53))</f>
        <v>#DIV/0!</v>
      </c>
      <c r="AH104" s="90" t="e">
        <f t="array" ref="AH104">_xlfn.STDEV.P(IF($E$5:$E$53=$E103,AH$5:AH$53))</f>
        <v>#DIV/0!</v>
      </c>
      <c r="AI104" s="90" t="e">
        <f t="array" ref="AI104">_xlfn.STDEV.P(IF($E$5:$E$53=$E103,AI$5:AI$53))</f>
        <v>#DIV/0!</v>
      </c>
      <c r="AJ104" s="90" t="e">
        <f t="array" ref="AJ104">_xlfn.STDEV.P(IF($E$5:$E$53=$E103,AJ$5:AJ$53))</f>
        <v>#DIV/0!</v>
      </c>
      <c r="AK104" s="90" t="e">
        <f t="array" ref="AK104">_xlfn.STDEV.P(IF($E$5:$E$53=$E103,AK$5:AK$53))</f>
        <v>#DIV/0!</v>
      </c>
      <c r="AL104" s="90" t="e">
        <f t="array" ref="AL104">_xlfn.STDEV.P(IF($E$5:$E$53=$E103,AL$5:AL$53))</f>
        <v>#DIV/0!</v>
      </c>
      <c r="AM104" s="90" t="e">
        <f t="array" ref="AM104">_xlfn.STDEV.P(IF($E$5:$E$53=$E103,AM$5:AM$53))</f>
        <v>#DIV/0!</v>
      </c>
      <c r="AN104" s="90" t="e">
        <f t="array" ref="AN104">_xlfn.STDEV.P(IF($E$5:$E$53=$E103,AN$5:AN$53))</f>
        <v>#DIV/0!</v>
      </c>
      <c r="AO104" s="90" t="e">
        <f t="array" ref="AO104">_xlfn.STDEV.P(IF($E$5:$E$53=$E103,AO$5:AO$53))</f>
        <v>#DIV/0!</v>
      </c>
      <c r="AP104" s="90" t="e">
        <f t="array" ref="AP104">_xlfn.STDEV.P(IF($E$5:$E$53=$E103,AP$5:AP$53))</f>
        <v>#DIV/0!</v>
      </c>
      <c r="AQ104" s="90" t="e">
        <f t="array" ref="AQ104">_xlfn.STDEV.P(IF($E$5:$E$53=$E103,AQ$5:AQ$53))</f>
        <v>#DIV/0!</v>
      </c>
      <c r="AR104" s="90" t="e">
        <f t="array" ref="AR104">_xlfn.STDEV.P(IF($E$5:$E$53=$E103,AR$5:AR$53))</f>
        <v>#DIV/0!</v>
      </c>
      <c r="AS104" s="90" t="e">
        <f t="array" ref="AS104">_xlfn.STDEV.P(IF($E$5:$E$53=$E103,AS$5:AS$53))</f>
        <v>#DIV/0!</v>
      </c>
      <c r="AT104" s="90" t="e">
        <f t="array" ref="AT104">_xlfn.STDEV.P(IF($E$5:$E$53=$E103,AT$5:AT$53))</f>
        <v>#DIV/0!</v>
      </c>
      <c r="AU104" s="90" t="e">
        <f t="array" ref="AU104">_xlfn.STDEV.P(IF($E$5:$E$53=$E103,AU$5:AU$53))</f>
        <v>#DIV/0!</v>
      </c>
      <c r="AV104" s="90" t="e">
        <f t="array" ref="AV104">_xlfn.STDEV.P(IF($E$5:$E$53=$E103,AV$5:AV$53))</f>
        <v>#DIV/0!</v>
      </c>
      <c r="AW104" s="90" t="e">
        <f t="array" ref="AW104">_xlfn.STDEV.P(IF($E$5:$E$53=$E103,AW$5:AW$53))</f>
        <v>#DIV/0!</v>
      </c>
      <c r="AX104" s="90" t="e">
        <f t="array" ref="AX104">_xlfn.STDEV.P(IF($E$5:$E$53=$E103,AX$5:AX$53))</f>
        <v>#DIV/0!</v>
      </c>
      <c r="AY104" s="90" t="e">
        <f t="array" ref="AY104">_xlfn.STDEV.P(IF($E$5:$E$53=$E103,AY$5:AY$53))</f>
        <v>#DIV/0!</v>
      </c>
      <c r="AZ104" s="90" t="e">
        <f t="array" ref="AZ104">_xlfn.STDEV.P(IF($E$5:$E$53=$E103,AZ$5:AZ$53))</f>
        <v>#DIV/0!</v>
      </c>
      <c r="BA104" s="90" t="e">
        <f t="array" ref="BA104">_xlfn.STDEV.P(IF($E$5:$E$53=$E103,BA$5:BA$53))</f>
        <v>#DIV/0!</v>
      </c>
      <c r="BB104" s="90" t="e">
        <f t="array" ref="BB104">_xlfn.STDEV.P(IF($E$5:$E$53=$E103,BB$5:BB$53))</f>
        <v>#DIV/0!</v>
      </c>
      <c r="BC104" s="115" t="s">
        <v>12</v>
      </c>
      <c r="BD104" s="83" t="e">
        <f t="array" ref="BD104">_xlfn.STDEV.P(IF($E$5:$E$53=$E103,BD$5:BD$53))</f>
        <v>#DIV/0!</v>
      </c>
      <c r="BE104" s="83" t="e">
        <f t="array" ref="BE104">_xlfn.STDEV.P(IF($E$5:$E$53=$E103,BE$5:BE$53))</f>
        <v>#DIV/0!</v>
      </c>
      <c r="BF104" s="83" t="e">
        <f t="array" ref="BF104">_xlfn.STDEV.P(IF($E$5:$E$53=$E103,BF$5:BF$53))</f>
        <v>#DIV/0!</v>
      </c>
      <c r="BG104" s="83" t="e">
        <f t="array" ref="BG104">_xlfn.STDEV.P(IF($E$5:$E$53=$E103,BG$5:BG$53))</f>
        <v>#DIV/0!</v>
      </c>
      <c r="BH104" s="83" t="e">
        <f t="array" ref="BH104">_xlfn.STDEV.P(IF($E$5:$E$53=$E103,BH$5:BH$53))</f>
        <v>#DIV/0!</v>
      </c>
      <c r="BI104" s="83" t="e">
        <f t="array" ref="BI104">_xlfn.STDEV.P(IF($E$5:$E$53=$E103,BI$5:BI$53))</f>
        <v>#DIV/0!</v>
      </c>
      <c r="BJ104" s="83" t="e">
        <f t="array" ref="BJ104">_xlfn.STDEV.P(IF($E$5:$E$53=$E103,BJ$5:BJ$53))</f>
        <v>#DIV/0!</v>
      </c>
      <c r="BK104" s="83" t="e">
        <f t="array" ref="BK104">_xlfn.STDEV.P(IF($E$5:$E$53=$E103,BK$5:BK$53))</f>
        <v>#DIV/0!</v>
      </c>
      <c r="BL104" s="83" t="e">
        <f t="array" ref="BL104">_xlfn.STDEV.P(IF($E$5:$E$53=$E103,BL$5:BL$53))</f>
        <v>#DIV/0!</v>
      </c>
      <c r="BM104" s="83" t="e">
        <f t="array" ref="BM104">_xlfn.STDEV.P(IF($E$5:$E$53=$E103,BM$5:BM$53))</f>
        <v>#DIV/0!</v>
      </c>
      <c r="BN104" s="83" t="e">
        <f t="array" ref="BN104">_xlfn.STDEV.P(IF($E$5:$E$53=$E103,BN$5:BN$53))</f>
        <v>#DIV/0!</v>
      </c>
      <c r="BO104" s="83" t="e">
        <f t="array" ref="BO104">_xlfn.STDEV.P(IF($E$5:$E$53=$E103,BO$5:BO$53))</f>
        <v>#DIV/0!</v>
      </c>
      <c r="BP104" s="83" t="e">
        <f t="array" ref="BP104">_xlfn.STDEV.P(IF($E$5:$E$53=$E103,BP$5:BP$53))</f>
        <v>#DIV/0!</v>
      </c>
      <c r="BQ104" s="83" t="e">
        <f t="array" ref="BQ104">_xlfn.STDEV.P(IF($E$5:$E$53=$E103,BQ$5:BQ$53))</f>
        <v>#DIV/0!</v>
      </c>
      <c r="BR104" s="83" t="e">
        <f t="array" ref="BR104">_xlfn.STDEV.P(IF($E$5:$E$53=$E103,BR$5:BR$53))</f>
        <v>#DIV/0!</v>
      </c>
      <c r="BS104" s="83" t="e">
        <f t="array" ref="BS104">_xlfn.STDEV.P(IF($E$5:$E$53=$E103,BS$5:BS$53))</f>
        <v>#DIV/0!</v>
      </c>
      <c r="BT104" s="83" t="e">
        <f t="array" ref="BT104">_xlfn.STDEV.P(IF($E$5:$E$53=$E103,BT$5:BT$53))</f>
        <v>#DIV/0!</v>
      </c>
      <c r="BU104" s="83" t="e">
        <f t="array" ref="BU104">_xlfn.STDEV.P(IF($E$5:$E$53=$E103,BU$5:BU$53))</f>
        <v>#DIV/0!</v>
      </c>
      <c r="BV104" s="83" t="e">
        <f t="array" ref="BV104">_xlfn.STDEV.P(IF($E$5:$E$53=$E103,BV$5:BV$53))</f>
        <v>#DIV/0!</v>
      </c>
      <c r="BW104" s="83" t="e">
        <f t="array" ref="BW104">_xlfn.STDEV.P(IF($E$5:$E$53=$E103,BW$5:BW$53))</f>
        <v>#DIV/0!</v>
      </c>
      <c r="BX104" s="83" t="e">
        <f t="array" ref="BX104">_xlfn.STDEV.P(IF($E$5:$E$53=$E103,BX$5:BX$53))</f>
        <v>#DIV/0!</v>
      </c>
      <c r="BY104" s="83" t="e">
        <f t="array" ref="BY104">_xlfn.STDEV.P(IF($E$5:$E$53=$E103,BY$5:BY$53))</f>
        <v>#DIV/0!</v>
      </c>
      <c r="BZ104" s="83" t="e">
        <f t="array" ref="BZ104">_xlfn.STDEV.P(IF($E$5:$E$53=$E103,BZ$5:BZ$53))</f>
        <v>#DIV/0!</v>
      </c>
      <c r="CA104" s="83" t="e">
        <f t="array" ref="CA104">_xlfn.STDEV.P(IF($E$5:$E$53=$E103,CA$5:CA$53))</f>
        <v>#DIV/0!</v>
      </c>
      <c r="CB104" s="83" t="e">
        <f t="array" ref="CB104">_xlfn.STDEV.P(IF($E$5:$E$53=$E103,CB$5:CB$53))</f>
        <v>#DIV/0!</v>
      </c>
      <c r="CC104" s="83" t="e">
        <f t="array" ref="CC104">_xlfn.STDEV.P(IF($E$5:$E$53=$E103,CC$5:CC$53))</f>
        <v>#DIV/0!</v>
      </c>
      <c r="CD104" s="83" t="e">
        <f t="array" ref="CD104">_xlfn.STDEV.P(IF($E$5:$E$53=$E103,CD$5:CD$53))</f>
        <v>#DIV/0!</v>
      </c>
      <c r="CE104" s="83" t="e">
        <f t="array" ref="CE104">_xlfn.STDEV.P(IF($E$5:$E$53=$E103,CE$5:CE$53))</f>
        <v>#DIV/0!</v>
      </c>
      <c r="CF104" s="83" t="e">
        <f t="array" ref="CF104">_xlfn.STDEV.P(IF($E$5:$E$53=$E103,CF$5:CF$53))</f>
        <v>#DIV/0!</v>
      </c>
      <c r="CG104" s="83" t="e">
        <f t="array" ref="CG104">_xlfn.STDEV.P(IF($E$5:$E$53=$E103,CG$5:CG$53))</f>
        <v>#DIV/0!</v>
      </c>
      <c r="CH104" s="83" t="e">
        <f t="array" ref="CH104">_xlfn.STDEV.P(IF($E$5:$E$53=$E103,CH$5:CH$53))</f>
        <v>#DIV/0!</v>
      </c>
      <c r="CI104" s="83" t="e">
        <f t="array" ref="CI104">_xlfn.STDEV.P(IF($E$5:$E$53=$E103,CI$5:CI$53))</f>
        <v>#DIV/0!</v>
      </c>
      <c r="CJ104" s="83" t="e">
        <f t="array" ref="CJ104">_xlfn.STDEV.P(IF($E$5:$E$53=$E103,CJ$5:CJ$53))</f>
        <v>#DIV/0!</v>
      </c>
      <c r="CK104" s="83" t="e">
        <f t="array" ref="CK104">_xlfn.STDEV.P(IF($E$5:$E$53=$E103,CK$5:CK$53))</f>
        <v>#DIV/0!</v>
      </c>
      <c r="CL104" s="83" t="e">
        <f t="array" ref="CL104">_xlfn.STDEV.P(IF($E$5:$E$53=$E103,CL$5:CL$53))</f>
        <v>#DIV/0!</v>
      </c>
      <c r="CM104" s="83" t="e">
        <f t="array" ref="CM104">_xlfn.STDEV.P(IF($E$5:$E$53=$E103,CM$5:CM$53))</f>
        <v>#DIV/0!</v>
      </c>
      <c r="CN104" s="83" t="e">
        <f t="array" ref="CN104">_xlfn.STDEV.P(IF($E$5:$E$53=$E103,CN$5:CN$53))</f>
        <v>#DIV/0!</v>
      </c>
      <c r="CO104" s="83" t="e">
        <f t="array" ref="CO104">_xlfn.STDEV.P(IF($E$5:$E$53=$E103,CO$5:CO$53))</f>
        <v>#DIV/0!</v>
      </c>
      <c r="CP104" s="83" t="e">
        <f t="array" ref="CP104">_xlfn.STDEV.P(IF($E$5:$E$53=$E103,CP$5:CP$53))</f>
        <v>#DIV/0!</v>
      </c>
      <c r="CQ104" s="83" t="e">
        <f t="array" ref="CQ104">_xlfn.STDEV.P(IF($E$5:$E$53=$E103,CQ$5:CQ$53))</f>
        <v>#DIV/0!</v>
      </c>
      <c r="CR104" s="83" t="e">
        <f t="array" ref="CR104">_xlfn.STDEV.P(IF($E$5:$E$53=$E103,CR$5:CR$53))</f>
        <v>#DIV/0!</v>
      </c>
      <c r="CS104" s="83" t="e">
        <f t="array" ref="CS104">_xlfn.STDEV.P(IF($E$5:$E$53=$E103,CS$5:CS$53))</f>
        <v>#DIV/0!</v>
      </c>
      <c r="CT104" s="83" t="e">
        <f t="array" ref="CT104">_xlfn.STDEV.P(IF($E$5:$E$53=$E103,CT$5:CT$53))</f>
        <v>#DIV/0!</v>
      </c>
      <c r="CU104" s="83" t="e">
        <f t="array" ref="CU104">_xlfn.STDEV.P(IF($E$5:$E$53=$E103,CU$5:CU$53))</f>
        <v>#DIV/0!</v>
      </c>
      <c r="CV104" s="85"/>
    </row>
  </sheetData>
  <autoFilter ref="A4:CU53" xr:uid="{00000000-0009-0000-0000-000001000000}">
    <sortState xmlns:xlrd2="http://schemas.microsoft.com/office/spreadsheetml/2017/richdata2" ref="A5:CU53">
      <sortCondition ref="B4:B53"/>
    </sortState>
  </autoFilter>
  <mergeCells count="3">
    <mergeCell ref="F2:G3"/>
    <mergeCell ref="H2:I3"/>
    <mergeCell ref="H55:H56"/>
  </mergeCells>
  <conditionalFormatting sqref="BD5:CU53">
    <cfRule type="cellIs" dxfId="1" priority="1" operator="between">
      <formula>0.85</formula>
      <formula>0.88</formula>
    </cfRule>
    <cfRule type="cellIs" dxfId="0" priority="2" operator="lessThan">
      <formula>0.85</formula>
    </cfRule>
  </conditionalFormatting>
  <dataValidations count="1">
    <dataValidation type="list" allowBlank="1" showInputMessage="1" showErrorMessage="1" sqref="E58:E1048576 E5:E53" xr:uid="{C26CE766-4ECC-43BA-AD37-7C6D44A22F74}">
      <formula1>PTX_DOSE_Groups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546BDE-E386-4312-A987-FB0E4B4D7F30}">
          <x14:formula1>
            <xm:f>'PTX_DOSE Groups'!$C$6:$C$21</xm:f>
          </x14:formula1>
          <xm:sqref>H58:H104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1B5B-AE5E-4AA8-BEB6-E5BC2D046300}">
  <dimension ref="A1:AY129"/>
  <sheetViews>
    <sheetView showGridLines="0" workbookViewId="0">
      <pane xSplit="5" ySplit="4" topLeftCell="F5" activePane="bottomRight" state="frozen"/>
      <selection activeCell="AA20" sqref="AA20"/>
      <selection pane="topRight" activeCell="AA20" sqref="AA20"/>
      <selection pane="bottomLeft" activeCell="AA20" sqref="AA20"/>
      <selection pane="bottomRight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22.85546875" style="50" hidden="1" customWidth="1" outlineLevel="1"/>
    <col min="5" max="5" width="22.85546875" style="59" customWidth="1" collapsed="1"/>
    <col min="6" max="6" width="12.7109375" style="62" customWidth="1"/>
    <col min="7" max="7" width="12.7109375" style="63" hidden="1" customWidth="1" outlineLevel="1"/>
    <col min="8" max="8" width="13.85546875" style="62" customWidth="1" collapsed="1"/>
    <col min="9" max="10" width="9.140625" style="63" hidden="1" customWidth="1" outlineLevel="1"/>
    <col min="11" max="11" width="7.85546875" style="50" customWidth="1" collapsed="1"/>
    <col min="12" max="13" width="8.5703125" style="50" customWidth="1"/>
    <col min="14" max="30" width="8.5703125" style="50" customWidth="1" outlineLevel="1"/>
    <col min="31" max="31" width="14.140625" style="50" customWidth="1"/>
    <col min="32" max="33" width="8.5703125" style="50" customWidth="1"/>
    <col min="34" max="50" width="8.5703125" style="50" customWidth="1" outlineLevel="1"/>
    <col min="51" max="16384" width="9.140625" style="59"/>
  </cols>
  <sheetData>
    <row r="1" spans="1:51" s="7" customFormat="1" ht="25.5">
      <c r="A1" s="6" t="s">
        <v>96</v>
      </c>
      <c r="C1" s="8"/>
      <c r="D1" s="9"/>
      <c r="F1" s="10"/>
      <c r="G1" s="11"/>
      <c r="H1" s="10"/>
      <c r="I1" s="11"/>
      <c r="J1" s="1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</row>
    <row r="2" spans="1:51" s="56" customFormat="1" ht="15.75" customHeight="1">
      <c r="A2" s="271" t="s">
        <v>40</v>
      </c>
      <c r="B2" s="222"/>
      <c r="C2" s="223"/>
      <c r="D2" s="222"/>
      <c r="E2" s="16"/>
      <c r="F2" s="275" t="s">
        <v>14</v>
      </c>
      <c r="G2" s="285"/>
      <c r="H2" s="275" t="s">
        <v>0</v>
      </c>
      <c r="I2" s="285"/>
      <c r="J2" s="272"/>
      <c r="K2" s="17"/>
      <c r="L2" s="271" t="s">
        <v>42</v>
      </c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4"/>
      <c r="AE2" s="225"/>
      <c r="AF2" s="271" t="s">
        <v>69</v>
      </c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4"/>
      <c r="AY2" s="55"/>
    </row>
    <row r="3" spans="1:51" s="72" customFormat="1" ht="15.75">
      <c r="A3" s="226"/>
      <c r="B3" s="227"/>
      <c r="C3" s="228"/>
      <c r="D3" s="227"/>
      <c r="E3" s="68"/>
      <c r="F3" s="275"/>
      <c r="G3" s="285"/>
      <c r="H3" s="275"/>
      <c r="I3" s="285"/>
      <c r="J3" s="272"/>
      <c r="K3" s="69" t="s">
        <v>15</v>
      </c>
      <c r="L3" s="229">
        <v>42468</v>
      </c>
      <c r="M3" s="229">
        <v>42469</v>
      </c>
      <c r="N3" s="229">
        <v>42470</v>
      </c>
      <c r="O3" s="229">
        <v>42472</v>
      </c>
      <c r="P3" s="229">
        <v>42474</v>
      </c>
      <c r="Q3" s="229">
        <v>42476</v>
      </c>
      <c r="R3" s="229">
        <v>42478</v>
      </c>
      <c r="S3" s="229">
        <v>42480</v>
      </c>
      <c r="T3" s="229">
        <v>42482</v>
      </c>
      <c r="U3" s="229">
        <v>42485</v>
      </c>
      <c r="V3" s="229">
        <v>42487</v>
      </c>
      <c r="W3" s="229">
        <v>42489</v>
      </c>
      <c r="X3" s="229"/>
      <c r="Y3" s="229"/>
      <c r="Z3" s="229"/>
      <c r="AA3" s="229"/>
      <c r="AB3" s="229"/>
      <c r="AC3" s="229"/>
      <c r="AD3" s="229"/>
      <c r="AE3" s="70" t="s">
        <v>15</v>
      </c>
      <c r="AF3" s="229">
        <f>IF(ISBLANK(L3)="TRUE","",L3)</f>
        <v>42468</v>
      </c>
      <c r="AG3" s="229">
        <f>IF(ISBLANK(M3)="TRUE","",M3)</f>
        <v>42469</v>
      </c>
      <c r="AH3" s="229">
        <f t="shared" ref="AH3:AW3" si="0">IF(ISBLANK(N3)="TRUE","",N3)</f>
        <v>42470</v>
      </c>
      <c r="AI3" s="229">
        <f t="shared" si="0"/>
        <v>42472</v>
      </c>
      <c r="AJ3" s="229">
        <f t="shared" si="0"/>
        <v>42474</v>
      </c>
      <c r="AK3" s="229">
        <f t="shared" si="0"/>
        <v>42476</v>
      </c>
      <c r="AL3" s="229">
        <f t="shared" si="0"/>
        <v>42478</v>
      </c>
      <c r="AM3" s="229">
        <f t="shared" si="0"/>
        <v>42480</v>
      </c>
      <c r="AN3" s="229">
        <f t="shared" si="0"/>
        <v>42482</v>
      </c>
      <c r="AO3" s="229">
        <f t="shared" si="0"/>
        <v>42485</v>
      </c>
      <c r="AP3" s="229">
        <f t="shared" si="0"/>
        <v>42487</v>
      </c>
      <c r="AQ3" s="229">
        <f>IF(ISBLANK(W3)="TRUE","",W3)</f>
        <v>42489</v>
      </c>
      <c r="AR3" s="229">
        <f t="shared" si="0"/>
        <v>0</v>
      </c>
      <c r="AS3" s="229">
        <f t="shared" si="0"/>
        <v>0</v>
      </c>
      <c r="AT3" s="229">
        <f t="shared" si="0"/>
        <v>0</v>
      </c>
      <c r="AU3" s="229">
        <f t="shared" si="0"/>
        <v>0</v>
      </c>
      <c r="AV3" s="229">
        <f t="shared" si="0"/>
        <v>0</v>
      </c>
      <c r="AW3" s="229">
        <f t="shared" si="0"/>
        <v>0</v>
      </c>
      <c r="AX3" s="229">
        <f t="shared" ref="AG3:AX4" si="1">IF(ISBLANK(AD3)="TRUE","",AD3)</f>
        <v>0</v>
      </c>
      <c r="AY3" s="71"/>
    </row>
    <row r="4" spans="1:51" s="58" customFormat="1" ht="15.75" customHeight="1">
      <c r="A4" s="230" t="s">
        <v>6</v>
      </c>
      <c r="B4" s="213" t="s">
        <v>7</v>
      </c>
      <c r="C4" s="231" t="s">
        <v>8</v>
      </c>
      <c r="D4" s="230" t="s">
        <v>17</v>
      </c>
      <c r="E4" s="21" t="s">
        <v>11</v>
      </c>
      <c r="F4" s="22" t="s">
        <v>1</v>
      </c>
      <c r="G4" s="232" t="s">
        <v>2</v>
      </c>
      <c r="H4" s="22" t="s">
        <v>1</v>
      </c>
      <c r="I4" s="232" t="s">
        <v>41</v>
      </c>
      <c r="J4" s="232"/>
      <c r="K4" s="25" t="s">
        <v>9</v>
      </c>
      <c r="L4" s="270">
        <f>L3-$H5</f>
        <v>0</v>
      </c>
      <c r="M4" s="270">
        <f>M3-$H5</f>
        <v>1</v>
      </c>
      <c r="N4" s="270">
        <f t="shared" ref="N4:AD4" si="2">N3-$H5</f>
        <v>2</v>
      </c>
      <c r="O4" s="270">
        <f t="shared" si="2"/>
        <v>4</v>
      </c>
      <c r="P4" s="270">
        <f t="shared" si="2"/>
        <v>6</v>
      </c>
      <c r="Q4" s="270">
        <f t="shared" si="2"/>
        <v>8</v>
      </c>
      <c r="R4" s="270">
        <f t="shared" si="2"/>
        <v>10</v>
      </c>
      <c r="S4" s="270">
        <f t="shared" si="2"/>
        <v>12</v>
      </c>
      <c r="T4" s="270">
        <f t="shared" si="2"/>
        <v>14</v>
      </c>
      <c r="U4" s="270">
        <f t="shared" si="2"/>
        <v>17</v>
      </c>
      <c r="V4" s="270">
        <f t="shared" si="2"/>
        <v>19</v>
      </c>
      <c r="W4" s="270">
        <f t="shared" si="2"/>
        <v>21</v>
      </c>
      <c r="X4" s="270">
        <f t="shared" si="2"/>
        <v>-42468</v>
      </c>
      <c r="Y4" s="270">
        <f t="shared" si="2"/>
        <v>-42468</v>
      </c>
      <c r="Z4" s="270">
        <f t="shared" si="2"/>
        <v>-42468</v>
      </c>
      <c r="AA4" s="270">
        <f t="shared" si="2"/>
        <v>-42468</v>
      </c>
      <c r="AB4" s="270">
        <f t="shared" si="2"/>
        <v>-42468</v>
      </c>
      <c r="AC4" s="270">
        <f t="shared" si="2"/>
        <v>-42468</v>
      </c>
      <c r="AD4" s="270">
        <f t="shared" si="2"/>
        <v>-42468</v>
      </c>
      <c r="AE4" s="26" t="s">
        <v>9</v>
      </c>
      <c r="AF4" s="213">
        <f>IF(ISBLANK(L4)="TRUE","",L4)</f>
        <v>0</v>
      </c>
      <c r="AG4" s="213">
        <f t="shared" si="1"/>
        <v>1</v>
      </c>
      <c r="AH4" s="213">
        <f t="shared" si="1"/>
        <v>2</v>
      </c>
      <c r="AI4" s="213">
        <f t="shared" si="1"/>
        <v>4</v>
      </c>
      <c r="AJ4" s="213">
        <f t="shared" si="1"/>
        <v>6</v>
      </c>
      <c r="AK4" s="213">
        <f t="shared" si="1"/>
        <v>8</v>
      </c>
      <c r="AL4" s="213">
        <f t="shared" si="1"/>
        <v>10</v>
      </c>
      <c r="AM4" s="213">
        <f t="shared" si="1"/>
        <v>12</v>
      </c>
      <c r="AN4" s="213">
        <f t="shared" si="1"/>
        <v>14</v>
      </c>
      <c r="AO4" s="213">
        <f t="shared" si="1"/>
        <v>17</v>
      </c>
      <c r="AP4" s="213">
        <f t="shared" si="1"/>
        <v>19</v>
      </c>
      <c r="AQ4" s="213">
        <f t="shared" si="1"/>
        <v>21</v>
      </c>
      <c r="AR4" s="213">
        <f t="shared" si="1"/>
        <v>-42468</v>
      </c>
      <c r="AS4" s="213">
        <f t="shared" si="1"/>
        <v>-42468</v>
      </c>
      <c r="AT4" s="213">
        <f t="shared" si="1"/>
        <v>-42468</v>
      </c>
      <c r="AU4" s="213">
        <f t="shared" si="1"/>
        <v>-42468</v>
      </c>
      <c r="AV4" s="213">
        <f t="shared" si="1"/>
        <v>-42468</v>
      </c>
      <c r="AW4" s="213">
        <f t="shared" si="1"/>
        <v>-42468</v>
      </c>
      <c r="AX4" s="213">
        <f t="shared" si="1"/>
        <v>-42468</v>
      </c>
      <c r="AY4" s="57"/>
    </row>
    <row r="5" spans="1:51">
      <c r="A5" s="27">
        <v>975081</v>
      </c>
      <c r="B5" s="28">
        <v>11</v>
      </c>
      <c r="C5" s="29" t="str">
        <f t="shared" ref="C5:C53" si="3">CONCATENATE(A5,"-",B5)</f>
        <v>975081-11</v>
      </c>
      <c r="D5" s="28" t="s">
        <v>80</v>
      </c>
      <c r="E5" s="30" t="s">
        <v>81</v>
      </c>
      <c r="F5" s="31">
        <v>42458</v>
      </c>
      <c r="G5" s="32"/>
      <c r="H5" s="31">
        <v>42468</v>
      </c>
      <c r="I5" s="32"/>
      <c r="J5" s="32"/>
      <c r="K5" s="35"/>
      <c r="L5" s="87">
        <v>374</v>
      </c>
      <c r="M5" s="87">
        <v>337</v>
      </c>
      <c r="N5" s="87">
        <v>305</v>
      </c>
      <c r="O5" s="87">
        <v>247</v>
      </c>
      <c r="P5" s="87">
        <v>204</v>
      </c>
      <c r="Q5" s="87">
        <v>171</v>
      </c>
      <c r="R5" s="87">
        <v>138</v>
      </c>
      <c r="S5" s="87">
        <v>109</v>
      </c>
      <c r="T5" s="87">
        <v>96</v>
      </c>
      <c r="U5" s="87">
        <v>73</v>
      </c>
      <c r="V5" s="87">
        <v>63</v>
      </c>
      <c r="W5" s="87">
        <v>53</v>
      </c>
      <c r="X5" s="87"/>
      <c r="Y5" s="87"/>
      <c r="Z5" s="87"/>
      <c r="AA5" s="87"/>
      <c r="AB5" s="87"/>
      <c r="AC5" s="87"/>
      <c r="AD5" s="87"/>
      <c r="AE5" s="36"/>
      <c r="AF5" s="86" t="str">
        <f t="shared" ref="AF5:AU20" si="4">IF(OR(ISERROR(L5/$I5)=TRUE,ISBLANK(L5)=TRUE),"",L5/$I5)</f>
        <v/>
      </c>
      <c r="AG5" s="86" t="str">
        <f t="shared" si="4"/>
        <v/>
      </c>
      <c r="AH5" s="86" t="str">
        <f t="shared" si="4"/>
        <v/>
      </c>
      <c r="AI5" s="86" t="str">
        <f t="shared" si="4"/>
        <v/>
      </c>
      <c r="AJ5" s="86" t="str">
        <f t="shared" si="4"/>
        <v/>
      </c>
      <c r="AK5" s="86" t="str">
        <f t="shared" si="4"/>
        <v/>
      </c>
      <c r="AL5" s="86" t="str">
        <f t="shared" si="4"/>
        <v/>
      </c>
      <c r="AM5" s="86" t="str">
        <f t="shared" si="4"/>
        <v/>
      </c>
      <c r="AN5" s="86" t="str">
        <f t="shared" si="4"/>
        <v/>
      </c>
      <c r="AO5" s="86" t="str">
        <f t="shared" si="4"/>
        <v/>
      </c>
      <c r="AP5" s="86" t="str">
        <f t="shared" si="4"/>
        <v/>
      </c>
      <c r="AQ5" s="86" t="str">
        <f t="shared" si="4"/>
        <v/>
      </c>
      <c r="AR5" s="86" t="str">
        <f t="shared" si="4"/>
        <v/>
      </c>
      <c r="AS5" s="86" t="str">
        <f t="shared" si="4"/>
        <v/>
      </c>
      <c r="AT5" s="86" t="str">
        <f t="shared" si="4"/>
        <v/>
      </c>
      <c r="AU5" s="86" t="str">
        <f t="shared" si="4"/>
        <v/>
      </c>
      <c r="AV5" s="86" t="str">
        <f t="shared" ref="AV5:AX36" si="5">IF(OR(ISERROR(AB5/$I5)=TRUE,ISBLANK(AB5)=TRUE),"",AB5/$I5)</f>
        <v/>
      </c>
      <c r="AW5" s="86" t="str">
        <f t="shared" si="5"/>
        <v/>
      </c>
      <c r="AX5" s="86" t="str">
        <f t="shared" si="5"/>
        <v/>
      </c>
      <c r="AY5" s="3"/>
    </row>
    <row r="6" spans="1:51">
      <c r="A6" s="27">
        <v>975081</v>
      </c>
      <c r="B6" s="1">
        <v>12</v>
      </c>
      <c r="C6" s="29" t="str">
        <f t="shared" si="3"/>
        <v>975081-12</v>
      </c>
      <c r="D6" s="28" t="s">
        <v>80</v>
      </c>
      <c r="E6" s="37" t="s">
        <v>82</v>
      </c>
      <c r="F6" s="31">
        <v>42458</v>
      </c>
      <c r="G6" s="38"/>
      <c r="H6" s="31">
        <v>42468</v>
      </c>
      <c r="I6" s="38">
        <v>163</v>
      </c>
      <c r="J6" s="38"/>
      <c r="K6" s="40"/>
      <c r="L6" s="87">
        <v>163</v>
      </c>
      <c r="M6" s="93">
        <v>134</v>
      </c>
      <c r="N6" s="93">
        <v>119</v>
      </c>
      <c r="O6" s="93">
        <v>100</v>
      </c>
      <c r="P6" s="93">
        <v>86</v>
      </c>
      <c r="Q6" s="93">
        <v>69</v>
      </c>
      <c r="R6" s="93">
        <v>59</v>
      </c>
      <c r="S6" s="93">
        <v>47</v>
      </c>
      <c r="T6" s="93">
        <v>40</v>
      </c>
      <c r="U6" s="93">
        <v>30</v>
      </c>
      <c r="V6" s="93">
        <v>28</v>
      </c>
      <c r="W6" s="93">
        <v>21</v>
      </c>
      <c r="X6" s="93"/>
      <c r="Y6" s="93"/>
      <c r="Z6" s="93"/>
      <c r="AA6" s="93"/>
      <c r="AB6" s="93"/>
      <c r="AC6" s="93"/>
      <c r="AD6" s="93"/>
      <c r="AE6" s="2"/>
      <c r="AF6" s="82">
        <f t="shared" si="4"/>
        <v>1</v>
      </c>
      <c r="AG6" s="82">
        <f t="shared" si="4"/>
        <v>0.82208588957055218</v>
      </c>
      <c r="AH6" s="82">
        <f t="shared" si="4"/>
        <v>0.73006134969325154</v>
      </c>
      <c r="AI6" s="82">
        <f t="shared" si="4"/>
        <v>0.61349693251533743</v>
      </c>
      <c r="AJ6" s="82">
        <f t="shared" si="4"/>
        <v>0.52760736196319014</v>
      </c>
      <c r="AK6" s="82">
        <f t="shared" si="4"/>
        <v>0.42331288343558282</v>
      </c>
      <c r="AL6" s="82">
        <f t="shared" si="4"/>
        <v>0.3619631901840491</v>
      </c>
      <c r="AM6" s="82">
        <f t="shared" si="4"/>
        <v>0.28834355828220859</v>
      </c>
      <c r="AN6" s="82">
        <f t="shared" si="4"/>
        <v>0.24539877300613497</v>
      </c>
      <c r="AO6" s="82">
        <f t="shared" si="4"/>
        <v>0.18404907975460122</v>
      </c>
      <c r="AP6" s="82">
        <f t="shared" si="4"/>
        <v>0.17177914110429449</v>
      </c>
      <c r="AQ6" s="82">
        <f t="shared" si="4"/>
        <v>0.12883435582822086</v>
      </c>
      <c r="AR6" s="82" t="str">
        <f t="shared" si="4"/>
        <v/>
      </c>
      <c r="AS6" s="82" t="str">
        <f t="shared" si="4"/>
        <v/>
      </c>
      <c r="AT6" s="82" t="str">
        <f t="shared" si="4"/>
        <v/>
      </c>
      <c r="AU6" s="82" t="str">
        <f t="shared" si="4"/>
        <v/>
      </c>
      <c r="AV6" s="82" t="str">
        <f t="shared" si="5"/>
        <v/>
      </c>
      <c r="AW6" s="82" t="str">
        <f t="shared" si="5"/>
        <v/>
      </c>
      <c r="AX6" s="82" t="str">
        <f t="shared" si="5"/>
        <v/>
      </c>
      <c r="AY6" s="3"/>
    </row>
    <row r="7" spans="1:51">
      <c r="A7" s="27">
        <v>975081</v>
      </c>
      <c r="B7" s="1">
        <v>13</v>
      </c>
      <c r="C7" s="29" t="str">
        <f t="shared" si="3"/>
        <v>975081-13</v>
      </c>
      <c r="D7" s="28" t="s">
        <v>80</v>
      </c>
      <c r="E7" s="37" t="s">
        <v>82</v>
      </c>
      <c r="F7" s="31">
        <v>42458</v>
      </c>
      <c r="G7" s="38"/>
      <c r="H7" s="31">
        <v>42468</v>
      </c>
      <c r="I7" s="38">
        <v>370</v>
      </c>
      <c r="J7" s="38"/>
      <c r="K7" s="40"/>
      <c r="L7" s="87">
        <v>370</v>
      </c>
      <c r="M7" s="93">
        <v>320</v>
      </c>
      <c r="N7" s="93">
        <v>290</v>
      </c>
      <c r="O7" s="93">
        <v>242</v>
      </c>
      <c r="P7" s="93">
        <v>198</v>
      </c>
      <c r="Q7" s="93">
        <v>161</v>
      </c>
      <c r="R7" s="93">
        <v>133</v>
      </c>
      <c r="S7" s="93">
        <v>108</v>
      </c>
      <c r="T7" s="93">
        <v>93</v>
      </c>
      <c r="U7" s="93">
        <v>70</v>
      </c>
      <c r="V7" s="93">
        <v>62</v>
      </c>
      <c r="W7" s="93">
        <v>46</v>
      </c>
      <c r="X7" s="93"/>
      <c r="Y7" s="93"/>
      <c r="Z7" s="93"/>
      <c r="AA7" s="93"/>
      <c r="AB7" s="93"/>
      <c r="AC7" s="93"/>
      <c r="AD7" s="93"/>
      <c r="AE7" s="2"/>
      <c r="AF7" s="82">
        <f t="shared" si="4"/>
        <v>1</v>
      </c>
      <c r="AG7" s="82">
        <f t="shared" si="4"/>
        <v>0.86486486486486491</v>
      </c>
      <c r="AH7" s="82">
        <f t="shared" si="4"/>
        <v>0.78378378378378377</v>
      </c>
      <c r="AI7" s="82">
        <f t="shared" si="4"/>
        <v>0.65405405405405403</v>
      </c>
      <c r="AJ7" s="82">
        <f t="shared" si="4"/>
        <v>0.53513513513513511</v>
      </c>
      <c r="AK7" s="82">
        <f t="shared" si="4"/>
        <v>0.43513513513513513</v>
      </c>
      <c r="AL7" s="82">
        <f t="shared" si="4"/>
        <v>0.35945945945945945</v>
      </c>
      <c r="AM7" s="82">
        <f t="shared" si="4"/>
        <v>0.29189189189189191</v>
      </c>
      <c r="AN7" s="82">
        <f t="shared" si="4"/>
        <v>0.25135135135135134</v>
      </c>
      <c r="AO7" s="82">
        <f t="shared" si="4"/>
        <v>0.1891891891891892</v>
      </c>
      <c r="AP7" s="82">
        <f t="shared" si="4"/>
        <v>0.16756756756756758</v>
      </c>
      <c r="AQ7" s="82">
        <f t="shared" si="4"/>
        <v>0.12432432432432433</v>
      </c>
      <c r="AR7" s="82" t="str">
        <f t="shared" si="4"/>
        <v/>
      </c>
      <c r="AS7" s="82" t="str">
        <f t="shared" si="4"/>
        <v/>
      </c>
      <c r="AT7" s="82" t="str">
        <f t="shared" si="4"/>
        <v/>
      </c>
      <c r="AU7" s="82" t="str">
        <f t="shared" si="4"/>
        <v/>
      </c>
      <c r="AV7" s="82" t="str">
        <f t="shared" si="5"/>
        <v/>
      </c>
      <c r="AW7" s="82" t="str">
        <f t="shared" si="5"/>
        <v/>
      </c>
      <c r="AX7" s="82" t="str">
        <f t="shared" si="5"/>
        <v/>
      </c>
      <c r="AY7" s="3"/>
    </row>
    <row r="8" spans="1:51">
      <c r="A8" s="27">
        <v>975081</v>
      </c>
      <c r="B8" s="1">
        <v>14</v>
      </c>
      <c r="C8" s="29" t="str">
        <f t="shared" si="3"/>
        <v>975081-14</v>
      </c>
      <c r="D8" s="28" t="s">
        <v>80</v>
      </c>
      <c r="E8" s="37" t="s">
        <v>34</v>
      </c>
      <c r="F8" s="31">
        <v>42458</v>
      </c>
      <c r="G8" s="38"/>
      <c r="H8" s="31">
        <v>42468</v>
      </c>
      <c r="I8" s="38"/>
      <c r="J8" s="38"/>
      <c r="K8" s="40"/>
      <c r="L8" s="87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2"/>
      <c r="AF8" s="82" t="str">
        <f t="shared" si="4"/>
        <v/>
      </c>
      <c r="AG8" s="82" t="str">
        <f t="shared" si="4"/>
        <v/>
      </c>
      <c r="AH8" s="82" t="str">
        <f t="shared" si="4"/>
        <v/>
      </c>
      <c r="AI8" s="82" t="str">
        <f t="shared" si="4"/>
        <v/>
      </c>
      <c r="AJ8" s="82" t="str">
        <f t="shared" si="4"/>
        <v/>
      </c>
      <c r="AK8" s="82" t="str">
        <f t="shared" si="4"/>
        <v/>
      </c>
      <c r="AL8" s="82" t="str">
        <f t="shared" si="4"/>
        <v/>
      </c>
      <c r="AM8" s="82" t="str">
        <f t="shared" si="4"/>
        <v/>
      </c>
      <c r="AN8" s="82" t="str">
        <f t="shared" si="4"/>
        <v/>
      </c>
      <c r="AO8" s="82" t="str">
        <f t="shared" si="4"/>
        <v/>
      </c>
      <c r="AP8" s="82" t="str">
        <f t="shared" si="4"/>
        <v/>
      </c>
      <c r="AQ8" s="82" t="str">
        <f t="shared" si="4"/>
        <v/>
      </c>
      <c r="AR8" s="82" t="str">
        <f t="shared" si="4"/>
        <v/>
      </c>
      <c r="AS8" s="82" t="str">
        <f t="shared" si="4"/>
        <v/>
      </c>
      <c r="AT8" s="82" t="str">
        <f t="shared" si="4"/>
        <v/>
      </c>
      <c r="AU8" s="82" t="str">
        <f t="shared" si="4"/>
        <v/>
      </c>
      <c r="AV8" s="82" t="str">
        <f t="shared" si="5"/>
        <v/>
      </c>
      <c r="AW8" s="82" t="str">
        <f t="shared" si="5"/>
        <v/>
      </c>
      <c r="AX8" s="82" t="str">
        <f t="shared" si="5"/>
        <v/>
      </c>
      <c r="AY8" s="3"/>
    </row>
    <row r="9" spans="1:51">
      <c r="A9" s="27">
        <v>975081</v>
      </c>
      <c r="B9" s="1">
        <v>15</v>
      </c>
      <c r="C9" s="29" t="str">
        <f t="shared" si="3"/>
        <v>975081-15</v>
      </c>
      <c r="D9" s="28" t="s">
        <v>80</v>
      </c>
      <c r="E9" s="37" t="s">
        <v>83</v>
      </c>
      <c r="F9" s="31">
        <v>42458</v>
      </c>
      <c r="G9" s="38"/>
      <c r="H9" s="31">
        <v>42468</v>
      </c>
      <c r="I9" s="38">
        <v>374</v>
      </c>
      <c r="J9" s="38"/>
      <c r="K9" s="40"/>
      <c r="L9" s="87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2"/>
      <c r="AF9" s="82" t="str">
        <f t="shared" si="4"/>
        <v/>
      </c>
      <c r="AG9" s="82" t="str">
        <f t="shared" si="4"/>
        <v/>
      </c>
      <c r="AH9" s="82" t="str">
        <f t="shared" si="4"/>
        <v/>
      </c>
      <c r="AI9" s="82" t="str">
        <f t="shared" si="4"/>
        <v/>
      </c>
      <c r="AJ9" s="82" t="str">
        <f t="shared" si="4"/>
        <v/>
      </c>
      <c r="AK9" s="82" t="str">
        <f t="shared" si="4"/>
        <v/>
      </c>
      <c r="AL9" s="82" t="str">
        <f t="shared" si="4"/>
        <v/>
      </c>
      <c r="AM9" s="82" t="str">
        <f t="shared" si="4"/>
        <v/>
      </c>
      <c r="AN9" s="82" t="str">
        <f t="shared" si="4"/>
        <v/>
      </c>
      <c r="AO9" s="82" t="str">
        <f t="shared" si="4"/>
        <v/>
      </c>
      <c r="AP9" s="82" t="str">
        <f t="shared" si="4"/>
        <v/>
      </c>
      <c r="AQ9" s="82" t="str">
        <f t="shared" si="4"/>
        <v/>
      </c>
      <c r="AR9" s="82" t="str">
        <f t="shared" si="4"/>
        <v/>
      </c>
      <c r="AS9" s="82" t="str">
        <f t="shared" si="4"/>
        <v/>
      </c>
      <c r="AT9" s="82" t="str">
        <f t="shared" si="4"/>
        <v/>
      </c>
      <c r="AU9" s="82" t="str">
        <f t="shared" si="4"/>
        <v/>
      </c>
      <c r="AV9" s="82" t="str">
        <f t="shared" si="5"/>
        <v/>
      </c>
      <c r="AW9" s="82" t="str">
        <f t="shared" si="5"/>
        <v/>
      </c>
      <c r="AX9" s="82" t="str">
        <f t="shared" si="5"/>
        <v/>
      </c>
      <c r="AY9" s="3"/>
    </row>
    <row r="10" spans="1:51">
      <c r="A10" s="41">
        <v>975080</v>
      </c>
      <c r="B10" s="1">
        <v>21</v>
      </c>
      <c r="C10" s="29" t="str">
        <f t="shared" si="3"/>
        <v>975080-21</v>
      </c>
      <c r="D10" s="28" t="s">
        <v>80</v>
      </c>
      <c r="E10" s="37" t="s">
        <v>84</v>
      </c>
      <c r="F10" s="31">
        <v>42458</v>
      </c>
      <c r="G10" s="38"/>
      <c r="H10" s="31">
        <v>42468</v>
      </c>
      <c r="I10" s="38"/>
      <c r="J10" s="38"/>
      <c r="K10" s="40"/>
      <c r="L10" s="87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2"/>
      <c r="AF10" s="82" t="str">
        <f t="shared" si="4"/>
        <v/>
      </c>
      <c r="AG10" s="82" t="str">
        <f t="shared" si="4"/>
        <v/>
      </c>
      <c r="AH10" s="82" t="str">
        <f t="shared" si="4"/>
        <v/>
      </c>
      <c r="AI10" s="82" t="str">
        <f t="shared" si="4"/>
        <v/>
      </c>
      <c r="AJ10" s="82" t="str">
        <f t="shared" si="4"/>
        <v/>
      </c>
      <c r="AK10" s="82" t="str">
        <f t="shared" si="4"/>
        <v/>
      </c>
      <c r="AL10" s="82" t="str">
        <f t="shared" si="4"/>
        <v/>
      </c>
      <c r="AM10" s="82" t="str">
        <f t="shared" si="4"/>
        <v/>
      </c>
      <c r="AN10" s="82" t="str">
        <f t="shared" si="4"/>
        <v/>
      </c>
      <c r="AO10" s="82" t="str">
        <f t="shared" si="4"/>
        <v/>
      </c>
      <c r="AP10" s="82" t="str">
        <f t="shared" si="4"/>
        <v/>
      </c>
      <c r="AQ10" s="82" t="str">
        <f t="shared" si="4"/>
        <v/>
      </c>
      <c r="AR10" s="82" t="str">
        <f t="shared" si="4"/>
        <v/>
      </c>
      <c r="AS10" s="82" t="str">
        <f t="shared" si="4"/>
        <v/>
      </c>
      <c r="AT10" s="82" t="str">
        <f t="shared" si="4"/>
        <v/>
      </c>
      <c r="AU10" s="82" t="str">
        <f t="shared" si="4"/>
        <v/>
      </c>
      <c r="AV10" s="82" t="str">
        <f t="shared" si="5"/>
        <v/>
      </c>
      <c r="AW10" s="82" t="str">
        <f t="shared" si="5"/>
        <v/>
      </c>
      <c r="AX10" s="82" t="str">
        <f t="shared" si="5"/>
        <v/>
      </c>
      <c r="AY10" s="3"/>
    </row>
    <row r="11" spans="1:51">
      <c r="A11" s="41">
        <v>975080</v>
      </c>
      <c r="B11" s="1">
        <v>22</v>
      </c>
      <c r="C11" s="29" t="str">
        <f t="shared" si="3"/>
        <v>975080-22</v>
      </c>
      <c r="D11" s="28" t="s">
        <v>80</v>
      </c>
      <c r="E11" s="37" t="s">
        <v>85</v>
      </c>
      <c r="F11" s="31">
        <v>42458</v>
      </c>
      <c r="G11" s="38"/>
      <c r="H11" s="31">
        <v>42468</v>
      </c>
      <c r="I11" s="38"/>
      <c r="J11" s="38"/>
      <c r="K11" s="40"/>
      <c r="L11" s="87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2"/>
      <c r="AF11" s="82" t="str">
        <f t="shared" si="4"/>
        <v/>
      </c>
      <c r="AG11" s="82" t="str">
        <f t="shared" si="4"/>
        <v/>
      </c>
      <c r="AH11" s="82" t="str">
        <f t="shared" si="4"/>
        <v/>
      </c>
      <c r="AI11" s="82" t="str">
        <f t="shared" si="4"/>
        <v/>
      </c>
      <c r="AJ11" s="82" t="str">
        <f t="shared" si="4"/>
        <v/>
      </c>
      <c r="AK11" s="82" t="str">
        <f t="shared" si="4"/>
        <v/>
      </c>
      <c r="AL11" s="82" t="str">
        <f t="shared" si="4"/>
        <v/>
      </c>
      <c r="AM11" s="82" t="str">
        <f t="shared" si="4"/>
        <v/>
      </c>
      <c r="AN11" s="82" t="str">
        <f t="shared" si="4"/>
        <v/>
      </c>
      <c r="AO11" s="82" t="str">
        <f t="shared" si="4"/>
        <v/>
      </c>
      <c r="AP11" s="82" t="str">
        <f t="shared" si="4"/>
        <v/>
      </c>
      <c r="AQ11" s="82" t="str">
        <f t="shared" si="4"/>
        <v/>
      </c>
      <c r="AR11" s="82" t="str">
        <f t="shared" si="4"/>
        <v/>
      </c>
      <c r="AS11" s="82" t="str">
        <f t="shared" si="4"/>
        <v/>
      </c>
      <c r="AT11" s="82" t="str">
        <f t="shared" si="4"/>
        <v/>
      </c>
      <c r="AU11" s="82" t="str">
        <f t="shared" si="4"/>
        <v/>
      </c>
      <c r="AV11" s="82" t="str">
        <f t="shared" si="5"/>
        <v/>
      </c>
      <c r="AW11" s="82" t="str">
        <f t="shared" si="5"/>
        <v/>
      </c>
      <c r="AX11" s="82" t="str">
        <f t="shared" si="5"/>
        <v/>
      </c>
      <c r="AY11" s="3"/>
    </row>
    <row r="12" spans="1:51">
      <c r="A12" s="41">
        <v>975080</v>
      </c>
      <c r="B12" s="1">
        <v>23</v>
      </c>
      <c r="C12" s="29" t="str">
        <f t="shared" si="3"/>
        <v>975080-23</v>
      </c>
      <c r="D12" s="28" t="s">
        <v>80</v>
      </c>
      <c r="E12" s="37" t="s">
        <v>86</v>
      </c>
      <c r="F12" s="31">
        <v>42458</v>
      </c>
      <c r="G12" s="38"/>
      <c r="H12" s="31">
        <v>42468</v>
      </c>
      <c r="I12" s="38">
        <v>199</v>
      </c>
      <c r="J12" s="38"/>
      <c r="K12" s="40"/>
      <c r="L12" s="87">
        <v>199</v>
      </c>
      <c r="M12" s="93">
        <v>169</v>
      </c>
      <c r="N12" s="93">
        <v>159</v>
      </c>
      <c r="O12" s="93">
        <v>128</v>
      </c>
      <c r="P12" s="93">
        <v>108</v>
      </c>
      <c r="Q12" s="93">
        <v>83</v>
      </c>
      <c r="R12" s="93">
        <v>73</v>
      </c>
      <c r="S12" s="93">
        <v>56</v>
      </c>
      <c r="T12" s="93">
        <v>48</v>
      </c>
      <c r="U12" s="93">
        <v>39</v>
      </c>
      <c r="V12" s="93">
        <v>36</v>
      </c>
      <c r="W12" s="93">
        <v>26</v>
      </c>
      <c r="X12" s="93"/>
      <c r="Y12" s="93"/>
      <c r="Z12" s="93"/>
      <c r="AA12" s="93"/>
      <c r="AB12" s="93"/>
      <c r="AC12" s="93"/>
      <c r="AD12" s="93"/>
      <c r="AE12" s="2"/>
      <c r="AF12" s="82">
        <f t="shared" si="4"/>
        <v>1</v>
      </c>
      <c r="AG12" s="82">
        <f t="shared" si="4"/>
        <v>0.84924623115577891</v>
      </c>
      <c r="AH12" s="82">
        <f t="shared" si="4"/>
        <v>0.79899497487437188</v>
      </c>
      <c r="AI12" s="82">
        <f t="shared" si="4"/>
        <v>0.64321608040201006</v>
      </c>
      <c r="AJ12" s="82">
        <f t="shared" si="4"/>
        <v>0.542713567839196</v>
      </c>
      <c r="AK12" s="82">
        <f t="shared" si="4"/>
        <v>0.41708542713567837</v>
      </c>
      <c r="AL12" s="82">
        <f t="shared" si="4"/>
        <v>0.36683417085427134</v>
      </c>
      <c r="AM12" s="82">
        <f t="shared" si="4"/>
        <v>0.28140703517587939</v>
      </c>
      <c r="AN12" s="82">
        <f t="shared" si="4"/>
        <v>0.24120603015075376</v>
      </c>
      <c r="AO12" s="82">
        <f t="shared" si="4"/>
        <v>0.19597989949748743</v>
      </c>
      <c r="AP12" s="82">
        <f t="shared" si="4"/>
        <v>0.18090452261306533</v>
      </c>
      <c r="AQ12" s="82">
        <f t="shared" si="4"/>
        <v>0.1306532663316583</v>
      </c>
      <c r="AR12" s="82" t="str">
        <f t="shared" si="4"/>
        <v/>
      </c>
      <c r="AS12" s="82" t="str">
        <f t="shared" si="4"/>
        <v/>
      </c>
      <c r="AT12" s="82" t="str">
        <f t="shared" si="4"/>
        <v/>
      </c>
      <c r="AU12" s="82" t="str">
        <f t="shared" si="4"/>
        <v/>
      </c>
      <c r="AV12" s="82" t="str">
        <f t="shared" si="5"/>
        <v/>
      </c>
      <c r="AW12" s="82" t="str">
        <f t="shared" si="5"/>
        <v/>
      </c>
      <c r="AX12" s="82" t="str">
        <f t="shared" si="5"/>
        <v/>
      </c>
      <c r="AY12" s="3"/>
    </row>
    <row r="13" spans="1:51">
      <c r="A13" s="41">
        <v>975080</v>
      </c>
      <c r="B13" s="1">
        <v>24</v>
      </c>
      <c r="C13" s="29" t="str">
        <f t="shared" si="3"/>
        <v>975080-24</v>
      </c>
      <c r="D13" s="28" t="s">
        <v>80</v>
      </c>
      <c r="E13" s="37" t="s">
        <v>87</v>
      </c>
      <c r="F13" s="31">
        <v>42458</v>
      </c>
      <c r="G13" s="38"/>
      <c r="H13" s="31">
        <v>42468</v>
      </c>
      <c r="I13" s="38">
        <v>178</v>
      </c>
      <c r="J13" s="38"/>
      <c r="K13" s="40"/>
      <c r="L13" s="87">
        <v>178</v>
      </c>
      <c r="M13" s="93">
        <v>154</v>
      </c>
      <c r="N13" s="93">
        <v>142</v>
      </c>
      <c r="O13" s="93">
        <v>118</v>
      </c>
      <c r="P13" s="93">
        <v>96</v>
      </c>
      <c r="Q13" s="93">
        <v>75</v>
      </c>
      <c r="R13" s="93">
        <v>65</v>
      </c>
      <c r="S13" s="93">
        <v>51</v>
      </c>
      <c r="T13" s="93">
        <v>43</v>
      </c>
      <c r="U13" s="93">
        <v>29</v>
      </c>
      <c r="V13" s="93">
        <v>26</v>
      </c>
      <c r="W13" s="93">
        <v>21</v>
      </c>
      <c r="X13" s="93"/>
      <c r="Y13" s="93"/>
      <c r="Z13" s="93"/>
      <c r="AA13" s="93"/>
      <c r="AB13" s="93"/>
      <c r="AC13" s="93"/>
      <c r="AD13" s="93"/>
      <c r="AE13" s="2"/>
      <c r="AF13" s="82">
        <f t="shared" si="4"/>
        <v>1</v>
      </c>
      <c r="AG13" s="82">
        <f t="shared" si="4"/>
        <v>0.8651685393258427</v>
      </c>
      <c r="AH13" s="82">
        <f t="shared" si="4"/>
        <v>0.797752808988764</v>
      </c>
      <c r="AI13" s="82">
        <f t="shared" si="4"/>
        <v>0.6629213483146067</v>
      </c>
      <c r="AJ13" s="82">
        <f t="shared" si="4"/>
        <v>0.5393258426966292</v>
      </c>
      <c r="AK13" s="82">
        <f t="shared" si="4"/>
        <v>0.42134831460674155</v>
      </c>
      <c r="AL13" s="82">
        <f t="shared" si="4"/>
        <v>0.3651685393258427</v>
      </c>
      <c r="AM13" s="82">
        <f t="shared" si="4"/>
        <v>0.28651685393258425</v>
      </c>
      <c r="AN13" s="82">
        <f t="shared" si="4"/>
        <v>0.24157303370786518</v>
      </c>
      <c r="AO13" s="82">
        <f t="shared" si="4"/>
        <v>0.16292134831460675</v>
      </c>
      <c r="AP13" s="82">
        <f t="shared" si="4"/>
        <v>0.14606741573033707</v>
      </c>
      <c r="AQ13" s="82">
        <f t="shared" si="4"/>
        <v>0.11797752808988764</v>
      </c>
      <c r="AR13" s="82" t="str">
        <f t="shared" si="4"/>
        <v/>
      </c>
      <c r="AS13" s="82" t="str">
        <f t="shared" si="4"/>
        <v/>
      </c>
      <c r="AT13" s="82" t="str">
        <f t="shared" si="4"/>
        <v/>
      </c>
      <c r="AU13" s="82" t="str">
        <f t="shared" si="4"/>
        <v/>
      </c>
      <c r="AV13" s="82" t="str">
        <f t="shared" si="5"/>
        <v/>
      </c>
      <c r="AW13" s="82" t="str">
        <f t="shared" si="5"/>
        <v/>
      </c>
      <c r="AX13" s="82" t="str">
        <f t="shared" si="5"/>
        <v/>
      </c>
      <c r="AY13" s="3"/>
    </row>
    <row r="14" spans="1:51">
      <c r="A14" s="41">
        <v>975080</v>
      </c>
      <c r="B14" s="1">
        <v>25</v>
      </c>
      <c r="C14" s="29" t="str">
        <f t="shared" si="3"/>
        <v>975080-25</v>
      </c>
      <c r="D14" s="28" t="s">
        <v>80</v>
      </c>
      <c r="E14" s="37" t="s">
        <v>88</v>
      </c>
      <c r="F14" s="31">
        <v>42458</v>
      </c>
      <c r="G14" s="38"/>
      <c r="H14" s="31">
        <v>42468</v>
      </c>
      <c r="I14" s="38"/>
      <c r="J14" s="38"/>
      <c r="K14" s="40"/>
      <c r="L14" s="87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2"/>
      <c r="AF14" s="82" t="str">
        <f t="shared" si="4"/>
        <v/>
      </c>
      <c r="AG14" s="82" t="str">
        <f t="shared" si="4"/>
        <v/>
      </c>
      <c r="AH14" s="82" t="str">
        <f t="shared" si="4"/>
        <v/>
      </c>
      <c r="AI14" s="82" t="str">
        <f t="shared" si="4"/>
        <v/>
      </c>
      <c r="AJ14" s="82" t="str">
        <f t="shared" si="4"/>
        <v/>
      </c>
      <c r="AK14" s="82" t="str">
        <f t="shared" si="4"/>
        <v/>
      </c>
      <c r="AL14" s="82" t="str">
        <f t="shared" si="4"/>
        <v/>
      </c>
      <c r="AM14" s="82" t="str">
        <f t="shared" si="4"/>
        <v/>
      </c>
      <c r="AN14" s="82" t="str">
        <f t="shared" si="4"/>
        <v/>
      </c>
      <c r="AO14" s="82" t="str">
        <f t="shared" si="4"/>
        <v/>
      </c>
      <c r="AP14" s="82" t="str">
        <f t="shared" si="4"/>
        <v/>
      </c>
      <c r="AQ14" s="82" t="str">
        <f t="shared" si="4"/>
        <v/>
      </c>
      <c r="AR14" s="82" t="str">
        <f t="shared" si="4"/>
        <v/>
      </c>
      <c r="AS14" s="82" t="str">
        <f t="shared" si="4"/>
        <v/>
      </c>
      <c r="AT14" s="82" t="str">
        <f t="shared" si="4"/>
        <v/>
      </c>
      <c r="AU14" s="82" t="str">
        <f t="shared" si="4"/>
        <v/>
      </c>
      <c r="AV14" s="82" t="str">
        <f t="shared" si="5"/>
        <v/>
      </c>
      <c r="AW14" s="82" t="str">
        <f t="shared" si="5"/>
        <v/>
      </c>
      <c r="AX14" s="82" t="str">
        <f t="shared" si="5"/>
        <v/>
      </c>
      <c r="AY14" s="3"/>
    </row>
    <row r="15" spans="1:51">
      <c r="A15" s="41">
        <v>961180</v>
      </c>
      <c r="B15" s="1">
        <v>31</v>
      </c>
      <c r="C15" s="29" t="str">
        <f t="shared" si="3"/>
        <v>961180-31</v>
      </c>
      <c r="D15" s="28" t="s">
        <v>80</v>
      </c>
      <c r="E15" s="37" t="s">
        <v>83</v>
      </c>
      <c r="F15" s="31">
        <v>42458</v>
      </c>
      <c r="G15" s="38"/>
      <c r="H15" s="31">
        <v>42468</v>
      </c>
      <c r="I15" s="38"/>
      <c r="J15" s="38"/>
      <c r="K15" s="40"/>
      <c r="L15" s="87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2"/>
      <c r="AF15" s="82" t="str">
        <f t="shared" si="4"/>
        <v/>
      </c>
      <c r="AG15" s="82" t="str">
        <f t="shared" si="4"/>
        <v/>
      </c>
      <c r="AH15" s="82" t="str">
        <f t="shared" si="4"/>
        <v/>
      </c>
      <c r="AI15" s="82" t="str">
        <f t="shared" si="4"/>
        <v/>
      </c>
      <c r="AJ15" s="82" t="str">
        <f t="shared" si="4"/>
        <v/>
      </c>
      <c r="AK15" s="82" t="str">
        <f t="shared" si="4"/>
        <v/>
      </c>
      <c r="AL15" s="82" t="str">
        <f t="shared" si="4"/>
        <v/>
      </c>
      <c r="AM15" s="82" t="str">
        <f t="shared" si="4"/>
        <v/>
      </c>
      <c r="AN15" s="82" t="str">
        <f t="shared" si="4"/>
        <v/>
      </c>
      <c r="AO15" s="82" t="str">
        <f t="shared" si="4"/>
        <v/>
      </c>
      <c r="AP15" s="82" t="str">
        <f t="shared" si="4"/>
        <v/>
      </c>
      <c r="AQ15" s="82" t="str">
        <f t="shared" si="4"/>
        <v/>
      </c>
      <c r="AR15" s="82" t="str">
        <f t="shared" si="4"/>
        <v/>
      </c>
      <c r="AS15" s="82" t="str">
        <f t="shared" si="4"/>
        <v/>
      </c>
      <c r="AT15" s="82" t="str">
        <f t="shared" si="4"/>
        <v/>
      </c>
      <c r="AU15" s="82" t="str">
        <f t="shared" si="4"/>
        <v/>
      </c>
      <c r="AV15" s="82" t="str">
        <f t="shared" si="5"/>
        <v/>
      </c>
      <c r="AW15" s="82" t="str">
        <f t="shared" si="5"/>
        <v/>
      </c>
      <c r="AX15" s="82" t="str">
        <f t="shared" si="5"/>
        <v/>
      </c>
      <c r="AY15" s="3"/>
    </row>
    <row r="16" spans="1:51">
      <c r="A16" s="41">
        <v>961180</v>
      </c>
      <c r="B16" s="1">
        <v>32</v>
      </c>
      <c r="C16" s="29" t="str">
        <f t="shared" si="3"/>
        <v>961180-32</v>
      </c>
      <c r="D16" s="28" t="s">
        <v>80</v>
      </c>
      <c r="E16" s="37" t="s">
        <v>34</v>
      </c>
      <c r="F16" s="31">
        <v>42458</v>
      </c>
      <c r="G16" s="38"/>
      <c r="H16" s="31">
        <v>42468</v>
      </c>
      <c r="I16" s="38"/>
      <c r="J16" s="38"/>
      <c r="K16" s="40"/>
      <c r="L16" s="87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2"/>
      <c r="AF16" s="82" t="str">
        <f t="shared" si="4"/>
        <v/>
      </c>
      <c r="AG16" s="82" t="str">
        <f t="shared" si="4"/>
        <v/>
      </c>
      <c r="AH16" s="82" t="str">
        <f t="shared" si="4"/>
        <v/>
      </c>
      <c r="AI16" s="82" t="str">
        <f t="shared" si="4"/>
        <v/>
      </c>
      <c r="AJ16" s="82" t="str">
        <f t="shared" si="4"/>
        <v/>
      </c>
      <c r="AK16" s="82" t="str">
        <f t="shared" si="4"/>
        <v/>
      </c>
      <c r="AL16" s="82" t="str">
        <f t="shared" si="4"/>
        <v/>
      </c>
      <c r="AM16" s="82" t="str">
        <f t="shared" si="4"/>
        <v/>
      </c>
      <c r="AN16" s="82" t="str">
        <f t="shared" si="4"/>
        <v/>
      </c>
      <c r="AO16" s="82" t="str">
        <f t="shared" si="4"/>
        <v/>
      </c>
      <c r="AP16" s="82" t="str">
        <f t="shared" si="4"/>
        <v/>
      </c>
      <c r="AQ16" s="82" t="str">
        <f t="shared" si="4"/>
        <v/>
      </c>
      <c r="AR16" s="82" t="str">
        <f t="shared" si="4"/>
        <v/>
      </c>
      <c r="AS16" s="82" t="str">
        <f t="shared" si="4"/>
        <v/>
      </c>
      <c r="AT16" s="82" t="str">
        <f t="shared" si="4"/>
        <v/>
      </c>
      <c r="AU16" s="82" t="str">
        <f t="shared" si="4"/>
        <v/>
      </c>
      <c r="AV16" s="82" t="str">
        <f t="shared" si="5"/>
        <v/>
      </c>
      <c r="AW16" s="82" t="str">
        <f t="shared" si="5"/>
        <v/>
      </c>
      <c r="AX16" s="82" t="str">
        <f t="shared" si="5"/>
        <v/>
      </c>
      <c r="AY16" s="3"/>
    </row>
    <row r="17" spans="1:51">
      <c r="A17" s="41">
        <v>961180</v>
      </c>
      <c r="B17" s="1">
        <v>33</v>
      </c>
      <c r="C17" s="29" t="str">
        <f t="shared" si="3"/>
        <v>961180-33</v>
      </c>
      <c r="D17" s="28" t="s">
        <v>80</v>
      </c>
      <c r="E17" s="37" t="s">
        <v>86</v>
      </c>
      <c r="F17" s="31">
        <v>42458</v>
      </c>
      <c r="G17" s="38"/>
      <c r="H17" s="31">
        <v>42468</v>
      </c>
      <c r="I17" s="38">
        <v>358</v>
      </c>
      <c r="J17" s="38"/>
      <c r="K17" s="40"/>
      <c r="L17" s="87">
        <v>358</v>
      </c>
      <c r="M17" s="93">
        <v>319</v>
      </c>
      <c r="N17" s="93">
        <v>287</v>
      </c>
      <c r="O17" s="93">
        <v>233</v>
      </c>
      <c r="P17" s="93">
        <v>192</v>
      </c>
      <c r="Q17" s="93">
        <v>162</v>
      </c>
      <c r="R17" s="93">
        <v>138</v>
      </c>
      <c r="S17" s="93">
        <v>110</v>
      </c>
      <c r="T17" s="93">
        <v>96</v>
      </c>
      <c r="U17" s="93">
        <v>67</v>
      </c>
      <c r="V17" s="93">
        <v>59</v>
      </c>
      <c r="W17" s="93">
        <v>48</v>
      </c>
      <c r="X17" s="93"/>
      <c r="Y17" s="93"/>
      <c r="Z17" s="93"/>
      <c r="AA17" s="93"/>
      <c r="AB17" s="93"/>
      <c r="AC17" s="93"/>
      <c r="AD17" s="93"/>
      <c r="AE17" s="2"/>
      <c r="AF17" s="82">
        <f t="shared" si="4"/>
        <v>1</v>
      </c>
      <c r="AG17" s="82">
        <f t="shared" si="4"/>
        <v>0.89106145251396651</v>
      </c>
      <c r="AH17" s="82">
        <f t="shared" si="4"/>
        <v>0.8016759776536313</v>
      </c>
      <c r="AI17" s="82">
        <f t="shared" si="4"/>
        <v>0.65083798882681565</v>
      </c>
      <c r="AJ17" s="82">
        <f t="shared" si="4"/>
        <v>0.53631284916201116</v>
      </c>
      <c r="AK17" s="82">
        <f t="shared" si="4"/>
        <v>0.45251396648044695</v>
      </c>
      <c r="AL17" s="82">
        <f t="shared" si="4"/>
        <v>0.38547486033519551</v>
      </c>
      <c r="AM17" s="82">
        <f t="shared" si="4"/>
        <v>0.30726256983240224</v>
      </c>
      <c r="AN17" s="82">
        <f t="shared" si="4"/>
        <v>0.26815642458100558</v>
      </c>
      <c r="AO17" s="82">
        <f t="shared" si="4"/>
        <v>0.18715083798882681</v>
      </c>
      <c r="AP17" s="82">
        <f t="shared" si="4"/>
        <v>0.16480446927374301</v>
      </c>
      <c r="AQ17" s="82">
        <f t="shared" si="4"/>
        <v>0.13407821229050279</v>
      </c>
      <c r="AR17" s="82" t="str">
        <f t="shared" si="4"/>
        <v/>
      </c>
      <c r="AS17" s="82" t="str">
        <f t="shared" si="4"/>
        <v/>
      </c>
      <c r="AT17" s="82" t="str">
        <f t="shared" si="4"/>
        <v/>
      </c>
      <c r="AU17" s="82" t="str">
        <f t="shared" si="4"/>
        <v/>
      </c>
      <c r="AV17" s="82" t="str">
        <f t="shared" si="5"/>
        <v/>
      </c>
      <c r="AW17" s="82" t="str">
        <f t="shared" si="5"/>
        <v/>
      </c>
      <c r="AX17" s="82" t="str">
        <f t="shared" si="5"/>
        <v/>
      </c>
      <c r="AY17" s="3"/>
    </row>
    <row r="18" spans="1:51">
      <c r="A18" s="41">
        <v>961180</v>
      </c>
      <c r="B18" s="1">
        <v>34</v>
      </c>
      <c r="C18" s="29" t="str">
        <f t="shared" si="3"/>
        <v>961180-34</v>
      </c>
      <c r="D18" s="28" t="s">
        <v>80</v>
      </c>
      <c r="E18" s="37" t="s">
        <v>84</v>
      </c>
      <c r="F18" s="31">
        <v>42458</v>
      </c>
      <c r="G18" s="38"/>
      <c r="H18" s="31">
        <v>42468</v>
      </c>
      <c r="I18" s="38"/>
      <c r="J18" s="38"/>
      <c r="K18" s="40"/>
      <c r="L18" s="87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2"/>
      <c r="AF18" s="82" t="str">
        <f t="shared" si="4"/>
        <v/>
      </c>
      <c r="AG18" s="82" t="str">
        <f t="shared" si="4"/>
        <v/>
      </c>
      <c r="AH18" s="82" t="str">
        <f t="shared" si="4"/>
        <v/>
      </c>
      <c r="AI18" s="82" t="str">
        <f t="shared" si="4"/>
        <v/>
      </c>
      <c r="AJ18" s="82" t="str">
        <f t="shared" si="4"/>
        <v/>
      </c>
      <c r="AK18" s="82" t="str">
        <f t="shared" si="4"/>
        <v/>
      </c>
      <c r="AL18" s="82" t="str">
        <f t="shared" si="4"/>
        <v/>
      </c>
      <c r="AM18" s="82" t="str">
        <f t="shared" si="4"/>
        <v/>
      </c>
      <c r="AN18" s="82" t="str">
        <f t="shared" si="4"/>
        <v/>
      </c>
      <c r="AO18" s="82" t="str">
        <f t="shared" si="4"/>
        <v/>
      </c>
      <c r="AP18" s="82" t="str">
        <f t="shared" si="4"/>
        <v/>
      </c>
      <c r="AQ18" s="82" t="str">
        <f t="shared" si="4"/>
        <v/>
      </c>
      <c r="AR18" s="82" t="str">
        <f t="shared" si="4"/>
        <v/>
      </c>
      <c r="AS18" s="82" t="str">
        <f t="shared" si="4"/>
        <v/>
      </c>
      <c r="AT18" s="82" t="str">
        <f t="shared" si="4"/>
        <v/>
      </c>
      <c r="AU18" s="82" t="str">
        <f t="shared" si="4"/>
        <v/>
      </c>
      <c r="AV18" s="82" t="str">
        <f t="shared" si="5"/>
        <v/>
      </c>
      <c r="AW18" s="82" t="str">
        <f t="shared" si="5"/>
        <v/>
      </c>
      <c r="AX18" s="82" t="str">
        <f t="shared" si="5"/>
        <v/>
      </c>
      <c r="AY18" s="3"/>
    </row>
    <row r="19" spans="1:51">
      <c r="A19" s="41">
        <v>961180</v>
      </c>
      <c r="B19" s="1">
        <v>35</v>
      </c>
      <c r="C19" s="29" t="str">
        <f t="shared" si="3"/>
        <v>961180-35</v>
      </c>
      <c r="D19" s="28" t="s">
        <v>80</v>
      </c>
      <c r="E19" s="37" t="s">
        <v>85</v>
      </c>
      <c r="F19" s="31">
        <v>42458</v>
      </c>
      <c r="G19" s="38"/>
      <c r="H19" s="31">
        <v>42468</v>
      </c>
      <c r="I19" s="38"/>
      <c r="J19" s="38"/>
      <c r="K19" s="40"/>
      <c r="L19" s="87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2"/>
      <c r="AF19" s="82" t="str">
        <f t="shared" si="4"/>
        <v/>
      </c>
      <c r="AG19" s="82" t="str">
        <f t="shared" si="4"/>
        <v/>
      </c>
      <c r="AH19" s="82" t="str">
        <f t="shared" si="4"/>
        <v/>
      </c>
      <c r="AI19" s="82" t="str">
        <f t="shared" si="4"/>
        <v/>
      </c>
      <c r="AJ19" s="82" t="str">
        <f t="shared" si="4"/>
        <v/>
      </c>
      <c r="AK19" s="82" t="str">
        <f t="shared" si="4"/>
        <v/>
      </c>
      <c r="AL19" s="82" t="str">
        <f t="shared" si="4"/>
        <v/>
      </c>
      <c r="AM19" s="82" t="str">
        <f t="shared" si="4"/>
        <v/>
      </c>
      <c r="AN19" s="82" t="str">
        <f t="shared" si="4"/>
        <v/>
      </c>
      <c r="AO19" s="82" t="str">
        <f t="shared" si="4"/>
        <v/>
      </c>
      <c r="AP19" s="82" t="str">
        <f t="shared" si="4"/>
        <v/>
      </c>
      <c r="AQ19" s="82" t="str">
        <f t="shared" si="4"/>
        <v/>
      </c>
      <c r="AR19" s="82" t="str">
        <f t="shared" si="4"/>
        <v/>
      </c>
      <c r="AS19" s="82" t="str">
        <f t="shared" si="4"/>
        <v/>
      </c>
      <c r="AT19" s="82" t="str">
        <f t="shared" si="4"/>
        <v/>
      </c>
      <c r="AU19" s="82" t="str">
        <f t="shared" si="4"/>
        <v/>
      </c>
      <c r="AV19" s="82" t="str">
        <f t="shared" si="5"/>
        <v/>
      </c>
      <c r="AW19" s="82" t="str">
        <f t="shared" si="5"/>
        <v/>
      </c>
      <c r="AX19" s="82" t="str">
        <f t="shared" si="5"/>
        <v/>
      </c>
      <c r="AY19" s="3"/>
    </row>
    <row r="20" spans="1:51">
      <c r="A20" s="41">
        <v>961177</v>
      </c>
      <c r="B20" s="1">
        <v>41</v>
      </c>
      <c r="C20" s="29" t="str">
        <f t="shared" si="3"/>
        <v>961177-41</v>
      </c>
      <c r="D20" s="28" t="s">
        <v>80</v>
      </c>
      <c r="E20" s="37" t="s">
        <v>87</v>
      </c>
      <c r="F20" s="31">
        <v>42458</v>
      </c>
      <c r="G20" s="38"/>
      <c r="H20" s="31">
        <v>42468</v>
      </c>
      <c r="I20" s="38">
        <v>498</v>
      </c>
      <c r="J20" s="38"/>
      <c r="K20" s="40"/>
      <c r="L20" s="87">
        <v>498</v>
      </c>
      <c r="M20" s="93">
        <v>441</v>
      </c>
      <c r="N20" s="93">
        <v>405</v>
      </c>
      <c r="O20" s="93">
        <v>319</v>
      </c>
      <c r="P20" s="93">
        <v>264</v>
      </c>
      <c r="Q20" s="93">
        <v>213</v>
      </c>
      <c r="R20" s="93">
        <v>177</v>
      </c>
      <c r="S20" s="93">
        <v>141</v>
      </c>
      <c r="T20" s="93">
        <v>124</v>
      </c>
      <c r="U20" s="93">
        <v>90</v>
      </c>
      <c r="V20" s="93">
        <v>78</v>
      </c>
      <c r="W20" s="93">
        <v>63</v>
      </c>
      <c r="X20" s="93"/>
      <c r="Y20" s="93"/>
      <c r="Z20" s="93"/>
      <c r="AA20" s="93"/>
      <c r="AB20" s="93"/>
      <c r="AC20" s="93"/>
      <c r="AD20" s="93"/>
      <c r="AE20" s="2"/>
      <c r="AF20" s="82">
        <f t="shared" si="4"/>
        <v>1</v>
      </c>
      <c r="AG20" s="82">
        <f t="shared" si="4"/>
        <v>0.88554216867469882</v>
      </c>
      <c r="AH20" s="82">
        <f t="shared" si="4"/>
        <v>0.81325301204819278</v>
      </c>
      <c r="AI20" s="82">
        <f t="shared" si="4"/>
        <v>0.64056224899598391</v>
      </c>
      <c r="AJ20" s="82">
        <f t="shared" si="4"/>
        <v>0.53012048192771088</v>
      </c>
      <c r="AK20" s="82">
        <f t="shared" si="4"/>
        <v>0.42771084337349397</v>
      </c>
      <c r="AL20" s="82">
        <f t="shared" si="4"/>
        <v>0.35542168674698793</v>
      </c>
      <c r="AM20" s="82">
        <f t="shared" si="4"/>
        <v>0.28313253012048195</v>
      </c>
      <c r="AN20" s="82">
        <f t="shared" si="4"/>
        <v>0.24899598393574296</v>
      </c>
      <c r="AO20" s="82">
        <f t="shared" si="4"/>
        <v>0.18072289156626506</v>
      </c>
      <c r="AP20" s="82">
        <f t="shared" si="4"/>
        <v>0.15662650602409639</v>
      </c>
      <c r="AQ20" s="82">
        <f t="shared" si="4"/>
        <v>0.12650602409638553</v>
      </c>
      <c r="AR20" s="82" t="str">
        <f t="shared" si="4"/>
        <v/>
      </c>
      <c r="AS20" s="82" t="str">
        <f t="shared" si="4"/>
        <v/>
      </c>
      <c r="AT20" s="82" t="str">
        <f t="shared" si="4"/>
        <v/>
      </c>
      <c r="AU20" s="82" t="str">
        <f t="shared" ref="AU20:AX51" si="6">IF(OR(ISERROR(AA20/$I20)=TRUE,ISBLANK(AA20)=TRUE),"",AA20/$I20)</f>
        <v/>
      </c>
      <c r="AV20" s="82" t="str">
        <f t="shared" si="5"/>
        <v/>
      </c>
      <c r="AW20" s="82" t="str">
        <f t="shared" si="5"/>
        <v/>
      </c>
      <c r="AX20" s="82" t="str">
        <f t="shared" si="5"/>
        <v/>
      </c>
      <c r="AY20" s="3"/>
    </row>
    <row r="21" spans="1:51">
      <c r="A21" s="41">
        <v>961177</v>
      </c>
      <c r="B21" s="1">
        <v>42</v>
      </c>
      <c r="C21" s="29" t="str">
        <f t="shared" si="3"/>
        <v>961177-42</v>
      </c>
      <c r="D21" s="28" t="s">
        <v>80</v>
      </c>
      <c r="E21" s="37" t="s">
        <v>89</v>
      </c>
      <c r="F21" s="31">
        <v>42458</v>
      </c>
      <c r="G21" s="38"/>
      <c r="H21" s="31">
        <v>42468</v>
      </c>
      <c r="I21" s="38">
        <v>228</v>
      </c>
      <c r="J21" s="38"/>
      <c r="K21" s="40"/>
      <c r="L21" s="87">
        <v>228</v>
      </c>
      <c r="M21" s="93">
        <v>199</v>
      </c>
      <c r="N21" s="93">
        <v>164</v>
      </c>
      <c r="O21" s="93">
        <v>134</v>
      </c>
      <c r="P21" s="93">
        <v>113</v>
      </c>
      <c r="Q21" s="93">
        <v>88</v>
      </c>
      <c r="R21" s="93">
        <v>78</v>
      </c>
      <c r="S21" s="93">
        <v>58</v>
      </c>
      <c r="T21" s="93">
        <v>51</v>
      </c>
      <c r="U21" s="93">
        <v>38</v>
      </c>
      <c r="V21" s="93">
        <v>33</v>
      </c>
      <c r="W21" s="93">
        <v>27</v>
      </c>
      <c r="X21" s="93"/>
      <c r="Y21" s="93"/>
      <c r="Z21" s="93"/>
      <c r="AA21" s="93"/>
      <c r="AB21" s="93"/>
      <c r="AC21" s="93"/>
      <c r="AD21" s="93"/>
      <c r="AE21" s="2"/>
      <c r="AF21" s="82">
        <f t="shared" ref="AF21:AT38" si="7">IF(OR(ISERROR(L21/$I21)=TRUE,ISBLANK(L21)=TRUE),"",L21/$I21)</f>
        <v>1</v>
      </c>
      <c r="AG21" s="82">
        <f t="shared" si="7"/>
        <v>0.8728070175438597</v>
      </c>
      <c r="AH21" s="82">
        <f t="shared" si="7"/>
        <v>0.7192982456140351</v>
      </c>
      <c r="AI21" s="82">
        <f t="shared" si="7"/>
        <v>0.58771929824561409</v>
      </c>
      <c r="AJ21" s="82">
        <f t="shared" si="7"/>
        <v>0.49561403508771928</v>
      </c>
      <c r="AK21" s="82">
        <f t="shared" si="7"/>
        <v>0.38596491228070173</v>
      </c>
      <c r="AL21" s="82">
        <f t="shared" si="7"/>
        <v>0.34210526315789475</v>
      </c>
      <c r="AM21" s="82">
        <f t="shared" si="7"/>
        <v>0.25438596491228072</v>
      </c>
      <c r="AN21" s="82">
        <f t="shared" si="7"/>
        <v>0.22368421052631579</v>
      </c>
      <c r="AO21" s="82">
        <f t="shared" si="7"/>
        <v>0.16666666666666666</v>
      </c>
      <c r="AP21" s="82">
        <f t="shared" si="7"/>
        <v>0.14473684210526316</v>
      </c>
      <c r="AQ21" s="82">
        <f t="shared" si="7"/>
        <v>0.11842105263157894</v>
      </c>
      <c r="AR21" s="82" t="str">
        <f t="shared" si="7"/>
        <v/>
      </c>
      <c r="AS21" s="82" t="str">
        <f t="shared" si="7"/>
        <v/>
      </c>
      <c r="AT21" s="82" t="str">
        <f t="shared" si="7"/>
        <v/>
      </c>
      <c r="AU21" s="82" t="str">
        <f t="shared" si="6"/>
        <v/>
      </c>
      <c r="AV21" s="82" t="str">
        <f t="shared" si="5"/>
        <v/>
      </c>
      <c r="AW21" s="82" t="str">
        <f t="shared" si="5"/>
        <v/>
      </c>
      <c r="AX21" s="82" t="str">
        <f t="shared" si="5"/>
        <v/>
      </c>
      <c r="AY21" s="3"/>
    </row>
    <row r="22" spans="1:51">
      <c r="A22" s="41">
        <v>961177</v>
      </c>
      <c r="B22" s="1">
        <v>43</v>
      </c>
      <c r="C22" s="29" t="str">
        <f t="shared" si="3"/>
        <v>961177-43</v>
      </c>
      <c r="D22" s="28" t="s">
        <v>80</v>
      </c>
      <c r="E22" s="37" t="s">
        <v>89</v>
      </c>
      <c r="F22" s="31">
        <v>42458</v>
      </c>
      <c r="G22" s="38"/>
      <c r="H22" s="31">
        <v>42468</v>
      </c>
      <c r="I22" s="38">
        <v>397</v>
      </c>
      <c r="J22" s="38"/>
      <c r="K22" s="40"/>
      <c r="L22" s="87">
        <v>397</v>
      </c>
      <c r="M22" s="93">
        <v>329</v>
      </c>
      <c r="N22" s="93">
        <v>298</v>
      </c>
      <c r="O22" s="93">
        <v>243</v>
      </c>
      <c r="P22" s="93">
        <v>202</v>
      </c>
      <c r="Q22" s="93">
        <v>164</v>
      </c>
      <c r="R22" s="93">
        <v>137</v>
      </c>
      <c r="S22" s="93">
        <v>112</v>
      </c>
      <c r="T22" s="93">
        <v>100</v>
      </c>
      <c r="U22" s="93">
        <v>72</v>
      </c>
      <c r="V22" s="93">
        <v>63</v>
      </c>
      <c r="W22" s="93">
        <v>49</v>
      </c>
      <c r="X22" s="93"/>
      <c r="Y22" s="93"/>
      <c r="Z22" s="93"/>
      <c r="AA22" s="93"/>
      <c r="AB22" s="93"/>
      <c r="AC22" s="93"/>
      <c r="AD22" s="93"/>
      <c r="AE22" s="2"/>
      <c r="AF22" s="82">
        <f t="shared" si="7"/>
        <v>1</v>
      </c>
      <c r="AG22" s="82">
        <f t="shared" si="7"/>
        <v>0.82871536523929468</v>
      </c>
      <c r="AH22" s="82">
        <f t="shared" si="7"/>
        <v>0.75062972292191432</v>
      </c>
      <c r="AI22" s="82">
        <f t="shared" si="7"/>
        <v>0.61209068010075562</v>
      </c>
      <c r="AJ22" s="82">
        <f t="shared" si="7"/>
        <v>0.50881612090680106</v>
      </c>
      <c r="AK22" s="82">
        <f t="shared" si="7"/>
        <v>0.41309823677581864</v>
      </c>
      <c r="AL22" s="82">
        <f t="shared" si="7"/>
        <v>0.34508816120906799</v>
      </c>
      <c r="AM22" s="82">
        <f t="shared" si="7"/>
        <v>0.28211586901763225</v>
      </c>
      <c r="AN22" s="82">
        <f t="shared" si="7"/>
        <v>0.25188916876574308</v>
      </c>
      <c r="AO22" s="82">
        <f t="shared" si="7"/>
        <v>0.181360201511335</v>
      </c>
      <c r="AP22" s="82">
        <f t="shared" si="7"/>
        <v>0.15869017632241814</v>
      </c>
      <c r="AQ22" s="82">
        <f t="shared" si="7"/>
        <v>0.12342569269521411</v>
      </c>
      <c r="AR22" s="82" t="str">
        <f t="shared" si="7"/>
        <v/>
      </c>
      <c r="AS22" s="82" t="str">
        <f t="shared" si="7"/>
        <v/>
      </c>
      <c r="AT22" s="82" t="str">
        <f t="shared" si="7"/>
        <v/>
      </c>
      <c r="AU22" s="82" t="str">
        <f t="shared" si="6"/>
        <v/>
      </c>
      <c r="AV22" s="82" t="str">
        <f t="shared" si="5"/>
        <v/>
      </c>
      <c r="AW22" s="82" t="str">
        <f t="shared" si="5"/>
        <v/>
      </c>
      <c r="AX22" s="82" t="str">
        <f t="shared" si="5"/>
        <v/>
      </c>
      <c r="AY22" s="3"/>
    </row>
    <row r="23" spans="1:51">
      <c r="A23" s="41">
        <v>961177</v>
      </c>
      <c r="B23" s="1">
        <v>44</v>
      </c>
      <c r="C23" s="29" t="str">
        <f t="shared" si="3"/>
        <v>961177-44</v>
      </c>
      <c r="D23" s="28" t="s">
        <v>80</v>
      </c>
      <c r="E23" s="37" t="s">
        <v>88</v>
      </c>
      <c r="F23" s="31">
        <v>42458</v>
      </c>
      <c r="G23" s="38"/>
      <c r="H23" s="31">
        <v>42468</v>
      </c>
      <c r="I23" s="38"/>
      <c r="J23" s="38"/>
      <c r="K23" s="40"/>
      <c r="L23" s="87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2"/>
      <c r="AF23" s="82" t="str">
        <f t="shared" si="7"/>
        <v/>
      </c>
      <c r="AG23" s="82" t="str">
        <f t="shared" si="7"/>
        <v/>
      </c>
      <c r="AH23" s="82" t="str">
        <f t="shared" si="7"/>
        <v/>
      </c>
      <c r="AI23" s="82" t="str">
        <f t="shared" si="7"/>
        <v/>
      </c>
      <c r="AJ23" s="82" t="str">
        <f t="shared" si="7"/>
        <v/>
      </c>
      <c r="AK23" s="82" t="str">
        <f t="shared" si="7"/>
        <v/>
      </c>
      <c r="AL23" s="82" t="str">
        <f t="shared" si="7"/>
        <v/>
      </c>
      <c r="AM23" s="82" t="str">
        <f t="shared" si="7"/>
        <v/>
      </c>
      <c r="AN23" s="82" t="str">
        <f t="shared" si="7"/>
        <v/>
      </c>
      <c r="AO23" s="82" t="str">
        <f t="shared" si="7"/>
        <v/>
      </c>
      <c r="AP23" s="82" t="str">
        <f t="shared" si="7"/>
        <v/>
      </c>
      <c r="AQ23" s="82" t="str">
        <f t="shared" si="7"/>
        <v/>
      </c>
      <c r="AR23" s="82" t="str">
        <f t="shared" si="7"/>
        <v/>
      </c>
      <c r="AS23" s="82" t="str">
        <f t="shared" si="7"/>
        <v/>
      </c>
      <c r="AT23" s="82" t="str">
        <f t="shared" si="7"/>
        <v/>
      </c>
      <c r="AU23" s="82" t="str">
        <f t="shared" si="6"/>
        <v/>
      </c>
      <c r="AV23" s="82" t="str">
        <f t="shared" si="5"/>
        <v/>
      </c>
      <c r="AW23" s="82" t="str">
        <f t="shared" si="5"/>
        <v/>
      </c>
      <c r="AX23" s="82" t="str">
        <f t="shared" si="5"/>
        <v/>
      </c>
      <c r="AY23" s="3"/>
    </row>
    <row r="24" spans="1:51">
      <c r="A24" s="41">
        <v>961177</v>
      </c>
      <c r="B24" s="1">
        <v>45</v>
      </c>
      <c r="C24" s="29" t="str">
        <f t="shared" si="3"/>
        <v>961177-45</v>
      </c>
      <c r="D24" s="28" t="s">
        <v>80</v>
      </c>
      <c r="E24" s="30" t="s">
        <v>88</v>
      </c>
      <c r="F24" s="31">
        <v>42458</v>
      </c>
      <c r="G24" s="38"/>
      <c r="H24" s="31">
        <v>42468</v>
      </c>
      <c r="I24" s="38"/>
      <c r="J24" s="38"/>
      <c r="K24" s="40"/>
      <c r="L24" s="87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2"/>
      <c r="AF24" s="82" t="str">
        <f t="shared" si="7"/>
        <v/>
      </c>
      <c r="AG24" s="82" t="str">
        <f t="shared" si="7"/>
        <v/>
      </c>
      <c r="AH24" s="82" t="str">
        <f t="shared" si="7"/>
        <v/>
      </c>
      <c r="AI24" s="82" t="str">
        <f t="shared" si="7"/>
        <v/>
      </c>
      <c r="AJ24" s="82" t="str">
        <f t="shared" si="7"/>
        <v/>
      </c>
      <c r="AK24" s="82" t="str">
        <f t="shared" si="7"/>
        <v/>
      </c>
      <c r="AL24" s="82" t="str">
        <f t="shared" si="7"/>
        <v/>
      </c>
      <c r="AM24" s="82" t="str">
        <f t="shared" si="7"/>
        <v/>
      </c>
      <c r="AN24" s="82" t="str">
        <f t="shared" si="7"/>
        <v/>
      </c>
      <c r="AO24" s="82" t="str">
        <f t="shared" si="7"/>
        <v/>
      </c>
      <c r="AP24" s="82" t="str">
        <f t="shared" si="7"/>
        <v/>
      </c>
      <c r="AQ24" s="82" t="str">
        <f t="shared" si="7"/>
        <v/>
      </c>
      <c r="AR24" s="82" t="str">
        <f t="shared" si="7"/>
        <v/>
      </c>
      <c r="AS24" s="82" t="str">
        <f t="shared" si="7"/>
        <v/>
      </c>
      <c r="AT24" s="82" t="str">
        <f t="shared" si="7"/>
        <v/>
      </c>
      <c r="AU24" s="82" t="str">
        <f t="shared" si="6"/>
        <v/>
      </c>
      <c r="AV24" s="82" t="str">
        <f t="shared" si="5"/>
        <v/>
      </c>
      <c r="AW24" s="82" t="str">
        <f t="shared" si="5"/>
        <v/>
      </c>
      <c r="AX24" s="82" t="str">
        <f t="shared" si="5"/>
        <v/>
      </c>
      <c r="AY24" s="3"/>
    </row>
    <row r="25" spans="1:51">
      <c r="A25" s="41">
        <v>961179</v>
      </c>
      <c r="B25" s="1">
        <v>51</v>
      </c>
      <c r="C25" s="29" t="str">
        <f t="shared" si="3"/>
        <v>961179-51</v>
      </c>
      <c r="D25" s="28" t="s">
        <v>80</v>
      </c>
      <c r="E25" s="30" t="s">
        <v>89</v>
      </c>
      <c r="F25" s="31">
        <v>42458</v>
      </c>
      <c r="G25" s="38"/>
      <c r="H25" s="31">
        <v>42468</v>
      </c>
      <c r="I25" s="38">
        <v>254</v>
      </c>
      <c r="J25" s="38"/>
      <c r="K25" s="40"/>
      <c r="L25" s="87">
        <v>254</v>
      </c>
      <c r="M25" s="93">
        <v>227</v>
      </c>
      <c r="N25" s="93">
        <v>197</v>
      </c>
      <c r="O25" s="93">
        <v>161</v>
      </c>
      <c r="P25" s="93">
        <v>146</v>
      </c>
      <c r="Q25" s="93">
        <v>110</v>
      </c>
      <c r="R25" s="93">
        <v>95</v>
      </c>
      <c r="S25" s="93">
        <v>73</v>
      </c>
      <c r="T25" s="93">
        <v>66</v>
      </c>
      <c r="U25" s="93">
        <v>48</v>
      </c>
      <c r="V25" s="93">
        <v>42</v>
      </c>
      <c r="W25" s="93">
        <v>33</v>
      </c>
      <c r="X25" s="93"/>
      <c r="Y25" s="93"/>
      <c r="Z25" s="93"/>
      <c r="AA25" s="93"/>
      <c r="AB25" s="93"/>
      <c r="AC25" s="93"/>
      <c r="AD25" s="93"/>
      <c r="AE25" s="2"/>
      <c r="AF25" s="82">
        <f t="shared" si="7"/>
        <v>1</v>
      </c>
      <c r="AG25" s="82">
        <f t="shared" si="7"/>
        <v>0.89370078740157477</v>
      </c>
      <c r="AH25" s="82">
        <f t="shared" si="7"/>
        <v>0.77559055118110232</v>
      </c>
      <c r="AI25" s="82">
        <f t="shared" si="7"/>
        <v>0.63385826771653542</v>
      </c>
      <c r="AJ25" s="82">
        <f t="shared" si="7"/>
        <v>0.57480314960629919</v>
      </c>
      <c r="AK25" s="82">
        <f t="shared" si="7"/>
        <v>0.43307086614173229</v>
      </c>
      <c r="AL25" s="82">
        <f t="shared" si="7"/>
        <v>0.37401574803149606</v>
      </c>
      <c r="AM25" s="82">
        <f t="shared" si="7"/>
        <v>0.2874015748031496</v>
      </c>
      <c r="AN25" s="82">
        <f t="shared" si="7"/>
        <v>0.25984251968503935</v>
      </c>
      <c r="AO25" s="82">
        <f t="shared" si="7"/>
        <v>0.1889763779527559</v>
      </c>
      <c r="AP25" s="82">
        <f t="shared" si="7"/>
        <v>0.16535433070866143</v>
      </c>
      <c r="AQ25" s="82">
        <f t="shared" si="7"/>
        <v>0.12992125984251968</v>
      </c>
      <c r="AR25" s="82" t="str">
        <f t="shared" si="7"/>
        <v/>
      </c>
      <c r="AS25" s="82" t="str">
        <f t="shared" si="7"/>
        <v/>
      </c>
      <c r="AT25" s="82" t="str">
        <f t="shared" si="7"/>
        <v/>
      </c>
      <c r="AU25" s="82" t="str">
        <f t="shared" si="6"/>
        <v/>
      </c>
      <c r="AV25" s="82" t="str">
        <f t="shared" si="5"/>
        <v/>
      </c>
      <c r="AW25" s="82" t="str">
        <f t="shared" si="5"/>
        <v/>
      </c>
      <c r="AX25" s="82" t="str">
        <f t="shared" si="5"/>
        <v/>
      </c>
      <c r="AY25" s="3"/>
    </row>
    <row r="26" spans="1:51">
      <c r="A26" s="41">
        <v>961179</v>
      </c>
      <c r="B26" s="1">
        <v>52</v>
      </c>
      <c r="C26" s="29" t="str">
        <f t="shared" si="3"/>
        <v>961179-52</v>
      </c>
      <c r="D26" s="28" t="s">
        <v>80</v>
      </c>
      <c r="E26" s="37" t="s">
        <v>90</v>
      </c>
      <c r="F26" s="31">
        <v>42458</v>
      </c>
      <c r="G26" s="38"/>
      <c r="H26" s="31">
        <v>42468</v>
      </c>
      <c r="I26" s="38">
        <v>362</v>
      </c>
      <c r="J26" s="38"/>
      <c r="K26" s="40"/>
      <c r="L26" s="87">
        <v>362</v>
      </c>
      <c r="M26" s="93">
        <v>332</v>
      </c>
      <c r="N26" s="93">
        <v>297</v>
      </c>
      <c r="O26" s="93">
        <v>247</v>
      </c>
      <c r="P26" s="93">
        <v>201</v>
      </c>
      <c r="Q26" s="93">
        <v>165</v>
      </c>
      <c r="R26" s="93">
        <v>136</v>
      </c>
      <c r="S26" s="93">
        <v>113</v>
      </c>
      <c r="T26" s="93">
        <v>96</v>
      </c>
      <c r="U26" s="93">
        <v>71</v>
      </c>
      <c r="V26" s="93">
        <v>61</v>
      </c>
      <c r="W26" s="93">
        <v>52</v>
      </c>
      <c r="X26" s="93"/>
      <c r="Y26" s="93"/>
      <c r="Z26" s="93"/>
      <c r="AA26" s="93"/>
      <c r="AB26" s="93"/>
      <c r="AC26" s="93"/>
      <c r="AD26" s="93"/>
      <c r="AE26" s="2"/>
      <c r="AF26" s="82">
        <f>IF(OR(ISERROR(L26/$I26)=TRUE,ISBLANK(L26)=TRUE),"",L26/$I26)</f>
        <v>1</v>
      </c>
      <c r="AG26" s="82">
        <f t="shared" si="7"/>
        <v>0.91712707182320441</v>
      </c>
      <c r="AH26" s="82">
        <f t="shared" si="7"/>
        <v>0.8204419889502762</v>
      </c>
      <c r="AI26" s="82">
        <f t="shared" si="7"/>
        <v>0.68232044198895025</v>
      </c>
      <c r="AJ26" s="82">
        <f t="shared" si="7"/>
        <v>0.55524861878453036</v>
      </c>
      <c r="AK26" s="82">
        <f t="shared" si="7"/>
        <v>0.45580110497237569</v>
      </c>
      <c r="AL26" s="82">
        <f t="shared" si="7"/>
        <v>0.37569060773480661</v>
      </c>
      <c r="AM26" s="82">
        <f t="shared" si="7"/>
        <v>0.31215469613259667</v>
      </c>
      <c r="AN26" s="82">
        <f t="shared" si="7"/>
        <v>0.26519337016574585</v>
      </c>
      <c r="AO26" s="82">
        <f t="shared" si="7"/>
        <v>0.19613259668508287</v>
      </c>
      <c r="AP26" s="82">
        <f t="shared" si="7"/>
        <v>0.16850828729281769</v>
      </c>
      <c r="AQ26" s="82">
        <f t="shared" si="7"/>
        <v>0.143646408839779</v>
      </c>
      <c r="AR26" s="82" t="str">
        <f t="shared" si="7"/>
        <v/>
      </c>
      <c r="AS26" s="82" t="str">
        <f t="shared" si="7"/>
        <v/>
      </c>
      <c r="AT26" s="82" t="str">
        <f t="shared" si="7"/>
        <v/>
      </c>
      <c r="AU26" s="82" t="str">
        <f t="shared" si="6"/>
        <v/>
      </c>
      <c r="AV26" s="82" t="str">
        <f t="shared" si="5"/>
        <v/>
      </c>
      <c r="AW26" s="82" t="str">
        <f t="shared" si="5"/>
        <v/>
      </c>
      <c r="AX26" s="82" t="str">
        <f t="shared" si="5"/>
        <v/>
      </c>
      <c r="AY26" s="3"/>
    </row>
    <row r="27" spans="1:51">
      <c r="A27" s="41">
        <v>961179</v>
      </c>
      <c r="B27" s="1">
        <v>53</v>
      </c>
      <c r="C27" s="29" t="str">
        <f t="shared" si="3"/>
        <v>961179-53</v>
      </c>
      <c r="D27" s="28" t="s">
        <v>80</v>
      </c>
      <c r="E27" s="37" t="s">
        <v>34</v>
      </c>
      <c r="F27" s="31">
        <v>42458</v>
      </c>
      <c r="G27" s="38"/>
      <c r="H27" s="31">
        <v>42468</v>
      </c>
      <c r="I27" s="38"/>
      <c r="J27" s="38"/>
      <c r="K27" s="40"/>
      <c r="L27" s="87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2"/>
      <c r="AF27" s="82" t="str">
        <f t="shared" si="7"/>
        <v/>
      </c>
      <c r="AG27" s="82" t="str">
        <f t="shared" si="7"/>
        <v/>
      </c>
      <c r="AH27" s="82" t="str">
        <f t="shared" si="7"/>
        <v/>
      </c>
      <c r="AI27" s="82" t="str">
        <f t="shared" si="7"/>
        <v/>
      </c>
      <c r="AJ27" s="82" t="str">
        <f t="shared" si="7"/>
        <v/>
      </c>
      <c r="AK27" s="82" t="str">
        <f t="shared" si="7"/>
        <v/>
      </c>
      <c r="AL27" s="82" t="str">
        <f t="shared" si="7"/>
        <v/>
      </c>
      <c r="AM27" s="82" t="str">
        <f t="shared" si="7"/>
        <v/>
      </c>
      <c r="AN27" s="82" t="str">
        <f t="shared" si="7"/>
        <v/>
      </c>
      <c r="AO27" s="82" t="str">
        <f t="shared" si="7"/>
        <v/>
      </c>
      <c r="AP27" s="82" t="str">
        <f t="shared" si="7"/>
        <v/>
      </c>
      <c r="AQ27" s="82" t="str">
        <f t="shared" si="7"/>
        <v/>
      </c>
      <c r="AR27" s="82" t="str">
        <f t="shared" si="7"/>
        <v/>
      </c>
      <c r="AS27" s="82" t="str">
        <f t="shared" si="7"/>
        <v/>
      </c>
      <c r="AT27" s="82" t="str">
        <f t="shared" si="7"/>
        <v/>
      </c>
      <c r="AU27" s="82" t="str">
        <f t="shared" si="6"/>
        <v/>
      </c>
      <c r="AV27" s="82" t="str">
        <f t="shared" si="5"/>
        <v/>
      </c>
      <c r="AW27" s="82" t="str">
        <f t="shared" si="5"/>
        <v/>
      </c>
      <c r="AX27" s="82" t="str">
        <f t="shared" si="5"/>
        <v/>
      </c>
      <c r="AY27" s="3"/>
    </row>
    <row r="28" spans="1:51">
      <c r="A28" s="41">
        <v>961179</v>
      </c>
      <c r="B28" s="1">
        <v>54</v>
      </c>
      <c r="C28" s="29" t="str">
        <f t="shared" si="3"/>
        <v>961179-54</v>
      </c>
      <c r="D28" s="28" t="s">
        <v>80</v>
      </c>
      <c r="E28" s="37" t="s">
        <v>85</v>
      </c>
      <c r="F28" s="31">
        <v>42458</v>
      </c>
      <c r="G28" s="38"/>
      <c r="H28" s="31">
        <v>42468</v>
      </c>
      <c r="I28" s="38"/>
      <c r="J28" s="38"/>
      <c r="K28" s="40"/>
      <c r="L28" s="87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2"/>
      <c r="AF28" s="82" t="str">
        <f t="shared" si="7"/>
        <v/>
      </c>
      <c r="AG28" s="82" t="str">
        <f t="shared" si="7"/>
        <v/>
      </c>
      <c r="AH28" s="82" t="str">
        <f t="shared" si="7"/>
        <v/>
      </c>
      <c r="AI28" s="82" t="str">
        <f t="shared" si="7"/>
        <v/>
      </c>
      <c r="AJ28" s="82" t="str">
        <f t="shared" si="7"/>
        <v/>
      </c>
      <c r="AK28" s="82" t="str">
        <f t="shared" si="7"/>
        <v/>
      </c>
      <c r="AL28" s="82" t="str">
        <f t="shared" si="7"/>
        <v/>
      </c>
      <c r="AM28" s="82" t="str">
        <f t="shared" si="7"/>
        <v/>
      </c>
      <c r="AN28" s="82" t="str">
        <f t="shared" si="7"/>
        <v/>
      </c>
      <c r="AO28" s="82" t="str">
        <f t="shared" si="7"/>
        <v/>
      </c>
      <c r="AP28" s="82" t="str">
        <f t="shared" si="7"/>
        <v/>
      </c>
      <c r="AQ28" s="82" t="str">
        <f t="shared" si="7"/>
        <v/>
      </c>
      <c r="AR28" s="82" t="str">
        <f t="shared" si="7"/>
        <v/>
      </c>
      <c r="AS28" s="82" t="str">
        <f t="shared" si="7"/>
        <v/>
      </c>
      <c r="AT28" s="82" t="str">
        <f t="shared" si="7"/>
        <v/>
      </c>
      <c r="AU28" s="82" t="str">
        <f t="shared" si="6"/>
        <v/>
      </c>
      <c r="AV28" s="82" t="str">
        <f t="shared" si="5"/>
        <v/>
      </c>
      <c r="AW28" s="82" t="str">
        <f t="shared" si="5"/>
        <v/>
      </c>
      <c r="AX28" s="82" t="str">
        <f t="shared" si="5"/>
        <v/>
      </c>
      <c r="AY28" s="3"/>
    </row>
    <row r="29" spans="1:51">
      <c r="A29" s="41">
        <v>961179</v>
      </c>
      <c r="B29" s="1">
        <v>55</v>
      </c>
      <c r="C29" s="29" t="str">
        <f t="shared" si="3"/>
        <v>961179-55</v>
      </c>
      <c r="D29" s="28" t="s">
        <v>80</v>
      </c>
      <c r="E29" s="37" t="s">
        <v>85</v>
      </c>
      <c r="F29" s="31">
        <v>42458</v>
      </c>
      <c r="G29" s="38"/>
      <c r="H29" s="31">
        <v>42468</v>
      </c>
      <c r="I29" s="38"/>
      <c r="J29" s="38"/>
      <c r="K29" s="40"/>
      <c r="L29" s="87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2"/>
      <c r="AF29" s="82" t="str">
        <f t="shared" si="7"/>
        <v/>
      </c>
      <c r="AG29" s="82" t="str">
        <f t="shared" si="7"/>
        <v/>
      </c>
      <c r="AH29" s="82" t="str">
        <f t="shared" si="7"/>
        <v/>
      </c>
      <c r="AI29" s="82" t="str">
        <f t="shared" si="7"/>
        <v/>
      </c>
      <c r="AJ29" s="82" t="str">
        <f t="shared" si="7"/>
        <v/>
      </c>
      <c r="AK29" s="82" t="str">
        <f t="shared" si="7"/>
        <v/>
      </c>
      <c r="AL29" s="82" t="str">
        <f t="shared" si="7"/>
        <v/>
      </c>
      <c r="AM29" s="82" t="str">
        <f t="shared" si="7"/>
        <v/>
      </c>
      <c r="AN29" s="82" t="str">
        <f t="shared" si="7"/>
        <v/>
      </c>
      <c r="AO29" s="82" t="str">
        <f t="shared" si="7"/>
        <v/>
      </c>
      <c r="AP29" s="82" t="str">
        <f t="shared" si="7"/>
        <v/>
      </c>
      <c r="AQ29" s="82" t="str">
        <f t="shared" si="7"/>
        <v/>
      </c>
      <c r="AR29" s="82" t="str">
        <f t="shared" si="7"/>
        <v/>
      </c>
      <c r="AS29" s="82" t="str">
        <f t="shared" si="7"/>
        <v/>
      </c>
      <c r="AT29" s="82" t="str">
        <f t="shared" si="7"/>
        <v/>
      </c>
      <c r="AU29" s="82" t="str">
        <f t="shared" si="6"/>
        <v/>
      </c>
      <c r="AV29" s="82" t="str">
        <f t="shared" si="5"/>
        <v/>
      </c>
      <c r="AW29" s="82" t="str">
        <f t="shared" si="5"/>
        <v/>
      </c>
      <c r="AX29" s="82" t="str">
        <f t="shared" si="5"/>
        <v/>
      </c>
      <c r="AY29" s="3"/>
    </row>
    <row r="30" spans="1:51">
      <c r="A30" s="41">
        <v>961178</v>
      </c>
      <c r="B30" s="1">
        <v>61</v>
      </c>
      <c r="C30" s="29" t="str">
        <f t="shared" si="3"/>
        <v>961178-61</v>
      </c>
      <c r="D30" s="28" t="s">
        <v>80</v>
      </c>
      <c r="E30" s="37" t="s">
        <v>86</v>
      </c>
      <c r="F30" s="31">
        <v>42458</v>
      </c>
      <c r="G30" s="38"/>
      <c r="H30" s="31">
        <v>42468</v>
      </c>
      <c r="I30" s="38">
        <v>323</v>
      </c>
      <c r="J30" s="38"/>
      <c r="K30" s="40"/>
      <c r="L30" s="87">
        <v>323</v>
      </c>
      <c r="M30" s="93">
        <v>288</v>
      </c>
      <c r="N30" s="93">
        <v>261</v>
      </c>
      <c r="O30" s="93">
        <v>217</v>
      </c>
      <c r="P30" s="93">
        <v>177</v>
      </c>
      <c r="Q30" s="93">
        <v>142</v>
      </c>
      <c r="R30" s="93">
        <v>121</v>
      </c>
      <c r="S30" s="93">
        <v>98</v>
      </c>
      <c r="T30" s="93">
        <v>84</v>
      </c>
      <c r="U30" s="93">
        <v>61</v>
      </c>
      <c r="V30" s="93">
        <v>52</v>
      </c>
      <c r="W30" s="93">
        <v>44</v>
      </c>
      <c r="X30" s="93"/>
      <c r="Y30" s="93"/>
      <c r="Z30" s="93"/>
      <c r="AA30" s="93"/>
      <c r="AB30" s="93"/>
      <c r="AC30" s="93"/>
      <c r="AD30" s="93"/>
      <c r="AE30" s="2"/>
      <c r="AF30" s="82">
        <f t="shared" si="7"/>
        <v>1</v>
      </c>
      <c r="AG30" s="82">
        <f t="shared" si="7"/>
        <v>0.89164086687306499</v>
      </c>
      <c r="AH30" s="82">
        <f t="shared" si="7"/>
        <v>0.80804953560371517</v>
      </c>
      <c r="AI30" s="82">
        <f t="shared" si="7"/>
        <v>0.67182662538699689</v>
      </c>
      <c r="AJ30" s="82">
        <f t="shared" si="7"/>
        <v>0.54798761609907121</v>
      </c>
      <c r="AK30" s="82">
        <f t="shared" si="7"/>
        <v>0.43962848297213625</v>
      </c>
      <c r="AL30" s="82">
        <f t="shared" si="7"/>
        <v>0.37461300309597523</v>
      </c>
      <c r="AM30" s="82">
        <f t="shared" si="7"/>
        <v>0.30340557275541796</v>
      </c>
      <c r="AN30" s="82">
        <f t="shared" si="7"/>
        <v>0.26006191950464397</v>
      </c>
      <c r="AO30" s="82">
        <f t="shared" si="7"/>
        <v>0.18885448916408668</v>
      </c>
      <c r="AP30" s="82">
        <f t="shared" si="7"/>
        <v>0.1609907120743034</v>
      </c>
      <c r="AQ30" s="82">
        <f t="shared" si="7"/>
        <v>0.13622291021671826</v>
      </c>
      <c r="AR30" s="82" t="str">
        <f t="shared" si="7"/>
        <v/>
      </c>
      <c r="AS30" s="82" t="str">
        <f t="shared" si="7"/>
        <v/>
      </c>
      <c r="AT30" s="82" t="str">
        <f t="shared" si="7"/>
        <v/>
      </c>
      <c r="AU30" s="82" t="str">
        <f t="shared" si="6"/>
        <v/>
      </c>
      <c r="AV30" s="82" t="str">
        <f t="shared" si="5"/>
        <v/>
      </c>
      <c r="AW30" s="82" t="str">
        <f t="shared" si="5"/>
        <v/>
      </c>
      <c r="AX30" s="82" t="str">
        <f t="shared" si="5"/>
        <v/>
      </c>
      <c r="AY30" s="3"/>
    </row>
    <row r="31" spans="1:51">
      <c r="A31" s="41">
        <v>961178</v>
      </c>
      <c r="B31" s="1">
        <v>62</v>
      </c>
      <c r="C31" s="29" t="str">
        <f t="shared" si="3"/>
        <v>961178-62</v>
      </c>
      <c r="D31" s="28" t="s">
        <v>80</v>
      </c>
      <c r="E31" s="37" t="s">
        <v>83</v>
      </c>
      <c r="F31" s="31">
        <v>42458</v>
      </c>
      <c r="G31" s="38"/>
      <c r="H31" s="31">
        <v>42468</v>
      </c>
      <c r="I31" s="38"/>
      <c r="J31" s="38"/>
      <c r="K31" s="40"/>
      <c r="L31" s="87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2"/>
      <c r="AF31" s="82" t="str">
        <f t="shared" si="7"/>
        <v/>
      </c>
      <c r="AG31" s="82" t="str">
        <f t="shared" si="7"/>
        <v/>
      </c>
      <c r="AH31" s="82" t="str">
        <f t="shared" si="7"/>
        <v/>
      </c>
      <c r="AI31" s="82" t="str">
        <f t="shared" si="7"/>
        <v/>
      </c>
      <c r="AJ31" s="82" t="str">
        <f t="shared" si="7"/>
        <v/>
      </c>
      <c r="AK31" s="82" t="str">
        <f t="shared" si="7"/>
        <v/>
      </c>
      <c r="AL31" s="82" t="str">
        <f t="shared" si="7"/>
        <v/>
      </c>
      <c r="AM31" s="82" t="str">
        <f t="shared" si="7"/>
        <v/>
      </c>
      <c r="AN31" s="82" t="str">
        <f t="shared" si="7"/>
        <v/>
      </c>
      <c r="AO31" s="82" t="str">
        <f t="shared" si="7"/>
        <v/>
      </c>
      <c r="AP31" s="82" t="str">
        <f t="shared" si="7"/>
        <v/>
      </c>
      <c r="AQ31" s="82" t="str">
        <f t="shared" si="7"/>
        <v/>
      </c>
      <c r="AR31" s="82" t="str">
        <f t="shared" si="7"/>
        <v/>
      </c>
      <c r="AS31" s="82" t="str">
        <f t="shared" si="7"/>
        <v/>
      </c>
      <c r="AT31" s="82" t="str">
        <f t="shared" si="7"/>
        <v/>
      </c>
      <c r="AU31" s="82" t="str">
        <f t="shared" si="6"/>
        <v/>
      </c>
      <c r="AV31" s="82" t="str">
        <f t="shared" si="5"/>
        <v/>
      </c>
      <c r="AW31" s="82" t="str">
        <f t="shared" si="5"/>
        <v/>
      </c>
      <c r="AX31" s="82" t="str">
        <f t="shared" si="5"/>
        <v/>
      </c>
      <c r="AY31" s="3"/>
    </row>
    <row r="32" spans="1:51">
      <c r="A32" s="41">
        <v>961178</v>
      </c>
      <c r="B32" s="1">
        <v>63</v>
      </c>
      <c r="C32" s="29" t="str">
        <f t="shared" si="3"/>
        <v>961178-63</v>
      </c>
      <c r="D32" s="28" t="s">
        <v>80</v>
      </c>
      <c r="E32" s="37" t="s">
        <v>90</v>
      </c>
      <c r="F32" s="31">
        <v>42458</v>
      </c>
      <c r="G32" s="38"/>
      <c r="H32" s="31">
        <v>42468</v>
      </c>
      <c r="I32" s="38">
        <v>245</v>
      </c>
      <c r="J32" s="38"/>
      <c r="K32" s="40"/>
      <c r="L32" s="87">
        <v>245</v>
      </c>
      <c r="M32" s="93">
        <v>220</v>
      </c>
      <c r="N32" s="93">
        <v>190</v>
      </c>
      <c r="O32" s="93">
        <v>158</v>
      </c>
      <c r="P32" s="93">
        <v>131</v>
      </c>
      <c r="Q32" s="93">
        <v>107</v>
      </c>
      <c r="R32" s="93">
        <v>90</v>
      </c>
      <c r="S32" s="93">
        <v>74</v>
      </c>
      <c r="T32" s="93">
        <v>64</v>
      </c>
      <c r="U32" s="93">
        <v>44</v>
      </c>
      <c r="V32" s="93">
        <v>40</v>
      </c>
      <c r="W32" s="93">
        <v>34</v>
      </c>
      <c r="X32" s="93"/>
      <c r="Y32" s="93"/>
      <c r="Z32" s="93"/>
      <c r="AA32" s="93"/>
      <c r="AB32" s="93"/>
      <c r="AC32" s="93"/>
      <c r="AD32" s="93"/>
      <c r="AE32" s="2"/>
      <c r="AF32" s="82">
        <f t="shared" si="7"/>
        <v>1</v>
      </c>
      <c r="AG32" s="82">
        <f t="shared" si="7"/>
        <v>0.89795918367346939</v>
      </c>
      <c r="AH32" s="82">
        <f t="shared" si="7"/>
        <v>0.77551020408163263</v>
      </c>
      <c r="AI32" s="82">
        <f t="shared" si="7"/>
        <v>0.64489795918367343</v>
      </c>
      <c r="AJ32" s="82">
        <f t="shared" si="7"/>
        <v>0.53469387755102038</v>
      </c>
      <c r="AK32" s="82">
        <f t="shared" si="7"/>
        <v>0.43673469387755104</v>
      </c>
      <c r="AL32" s="82">
        <f t="shared" si="7"/>
        <v>0.36734693877551022</v>
      </c>
      <c r="AM32" s="82">
        <f t="shared" si="7"/>
        <v>0.30204081632653063</v>
      </c>
      <c r="AN32" s="82">
        <f t="shared" si="7"/>
        <v>0.26122448979591839</v>
      </c>
      <c r="AO32" s="82">
        <f t="shared" si="7"/>
        <v>0.17959183673469387</v>
      </c>
      <c r="AP32" s="82">
        <f t="shared" si="7"/>
        <v>0.16326530612244897</v>
      </c>
      <c r="AQ32" s="82">
        <f t="shared" si="7"/>
        <v>0.13877551020408163</v>
      </c>
      <c r="AR32" s="82" t="str">
        <f t="shared" si="7"/>
        <v/>
      </c>
      <c r="AS32" s="82" t="str">
        <f t="shared" si="7"/>
        <v/>
      </c>
      <c r="AT32" s="82" t="str">
        <f t="shared" si="7"/>
        <v/>
      </c>
      <c r="AU32" s="82" t="str">
        <f t="shared" si="6"/>
        <v/>
      </c>
      <c r="AV32" s="82" t="str">
        <f t="shared" si="5"/>
        <v/>
      </c>
      <c r="AW32" s="82" t="str">
        <f t="shared" si="5"/>
        <v/>
      </c>
      <c r="AX32" s="82" t="str">
        <f t="shared" si="5"/>
        <v/>
      </c>
      <c r="AY32" s="3"/>
    </row>
    <row r="33" spans="1:51">
      <c r="A33" s="41">
        <v>961178</v>
      </c>
      <c r="B33" s="1">
        <v>64</v>
      </c>
      <c r="C33" s="29" t="str">
        <f t="shared" si="3"/>
        <v>961178-64</v>
      </c>
      <c r="D33" s="28" t="s">
        <v>80</v>
      </c>
      <c r="E33" s="37" t="s">
        <v>89</v>
      </c>
      <c r="F33" s="31">
        <v>42458</v>
      </c>
      <c r="G33" s="38"/>
      <c r="H33" s="31">
        <v>42468</v>
      </c>
      <c r="I33" s="38">
        <v>529</v>
      </c>
      <c r="J33" s="38"/>
      <c r="K33" s="40"/>
      <c r="L33" s="87">
        <v>529</v>
      </c>
      <c r="M33" s="93">
        <v>470</v>
      </c>
      <c r="N33" s="93">
        <v>382</v>
      </c>
      <c r="O33" s="93">
        <v>322</v>
      </c>
      <c r="P33" s="93">
        <v>258</v>
      </c>
      <c r="Q33" s="93">
        <v>207</v>
      </c>
      <c r="R33" s="93">
        <v>178</v>
      </c>
      <c r="S33" s="93">
        <v>144</v>
      </c>
      <c r="T33" s="93">
        <v>121</v>
      </c>
      <c r="U33" s="93">
        <v>90</v>
      </c>
      <c r="V33" s="93">
        <v>76</v>
      </c>
      <c r="W33" s="93">
        <v>64</v>
      </c>
      <c r="X33" s="93"/>
      <c r="Y33" s="93"/>
      <c r="Z33" s="93"/>
      <c r="AA33" s="93"/>
      <c r="AB33" s="93"/>
      <c r="AC33" s="93"/>
      <c r="AD33" s="93"/>
      <c r="AE33" s="2"/>
      <c r="AF33" s="82">
        <f t="shared" si="7"/>
        <v>1</v>
      </c>
      <c r="AG33" s="82">
        <f t="shared" si="7"/>
        <v>0.88846880907372405</v>
      </c>
      <c r="AH33" s="82">
        <f t="shared" si="7"/>
        <v>0.72211720226843101</v>
      </c>
      <c r="AI33" s="82">
        <f t="shared" si="7"/>
        <v>0.60869565217391308</v>
      </c>
      <c r="AJ33" s="82">
        <f t="shared" si="7"/>
        <v>0.48771266540642721</v>
      </c>
      <c r="AK33" s="82">
        <f t="shared" si="7"/>
        <v>0.39130434782608697</v>
      </c>
      <c r="AL33" s="82">
        <f t="shared" si="7"/>
        <v>0.33648393194706994</v>
      </c>
      <c r="AM33" s="82">
        <f t="shared" si="7"/>
        <v>0.27221172022684309</v>
      </c>
      <c r="AN33" s="82">
        <f t="shared" si="7"/>
        <v>0.22873345935727787</v>
      </c>
      <c r="AO33" s="82">
        <f t="shared" si="7"/>
        <v>0.17013232514177692</v>
      </c>
      <c r="AP33" s="82">
        <f t="shared" si="7"/>
        <v>0.14366729678638943</v>
      </c>
      <c r="AQ33" s="82">
        <f t="shared" si="7"/>
        <v>0.12098298676748583</v>
      </c>
      <c r="AR33" s="82" t="str">
        <f t="shared" si="7"/>
        <v/>
      </c>
      <c r="AS33" s="82" t="str">
        <f t="shared" si="7"/>
        <v/>
      </c>
      <c r="AT33" s="82" t="str">
        <f t="shared" si="7"/>
        <v/>
      </c>
      <c r="AU33" s="82" t="str">
        <f t="shared" si="6"/>
        <v/>
      </c>
      <c r="AV33" s="82" t="str">
        <f t="shared" si="5"/>
        <v/>
      </c>
      <c r="AW33" s="82" t="str">
        <f t="shared" si="5"/>
        <v/>
      </c>
      <c r="AX33" s="82" t="str">
        <f t="shared" si="5"/>
        <v/>
      </c>
      <c r="AY33" s="3"/>
    </row>
    <row r="34" spans="1:51">
      <c r="A34" s="41">
        <v>961178</v>
      </c>
      <c r="B34" s="1">
        <v>65</v>
      </c>
      <c r="C34" s="29" t="str">
        <f t="shared" si="3"/>
        <v>961178-65</v>
      </c>
      <c r="D34" s="28" t="s">
        <v>80</v>
      </c>
      <c r="E34" s="37" t="s">
        <v>83</v>
      </c>
      <c r="F34" s="31">
        <v>42458</v>
      </c>
      <c r="G34" s="38"/>
      <c r="H34" s="31">
        <v>42468</v>
      </c>
      <c r="I34" s="38"/>
      <c r="J34" s="38"/>
      <c r="K34" s="40"/>
      <c r="L34" s="87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2"/>
      <c r="AF34" s="82" t="str">
        <f t="shared" si="7"/>
        <v/>
      </c>
      <c r="AG34" s="82" t="str">
        <f t="shared" si="7"/>
        <v/>
      </c>
      <c r="AH34" s="82" t="str">
        <f t="shared" si="7"/>
        <v/>
      </c>
      <c r="AI34" s="82" t="str">
        <f t="shared" si="7"/>
        <v/>
      </c>
      <c r="AJ34" s="82" t="str">
        <f t="shared" si="7"/>
        <v/>
      </c>
      <c r="AK34" s="82" t="str">
        <f t="shared" si="7"/>
        <v/>
      </c>
      <c r="AL34" s="82" t="str">
        <f t="shared" si="7"/>
        <v/>
      </c>
      <c r="AM34" s="82" t="str">
        <f t="shared" si="7"/>
        <v/>
      </c>
      <c r="AN34" s="82" t="str">
        <f t="shared" si="7"/>
        <v/>
      </c>
      <c r="AO34" s="82" t="str">
        <f t="shared" si="7"/>
        <v/>
      </c>
      <c r="AP34" s="82" t="str">
        <f t="shared" si="7"/>
        <v/>
      </c>
      <c r="AQ34" s="82" t="str">
        <f t="shared" si="7"/>
        <v/>
      </c>
      <c r="AR34" s="82" t="str">
        <f t="shared" si="7"/>
        <v/>
      </c>
      <c r="AS34" s="82" t="str">
        <f t="shared" si="7"/>
        <v/>
      </c>
      <c r="AT34" s="82" t="str">
        <f t="shared" si="7"/>
        <v/>
      </c>
      <c r="AU34" s="82" t="str">
        <f t="shared" si="6"/>
        <v/>
      </c>
      <c r="AV34" s="82" t="str">
        <f t="shared" si="5"/>
        <v/>
      </c>
      <c r="AW34" s="82" t="str">
        <f t="shared" si="5"/>
        <v/>
      </c>
      <c r="AX34" s="82" t="str">
        <f t="shared" si="5"/>
        <v/>
      </c>
      <c r="AY34" s="3"/>
    </row>
    <row r="35" spans="1:51">
      <c r="A35" s="41">
        <v>975075</v>
      </c>
      <c r="B35" s="1">
        <v>71</v>
      </c>
      <c r="C35" s="29" t="str">
        <f t="shared" si="3"/>
        <v>975075-71</v>
      </c>
      <c r="D35" s="28" t="s">
        <v>80</v>
      </c>
      <c r="E35" s="37" t="s">
        <v>87</v>
      </c>
      <c r="F35" s="31">
        <v>42458</v>
      </c>
      <c r="G35" s="38"/>
      <c r="H35" s="31">
        <v>42468</v>
      </c>
      <c r="I35" s="38">
        <v>577</v>
      </c>
      <c r="J35" s="38"/>
      <c r="K35" s="40"/>
      <c r="L35" s="87">
        <v>577</v>
      </c>
      <c r="M35" s="93">
        <v>517</v>
      </c>
      <c r="N35" s="93">
        <v>464</v>
      </c>
      <c r="O35" s="93">
        <v>380</v>
      </c>
      <c r="P35" s="93">
        <v>313</v>
      </c>
      <c r="Q35" s="93">
        <v>256</v>
      </c>
      <c r="R35" s="93">
        <v>211</v>
      </c>
      <c r="S35" s="93">
        <v>166</v>
      </c>
      <c r="T35" s="93">
        <v>149</v>
      </c>
      <c r="U35" s="93">
        <v>110</v>
      </c>
      <c r="V35" s="93">
        <v>97</v>
      </c>
      <c r="W35" s="93">
        <v>51</v>
      </c>
      <c r="X35" s="93"/>
      <c r="Y35" s="93"/>
      <c r="Z35" s="93"/>
      <c r="AA35" s="93"/>
      <c r="AB35" s="93"/>
      <c r="AC35" s="93"/>
      <c r="AD35" s="93"/>
      <c r="AE35" s="2"/>
      <c r="AF35" s="82">
        <f t="shared" si="7"/>
        <v>1</v>
      </c>
      <c r="AG35" s="82">
        <f t="shared" si="7"/>
        <v>0.89601386481802425</v>
      </c>
      <c r="AH35" s="82">
        <f t="shared" si="7"/>
        <v>0.80415944540727902</v>
      </c>
      <c r="AI35" s="82">
        <f t="shared" si="7"/>
        <v>0.65857885615251299</v>
      </c>
      <c r="AJ35" s="82">
        <f t="shared" si="7"/>
        <v>0.54246100519930673</v>
      </c>
      <c r="AK35" s="82">
        <f t="shared" si="7"/>
        <v>0.44367417677642979</v>
      </c>
      <c r="AL35" s="82">
        <f t="shared" si="7"/>
        <v>0.36568457538994803</v>
      </c>
      <c r="AM35" s="82">
        <f t="shared" si="7"/>
        <v>0.28769497400346622</v>
      </c>
      <c r="AN35" s="82">
        <f t="shared" si="7"/>
        <v>0.2582322357019064</v>
      </c>
      <c r="AO35" s="82">
        <f t="shared" si="7"/>
        <v>0.19064124783362218</v>
      </c>
      <c r="AP35" s="82">
        <f t="shared" si="7"/>
        <v>0.1681109185441941</v>
      </c>
      <c r="AQ35" s="82">
        <f t="shared" si="7"/>
        <v>8.838821490467938E-2</v>
      </c>
      <c r="AR35" s="82" t="str">
        <f t="shared" si="7"/>
        <v/>
      </c>
      <c r="AS35" s="82" t="str">
        <f t="shared" si="7"/>
        <v/>
      </c>
      <c r="AT35" s="82" t="str">
        <f t="shared" si="7"/>
        <v/>
      </c>
      <c r="AU35" s="82" t="str">
        <f t="shared" si="6"/>
        <v/>
      </c>
      <c r="AV35" s="82" t="str">
        <f t="shared" si="5"/>
        <v/>
      </c>
      <c r="AW35" s="82" t="str">
        <f t="shared" si="5"/>
        <v/>
      </c>
      <c r="AX35" s="82" t="str">
        <f t="shared" si="5"/>
        <v/>
      </c>
      <c r="AY35" s="3"/>
    </row>
    <row r="36" spans="1:51">
      <c r="A36" s="41">
        <v>975075</v>
      </c>
      <c r="B36" s="1">
        <v>72</v>
      </c>
      <c r="C36" s="29" t="str">
        <f t="shared" si="3"/>
        <v>975075-72</v>
      </c>
      <c r="D36" s="28" t="s">
        <v>80</v>
      </c>
      <c r="E36" s="37" t="s">
        <v>90</v>
      </c>
      <c r="F36" s="31">
        <v>42458</v>
      </c>
      <c r="G36" s="38"/>
      <c r="H36" s="31">
        <v>42468</v>
      </c>
      <c r="I36" s="38">
        <v>313</v>
      </c>
      <c r="J36" s="38"/>
      <c r="K36" s="40"/>
      <c r="L36" s="87">
        <v>313</v>
      </c>
      <c r="M36" s="93">
        <v>226</v>
      </c>
      <c r="N36" s="93">
        <v>206</v>
      </c>
      <c r="O36" s="93">
        <v>169</v>
      </c>
      <c r="P36" s="93">
        <v>144</v>
      </c>
      <c r="Q36" s="93">
        <v>116</v>
      </c>
      <c r="R36" s="93">
        <v>99</v>
      </c>
      <c r="S36" s="93">
        <v>74</v>
      </c>
      <c r="T36" s="93">
        <v>64</v>
      </c>
      <c r="U36" s="93">
        <v>48</v>
      </c>
      <c r="V36" s="93">
        <v>41</v>
      </c>
      <c r="W36" s="93">
        <v>33</v>
      </c>
      <c r="X36" s="93"/>
      <c r="Y36" s="93"/>
      <c r="Z36" s="93"/>
      <c r="AA36" s="93"/>
      <c r="AB36" s="93"/>
      <c r="AC36" s="93"/>
      <c r="AD36" s="93"/>
      <c r="AE36" s="2"/>
      <c r="AF36" s="82">
        <f t="shared" si="7"/>
        <v>1</v>
      </c>
      <c r="AG36" s="82">
        <f t="shared" si="7"/>
        <v>0.72204472843450485</v>
      </c>
      <c r="AH36" s="82">
        <f t="shared" si="7"/>
        <v>0.65814696485623003</v>
      </c>
      <c r="AI36" s="82">
        <f t="shared" si="7"/>
        <v>0.53993610223642174</v>
      </c>
      <c r="AJ36" s="82">
        <f t="shared" si="7"/>
        <v>0.46006389776357826</v>
      </c>
      <c r="AK36" s="82">
        <f t="shared" si="7"/>
        <v>0.37060702875399359</v>
      </c>
      <c r="AL36" s="82">
        <f t="shared" si="7"/>
        <v>0.31629392971246006</v>
      </c>
      <c r="AM36" s="82">
        <f t="shared" si="7"/>
        <v>0.2364217252396166</v>
      </c>
      <c r="AN36" s="82">
        <f t="shared" si="7"/>
        <v>0.20447284345047922</v>
      </c>
      <c r="AO36" s="82">
        <f t="shared" si="7"/>
        <v>0.15335463258785942</v>
      </c>
      <c r="AP36" s="82">
        <f t="shared" si="7"/>
        <v>0.13099041533546327</v>
      </c>
      <c r="AQ36" s="82">
        <f t="shared" si="7"/>
        <v>0.10543130990415335</v>
      </c>
      <c r="AR36" s="82" t="str">
        <f t="shared" si="7"/>
        <v/>
      </c>
      <c r="AS36" s="82" t="str">
        <f t="shared" si="7"/>
        <v/>
      </c>
      <c r="AT36" s="82" t="str">
        <f t="shared" si="7"/>
        <v/>
      </c>
      <c r="AU36" s="82" t="str">
        <f t="shared" si="6"/>
        <v/>
      </c>
      <c r="AV36" s="82" t="str">
        <f t="shared" si="5"/>
        <v/>
      </c>
      <c r="AW36" s="82" t="str">
        <f t="shared" si="5"/>
        <v/>
      </c>
      <c r="AX36" s="82" t="str">
        <f t="shared" si="5"/>
        <v/>
      </c>
      <c r="AY36" s="3"/>
    </row>
    <row r="37" spans="1:51">
      <c r="A37" s="41">
        <v>975075</v>
      </c>
      <c r="B37" s="1">
        <v>73</v>
      </c>
      <c r="C37" s="29" t="str">
        <f t="shared" si="3"/>
        <v>975075-73</v>
      </c>
      <c r="D37" s="28" t="s">
        <v>80</v>
      </c>
      <c r="E37" s="37" t="s">
        <v>87</v>
      </c>
      <c r="F37" s="31">
        <v>42458</v>
      </c>
      <c r="G37" s="38"/>
      <c r="H37" s="31">
        <v>42468</v>
      </c>
      <c r="I37" s="38">
        <v>93</v>
      </c>
      <c r="J37" s="38"/>
      <c r="K37" s="40"/>
      <c r="L37" s="87">
        <v>93</v>
      </c>
      <c r="M37" s="93">
        <v>86</v>
      </c>
      <c r="N37" s="93">
        <v>84</v>
      </c>
      <c r="O37" s="93">
        <v>63</v>
      </c>
      <c r="P37" s="93">
        <v>53</v>
      </c>
      <c r="Q37" s="93">
        <v>43</v>
      </c>
      <c r="R37" s="93">
        <v>35</v>
      </c>
      <c r="S37" s="93">
        <v>28</v>
      </c>
      <c r="T37" s="93">
        <v>25</v>
      </c>
      <c r="U37" s="93">
        <v>14</v>
      </c>
      <c r="V37" s="93">
        <v>11</v>
      </c>
      <c r="W37" s="93">
        <v>11</v>
      </c>
      <c r="X37" s="93"/>
      <c r="Y37" s="93"/>
      <c r="Z37" s="93"/>
      <c r="AA37" s="93"/>
      <c r="AB37" s="93"/>
      <c r="AC37" s="93"/>
      <c r="AD37" s="93"/>
      <c r="AE37" s="2"/>
      <c r="AF37" s="82">
        <f t="shared" si="7"/>
        <v>1</v>
      </c>
      <c r="AG37" s="82">
        <f t="shared" si="7"/>
        <v>0.92473118279569888</v>
      </c>
      <c r="AH37" s="82">
        <f t="shared" si="7"/>
        <v>0.90322580645161288</v>
      </c>
      <c r="AI37" s="82">
        <f t="shared" si="7"/>
        <v>0.67741935483870963</v>
      </c>
      <c r="AJ37" s="82">
        <f t="shared" si="7"/>
        <v>0.56989247311827962</v>
      </c>
      <c r="AK37" s="82">
        <f t="shared" si="7"/>
        <v>0.46236559139784944</v>
      </c>
      <c r="AL37" s="82">
        <f t="shared" si="7"/>
        <v>0.37634408602150538</v>
      </c>
      <c r="AM37" s="82">
        <f t="shared" si="7"/>
        <v>0.30107526881720431</v>
      </c>
      <c r="AN37" s="82">
        <f t="shared" si="7"/>
        <v>0.26881720430107525</v>
      </c>
      <c r="AO37" s="82">
        <f t="shared" si="7"/>
        <v>0.15053763440860216</v>
      </c>
      <c r="AP37" s="82">
        <f t="shared" si="7"/>
        <v>0.11827956989247312</v>
      </c>
      <c r="AQ37" s="82">
        <f t="shared" si="7"/>
        <v>0.11827956989247312</v>
      </c>
      <c r="AR37" s="82" t="str">
        <f t="shared" si="7"/>
        <v/>
      </c>
      <c r="AS37" s="82" t="str">
        <f t="shared" si="7"/>
        <v/>
      </c>
      <c r="AT37" s="82" t="str">
        <f t="shared" si="7"/>
        <v/>
      </c>
      <c r="AU37" s="82" t="str">
        <f t="shared" si="6"/>
        <v/>
      </c>
      <c r="AV37" s="82" t="str">
        <f t="shared" si="6"/>
        <v/>
      </c>
      <c r="AW37" s="82" t="str">
        <f t="shared" si="6"/>
        <v/>
      </c>
      <c r="AX37" s="82" t="str">
        <f t="shared" si="6"/>
        <v/>
      </c>
      <c r="AY37" s="3"/>
    </row>
    <row r="38" spans="1:51">
      <c r="A38" s="41">
        <v>975075</v>
      </c>
      <c r="B38" s="1">
        <v>74</v>
      </c>
      <c r="C38" s="29" t="str">
        <f t="shared" si="3"/>
        <v>975075-74</v>
      </c>
      <c r="D38" s="28" t="s">
        <v>80</v>
      </c>
      <c r="E38" s="37" t="s">
        <v>83</v>
      </c>
      <c r="F38" s="31">
        <v>42458</v>
      </c>
      <c r="G38" s="38"/>
      <c r="H38" s="31">
        <v>42468</v>
      </c>
      <c r="I38" s="38"/>
      <c r="J38" s="38"/>
      <c r="K38" s="40"/>
      <c r="L38" s="87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2"/>
      <c r="AF38" s="82" t="str">
        <f t="shared" si="7"/>
        <v/>
      </c>
      <c r="AG38" s="82" t="str">
        <f t="shared" ref="AG38:AV53" si="8">IF(OR(ISERROR(M38/$I38)=TRUE,ISBLANK(M38)=TRUE),"",M38/$I38)</f>
        <v/>
      </c>
      <c r="AH38" s="82" t="str">
        <f t="shared" si="8"/>
        <v/>
      </c>
      <c r="AI38" s="82" t="str">
        <f t="shared" si="8"/>
        <v/>
      </c>
      <c r="AJ38" s="82" t="str">
        <f t="shared" si="8"/>
        <v/>
      </c>
      <c r="AK38" s="82" t="str">
        <f t="shared" si="8"/>
        <v/>
      </c>
      <c r="AL38" s="82" t="str">
        <f t="shared" si="8"/>
        <v/>
      </c>
      <c r="AM38" s="82" t="str">
        <f t="shared" si="8"/>
        <v/>
      </c>
      <c r="AN38" s="82" t="str">
        <f t="shared" si="8"/>
        <v/>
      </c>
      <c r="AO38" s="82" t="str">
        <f t="shared" si="8"/>
        <v/>
      </c>
      <c r="AP38" s="82" t="str">
        <f t="shared" si="8"/>
        <v/>
      </c>
      <c r="AQ38" s="82" t="str">
        <f t="shared" si="8"/>
        <v/>
      </c>
      <c r="AR38" s="82" t="str">
        <f t="shared" si="8"/>
        <v/>
      </c>
      <c r="AS38" s="82" t="str">
        <f t="shared" si="8"/>
        <v/>
      </c>
      <c r="AT38" s="82" t="str">
        <f t="shared" si="8"/>
        <v/>
      </c>
      <c r="AU38" s="82" t="str">
        <f t="shared" si="6"/>
        <v/>
      </c>
      <c r="AV38" s="82" t="str">
        <f t="shared" si="6"/>
        <v/>
      </c>
      <c r="AW38" s="82" t="str">
        <f t="shared" si="6"/>
        <v/>
      </c>
      <c r="AX38" s="82" t="str">
        <f t="shared" si="6"/>
        <v/>
      </c>
      <c r="AY38" s="3"/>
    </row>
    <row r="39" spans="1:51">
      <c r="A39" s="41">
        <v>975075</v>
      </c>
      <c r="B39" s="1">
        <v>75</v>
      </c>
      <c r="C39" s="29" t="str">
        <f t="shared" si="3"/>
        <v>975075-75</v>
      </c>
      <c r="D39" s="28" t="s">
        <v>80</v>
      </c>
      <c r="E39" s="37" t="s">
        <v>83</v>
      </c>
      <c r="F39" s="31">
        <v>42458</v>
      </c>
      <c r="G39" s="38"/>
      <c r="H39" s="31">
        <v>42468</v>
      </c>
      <c r="I39" s="38"/>
      <c r="J39" s="38"/>
      <c r="K39" s="40"/>
      <c r="L39" s="87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2"/>
      <c r="AF39" s="82" t="str">
        <f t="shared" ref="AF39:AF53" si="9">IF(OR(ISERROR(L39/$I39)=TRUE,ISBLANK(L39)=TRUE),"",L39/$I39)</f>
        <v/>
      </c>
      <c r="AG39" s="82" t="str">
        <f t="shared" si="8"/>
        <v/>
      </c>
      <c r="AH39" s="82" t="str">
        <f t="shared" si="8"/>
        <v/>
      </c>
      <c r="AI39" s="82" t="str">
        <f t="shared" si="8"/>
        <v/>
      </c>
      <c r="AJ39" s="82" t="str">
        <f t="shared" si="8"/>
        <v/>
      </c>
      <c r="AK39" s="82" t="str">
        <f t="shared" si="8"/>
        <v/>
      </c>
      <c r="AL39" s="82" t="str">
        <f t="shared" si="8"/>
        <v/>
      </c>
      <c r="AM39" s="82" t="str">
        <f t="shared" si="8"/>
        <v/>
      </c>
      <c r="AN39" s="82" t="str">
        <f t="shared" si="8"/>
        <v/>
      </c>
      <c r="AO39" s="82" t="str">
        <f t="shared" si="8"/>
        <v/>
      </c>
      <c r="AP39" s="82" t="str">
        <f t="shared" si="8"/>
        <v/>
      </c>
      <c r="AQ39" s="82" t="str">
        <f t="shared" si="8"/>
        <v/>
      </c>
      <c r="AR39" s="82" t="str">
        <f t="shared" si="8"/>
        <v/>
      </c>
      <c r="AS39" s="82" t="str">
        <f t="shared" si="8"/>
        <v/>
      </c>
      <c r="AT39" s="82" t="str">
        <f t="shared" si="8"/>
        <v/>
      </c>
      <c r="AU39" s="82" t="str">
        <f t="shared" si="6"/>
        <v/>
      </c>
      <c r="AV39" s="82" t="str">
        <f t="shared" si="6"/>
        <v/>
      </c>
      <c r="AW39" s="82" t="str">
        <f t="shared" si="6"/>
        <v/>
      </c>
      <c r="AX39" s="82" t="str">
        <f t="shared" si="6"/>
        <v/>
      </c>
      <c r="AY39" s="3"/>
    </row>
    <row r="40" spans="1:51">
      <c r="A40" s="41">
        <v>975074</v>
      </c>
      <c r="B40" s="1">
        <v>81</v>
      </c>
      <c r="C40" s="29" t="str">
        <f t="shared" si="3"/>
        <v>975074-81</v>
      </c>
      <c r="D40" s="28" t="s">
        <v>80</v>
      </c>
      <c r="E40" s="37" t="s">
        <v>84</v>
      </c>
      <c r="F40" s="31">
        <v>42458</v>
      </c>
      <c r="G40" s="38"/>
      <c r="H40" s="31">
        <v>42468</v>
      </c>
      <c r="I40" s="38"/>
      <c r="J40" s="38"/>
      <c r="K40" s="40"/>
      <c r="L40" s="87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2"/>
      <c r="AF40" s="82" t="str">
        <f t="shared" si="9"/>
        <v/>
      </c>
      <c r="AG40" s="82" t="str">
        <f t="shared" si="8"/>
        <v/>
      </c>
      <c r="AH40" s="82" t="str">
        <f t="shared" si="8"/>
        <v/>
      </c>
      <c r="AI40" s="82" t="str">
        <f t="shared" si="8"/>
        <v/>
      </c>
      <c r="AJ40" s="82" t="str">
        <f t="shared" si="8"/>
        <v/>
      </c>
      <c r="AK40" s="82" t="str">
        <f t="shared" si="8"/>
        <v/>
      </c>
      <c r="AL40" s="82" t="str">
        <f t="shared" si="8"/>
        <v/>
      </c>
      <c r="AM40" s="82" t="str">
        <f t="shared" si="8"/>
        <v/>
      </c>
      <c r="AN40" s="82" t="str">
        <f t="shared" si="8"/>
        <v/>
      </c>
      <c r="AO40" s="82" t="str">
        <f t="shared" si="8"/>
        <v/>
      </c>
      <c r="AP40" s="82" t="str">
        <f t="shared" si="8"/>
        <v/>
      </c>
      <c r="AQ40" s="82" t="str">
        <f t="shared" si="8"/>
        <v/>
      </c>
      <c r="AR40" s="82" t="str">
        <f t="shared" si="8"/>
        <v/>
      </c>
      <c r="AS40" s="82" t="str">
        <f t="shared" si="8"/>
        <v/>
      </c>
      <c r="AT40" s="82" t="str">
        <f t="shared" si="8"/>
        <v/>
      </c>
      <c r="AU40" s="82" t="str">
        <f t="shared" si="6"/>
        <v/>
      </c>
      <c r="AV40" s="82" t="str">
        <f t="shared" si="6"/>
        <v/>
      </c>
      <c r="AW40" s="82" t="str">
        <f t="shared" si="6"/>
        <v/>
      </c>
      <c r="AX40" s="82" t="str">
        <f t="shared" si="6"/>
        <v/>
      </c>
      <c r="AY40" s="3"/>
    </row>
    <row r="41" spans="1:51">
      <c r="A41" s="41">
        <v>975074</v>
      </c>
      <c r="B41" s="1">
        <v>82</v>
      </c>
      <c r="C41" s="29" t="str">
        <f t="shared" si="3"/>
        <v>975074-82</v>
      </c>
      <c r="D41" s="28" t="s">
        <v>80</v>
      </c>
      <c r="E41" s="37" t="s">
        <v>84</v>
      </c>
      <c r="F41" s="31">
        <v>42458</v>
      </c>
      <c r="G41" s="38"/>
      <c r="H41" s="31">
        <v>42468</v>
      </c>
      <c r="I41" s="38"/>
      <c r="J41" s="38"/>
      <c r="K41" s="40"/>
      <c r="L41" s="87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2"/>
      <c r="AF41" s="82" t="str">
        <f t="shared" si="9"/>
        <v/>
      </c>
      <c r="AG41" s="82" t="str">
        <f t="shared" si="8"/>
        <v/>
      </c>
      <c r="AH41" s="82" t="str">
        <f t="shared" si="8"/>
        <v/>
      </c>
      <c r="AI41" s="82" t="str">
        <f t="shared" si="8"/>
        <v/>
      </c>
      <c r="AJ41" s="82" t="str">
        <f t="shared" si="8"/>
        <v/>
      </c>
      <c r="AK41" s="82" t="str">
        <f t="shared" si="8"/>
        <v/>
      </c>
      <c r="AL41" s="82" t="str">
        <f t="shared" si="8"/>
        <v/>
      </c>
      <c r="AM41" s="82" t="str">
        <f t="shared" si="8"/>
        <v/>
      </c>
      <c r="AN41" s="82" t="str">
        <f t="shared" si="8"/>
        <v/>
      </c>
      <c r="AO41" s="82" t="str">
        <f t="shared" si="8"/>
        <v/>
      </c>
      <c r="AP41" s="82" t="str">
        <f t="shared" si="8"/>
        <v/>
      </c>
      <c r="AQ41" s="82" t="str">
        <f t="shared" si="8"/>
        <v/>
      </c>
      <c r="AR41" s="82" t="str">
        <f t="shared" si="8"/>
        <v/>
      </c>
      <c r="AS41" s="82" t="str">
        <f t="shared" si="8"/>
        <v/>
      </c>
      <c r="AT41" s="82" t="str">
        <f t="shared" si="8"/>
        <v/>
      </c>
      <c r="AU41" s="82" t="str">
        <f t="shared" si="6"/>
        <v/>
      </c>
      <c r="AV41" s="82" t="str">
        <f t="shared" si="6"/>
        <v/>
      </c>
      <c r="AW41" s="82" t="str">
        <f t="shared" si="6"/>
        <v/>
      </c>
      <c r="AX41" s="82" t="str">
        <f t="shared" si="6"/>
        <v/>
      </c>
      <c r="AY41" s="3"/>
    </row>
    <row r="42" spans="1:51">
      <c r="A42" s="41">
        <v>975074</v>
      </c>
      <c r="B42" s="1">
        <v>83</v>
      </c>
      <c r="C42" s="29" t="str">
        <f t="shared" si="3"/>
        <v>975074-83</v>
      </c>
      <c r="D42" s="28" t="s">
        <v>80</v>
      </c>
      <c r="E42" s="37" t="s">
        <v>90</v>
      </c>
      <c r="F42" s="31">
        <v>42458</v>
      </c>
      <c r="G42" s="38"/>
      <c r="H42" s="31">
        <v>42468</v>
      </c>
      <c r="I42" s="38">
        <v>454</v>
      </c>
      <c r="J42" s="38"/>
      <c r="K42" s="40"/>
      <c r="L42" s="87">
        <v>454</v>
      </c>
      <c r="M42" s="93">
        <v>394</v>
      </c>
      <c r="N42" s="93">
        <v>347</v>
      </c>
      <c r="O42" s="93">
        <v>286</v>
      </c>
      <c r="P42" s="93">
        <v>237</v>
      </c>
      <c r="Q42" s="93">
        <v>186</v>
      </c>
      <c r="R42" s="93">
        <v>160</v>
      </c>
      <c r="S42" s="93">
        <v>127</v>
      </c>
      <c r="T42" s="93">
        <v>113</v>
      </c>
      <c r="U42" s="93">
        <v>83</v>
      </c>
      <c r="V42" s="93">
        <v>68</v>
      </c>
      <c r="W42" s="93">
        <v>57</v>
      </c>
      <c r="X42" s="93"/>
      <c r="Y42" s="93"/>
      <c r="Z42" s="93"/>
      <c r="AA42" s="93"/>
      <c r="AB42" s="93"/>
      <c r="AC42" s="93"/>
      <c r="AD42" s="93"/>
      <c r="AE42" s="2"/>
      <c r="AF42" s="82">
        <f t="shared" si="9"/>
        <v>1</v>
      </c>
      <c r="AG42" s="82">
        <f t="shared" si="8"/>
        <v>0.86784140969162993</v>
      </c>
      <c r="AH42" s="82">
        <f t="shared" si="8"/>
        <v>0.76431718061674003</v>
      </c>
      <c r="AI42" s="82">
        <f t="shared" si="8"/>
        <v>0.62995594713656389</v>
      </c>
      <c r="AJ42" s="82">
        <f t="shared" si="8"/>
        <v>0.52202643171806162</v>
      </c>
      <c r="AK42" s="82">
        <f t="shared" si="8"/>
        <v>0.40969162995594716</v>
      </c>
      <c r="AL42" s="82">
        <f t="shared" si="8"/>
        <v>0.3524229074889868</v>
      </c>
      <c r="AM42" s="82">
        <f t="shared" si="8"/>
        <v>0.27973568281938327</v>
      </c>
      <c r="AN42" s="82">
        <f t="shared" si="8"/>
        <v>0.24889867841409691</v>
      </c>
      <c r="AO42" s="82">
        <f t="shared" si="8"/>
        <v>0.1828193832599119</v>
      </c>
      <c r="AP42" s="82">
        <f t="shared" si="8"/>
        <v>0.14977973568281938</v>
      </c>
      <c r="AQ42" s="82">
        <f t="shared" si="8"/>
        <v>0.12555066079295155</v>
      </c>
      <c r="AR42" s="82" t="str">
        <f t="shared" si="8"/>
        <v/>
      </c>
      <c r="AS42" s="82" t="str">
        <f t="shared" si="8"/>
        <v/>
      </c>
      <c r="AT42" s="82" t="str">
        <f t="shared" si="8"/>
        <v/>
      </c>
      <c r="AU42" s="82" t="str">
        <f t="shared" si="6"/>
        <v/>
      </c>
      <c r="AV42" s="82" t="str">
        <f t="shared" si="6"/>
        <v/>
      </c>
      <c r="AW42" s="82" t="str">
        <f t="shared" si="6"/>
        <v/>
      </c>
      <c r="AX42" s="82" t="str">
        <f t="shared" si="6"/>
        <v/>
      </c>
      <c r="AY42" s="3"/>
    </row>
    <row r="43" spans="1:51">
      <c r="A43" s="41">
        <v>975074</v>
      </c>
      <c r="B43" s="1">
        <v>84</v>
      </c>
      <c r="C43" s="29" t="str">
        <f t="shared" si="3"/>
        <v>975074-84</v>
      </c>
      <c r="D43" s="28" t="s">
        <v>80</v>
      </c>
      <c r="E43" s="37" t="s">
        <v>86</v>
      </c>
      <c r="F43" s="31">
        <v>42458</v>
      </c>
      <c r="G43" s="38"/>
      <c r="H43" s="31">
        <v>42468</v>
      </c>
      <c r="I43" s="38">
        <v>413</v>
      </c>
      <c r="J43" s="38"/>
      <c r="K43" s="40"/>
      <c r="L43" s="87">
        <v>413</v>
      </c>
      <c r="M43" s="93">
        <v>381</v>
      </c>
      <c r="N43" s="93">
        <v>336</v>
      </c>
      <c r="O43" s="93">
        <v>284</v>
      </c>
      <c r="P43" s="93">
        <v>243</v>
      </c>
      <c r="Q43" s="93">
        <v>194</v>
      </c>
      <c r="R43" s="93">
        <v>163</v>
      </c>
      <c r="S43" s="93">
        <v>133</v>
      </c>
      <c r="T43" s="93">
        <v>115</v>
      </c>
      <c r="U43" s="93">
        <v>86</v>
      </c>
      <c r="V43" s="93">
        <v>72</v>
      </c>
      <c r="W43" s="93">
        <v>60</v>
      </c>
      <c r="X43" s="93"/>
      <c r="Y43" s="93"/>
      <c r="Z43" s="93"/>
      <c r="AA43" s="93"/>
      <c r="AB43" s="93"/>
      <c r="AC43" s="93"/>
      <c r="AD43" s="93"/>
      <c r="AE43" s="2"/>
      <c r="AF43" s="82">
        <f t="shared" si="9"/>
        <v>1</v>
      </c>
      <c r="AG43" s="82">
        <f t="shared" si="8"/>
        <v>0.92251815980629537</v>
      </c>
      <c r="AH43" s="82">
        <f t="shared" si="8"/>
        <v>0.81355932203389836</v>
      </c>
      <c r="AI43" s="82">
        <f t="shared" si="8"/>
        <v>0.68765133171912829</v>
      </c>
      <c r="AJ43" s="82">
        <f t="shared" si="8"/>
        <v>0.58837772397094434</v>
      </c>
      <c r="AK43" s="82">
        <f t="shared" si="8"/>
        <v>0.46973365617433416</v>
      </c>
      <c r="AL43" s="82">
        <f t="shared" si="8"/>
        <v>0.39467312348668282</v>
      </c>
      <c r="AM43" s="82">
        <f t="shared" si="8"/>
        <v>0.32203389830508472</v>
      </c>
      <c r="AN43" s="82">
        <f t="shared" si="8"/>
        <v>0.27845036319612593</v>
      </c>
      <c r="AO43" s="82">
        <f t="shared" si="8"/>
        <v>0.20823244552058112</v>
      </c>
      <c r="AP43" s="82">
        <f t="shared" si="8"/>
        <v>0.17433414043583534</v>
      </c>
      <c r="AQ43" s="82">
        <f t="shared" si="8"/>
        <v>0.14527845036319612</v>
      </c>
      <c r="AR43" s="82" t="str">
        <f t="shared" si="8"/>
        <v/>
      </c>
      <c r="AS43" s="82" t="str">
        <f t="shared" si="8"/>
        <v/>
      </c>
      <c r="AT43" s="82" t="str">
        <f t="shared" si="8"/>
        <v/>
      </c>
      <c r="AU43" s="82" t="str">
        <f t="shared" si="6"/>
        <v/>
      </c>
      <c r="AV43" s="82" t="str">
        <f t="shared" si="6"/>
        <v/>
      </c>
      <c r="AW43" s="82" t="str">
        <f t="shared" si="6"/>
        <v/>
      </c>
      <c r="AX43" s="82" t="str">
        <f t="shared" si="6"/>
        <v/>
      </c>
      <c r="AY43" s="3"/>
    </row>
    <row r="44" spans="1:51">
      <c r="A44" s="41">
        <v>975074</v>
      </c>
      <c r="B44" s="1">
        <v>85</v>
      </c>
      <c r="C44" s="29" t="str">
        <f t="shared" si="3"/>
        <v>975074-85</v>
      </c>
      <c r="D44" s="28" t="s">
        <v>80</v>
      </c>
      <c r="E44" s="30" t="s">
        <v>34</v>
      </c>
      <c r="F44" s="31">
        <v>42458</v>
      </c>
      <c r="G44" s="38"/>
      <c r="H44" s="31">
        <v>42468</v>
      </c>
      <c r="I44" s="38"/>
      <c r="J44" s="38"/>
      <c r="K44" s="40"/>
      <c r="L44" s="87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2"/>
      <c r="AF44" s="82" t="str">
        <f t="shared" si="9"/>
        <v/>
      </c>
      <c r="AG44" s="82" t="str">
        <f t="shared" si="8"/>
        <v/>
      </c>
      <c r="AH44" s="82" t="str">
        <f t="shared" si="8"/>
        <v/>
      </c>
      <c r="AI44" s="82" t="str">
        <f t="shared" si="8"/>
        <v/>
      </c>
      <c r="AJ44" s="82" t="str">
        <f t="shared" si="8"/>
        <v/>
      </c>
      <c r="AK44" s="82" t="str">
        <f t="shared" si="8"/>
        <v/>
      </c>
      <c r="AL44" s="82" t="str">
        <f t="shared" si="8"/>
        <v/>
      </c>
      <c r="AM44" s="82" t="str">
        <f t="shared" si="8"/>
        <v/>
      </c>
      <c r="AN44" s="82" t="str">
        <f t="shared" si="8"/>
        <v/>
      </c>
      <c r="AO44" s="82" t="str">
        <f t="shared" si="8"/>
        <v/>
      </c>
      <c r="AP44" s="82" t="str">
        <f t="shared" si="8"/>
        <v/>
      </c>
      <c r="AQ44" s="82" t="str">
        <f t="shared" si="8"/>
        <v/>
      </c>
      <c r="AR44" s="82" t="str">
        <f t="shared" si="8"/>
        <v/>
      </c>
      <c r="AS44" s="82" t="str">
        <f t="shared" si="8"/>
        <v/>
      </c>
      <c r="AT44" s="82" t="str">
        <f t="shared" si="8"/>
        <v/>
      </c>
      <c r="AU44" s="82" t="str">
        <f t="shared" si="6"/>
        <v/>
      </c>
      <c r="AV44" s="82" t="str">
        <f t="shared" si="6"/>
        <v/>
      </c>
      <c r="AW44" s="82" t="str">
        <f t="shared" si="6"/>
        <v/>
      </c>
      <c r="AX44" s="82" t="str">
        <f t="shared" si="6"/>
        <v/>
      </c>
      <c r="AY44" s="3"/>
    </row>
    <row r="45" spans="1:51">
      <c r="A45" s="41">
        <v>975073</v>
      </c>
      <c r="B45" s="1">
        <v>91</v>
      </c>
      <c r="C45" s="29" t="str">
        <f t="shared" si="3"/>
        <v>975073-91</v>
      </c>
      <c r="D45" s="28" t="s">
        <v>80</v>
      </c>
      <c r="E45" s="37" t="s">
        <v>82</v>
      </c>
      <c r="F45" s="31">
        <v>42458</v>
      </c>
      <c r="G45" s="38"/>
      <c r="H45" s="31">
        <v>42468</v>
      </c>
      <c r="I45" s="38">
        <v>581</v>
      </c>
      <c r="J45" s="38"/>
      <c r="K45" s="40"/>
      <c r="L45" s="87">
        <v>581</v>
      </c>
      <c r="M45" s="93">
        <v>479</v>
      </c>
      <c r="N45" s="93">
        <v>431</v>
      </c>
      <c r="O45" s="93">
        <v>359</v>
      </c>
      <c r="P45" s="93">
        <v>294</v>
      </c>
      <c r="Q45" s="93">
        <v>240</v>
      </c>
      <c r="R45" s="93">
        <v>198</v>
      </c>
      <c r="S45" s="93">
        <v>163</v>
      </c>
      <c r="T45" s="93">
        <v>142</v>
      </c>
      <c r="U45" s="93">
        <v>107</v>
      </c>
      <c r="V45" s="93">
        <v>90</v>
      </c>
      <c r="W45" s="93">
        <v>75</v>
      </c>
      <c r="X45" s="93"/>
      <c r="Y45" s="93"/>
      <c r="Z45" s="93"/>
      <c r="AA45" s="93"/>
      <c r="AB45" s="93"/>
      <c r="AC45" s="93"/>
      <c r="AD45" s="93"/>
      <c r="AE45" s="2"/>
      <c r="AF45" s="82">
        <f t="shared" si="9"/>
        <v>1</v>
      </c>
      <c r="AG45" s="82">
        <f t="shared" si="8"/>
        <v>0.82444061962134252</v>
      </c>
      <c r="AH45" s="82">
        <f t="shared" si="8"/>
        <v>0.74182444061962138</v>
      </c>
      <c r="AI45" s="82">
        <f t="shared" si="8"/>
        <v>0.61790017211703963</v>
      </c>
      <c r="AJ45" s="82">
        <f t="shared" si="8"/>
        <v>0.50602409638554213</v>
      </c>
      <c r="AK45" s="82">
        <f t="shared" si="8"/>
        <v>0.41308089500860584</v>
      </c>
      <c r="AL45" s="82">
        <f t="shared" si="8"/>
        <v>0.34079173838209981</v>
      </c>
      <c r="AM45" s="82">
        <f t="shared" si="8"/>
        <v>0.28055077452667815</v>
      </c>
      <c r="AN45" s="82">
        <f t="shared" si="8"/>
        <v>0.24440619621342513</v>
      </c>
      <c r="AO45" s="82">
        <f t="shared" si="8"/>
        <v>0.18416523235800344</v>
      </c>
      <c r="AP45" s="82">
        <f t="shared" si="8"/>
        <v>0.1549053356282272</v>
      </c>
      <c r="AQ45" s="82">
        <f t="shared" si="8"/>
        <v>0.12908777969018934</v>
      </c>
      <c r="AR45" s="82" t="str">
        <f t="shared" si="8"/>
        <v/>
      </c>
      <c r="AS45" s="82" t="str">
        <f t="shared" si="8"/>
        <v/>
      </c>
      <c r="AT45" s="82" t="str">
        <f t="shared" si="8"/>
        <v/>
      </c>
      <c r="AU45" s="82" t="str">
        <f t="shared" si="6"/>
        <v/>
      </c>
      <c r="AV45" s="82" t="str">
        <f t="shared" si="6"/>
        <v/>
      </c>
      <c r="AW45" s="82" t="str">
        <f t="shared" si="6"/>
        <v/>
      </c>
      <c r="AX45" s="82" t="str">
        <f t="shared" si="6"/>
        <v/>
      </c>
      <c r="AY45" s="3"/>
    </row>
    <row r="46" spans="1:51">
      <c r="A46" s="41">
        <v>975073</v>
      </c>
      <c r="B46" s="1">
        <v>92</v>
      </c>
      <c r="C46" s="29" t="str">
        <f t="shared" si="3"/>
        <v>975073-92</v>
      </c>
      <c r="D46" s="28" t="s">
        <v>80</v>
      </c>
      <c r="E46" s="37" t="s">
        <v>84</v>
      </c>
      <c r="F46" s="31">
        <v>42458</v>
      </c>
      <c r="G46" s="38"/>
      <c r="H46" s="31">
        <v>42468</v>
      </c>
      <c r="I46" s="38"/>
      <c r="J46" s="38"/>
      <c r="K46" s="40"/>
      <c r="L46" s="87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2"/>
      <c r="AF46" s="82" t="str">
        <f t="shared" si="9"/>
        <v/>
      </c>
      <c r="AG46" s="82" t="str">
        <f t="shared" si="8"/>
        <v/>
      </c>
      <c r="AH46" s="82" t="str">
        <f t="shared" si="8"/>
        <v/>
      </c>
      <c r="AI46" s="82" t="str">
        <f t="shared" si="8"/>
        <v/>
      </c>
      <c r="AJ46" s="82" t="str">
        <f t="shared" si="8"/>
        <v/>
      </c>
      <c r="AK46" s="82" t="str">
        <f t="shared" si="8"/>
        <v/>
      </c>
      <c r="AL46" s="82" t="str">
        <f t="shared" si="8"/>
        <v/>
      </c>
      <c r="AM46" s="82" t="str">
        <f t="shared" si="8"/>
        <v/>
      </c>
      <c r="AN46" s="82" t="str">
        <f t="shared" si="8"/>
        <v/>
      </c>
      <c r="AO46" s="82" t="str">
        <f t="shared" si="8"/>
        <v/>
      </c>
      <c r="AP46" s="82" t="str">
        <f t="shared" si="8"/>
        <v/>
      </c>
      <c r="AQ46" s="82" t="str">
        <f t="shared" si="8"/>
        <v/>
      </c>
      <c r="AR46" s="82" t="str">
        <f t="shared" si="8"/>
        <v/>
      </c>
      <c r="AS46" s="82" t="str">
        <f t="shared" si="8"/>
        <v/>
      </c>
      <c r="AT46" s="82" t="str">
        <f t="shared" si="8"/>
        <v/>
      </c>
      <c r="AU46" s="82" t="str">
        <f t="shared" si="6"/>
        <v/>
      </c>
      <c r="AV46" s="82" t="str">
        <f t="shared" si="6"/>
        <v/>
      </c>
      <c r="AW46" s="82" t="str">
        <f t="shared" si="6"/>
        <v/>
      </c>
      <c r="AX46" s="82" t="str">
        <f t="shared" si="6"/>
        <v/>
      </c>
      <c r="AY46" s="3"/>
    </row>
    <row r="47" spans="1:51">
      <c r="A47" s="41">
        <v>975073</v>
      </c>
      <c r="B47" s="1">
        <v>93</v>
      </c>
      <c r="C47" s="29" t="str">
        <f t="shared" si="3"/>
        <v>975073-93</v>
      </c>
      <c r="D47" s="28" t="s">
        <v>80</v>
      </c>
      <c r="E47" s="37" t="s">
        <v>85</v>
      </c>
      <c r="F47" s="31">
        <v>42458</v>
      </c>
      <c r="G47" s="38"/>
      <c r="H47" s="31">
        <v>42468</v>
      </c>
      <c r="I47" s="38"/>
      <c r="J47" s="38"/>
      <c r="K47" s="40"/>
      <c r="L47" s="87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2"/>
      <c r="AF47" s="82" t="str">
        <f t="shared" si="9"/>
        <v/>
      </c>
      <c r="AG47" s="82" t="str">
        <f t="shared" si="8"/>
        <v/>
      </c>
      <c r="AH47" s="82" t="str">
        <f t="shared" si="8"/>
        <v/>
      </c>
      <c r="AI47" s="82" t="str">
        <f t="shared" si="8"/>
        <v/>
      </c>
      <c r="AJ47" s="82" t="str">
        <f t="shared" si="8"/>
        <v/>
      </c>
      <c r="AK47" s="82" t="str">
        <f t="shared" si="8"/>
        <v/>
      </c>
      <c r="AL47" s="82" t="str">
        <f t="shared" si="8"/>
        <v/>
      </c>
      <c r="AM47" s="82" t="str">
        <f t="shared" si="8"/>
        <v/>
      </c>
      <c r="AN47" s="82" t="str">
        <f t="shared" si="8"/>
        <v/>
      </c>
      <c r="AO47" s="82" t="str">
        <f t="shared" si="8"/>
        <v/>
      </c>
      <c r="AP47" s="82" t="str">
        <f t="shared" si="8"/>
        <v/>
      </c>
      <c r="AQ47" s="82" t="str">
        <f t="shared" si="8"/>
        <v/>
      </c>
      <c r="AR47" s="82" t="str">
        <f t="shared" si="8"/>
        <v/>
      </c>
      <c r="AS47" s="82" t="str">
        <f t="shared" si="8"/>
        <v/>
      </c>
      <c r="AT47" s="82" t="str">
        <f t="shared" si="8"/>
        <v/>
      </c>
      <c r="AU47" s="82" t="str">
        <f t="shared" si="6"/>
        <v/>
      </c>
      <c r="AV47" s="82" t="str">
        <f t="shared" si="6"/>
        <v/>
      </c>
      <c r="AW47" s="82" t="str">
        <f t="shared" si="6"/>
        <v/>
      </c>
      <c r="AX47" s="82" t="str">
        <f t="shared" si="6"/>
        <v/>
      </c>
      <c r="AY47" s="3"/>
    </row>
    <row r="48" spans="1:51">
      <c r="A48" s="41">
        <v>975073</v>
      </c>
      <c r="B48" s="1">
        <v>94</v>
      </c>
      <c r="C48" s="29" t="str">
        <f t="shared" si="3"/>
        <v>975073-94</v>
      </c>
      <c r="D48" s="28" t="s">
        <v>80</v>
      </c>
      <c r="E48" s="37" t="s">
        <v>82</v>
      </c>
      <c r="F48" s="31">
        <v>42458</v>
      </c>
      <c r="G48" s="38"/>
      <c r="H48" s="31">
        <v>42468</v>
      </c>
      <c r="I48" s="38">
        <v>325</v>
      </c>
      <c r="J48" s="38"/>
      <c r="K48" s="40"/>
      <c r="L48" s="87">
        <v>325</v>
      </c>
      <c r="M48" s="93">
        <v>273</v>
      </c>
      <c r="N48" s="93">
        <v>236</v>
      </c>
      <c r="O48" s="93">
        <v>206</v>
      </c>
      <c r="P48" s="93">
        <v>170</v>
      </c>
      <c r="Q48" s="93">
        <v>132</v>
      </c>
      <c r="R48" s="93">
        <v>111</v>
      </c>
      <c r="S48" s="93">
        <v>88</v>
      </c>
      <c r="T48" s="93">
        <v>79</v>
      </c>
      <c r="U48" s="93">
        <v>57</v>
      </c>
      <c r="V48" s="93">
        <v>49</v>
      </c>
      <c r="W48" s="93">
        <v>41</v>
      </c>
      <c r="X48" s="93"/>
      <c r="Y48" s="93"/>
      <c r="Z48" s="93"/>
      <c r="AA48" s="93"/>
      <c r="AB48" s="93"/>
      <c r="AC48" s="93"/>
      <c r="AD48" s="93"/>
      <c r="AE48" s="2"/>
      <c r="AF48" s="82">
        <f t="shared" si="9"/>
        <v>1</v>
      </c>
      <c r="AG48" s="82">
        <f t="shared" si="8"/>
        <v>0.84</v>
      </c>
      <c r="AH48" s="82">
        <f t="shared" si="8"/>
        <v>0.72615384615384615</v>
      </c>
      <c r="AI48" s="82">
        <f t="shared" si="8"/>
        <v>0.63384615384615384</v>
      </c>
      <c r="AJ48" s="82">
        <f t="shared" si="8"/>
        <v>0.52307692307692311</v>
      </c>
      <c r="AK48" s="82">
        <f t="shared" si="8"/>
        <v>0.40615384615384614</v>
      </c>
      <c r="AL48" s="82">
        <f t="shared" si="8"/>
        <v>0.34153846153846151</v>
      </c>
      <c r="AM48" s="82">
        <f t="shared" si="8"/>
        <v>0.27076923076923076</v>
      </c>
      <c r="AN48" s="82">
        <f t="shared" si="8"/>
        <v>0.24307692307692308</v>
      </c>
      <c r="AO48" s="82">
        <f t="shared" si="8"/>
        <v>0.17538461538461539</v>
      </c>
      <c r="AP48" s="82">
        <f t="shared" si="8"/>
        <v>0.15076923076923077</v>
      </c>
      <c r="AQ48" s="82">
        <f t="shared" si="8"/>
        <v>0.12615384615384614</v>
      </c>
      <c r="AR48" s="82" t="str">
        <f t="shared" si="8"/>
        <v/>
      </c>
      <c r="AS48" s="82" t="str">
        <f t="shared" si="8"/>
        <v/>
      </c>
      <c r="AT48" s="82" t="str">
        <f t="shared" si="8"/>
        <v/>
      </c>
      <c r="AU48" s="82" t="str">
        <f t="shared" si="6"/>
        <v/>
      </c>
      <c r="AV48" s="82" t="str">
        <f t="shared" si="6"/>
        <v/>
      </c>
      <c r="AW48" s="82" t="str">
        <f t="shared" si="6"/>
        <v/>
      </c>
      <c r="AX48" s="82" t="str">
        <f t="shared" si="6"/>
        <v/>
      </c>
      <c r="AY48" s="3"/>
    </row>
    <row r="49" spans="1:51">
      <c r="A49" s="41">
        <v>975073</v>
      </c>
      <c r="B49" s="1">
        <v>95</v>
      </c>
      <c r="C49" s="29" t="str">
        <f t="shared" si="3"/>
        <v>975073-95</v>
      </c>
      <c r="D49" s="28" t="s">
        <v>80</v>
      </c>
      <c r="E49" s="37" t="s">
        <v>86</v>
      </c>
      <c r="F49" s="31">
        <v>42458</v>
      </c>
      <c r="G49" s="38"/>
      <c r="H49" s="31">
        <v>42468</v>
      </c>
      <c r="I49" s="38">
        <v>116</v>
      </c>
      <c r="J49" s="38"/>
      <c r="K49" s="40"/>
      <c r="L49" s="87">
        <v>116</v>
      </c>
      <c r="M49" s="93">
        <v>96</v>
      </c>
      <c r="N49" s="93">
        <v>86</v>
      </c>
      <c r="O49" s="93">
        <v>74</v>
      </c>
      <c r="P49" s="93">
        <v>56</v>
      </c>
      <c r="Q49" s="93">
        <v>45</v>
      </c>
      <c r="R49" s="93">
        <v>37</v>
      </c>
      <c r="S49" s="93">
        <v>29</v>
      </c>
      <c r="T49" s="93">
        <v>25</v>
      </c>
      <c r="U49" s="93">
        <v>22</v>
      </c>
      <c r="V49" s="93">
        <v>18</v>
      </c>
      <c r="W49" s="93">
        <v>14</v>
      </c>
      <c r="X49" s="93"/>
      <c r="Y49" s="93"/>
      <c r="Z49" s="93"/>
      <c r="AA49" s="93"/>
      <c r="AB49" s="93"/>
      <c r="AC49" s="93"/>
      <c r="AD49" s="93"/>
      <c r="AE49" s="2"/>
      <c r="AF49" s="82">
        <f t="shared" si="9"/>
        <v>1</v>
      </c>
      <c r="AG49" s="82">
        <f t="shared" si="8"/>
        <v>0.82758620689655171</v>
      </c>
      <c r="AH49" s="82">
        <f t="shared" si="8"/>
        <v>0.74137931034482762</v>
      </c>
      <c r="AI49" s="82">
        <f t="shared" si="8"/>
        <v>0.63793103448275867</v>
      </c>
      <c r="AJ49" s="82">
        <f t="shared" si="8"/>
        <v>0.48275862068965519</v>
      </c>
      <c r="AK49" s="82">
        <f t="shared" si="8"/>
        <v>0.38793103448275862</v>
      </c>
      <c r="AL49" s="82">
        <f t="shared" si="8"/>
        <v>0.31896551724137934</v>
      </c>
      <c r="AM49" s="82">
        <f t="shared" si="8"/>
        <v>0.25</v>
      </c>
      <c r="AN49" s="82">
        <f t="shared" si="8"/>
        <v>0.21551724137931033</v>
      </c>
      <c r="AO49" s="82">
        <f t="shared" si="8"/>
        <v>0.18965517241379309</v>
      </c>
      <c r="AP49" s="82">
        <f t="shared" si="8"/>
        <v>0.15517241379310345</v>
      </c>
      <c r="AQ49" s="82">
        <f t="shared" si="8"/>
        <v>0.1206896551724138</v>
      </c>
      <c r="AR49" s="82" t="str">
        <f t="shared" si="8"/>
        <v/>
      </c>
      <c r="AS49" s="82" t="str">
        <f t="shared" si="8"/>
        <v/>
      </c>
      <c r="AT49" s="82" t="str">
        <f t="shared" si="8"/>
        <v/>
      </c>
      <c r="AU49" s="82" t="str">
        <f t="shared" si="6"/>
        <v/>
      </c>
      <c r="AV49" s="82" t="str">
        <f t="shared" si="6"/>
        <v/>
      </c>
      <c r="AW49" s="82" t="str">
        <f t="shared" si="6"/>
        <v/>
      </c>
      <c r="AX49" s="82" t="str">
        <f t="shared" si="6"/>
        <v/>
      </c>
      <c r="AY49" s="3"/>
    </row>
    <row r="50" spans="1:51">
      <c r="A50" s="41">
        <v>961176</v>
      </c>
      <c r="B50" s="1">
        <v>101</v>
      </c>
      <c r="C50" s="29" t="str">
        <f t="shared" si="3"/>
        <v>961176-101</v>
      </c>
      <c r="D50" s="28" t="s">
        <v>80</v>
      </c>
      <c r="E50" s="37" t="s">
        <v>89</v>
      </c>
      <c r="F50" s="31">
        <v>42458</v>
      </c>
      <c r="G50" s="38"/>
      <c r="H50" s="31">
        <v>42468</v>
      </c>
      <c r="I50" s="38">
        <v>186</v>
      </c>
      <c r="J50" s="38"/>
      <c r="K50" s="40"/>
      <c r="L50" s="87">
        <v>186</v>
      </c>
      <c r="M50" s="93">
        <v>166</v>
      </c>
      <c r="N50" s="93">
        <v>137</v>
      </c>
      <c r="O50" s="93">
        <v>107</v>
      </c>
      <c r="P50" s="93">
        <v>93</v>
      </c>
      <c r="Q50" s="93">
        <v>74</v>
      </c>
      <c r="R50" s="93">
        <v>62</v>
      </c>
      <c r="S50" s="93">
        <v>51</v>
      </c>
      <c r="T50" s="93">
        <v>44</v>
      </c>
      <c r="U50" s="93">
        <v>32</v>
      </c>
      <c r="V50" s="93">
        <v>28</v>
      </c>
      <c r="W50" s="93">
        <v>24</v>
      </c>
      <c r="X50" s="93"/>
      <c r="Y50" s="93"/>
      <c r="Z50" s="93"/>
      <c r="AA50" s="93"/>
      <c r="AB50" s="93"/>
      <c r="AC50" s="93"/>
      <c r="AD50" s="93"/>
      <c r="AE50" s="2"/>
      <c r="AF50" s="82">
        <f t="shared" si="9"/>
        <v>1</v>
      </c>
      <c r="AG50" s="82">
        <f t="shared" si="8"/>
        <v>0.89247311827956988</v>
      </c>
      <c r="AH50" s="82">
        <f t="shared" si="8"/>
        <v>0.73655913978494625</v>
      </c>
      <c r="AI50" s="82">
        <f t="shared" si="8"/>
        <v>0.57526881720430112</v>
      </c>
      <c r="AJ50" s="82">
        <f t="shared" si="8"/>
        <v>0.5</v>
      </c>
      <c r="AK50" s="82">
        <f t="shared" si="8"/>
        <v>0.39784946236559138</v>
      </c>
      <c r="AL50" s="82">
        <f t="shared" si="8"/>
        <v>0.33333333333333331</v>
      </c>
      <c r="AM50" s="82">
        <f t="shared" si="8"/>
        <v>0.27419354838709675</v>
      </c>
      <c r="AN50" s="82">
        <f t="shared" si="8"/>
        <v>0.23655913978494625</v>
      </c>
      <c r="AO50" s="82">
        <f t="shared" si="8"/>
        <v>0.17204301075268819</v>
      </c>
      <c r="AP50" s="82">
        <f t="shared" si="8"/>
        <v>0.15053763440860216</v>
      </c>
      <c r="AQ50" s="82">
        <f t="shared" si="8"/>
        <v>0.12903225806451613</v>
      </c>
      <c r="AR50" s="82" t="str">
        <f t="shared" si="8"/>
        <v/>
      </c>
      <c r="AS50" s="82" t="str">
        <f t="shared" si="8"/>
        <v/>
      </c>
      <c r="AT50" s="82" t="str">
        <f t="shared" si="8"/>
        <v/>
      </c>
      <c r="AU50" s="82" t="str">
        <f t="shared" si="6"/>
        <v/>
      </c>
      <c r="AV50" s="82" t="str">
        <f t="shared" si="6"/>
        <v/>
      </c>
      <c r="AW50" s="82" t="str">
        <f t="shared" si="6"/>
        <v/>
      </c>
      <c r="AX50" s="82" t="str">
        <f t="shared" si="6"/>
        <v/>
      </c>
      <c r="AY50" s="3"/>
    </row>
    <row r="51" spans="1:51">
      <c r="A51" s="41">
        <v>961176</v>
      </c>
      <c r="B51" s="1">
        <v>102</v>
      </c>
      <c r="C51" s="29" t="str">
        <f t="shared" si="3"/>
        <v>961176-102</v>
      </c>
      <c r="D51" s="28" t="s">
        <v>80</v>
      </c>
      <c r="E51" s="37" t="s">
        <v>90</v>
      </c>
      <c r="F51" s="31">
        <v>42458</v>
      </c>
      <c r="G51" s="38"/>
      <c r="H51" s="31">
        <v>42468</v>
      </c>
      <c r="I51" s="38">
        <v>311</v>
      </c>
      <c r="J51" s="38"/>
      <c r="K51" s="40"/>
      <c r="L51" s="87">
        <v>311</v>
      </c>
      <c r="M51" s="93">
        <v>285</v>
      </c>
      <c r="N51" s="93">
        <v>247</v>
      </c>
      <c r="O51" s="93">
        <v>206</v>
      </c>
      <c r="P51" s="93">
        <v>166</v>
      </c>
      <c r="Q51" s="93">
        <v>136</v>
      </c>
      <c r="R51" s="93">
        <v>112</v>
      </c>
      <c r="S51" s="93">
        <v>90</v>
      </c>
      <c r="T51" s="93">
        <v>80</v>
      </c>
      <c r="U51" s="93">
        <v>57</v>
      </c>
      <c r="V51" s="93"/>
      <c r="W51" s="93"/>
      <c r="X51" s="93"/>
      <c r="Y51" s="93"/>
      <c r="Z51" s="93"/>
      <c r="AA51" s="93"/>
      <c r="AB51" s="93"/>
      <c r="AC51" s="93"/>
      <c r="AD51" s="93"/>
      <c r="AE51" s="2"/>
      <c r="AF51" s="82">
        <f t="shared" si="9"/>
        <v>1</v>
      </c>
      <c r="AG51" s="82">
        <f t="shared" si="8"/>
        <v>0.91639871382636651</v>
      </c>
      <c r="AH51" s="82">
        <f t="shared" si="8"/>
        <v>0.79421221864951763</v>
      </c>
      <c r="AI51" s="82">
        <f t="shared" si="8"/>
        <v>0.66237942122186499</v>
      </c>
      <c r="AJ51" s="82">
        <f t="shared" si="8"/>
        <v>0.5337620578778135</v>
      </c>
      <c r="AK51" s="82">
        <f t="shared" si="8"/>
        <v>0.43729903536977494</v>
      </c>
      <c r="AL51" s="82">
        <f t="shared" si="8"/>
        <v>0.36012861736334406</v>
      </c>
      <c r="AM51" s="82">
        <f t="shared" si="8"/>
        <v>0.28938906752411575</v>
      </c>
      <c r="AN51" s="82">
        <f t="shared" si="8"/>
        <v>0.25723472668810288</v>
      </c>
      <c r="AO51" s="82">
        <f t="shared" si="8"/>
        <v>0.18327974276527331</v>
      </c>
      <c r="AP51" s="82" t="str">
        <f t="shared" si="8"/>
        <v/>
      </c>
      <c r="AQ51" s="82" t="str">
        <f t="shared" si="8"/>
        <v/>
      </c>
      <c r="AR51" s="82" t="str">
        <f t="shared" si="8"/>
        <v/>
      </c>
      <c r="AS51" s="82" t="str">
        <f t="shared" si="8"/>
        <v/>
      </c>
      <c r="AT51" s="82" t="str">
        <f t="shared" si="8"/>
        <v/>
      </c>
      <c r="AU51" s="82" t="str">
        <f t="shared" si="6"/>
        <v/>
      </c>
      <c r="AV51" s="82" t="str">
        <f t="shared" si="6"/>
        <v/>
      </c>
      <c r="AW51" s="82" t="str">
        <f t="shared" si="6"/>
        <v/>
      </c>
      <c r="AX51" s="82" t="str">
        <f t="shared" si="6"/>
        <v/>
      </c>
      <c r="AY51" s="3"/>
    </row>
    <row r="52" spans="1:51">
      <c r="A52" s="41">
        <v>961176</v>
      </c>
      <c r="B52" s="1">
        <v>103</v>
      </c>
      <c r="C52" s="29" t="str">
        <f t="shared" si="3"/>
        <v>961176-103</v>
      </c>
      <c r="D52" s="28" t="s">
        <v>80</v>
      </c>
      <c r="E52" s="37" t="s">
        <v>88</v>
      </c>
      <c r="F52" s="31">
        <v>42458</v>
      </c>
      <c r="G52" s="38"/>
      <c r="H52" s="31">
        <v>42468</v>
      </c>
      <c r="I52" s="38"/>
      <c r="J52" s="38"/>
      <c r="K52" s="40"/>
      <c r="L52" s="87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2"/>
      <c r="AF52" s="82" t="str">
        <f t="shared" si="9"/>
        <v/>
      </c>
      <c r="AG52" s="82" t="str">
        <f t="shared" si="8"/>
        <v/>
      </c>
      <c r="AH52" s="82" t="str">
        <f t="shared" si="8"/>
        <v/>
      </c>
      <c r="AI52" s="82" t="str">
        <f t="shared" si="8"/>
        <v/>
      </c>
      <c r="AJ52" s="82" t="str">
        <f t="shared" si="8"/>
        <v/>
      </c>
      <c r="AK52" s="82" t="str">
        <f t="shared" si="8"/>
        <v/>
      </c>
      <c r="AL52" s="82" t="str">
        <f t="shared" si="8"/>
        <v/>
      </c>
      <c r="AM52" s="82" t="str">
        <f t="shared" si="8"/>
        <v/>
      </c>
      <c r="AN52" s="82" t="str">
        <f t="shared" si="8"/>
        <v/>
      </c>
      <c r="AO52" s="82" t="str">
        <f t="shared" si="8"/>
        <v/>
      </c>
      <c r="AP52" s="82" t="str">
        <f t="shared" si="8"/>
        <v/>
      </c>
      <c r="AQ52" s="82" t="str">
        <f t="shared" si="8"/>
        <v/>
      </c>
      <c r="AR52" s="82" t="str">
        <f t="shared" si="8"/>
        <v/>
      </c>
      <c r="AS52" s="82" t="str">
        <f t="shared" si="8"/>
        <v/>
      </c>
      <c r="AT52" s="82" t="str">
        <f t="shared" si="8"/>
        <v/>
      </c>
      <c r="AU52" s="82" t="str">
        <f t="shared" si="8"/>
        <v/>
      </c>
      <c r="AV52" s="82" t="str">
        <f t="shared" si="8"/>
        <v/>
      </c>
      <c r="AW52" s="82" t="str">
        <f t="shared" ref="AW52:AX53" si="10">IF(OR(ISERROR(AC52/$I52)=TRUE,ISBLANK(AC52)=TRUE),"",AC52/$I52)</f>
        <v/>
      </c>
      <c r="AX52" s="82" t="str">
        <f t="shared" si="10"/>
        <v/>
      </c>
      <c r="AY52" s="3"/>
    </row>
    <row r="53" spans="1:51">
      <c r="A53" s="42">
        <v>961176</v>
      </c>
      <c r="B53" s="4">
        <v>105</v>
      </c>
      <c r="C53" s="100" t="str">
        <f t="shared" si="3"/>
        <v>961176-105</v>
      </c>
      <c r="D53" s="28" t="s">
        <v>80</v>
      </c>
      <c r="E53" s="37" t="s">
        <v>82</v>
      </c>
      <c r="F53" s="31">
        <v>42458</v>
      </c>
      <c r="G53" s="45"/>
      <c r="H53" s="31">
        <v>42468</v>
      </c>
      <c r="I53" s="45">
        <v>258</v>
      </c>
      <c r="J53" s="45"/>
      <c r="K53" s="48"/>
      <c r="L53" s="102">
        <v>258</v>
      </c>
      <c r="M53" s="94">
        <v>216</v>
      </c>
      <c r="N53" s="94">
        <v>203</v>
      </c>
      <c r="O53" s="94">
        <v>164</v>
      </c>
      <c r="P53" s="94">
        <v>138</v>
      </c>
      <c r="Q53" s="94">
        <v>112</v>
      </c>
      <c r="R53" s="94">
        <v>93</v>
      </c>
      <c r="S53" s="94">
        <v>74</v>
      </c>
      <c r="T53" s="94">
        <v>64</v>
      </c>
      <c r="U53" s="94">
        <v>47</v>
      </c>
      <c r="V53" s="94">
        <v>40</v>
      </c>
      <c r="W53" s="94">
        <v>33</v>
      </c>
      <c r="X53" s="94"/>
      <c r="Y53" s="94"/>
      <c r="Z53" s="94"/>
      <c r="AA53" s="94"/>
      <c r="AB53" s="94"/>
      <c r="AC53" s="94"/>
      <c r="AD53" s="94"/>
      <c r="AE53" s="5"/>
      <c r="AF53" s="82">
        <f t="shared" si="9"/>
        <v>1</v>
      </c>
      <c r="AG53" s="82">
        <f t="shared" si="8"/>
        <v>0.83720930232558144</v>
      </c>
      <c r="AH53" s="82">
        <f t="shared" si="8"/>
        <v>0.78682170542635654</v>
      </c>
      <c r="AI53" s="82">
        <f t="shared" si="8"/>
        <v>0.63565891472868219</v>
      </c>
      <c r="AJ53" s="82">
        <f t="shared" si="8"/>
        <v>0.53488372093023251</v>
      </c>
      <c r="AK53" s="82">
        <f t="shared" si="8"/>
        <v>0.43410852713178294</v>
      </c>
      <c r="AL53" s="82">
        <f t="shared" si="8"/>
        <v>0.36046511627906974</v>
      </c>
      <c r="AM53" s="82">
        <f t="shared" si="8"/>
        <v>0.2868217054263566</v>
      </c>
      <c r="AN53" s="82">
        <f t="shared" si="8"/>
        <v>0.24806201550387597</v>
      </c>
      <c r="AO53" s="82">
        <f t="shared" si="8"/>
        <v>0.18217054263565891</v>
      </c>
      <c r="AP53" s="82">
        <f t="shared" si="8"/>
        <v>0.15503875968992248</v>
      </c>
      <c r="AQ53" s="82">
        <f t="shared" si="8"/>
        <v>0.12790697674418605</v>
      </c>
      <c r="AR53" s="82" t="str">
        <f t="shared" si="8"/>
        <v/>
      </c>
      <c r="AS53" s="82" t="str">
        <f t="shared" si="8"/>
        <v/>
      </c>
      <c r="AT53" s="82" t="str">
        <f t="shared" si="8"/>
        <v/>
      </c>
      <c r="AU53" s="82" t="str">
        <f t="shared" si="8"/>
        <v/>
      </c>
      <c r="AV53" s="82" t="str">
        <f t="shared" si="8"/>
        <v/>
      </c>
      <c r="AW53" s="82" t="str">
        <f t="shared" si="10"/>
        <v/>
      </c>
      <c r="AX53" s="82" t="str">
        <f t="shared" si="10"/>
        <v/>
      </c>
      <c r="AY53" s="3"/>
    </row>
    <row r="54" spans="1:51">
      <c r="A54" s="240"/>
      <c r="B54" s="241"/>
      <c r="C54" s="242"/>
      <c r="D54" s="241"/>
      <c r="E54" s="243"/>
      <c r="F54" s="244"/>
      <c r="G54" s="245"/>
      <c r="H54" s="244"/>
      <c r="I54" s="245"/>
      <c r="J54" s="245"/>
      <c r="K54" s="241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</row>
    <row r="55" spans="1:51" ht="15" customHeight="1">
      <c r="E55" s="104" t="s">
        <v>21</v>
      </c>
      <c r="H55" s="287" t="s">
        <v>22</v>
      </c>
      <c r="I55" s="287"/>
      <c r="J55" s="287"/>
      <c r="K55" s="280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146" t="s">
        <v>22</v>
      </c>
      <c r="AF55" s="172">
        <f t="shared" ref="AF55:AX55" si="11">EXP(AF4*-LN(2)/8.0197)</f>
        <v>1</v>
      </c>
      <c r="AG55" s="172">
        <f t="shared" si="11"/>
        <v>0.91719923476942955</v>
      </c>
      <c r="AH55" s="172">
        <f t="shared" si="11"/>
        <v>0.8412544362616271</v>
      </c>
      <c r="AI55" s="172">
        <f t="shared" si="11"/>
        <v>0.707709026529868</v>
      </c>
      <c r="AJ55" s="172">
        <f t="shared" si="11"/>
        <v>0.59536335815064911</v>
      </c>
      <c r="AK55" s="172">
        <f t="shared" si="11"/>
        <v>0.50085206623185352</v>
      </c>
      <c r="AL55" s="172">
        <f t="shared" si="11"/>
        <v>0.42134402262834902</v>
      </c>
      <c r="AM55" s="172">
        <f t="shared" si="11"/>
        <v>0.35445752822841803</v>
      </c>
      <c r="AN55" s="172">
        <f t="shared" si="11"/>
        <v>0.2981889680884876</v>
      </c>
      <c r="AO55" s="172">
        <f t="shared" si="11"/>
        <v>0.23008198909029784</v>
      </c>
      <c r="AP55" s="172">
        <f t="shared" si="11"/>
        <v>0.19355749402611236</v>
      </c>
      <c r="AQ55" s="172">
        <f t="shared" si="11"/>
        <v>0.16283110052115041</v>
      </c>
      <c r="AR55" s="172" t="e">
        <f t="shared" si="11"/>
        <v>#NUM!</v>
      </c>
      <c r="AS55" s="172" t="e">
        <f t="shared" si="11"/>
        <v>#NUM!</v>
      </c>
      <c r="AT55" s="172" t="e">
        <f t="shared" si="11"/>
        <v>#NUM!</v>
      </c>
      <c r="AU55" s="172" t="e">
        <f t="shared" si="11"/>
        <v>#NUM!</v>
      </c>
      <c r="AV55" s="172" t="e">
        <f t="shared" si="11"/>
        <v>#NUM!</v>
      </c>
      <c r="AW55" s="172" t="e">
        <f t="shared" si="11"/>
        <v>#NUM!</v>
      </c>
      <c r="AX55" s="173" t="e">
        <f t="shared" si="11"/>
        <v>#NUM!</v>
      </c>
      <c r="AY55" s="109"/>
    </row>
    <row r="56" spans="1:51">
      <c r="H56" s="273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150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09"/>
    </row>
    <row r="57" spans="1:51" ht="14.25" customHeight="1">
      <c r="A57" s="59"/>
      <c r="B57" s="59"/>
      <c r="C57" s="59"/>
      <c r="E57" s="104" t="s">
        <v>20</v>
      </c>
      <c r="H57" s="286" t="s">
        <v>20</v>
      </c>
      <c r="I57" s="63">
        <f>AVERAGE(I5:I53)</f>
        <v>324.2</v>
      </c>
      <c r="K57" s="216" t="s">
        <v>10</v>
      </c>
      <c r="L57" s="87">
        <f t="shared" ref="L57:AD57" si="12">AVERAGE(L5:L53)</f>
        <v>324.2</v>
      </c>
      <c r="M57" s="87">
        <f t="shared" si="12"/>
        <v>282.32</v>
      </c>
      <c r="N57" s="87">
        <f t="shared" si="12"/>
        <v>250.92</v>
      </c>
      <c r="O57" s="87">
        <f t="shared" si="12"/>
        <v>206.68</v>
      </c>
      <c r="P57" s="87">
        <f t="shared" si="12"/>
        <v>171.32</v>
      </c>
      <c r="Q57" s="87">
        <f t="shared" si="12"/>
        <v>138.04</v>
      </c>
      <c r="R57" s="87">
        <f t="shared" si="12"/>
        <v>115.96</v>
      </c>
      <c r="S57" s="87">
        <f t="shared" si="12"/>
        <v>92.68</v>
      </c>
      <c r="T57" s="87">
        <f t="shared" si="12"/>
        <v>80.88</v>
      </c>
      <c r="U57" s="87">
        <f t="shared" si="12"/>
        <v>59.4</v>
      </c>
      <c r="V57" s="87">
        <f t="shared" si="12"/>
        <v>51.375</v>
      </c>
      <c r="W57" s="87">
        <f t="shared" si="12"/>
        <v>40.833333333333336</v>
      </c>
      <c r="X57" s="87" t="e">
        <f t="shared" si="12"/>
        <v>#DIV/0!</v>
      </c>
      <c r="Y57" s="87" t="e">
        <f t="shared" si="12"/>
        <v>#DIV/0!</v>
      </c>
      <c r="Z57" s="87" t="e">
        <f t="shared" si="12"/>
        <v>#DIV/0!</v>
      </c>
      <c r="AA57" s="87" t="e">
        <f t="shared" si="12"/>
        <v>#DIV/0!</v>
      </c>
      <c r="AB57" s="87" t="e">
        <f t="shared" si="12"/>
        <v>#DIV/0!</v>
      </c>
      <c r="AC57" s="87" t="e">
        <f t="shared" si="12"/>
        <v>#DIV/0!</v>
      </c>
      <c r="AD57" s="87" t="e">
        <f t="shared" si="12"/>
        <v>#DIV/0!</v>
      </c>
      <c r="AE57" s="146" t="s">
        <v>10</v>
      </c>
      <c r="AF57" s="82">
        <f t="shared" ref="AF57:AX57" si="13">AVERAGE(AF5:AF53)</f>
        <v>1</v>
      </c>
      <c r="AG57" s="82">
        <f t="shared" si="13"/>
        <v>0.86831856475956082</v>
      </c>
      <c r="AH57" s="82">
        <f t="shared" si="13"/>
        <v>0.77364661408366564</v>
      </c>
      <c r="AI57" s="82">
        <f t="shared" si="13"/>
        <v>0.63595932014955747</v>
      </c>
      <c r="AJ57" s="82">
        <f t="shared" si="13"/>
        <v>0.52830909470400322</v>
      </c>
      <c r="AK57" s="82">
        <f t="shared" si="13"/>
        <v>0.42355017077434981</v>
      </c>
      <c r="AL57" s="82">
        <f t="shared" si="13"/>
        <v>0.35709612362895404</v>
      </c>
      <c r="AM57" s="82">
        <f t="shared" si="13"/>
        <v>0.28462318871783882</v>
      </c>
      <c r="AN57" s="82">
        <f t="shared" si="13"/>
        <v>0.24795992926015856</v>
      </c>
      <c r="AO57" s="82">
        <f t="shared" si="13"/>
        <v>0.18100047500366601</v>
      </c>
      <c r="AP57" s="82">
        <f t="shared" si="13"/>
        <v>0.15656003164805551</v>
      </c>
      <c r="AQ57" s="82">
        <f t="shared" si="13"/>
        <v>0.12563340234091139</v>
      </c>
      <c r="AR57" s="82" t="e">
        <f t="shared" si="13"/>
        <v>#DIV/0!</v>
      </c>
      <c r="AS57" s="82" t="e">
        <f t="shared" si="13"/>
        <v>#DIV/0!</v>
      </c>
      <c r="AT57" s="82" t="e">
        <f t="shared" si="13"/>
        <v>#DIV/0!</v>
      </c>
      <c r="AU57" s="82" t="e">
        <f t="shared" si="13"/>
        <v>#DIV/0!</v>
      </c>
      <c r="AV57" s="82" t="e">
        <f t="shared" si="13"/>
        <v>#DIV/0!</v>
      </c>
      <c r="AW57" s="82" t="e">
        <f t="shared" si="13"/>
        <v>#DIV/0!</v>
      </c>
      <c r="AX57" s="82" t="e">
        <f t="shared" si="13"/>
        <v>#DIV/0!</v>
      </c>
      <c r="AY57" s="85"/>
    </row>
    <row r="58" spans="1:51" ht="14.25" customHeight="1">
      <c r="E58" s="254"/>
      <c r="H58" s="286"/>
      <c r="I58" s="63">
        <f>_xlfn.STDEV.P(I5:I53)</f>
        <v>133.15554813825821</v>
      </c>
      <c r="K58" s="216" t="s">
        <v>12</v>
      </c>
      <c r="L58" s="90">
        <f t="shared" ref="L58:AD58" si="14">STDEVA(L5:L53)</f>
        <v>135.90131223305633</v>
      </c>
      <c r="M58" s="90">
        <f t="shared" si="14"/>
        <v>120.14738171651237</v>
      </c>
      <c r="N58" s="90">
        <f t="shared" si="14"/>
        <v>106.0463420711279</v>
      </c>
      <c r="O58" s="90">
        <f t="shared" si="14"/>
        <v>87.712465856722233</v>
      </c>
      <c r="P58" s="90">
        <f t="shared" si="14"/>
        <v>71.498671316325854</v>
      </c>
      <c r="Q58" s="90">
        <f t="shared" si="14"/>
        <v>58.715046339645063</v>
      </c>
      <c r="R58" s="90">
        <f t="shared" si="14"/>
        <v>48.484946117325954</v>
      </c>
      <c r="S58" s="90">
        <f t="shared" si="14"/>
        <v>39.538715204214718</v>
      </c>
      <c r="T58" s="90">
        <f t="shared" si="14"/>
        <v>34.769862429025139</v>
      </c>
      <c r="U58" s="90">
        <f t="shared" si="14"/>
        <v>25.940637360455632</v>
      </c>
      <c r="V58" s="90">
        <f t="shared" si="14"/>
        <v>22.496014139707352</v>
      </c>
      <c r="W58" s="90">
        <f t="shared" si="14"/>
        <v>17.038745275979398</v>
      </c>
      <c r="X58" s="90" t="e">
        <f t="shared" si="14"/>
        <v>#DIV/0!</v>
      </c>
      <c r="Y58" s="90" t="e">
        <f t="shared" si="14"/>
        <v>#DIV/0!</v>
      </c>
      <c r="Z58" s="90" t="e">
        <f t="shared" si="14"/>
        <v>#DIV/0!</v>
      </c>
      <c r="AA58" s="90" t="e">
        <f t="shared" si="14"/>
        <v>#DIV/0!</v>
      </c>
      <c r="AB58" s="90" t="e">
        <f t="shared" si="14"/>
        <v>#DIV/0!</v>
      </c>
      <c r="AC58" s="90" t="e">
        <f t="shared" si="14"/>
        <v>#DIV/0!</v>
      </c>
      <c r="AD58" s="90" t="e">
        <f t="shared" si="14"/>
        <v>#DIV/0!</v>
      </c>
      <c r="AE58" s="152" t="s">
        <v>12</v>
      </c>
      <c r="AF58" s="83">
        <f t="shared" ref="AF58:AX58" si="15">STDEVA(AF5:AF53)</f>
        <v>0.50507627227610541</v>
      </c>
      <c r="AG58" s="83">
        <f t="shared" si="15"/>
        <v>0.43966573792080704</v>
      </c>
      <c r="AH58" s="83">
        <f t="shared" si="15"/>
        <v>0.39219071692062635</v>
      </c>
      <c r="AI58" s="83">
        <f t="shared" si="15"/>
        <v>0.32211113937751334</v>
      </c>
      <c r="AJ58" s="83">
        <f t="shared" si="15"/>
        <v>0.26763793604270447</v>
      </c>
      <c r="AK58" s="83">
        <f t="shared" si="15"/>
        <v>0.21464669868327782</v>
      </c>
      <c r="AL58" s="83">
        <f t="shared" si="15"/>
        <v>0.18087551128440316</v>
      </c>
      <c r="AM58" s="83">
        <f t="shared" si="15"/>
        <v>0.144382736008765</v>
      </c>
      <c r="AN58" s="83">
        <f t="shared" si="15"/>
        <v>0.1258125696290221</v>
      </c>
      <c r="AO58" s="83">
        <f t="shared" si="15"/>
        <v>9.1882628563850988E-2</v>
      </c>
      <c r="AP58" s="83">
        <f t="shared" si="15"/>
        <v>7.9522641076955003E-2</v>
      </c>
      <c r="AQ58" s="83">
        <f t="shared" si="15"/>
        <v>6.3866556129646854E-2</v>
      </c>
      <c r="AR58" s="83">
        <f t="shared" si="15"/>
        <v>0</v>
      </c>
      <c r="AS58" s="83">
        <f t="shared" si="15"/>
        <v>0</v>
      </c>
      <c r="AT58" s="83">
        <f t="shared" si="15"/>
        <v>0</v>
      </c>
      <c r="AU58" s="83">
        <f t="shared" si="15"/>
        <v>0</v>
      </c>
      <c r="AV58" s="83">
        <f t="shared" si="15"/>
        <v>0</v>
      </c>
      <c r="AW58" s="83">
        <f t="shared" si="15"/>
        <v>0</v>
      </c>
      <c r="AX58" s="83">
        <f t="shared" si="15"/>
        <v>0</v>
      </c>
      <c r="AY58" s="85"/>
    </row>
    <row r="59" spans="1:51" ht="12.75" customHeight="1">
      <c r="A59" s="129"/>
      <c r="E59" s="104"/>
      <c r="K59" s="150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150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147"/>
    </row>
    <row r="60" spans="1:51" ht="14.25" customHeight="1">
      <c r="A60" s="129"/>
      <c r="E60" s="134" t="str">
        <f>'PTX_DOSE Groups'!C6</f>
        <v>PBS Control</v>
      </c>
      <c r="H60" s="134" t="str">
        <f>E60</f>
        <v>PBS Control</v>
      </c>
      <c r="I60" s="256" t="e">
        <f>AVERAGEIF($E$5:$E$53,$E60,I$5:I$53)</f>
        <v>#DIV/0!</v>
      </c>
      <c r="J60" s="256"/>
      <c r="K60" s="216" t="s">
        <v>10</v>
      </c>
      <c r="L60" s="87" t="e">
        <f t="shared" ref="L60:AD60" si="16">AVERAGEIF($E$5:$E$53,$E60,L$5:L$53)</f>
        <v>#DIV/0!</v>
      </c>
      <c r="M60" s="87" t="e">
        <f t="shared" si="16"/>
        <v>#DIV/0!</v>
      </c>
      <c r="N60" s="87" t="e">
        <f t="shared" si="16"/>
        <v>#DIV/0!</v>
      </c>
      <c r="O60" s="87" t="e">
        <f t="shared" si="16"/>
        <v>#DIV/0!</v>
      </c>
      <c r="P60" s="87" t="e">
        <f t="shared" si="16"/>
        <v>#DIV/0!</v>
      </c>
      <c r="Q60" s="87" t="e">
        <f t="shared" si="16"/>
        <v>#DIV/0!</v>
      </c>
      <c r="R60" s="87" t="e">
        <f t="shared" si="16"/>
        <v>#DIV/0!</v>
      </c>
      <c r="S60" s="87" t="e">
        <f t="shared" si="16"/>
        <v>#DIV/0!</v>
      </c>
      <c r="T60" s="87" t="e">
        <f t="shared" si="16"/>
        <v>#DIV/0!</v>
      </c>
      <c r="U60" s="87" t="e">
        <f t="shared" si="16"/>
        <v>#DIV/0!</v>
      </c>
      <c r="V60" s="87" t="e">
        <f t="shared" si="16"/>
        <v>#DIV/0!</v>
      </c>
      <c r="W60" s="87" t="e">
        <f t="shared" si="16"/>
        <v>#DIV/0!</v>
      </c>
      <c r="X60" s="87" t="e">
        <f t="shared" si="16"/>
        <v>#DIV/0!</v>
      </c>
      <c r="Y60" s="87" t="e">
        <f t="shared" si="16"/>
        <v>#DIV/0!</v>
      </c>
      <c r="Z60" s="87" t="e">
        <f t="shared" si="16"/>
        <v>#DIV/0!</v>
      </c>
      <c r="AA60" s="87" t="e">
        <f t="shared" si="16"/>
        <v>#DIV/0!</v>
      </c>
      <c r="AB60" s="87" t="e">
        <f t="shared" si="16"/>
        <v>#DIV/0!</v>
      </c>
      <c r="AC60" s="87" t="e">
        <f t="shared" si="16"/>
        <v>#DIV/0!</v>
      </c>
      <c r="AD60" s="87" t="e">
        <f t="shared" si="16"/>
        <v>#DIV/0!</v>
      </c>
      <c r="AE60" s="153" t="s">
        <v>10</v>
      </c>
      <c r="AF60" s="82" t="e">
        <f t="shared" ref="AF60:AX60" si="17">AVERAGEIF($E$5:$E$53,$E60,AF$5:AF$53)</f>
        <v>#DIV/0!</v>
      </c>
      <c r="AG60" s="82" t="e">
        <f t="shared" si="17"/>
        <v>#DIV/0!</v>
      </c>
      <c r="AH60" s="82" t="e">
        <f t="shared" si="17"/>
        <v>#DIV/0!</v>
      </c>
      <c r="AI60" s="82" t="e">
        <f t="shared" si="17"/>
        <v>#DIV/0!</v>
      </c>
      <c r="AJ60" s="82" t="e">
        <f t="shared" si="17"/>
        <v>#DIV/0!</v>
      </c>
      <c r="AK60" s="82" t="e">
        <f t="shared" si="17"/>
        <v>#DIV/0!</v>
      </c>
      <c r="AL60" s="82" t="e">
        <f t="shared" si="17"/>
        <v>#DIV/0!</v>
      </c>
      <c r="AM60" s="82" t="e">
        <f t="shared" si="17"/>
        <v>#DIV/0!</v>
      </c>
      <c r="AN60" s="82" t="e">
        <f t="shared" si="17"/>
        <v>#DIV/0!</v>
      </c>
      <c r="AO60" s="82" t="e">
        <f t="shared" si="17"/>
        <v>#DIV/0!</v>
      </c>
      <c r="AP60" s="82" t="e">
        <f t="shared" si="17"/>
        <v>#DIV/0!</v>
      </c>
      <c r="AQ60" s="82" t="e">
        <f t="shared" si="17"/>
        <v>#DIV/0!</v>
      </c>
      <c r="AR60" s="82" t="e">
        <f t="shared" si="17"/>
        <v>#DIV/0!</v>
      </c>
      <c r="AS60" s="82" t="e">
        <f t="shared" si="17"/>
        <v>#DIV/0!</v>
      </c>
      <c r="AT60" s="82" t="e">
        <f t="shared" si="17"/>
        <v>#DIV/0!</v>
      </c>
      <c r="AU60" s="82" t="e">
        <f t="shared" si="17"/>
        <v>#DIV/0!</v>
      </c>
      <c r="AV60" s="82" t="e">
        <f t="shared" si="17"/>
        <v>#DIV/0!</v>
      </c>
      <c r="AW60" s="82" t="e">
        <f t="shared" si="17"/>
        <v>#DIV/0!</v>
      </c>
      <c r="AX60" s="82" t="e">
        <f t="shared" si="17"/>
        <v>#DIV/0!</v>
      </c>
      <c r="AY60" s="85"/>
    </row>
    <row r="61" spans="1:51" ht="14.25" customHeight="1">
      <c r="A61" s="129"/>
      <c r="E61" s="104"/>
      <c r="H61" s="104"/>
      <c r="I61" s="256">
        <f t="array" ref="I61">_xlfn.STDEV.P(IF($E$5:$E$53=$E60,I$5:I$53))</f>
        <v>0</v>
      </c>
      <c r="J61" s="256"/>
      <c r="K61" s="216" t="s">
        <v>12</v>
      </c>
      <c r="L61" s="87">
        <f t="array" ref="L61">_xlfn.STDEV.P(IF($E$5:$E$53=$E60,L$5:L$53))</f>
        <v>0</v>
      </c>
      <c r="M61" s="87">
        <f t="array" ref="M61">_xlfn.STDEV.P(IF($E$5:$E$53=$E60,M$5:M$53))</f>
        <v>0</v>
      </c>
      <c r="N61" s="87">
        <f t="array" ref="N61">_xlfn.STDEV.P(IF($E$5:$E$53=$E60,N$5:N$53))</f>
        <v>0</v>
      </c>
      <c r="O61" s="87">
        <f t="array" ref="O61">_xlfn.STDEV.P(IF($E$5:$E$53=$E60,O$5:O$53))</f>
        <v>0</v>
      </c>
      <c r="P61" s="87">
        <f t="array" ref="P61">_xlfn.STDEV.P(IF($E$5:$E$53=$E60,P$5:P$53))</f>
        <v>0</v>
      </c>
      <c r="Q61" s="87">
        <f t="array" ref="Q61">_xlfn.STDEV.P(IF($E$5:$E$53=$E60,Q$5:Q$53))</f>
        <v>0</v>
      </c>
      <c r="R61" s="87">
        <f t="array" ref="R61">_xlfn.STDEV.P(IF($E$5:$E$53=$E60,R$5:R$53))</f>
        <v>0</v>
      </c>
      <c r="S61" s="87">
        <f t="array" ref="S61">_xlfn.STDEV.P(IF($E$5:$E$53=$E60,S$5:S$53))</f>
        <v>0</v>
      </c>
      <c r="T61" s="87">
        <f t="array" ref="T61">_xlfn.STDEV.P(IF($E$5:$E$53=$E60,T$5:T$53))</f>
        <v>0</v>
      </c>
      <c r="U61" s="87">
        <f t="array" ref="U61">_xlfn.STDEV.P(IF($E$5:$E$53=$E60,U$5:U$53))</f>
        <v>0</v>
      </c>
      <c r="V61" s="87">
        <f t="array" ref="V61">_xlfn.STDEV.P(IF($E$5:$E$53=$E60,V$5:V$53))</f>
        <v>0</v>
      </c>
      <c r="W61" s="87">
        <f t="array" ref="W61">_xlfn.STDEV.P(IF($E$5:$E$53=$E60,W$5:W$53))</f>
        <v>0</v>
      </c>
      <c r="X61" s="87">
        <f t="array" ref="X61">_xlfn.STDEV.P(IF($E$5:$E$53=$E60,X$5:X$53))</f>
        <v>0</v>
      </c>
      <c r="Y61" s="87">
        <f t="array" ref="Y61">_xlfn.STDEV.P(IF($E$5:$E$53=$E60,Y$5:Y$53))</f>
        <v>0</v>
      </c>
      <c r="Z61" s="87">
        <f t="array" ref="Z61">_xlfn.STDEV.P(IF($E$5:$E$53=$E60,Z$5:Z$53))</f>
        <v>0</v>
      </c>
      <c r="AA61" s="87">
        <f t="array" ref="AA61">_xlfn.STDEV.P(IF($E$5:$E$53=$E60,AA$5:AA$53))</f>
        <v>0</v>
      </c>
      <c r="AB61" s="87">
        <f t="array" ref="AB61">_xlfn.STDEV.P(IF($E$5:$E$53=$E60,AB$5:AB$53))</f>
        <v>0</v>
      </c>
      <c r="AC61" s="87">
        <f t="array" ref="AC61">_xlfn.STDEV.P(IF($E$5:$E$53=$E60,AC$5:AC$53))</f>
        <v>0</v>
      </c>
      <c r="AD61" s="87">
        <f t="array" ref="AD61">_xlfn.STDEV.P(IF($E$5:$E$53=$E60,AD$5:AD$53))</f>
        <v>0</v>
      </c>
      <c r="AE61" s="154" t="s">
        <v>12</v>
      </c>
      <c r="AF61" s="83" t="e">
        <f t="array" ref="AF61">_xlfn.STDEV.P(IF($E$5:$E$53=$E60,AF$5:AF$53))</f>
        <v>#DIV/0!</v>
      </c>
      <c r="AG61" s="83" t="e">
        <f t="array" ref="AG61">_xlfn.STDEV.P(IF($E$5:$E$53=$E60,AG$5:AG$53))</f>
        <v>#DIV/0!</v>
      </c>
      <c r="AH61" s="83" t="e">
        <f t="array" ref="AH61">_xlfn.STDEV.P(IF($E$5:$E$53=$E60,AH$5:AH$53))</f>
        <v>#DIV/0!</v>
      </c>
      <c r="AI61" s="83" t="e">
        <f t="array" ref="AI61">_xlfn.STDEV.P(IF($E$5:$E$53=$E60,AI$5:AI$53))</f>
        <v>#DIV/0!</v>
      </c>
      <c r="AJ61" s="83" t="e">
        <f t="array" ref="AJ61">_xlfn.STDEV.P(IF($E$5:$E$53=$E60,AJ$5:AJ$53))</f>
        <v>#DIV/0!</v>
      </c>
      <c r="AK61" s="83" t="e">
        <f t="array" ref="AK61">_xlfn.STDEV.P(IF($E$5:$E$53=$E60,AK$5:AK$53))</f>
        <v>#DIV/0!</v>
      </c>
      <c r="AL61" s="83" t="e">
        <f t="array" ref="AL61">_xlfn.STDEV.P(IF($E$5:$E$53=$E60,AL$5:AL$53))</f>
        <v>#DIV/0!</v>
      </c>
      <c r="AM61" s="83" t="e">
        <f t="array" ref="AM61">_xlfn.STDEV.P(IF($E$5:$E$53=$E60,AM$5:AM$53))</f>
        <v>#DIV/0!</v>
      </c>
      <c r="AN61" s="83" t="e">
        <f t="array" ref="AN61">_xlfn.STDEV.P(IF($E$5:$E$53=$E60,AN$5:AN$53))</f>
        <v>#DIV/0!</v>
      </c>
      <c r="AO61" s="83" t="e">
        <f t="array" ref="AO61">_xlfn.STDEV.P(IF($E$5:$E$53=$E60,AO$5:AO$53))</f>
        <v>#DIV/0!</v>
      </c>
      <c r="AP61" s="83" t="e">
        <f t="array" ref="AP61">_xlfn.STDEV.P(IF($E$5:$E$53=$E60,AP$5:AP$53))</f>
        <v>#DIV/0!</v>
      </c>
      <c r="AQ61" s="83" t="e">
        <f t="array" ref="AQ61">_xlfn.STDEV.P(IF($E$5:$E$53=$E60,AQ$5:AQ$53))</f>
        <v>#DIV/0!</v>
      </c>
      <c r="AR61" s="83" t="e">
        <f t="array" ref="AR61">_xlfn.STDEV.P(IF($E$5:$E$53=$E60,AR$5:AR$53))</f>
        <v>#DIV/0!</v>
      </c>
      <c r="AS61" s="83" t="e">
        <f t="array" ref="AS61">_xlfn.STDEV.P(IF($E$5:$E$53=$E60,AS$5:AS$53))</f>
        <v>#DIV/0!</v>
      </c>
      <c r="AT61" s="83" t="e">
        <f t="array" ref="AT61">_xlfn.STDEV.P(IF($E$5:$E$53=$E60,AT$5:AT$53))</f>
        <v>#DIV/0!</v>
      </c>
      <c r="AU61" s="83" t="e">
        <f t="array" ref="AU61">_xlfn.STDEV.P(IF($E$5:$E$53=$E60,AU$5:AU$53))</f>
        <v>#DIV/0!</v>
      </c>
      <c r="AV61" s="83" t="e">
        <f t="array" ref="AV61">_xlfn.STDEV.P(IF($E$5:$E$53=$E60,AV$5:AV$53))</f>
        <v>#DIV/0!</v>
      </c>
      <c r="AW61" s="83" t="e">
        <f t="array" ref="AW61">_xlfn.STDEV.P(IF($E$5:$E$53=$E60,AW$5:AW$53))</f>
        <v>#DIV/0!</v>
      </c>
      <c r="AX61" s="83" t="e">
        <f t="array" ref="AX61">_xlfn.STDEV.P(IF($E$5:$E$53=$E60,AX$5:AX$53))</f>
        <v>#DIV/0!</v>
      </c>
      <c r="AY61" s="85"/>
    </row>
    <row r="62" spans="1:51" ht="14.25" customHeight="1">
      <c r="A62" s="129"/>
      <c r="E62" s="104"/>
      <c r="H62" s="104"/>
      <c r="I62" s="256"/>
      <c r="J62" s="256"/>
      <c r="K62" s="148" t="s">
        <v>43</v>
      </c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148" t="s">
        <v>43</v>
      </c>
      <c r="AF62" s="82" t="e">
        <f>AF60-AF$55</f>
        <v>#DIV/0!</v>
      </c>
      <c r="AG62" s="82" t="e">
        <f>AG60-AG$55</f>
        <v>#DIV/0!</v>
      </c>
      <c r="AH62" s="82" t="e">
        <f t="shared" ref="AH62:AX62" si="18">AH60-AH$55</f>
        <v>#DIV/0!</v>
      </c>
      <c r="AI62" s="82" t="e">
        <f t="shared" si="18"/>
        <v>#DIV/0!</v>
      </c>
      <c r="AJ62" s="82" t="e">
        <f t="shared" si="18"/>
        <v>#DIV/0!</v>
      </c>
      <c r="AK62" s="82" t="e">
        <f t="shared" si="18"/>
        <v>#DIV/0!</v>
      </c>
      <c r="AL62" s="82" t="e">
        <f t="shared" si="18"/>
        <v>#DIV/0!</v>
      </c>
      <c r="AM62" s="82" t="e">
        <f t="shared" si="18"/>
        <v>#DIV/0!</v>
      </c>
      <c r="AN62" s="82" t="e">
        <f t="shared" si="18"/>
        <v>#DIV/0!</v>
      </c>
      <c r="AO62" s="82" t="e">
        <f t="shared" si="18"/>
        <v>#DIV/0!</v>
      </c>
      <c r="AP62" s="82" t="e">
        <f t="shared" si="18"/>
        <v>#DIV/0!</v>
      </c>
      <c r="AQ62" s="82" t="e">
        <f t="shared" si="18"/>
        <v>#DIV/0!</v>
      </c>
      <c r="AR62" s="82" t="e">
        <f t="shared" si="18"/>
        <v>#DIV/0!</v>
      </c>
      <c r="AS62" s="82" t="e">
        <f t="shared" si="18"/>
        <v>#DIV/0!</v>
      </c>
      <c r="AT62" s="82" t="e">
        <f t="shared" si="18"/>
        <v>#DIV/0!</v>
      </c>
      <c r="AU62" s="82" t="e">
        <f t="shared" si="18"/>
        <v>#DIV/0!</v>
      </c>
      <c r="AV62" s="82" t="e">
        <f t="shared" si="18"/>
        <v>#DIV/0!</v>
      </c>
      <c r="AW62" s="82" t="e">
        <f t="shared" si="18"/>
        <v>#DIV/0!</v>
      </c>
      <c r="AX62" s="173" t="e">
        <f t="shared" si="18"/>
        <v>#DIV/0!</v>
      </c>
      <c r="AY62" s="147"/>
    </row>
    <row r="63" spans="1:51" ht="14.25" customHeight="1">
      <c r="A63" s="129"/>
      <c r="E63" s="104"/>
      <c r="H63" s="104"/>
      <c r="I63" s="256"/>
      <c r="J63" s="256"/>
      <c r="K63" s="116" t="s">
        <v>63</v>
      </c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116" t="s">
        <v>63</v>
      </c>
      <c r="AF63" s="82"/>
      <c r="AG63" s="82" t="e">
        <f>AF60*EXP((AG$4-AF$4)*-LN(2)/8.091)</f>
        <v>#DIV/0!</v>
      </c>
      <c r="AH63" s="82" t="e">
        <f>AG60*EXP((AH$4-AG$4)*-LN(2)/8.091)</f>
        <v>#DIV/0!</v>
      </c>
      <c r="AI63" s="82" t="e">
        <f t="shared" ref="AI63:AX63" si="19">AH60*EXP((AI$4-AH$4)*-LN(2)/8.091)</f>
        <v>#DIV/0!</v>
      </c>
      <c r="AJ63" s="82" t="e">
        <f t="shared" si="19"/>
        <v>#DIV/0!</v>
      </c>
      <c r="AK63" s="82" t="e">
        <f t="shared" si="19"/>
        <v>#DIV/0!</v>
      </c>
      <c r="AL63" s="82" t="e">
        <f t="shared" si="19"/>
        <v>#DIV/0!</v>
      </c>
      <c r="AM63" s="82" t="e">
        <f t="shared" si="19"/>
        <v>#DIV/0!</v>
      </c>
      <c r="AN63" s="82" t="e">
        <f t="shared" si="19"/>
        <v>#DIV/0!</v>
      </c>
      <c r="AO63" s="82" t="e">
        <f t="shared" si="19"/>
        <v>#DIV/0!</v>
      </c>
      <c r="AP63" s="82" t="e">
        <f t="shared" si="19"/>
        <v>#DIV/0!</v>
      </c>
      <c r="AQ63" s="82" t="e">
        <f t="shared" si="19"/>
        <v>#DIV/0!</v>
      </c>
      <c r="AR63" s="82" t="e">
        <f t="shared" si="19"/>
        <v>#DIV/0!</v>
      </c>
      <c r="AS63" s="82" t="e">
        <f t="shared" si="19"/>
        <v>#DIV/0!</v>
      </c>
      <c r="AT63" s="82" t="e">
        <f t="shared" si="19"/>
        <v>#DIV/0!</v>
      </c>
      <c r="AU63" s="82" t="e">
        <f t="shared" si="19"/>
        <v>#DIV/0!</v>
      </c>
      <c r="AV63" s="82" t="e">
        <f t="shared" si="19"/>
        <v>#DIV/0!</v>
      </c>
      <c r="AW63" s="82" t="e">
        <f t="shared" si="19"/>
        <v>#DIV/0!</v>
      </c>
      <c r="AX63" s="173" t="e">
        <f t="shared" si="19"/>
        <v>#DIV/0!</v>
      </c>
      <c r="AY63" s="147"/>
    </row>
    <row r="64" spans="1:51" ht="14.25" customHeight="1">
      <c r="A64" s="129"/>
      <c r="E64" s="104"/>
      <c r="H64" s="104"/>
      <c r="I64" s="256"/>
      <c r="J64" s="256"/>
      <c r="K64" s="116" t="s">
        <v>44</v>
      </c>
      <c r="L64" s="89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116" t="s">
        <v>44</v>
      </c>
      <c r="AF64" s="174"/>
      <c r="AG64" s="83" t="e">
        <f>AG60-AG63</f>
        <v>#DIV/0!</v>
      </c>
      <c r="AH64" s="83" t="e">
        <f>AH60-AH63</f>
        <v>#DIV/0!</v>
      </c>
      <c r="AI64" s="83" t="e">
        <f t="shared" ref="AI64:AX64" si="20">AI60-AI63</f>
        <v>#DIV/0!</v>
      </c>
      <c r="AJ64" s="83" t="e">
        <f t="shared" si="20"/>
        <v>#DIV/0!</v>
      </c>
      <c r="AK64" s="83" t="e">
        <f t="shared" si="20"/>
        <v>#DIV/0!</v>
      </c>
      <c r="AL64" s="83" t="e">
        <f t="shared" si="20"/>
        <v>#DIV/0!</v>
      </c>
      <c r="AM64" s="83" t="e">
        <f t="shared" si="20"/>
        <v>#DIV/0!</v>
      </c>
      <c r="AN64" s="83" t="e">
        <f t="shared" si="20"/>
        <v>#DIV/0!</v>
      </c>
      <c r="AO64" s="83" t="e">
        <f t="shared" si="20"/>
        <v>#DIV/0!</v>
      </c>
      <c r="AP64" s="83" t="e">
        <f t="shared" si="20"/>
        <v>#DIV/0!</v>
      </c>
      <c r="AQ64" s="83" t="e">
        <f t="shared" si="20"/>
        <v>#DIV/0!</v>
      </c>
      <c r="AR64" s="83" t="e">
        <f t="shared" si="20"/>
        <v>#DIV/0!</v>
      </c>
      <c r="AS64" s="83" t="e">
        <f t="shared" si="20"/>
        <v>#DIV/0!</v>
      </c>
      <c r="AT64" s="83" t="e">
        <f t="shared" si="20"/>
        <v>#DIV/0!</v>
      </c>
      <c r="AU64" s="83" t="e">
        <f t="shared" si="20"/>
        <v>#DIV/0!</v>
      </c>
      <c r="AV64" s="83" t="e">
        <f t="shared" si="20"/>
        <v>#DIV/0!</v>
      </c>
      <c r="AW64" s="83" t="e">
        <f t="shared" si="20"/>
        <v>#DIV/0!</v>
      </c>
      <c r="AX64" s="175" t="e">
        <f t="shared" si="20"/>
        <v>#DIV/0!</v>
      </c>
      <c r="AY64" s="147"/>
    </row>
    <row r="65" spans="1:51" ht="14.25" customHeight="1">
      <c r="A65" s="129"/>
      <c r="E65" s="104"/>
      <c r="H65" s="104"/>
      <c r="I65" s="256"/>
      <c r="J65" s="256"/>
      <c r="K65" s="116" t="s">
        <v>64</v>
      </c>
      <c r="L65" s="89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116" t="s">
        <v>64</v>
      </c>
      <c r="AF65" s="174" t="e">
        <f>AF60/AF$55</f>
        <v>#DIV/0!</v>
      </c>
      <c r="AG65" s="83" t="e">
        <f>AG60/AG$55</f>
        <v>#DIV/0!</v>
      </c>
      <c r="AH65" s="83" t="e">
        <f>AH60/AH$55</f>
        <v>#DIV/0!</v>
      </c>
      <c r="AI65" s="83" t="e">
        <f t="shared" ref="AI65:AX65" si="21">AI60/AI$55</f>
        <v>#DIV/0!</v>
      </c>
      <c r="AJ65" s="83" t="e">
        <f t="shared" si="21"/>
        <v>#DIV/0!</v>
      </c>
      <c r="AK65" s="83" t="e">
        <f t="shared" si="21"/>
        <v>#DIV/0!</v>
      </c>
      <c r="AL65" s="83" t="e">
        <f t="shared" si="21"/>
        <v>#DIV/0!</v>
      </c>
      <c r="AM65" s="83" t="e">
        <f t="shared" si="21"/>
        <v>#DIV/0!</v>
      </c>
      <c r="AN65" s="83" t="e">
        <f t="shared" si="21"/>
        <v>#DIV/0!</v>
      </c>
      <c r="AO65" s="83" t="e">
        <f t="shared" si="21"/>
        <v>#DIV/0!</v>
      </c>
      <c r="AP65" s="83" t="e">
        <f t="shared" si="21"/>
        <v>#DIV/0!</v>
      </c>
      <c r="AQ65" s="83" t="e">
        <f t="shared" si="21"/>
        <v>#DIV/0!</v>
      </c>
      <c r="AR65" s="83" t="e">
        <f t="shared" si="21"/>
        <v>#DIV/0!</v>
      </c>
      <c r="AS65" s="83" t="e">
        <f t="shared" si="21"/>
        <v>#DIV/0!</v>
      </c>
      <c r="AT65" s="83" t="e">
        <f t="shared" si="21"/>
        <v>#DIV/0!</v>
      </c>
      <c r="AU65" s="83" t="e">
        <f t="shared" si="21"/>
        <v>#DIV/0!</v>
      </c>
      <c r="AV65" s="83" t="e">
        <f t="shared" si="21"/>
        <v>#DIV/0!</v>
      </c>
      <c r="AW65" s="83" t="e">
        <f t="shared" si="21"/>
        <v>#DIV/0!</v>
      </c>
      <c r="AX65" s="175" t="e">
        <f t="shared" si="21"/>
        <v>#DIV/0!</v>
      </c>
      <c r="AY65" s="147"/>
    </row>
    <row r="66" spans="1:51" ht="15">
      <c r="A66" s="129"/>
      <c r="E66" s="58"/>
      <c r="H66" s="58"/>
      <c r="K66" s="150"/>
      <c r="AE66" s="150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176"/>
    </row>
    <row r="67" spans="1:51" ht="14.25" customHeight="1">
      <c r="A67" s="129"/>
      <c r="E67" s="134" t="str">
        <f>'PTX_DOSE Groups'!C7</f>
        <v>3.3uCi Radiodepot</v>
      </c>
      <c r="H67" s="134" t="str">
        <f>E67</f>
        <v>3.3uCi Radiodepot</v>
      </c>
      <c r="I67" s="256">
        <f>AVERAGEIF($E$5:$E$53,$E67,I$5:I$53)</f>
        <v>337</v>
      </c>
      <c r="J67" s="256"/>
      <c r="K67" s="216" t="s">
        <v>10</v>
      </c>
      <c r="L67" s="87">
        <f t="shared" ref="L67:AD67" si="22">AVERAGEIF($E$5:$E$53,$E67,L$5:L$53)</f>
        <v>337</v>
      </c>
      <c r="M67" s="87">
        <f t="shared" si="22"/>
        <v>291.39999999999998</v>
      </c>
      <c r="N67" s="87">
        <f t="shared" si="22"/>
        <v>257.39999999999998</v>
      </c>
      <c r="O67" s="87">
        <f t="shared" si="22"/>
        <v>213.2</v>
      </c>
      <c r="P67" s="87">
        <f t="shared" si="22"/>
        <v>175.8</v>
      </c>
      <c r="Q67" s="87">
        <f t="shared" si="22"/>
        <v>142</v>
      </c>
      <c r="R67" s="87">
        <f t="shared" si="22"/>
        <v>119.4</v>
      </c>
      <c r="S67" s="87">
        <f t="shared" si="22"/>
        <v>95.6</v>
      </c>
      <c r="T67" s="87">
        <f t="shared" si="22"/>
        <v>83.4</v>
      </c>
      <c r="U67" s="87">
        <f t="shared" si="22"/>
        <v>60.6</v>
      </c>
      <c r="V67" s="87">
        <f t="shared" si="22"/>
        <v>52.5</v>
      </c>
      <c r="W67" s="87">
        <f t="shared" si="22"/>
        <v>44</v>
      </c>
      <c r="X67" s="87" t="e">
        <f t="shared" si="22"/>
        <v>#DIV/0!</v>
      </c>
      <c r="Y67" s="87" t="e">
        <f t="shared" si="22"/>
        <v>#DIV/0!</v>
      </c>
      <c r="Z67" s="87" t="e">
        <f t="shared" si="22"/>
        <v>#DIV/0!</v>
      </c>
      <c r="AA67" s="87" t="e">
        <f t="shared" si="22"/>
        <v>#DIV/0!</v>
      </c>
      <c r="AB67" s="87" t="e">
        <f t="shared" si="22"/>
        <v>#DIV/0!</v>
      </c>
      <c r="AC67" s="87" t="e">
        <f t="shared" si="22"/>
        <v>#DIV/0!</v>
      </c>
      <c r="AD67" s="87" t="e">
        <f t="shared" si="22"/>
        <v>#DIV/0!</v>
      </c>
      <c r="AE67" s="153" t="s">
        <v>10</v>
      </c>
      <c r="AF67" s="82">
        <f t="shared" ref="AF67:AX67" si="23">AVERAGEIF($E$5:$E$53,$E67,AF$5:AF$53)</f>
        <v>1</v>
      </c>
      <c r="AG67" s="82">
        <f t="shared" si="23"/>
        <v>0.86427422148983502</v>
      </c>
      <c r="AH67" s="82">
        <f t="shared" si="23"/>
        <v>0.76252571143087922</v>
      </c>
      <c r="AI67" s="82">
        <f t="shared" si="23"/>
        <v>0.63189797435349493</v>
      </c>
      <c r="AJ67" s="82">
        <f t="shared" si="23"/>
        <v>0.5211589767390008</v>
      </c>
      <c r="AK67" s="82">
        <f t="shared" si="23"/>
        <v>0.42202669858592845</v>
      </c>
      <c r="AL67" s="82">
        <f t="shared" si="23"/>
        <v>0.3543766002150216</v>
      </c>
      <c r="AM67" s="82">
        <f t="shared" si="23"/>
        <v>0.28394839760844859</v>
      </c>
      <c r="AN67" s="82">
        <f t="shared" si="23"/>
        <v>0.24740482170286865</v>
      </c>
      <c r="AO67" s="82">
        <f t="shared" si="23"/>
        <v>0.17903563840656425</v>
      </c>
      <c r="AP67" s="82">
        <f t="shared" si="23"/>
        <v>0.15313593610838733</v>
      </c>
      <c r="AQ67" s="82">
        <f t="shared" si="23"/>
        <v>0.12835097243524138</v>
      </c>
      <c r="AR67" s="82" t="e">
        <f t="shared" si="23"/>
        <v>#DIV/0!</v>
      </c>
      <c r="AS67" s="82" t="e">
        <f t="shared" si="23"/>
        <v>#DIV/0!</v>
      </c>
      <c r="AT67" s="82" t="e">
        <f t="shared" si="23"/>
        <v>#DIV/0!</v>
      </c>
      <c r="AU67" s="82" t="e">
        <f t="shared" si="23"/>
        <v>#DIV/0!</v>
      </c>
      <c r="AV67" s="82" t="e">
        <f t="shared" si="23"/>
        <v>#DIV/0!</v>
      </c>
      <c r="AW67" s="82" t="e">
        <f t="shared" si="23"/>
        <v>#DIV/0!</v>
      </c>
      <c r="AX67" s="82" t="e">
        <f t="shared" si="23"/>
        <v>#DIV/0!</v>
      </c>
      <c r="AY67" s="85"/>
    </row>
    <row r="68" spans="1:51" ht="14.25" customHeight="1">
      <c r="A68" s="129"/>
      <c r="E68" s="104"/>
      <c r="H68" s="104"/>
      <c r="I68" s="256">
        <f t="array" ref="I68">_xlfn.STDEV.P(IF($E$5:$E$53=$E67,I$5:I$53))</f>
        <v>69.325320049748058</v>
      </c>
      <c r="J68" s="256"/>
      <c r="K68" s="216" t="s">
        <v>12</v>
      </c>
      <c r="L68" s="90">
        <f t="array" ref="L68">_xlfn.STDEV.P(IF($E$5:$E$53=$E67,L$5:L$53))</f>
        <v>69.325320049748058</v>
      </c>
      <c r="M68" s="90">
        <f t="array" ref="M68">_xlfn.STDEV.P(IF($E$5:$E$53=$E67,M$5:M$53))</f>
        <v>65.713316763042783</v>
      </c>
      <c r="N68" s="90">
        <f t="array" ref="N68">_xlfn.STDEV.P(IF($E$5:$E$53=$E67,N$5:N$53))</f>
        <v>58.119187881456156</v>
      </c>
      <c r="O68" s="90">
        <f t="array" ref="O68">_xlfn.STDEV.P(IF($E$5:$E$53=$E67,O$5:O$53))</f>
        <v>47.947471257616911</v>
      </c>
      <c r="P68" s="90">
        <f t="array" ref="P68">_xlfn.STDEV.P(IF($E$5:$E$53=$E67,P$5:P$53))</f>
        <v>38.71640479176753</v>
      </c>
      <c r="Q68" s="90">
        <f t="array" ref="Q68">_xlfn.STDEV.P(IF($E$5:$E$53=$E67,Q$5:Q$53))</f>
        <v>29.671535181045147</v>
      </c>
      <c r="R68" s="90">
        <f t="array" ref="R68">_xlfn.STDEV.P(IF($E$5:$E$53=$E67,R$5:R$53))</f>
        <v>25.531157435572716</v>
      </c>
      <c r="S68" s="90">
        <f t="array" ref="S68">_xlfn.STDEV.P(IF($E$5:$E$53=$E67,S$5:S$53))</f>
        <v>21.228283020536541</v>
      </c>
      <c r="T68" s="90">
        <f t="array" ref="T68">_xlfn.STDEV.P(IF($E$5:$E$53=$E67,T$5:T$53))</f>
        <v>18.969449122207003</v>
      </c>
      <c r="U68" s="90">
        <f t="array" ref="U68">_xlfn.STDEV.P(IF($E$5:$E$53=$E67,U$5:U$53))</f>
        <v>14.540976583434828</v>
      </c>
      <c r="V68" s="90">
        <f t="array" ref="V68">_xlfn.STDEV.P(IF($E$5:$E$53=$E67,V$5:V$53))</f>
        <v>23.689660191737662</v>
      </c>
      <c r="W68" s="90">
        <f t="array" ref="W68">_xlfn.STDEV.P(IF($E$5:$E$53=$E67,W$5:W$53))</f>
        <v>20.013995103427003</v>
      </c>
      <c r="X68" s="90">
        <f t="array" ref="X68">_xlfn.STDEV.P(IF($E$5:$E$53=$E67,X$5:X$53))</f>
        <v>0</v>
      </c>
      <c r="Y68" s="90">
        <f t="array" ref="Y68">_xlfn.STDEV.P(IF($E$5:$E$53=$E67,Y$5:Y$53))</f>
        <v>0</v>
      </c>
      <c r="Z68" s="90">
        <f t="array" ref="Z68">_xlfn.STDEV.P(IF($E$5:$E$53=$E67,Z$5:Z$53))</f>
        <v>0</v>
      </c>
      <c r="AA68" s="90">
        <f t="array" ref="AA68">_xlfn.STDEV.P(IF($E$5:$E$53=$E67,AA$5:AA$53))</f>
        <v>0</v>
      </c>
      <c r="AB68" s="90">
        <f t="array" ref="AB68">_xlfn.STDEV.P(IF($E$5:$E$53=$E67,AB$5:AB$53))</f>
        <v>0</v>
      </c>
      <c r="AC68" s="90">
        <f t="array" ref="AC68">_xlfn.STDEV.P(IF($E$5:$E$53=$E67,AC$5:AC$53))</f>
        <v>0</v>
      </c>
      <c r="AD68" s="90">
        <f t="array" ref="AD68">_xlfn.STDEV.P(IF($E$5:$E$53=$E67,AD$5:AD$53))</f>
        <v>0</v>
      </c>
      <c r="AE68" s="154" t="s">
        <v>12</v>
      </c>
      <c r="AF68" s="83">
        <f t="array" ref="AF68">_xlfn.STDEV.P(IF($E$5:$E$53=$E67,AF$5:AF$53))</f>
        <v>0</v>
      </c>
      <c r="AG68" s="83">
        <f t="array" ref="AG68">_xlfn.STDEV.P(IF($E$5:$E$53=$E67,AG$5:AG$53))</f>
        <v>7.333078029512409E-2</v>
      </c>
      <c r="AH68" s="83">
        <f t="array" ref="AH68">_xlfn.STDEV.P(IF($E$5:$E$53=$E67,AH$5:AH$53))</f>
        <v>5.5542882692847032E-2</v>
      </c>
      <c r="AI68" s="83">
        <f t="array" ref="AI68">_xlfn.STDEV.P(IF($E$5:$E$53=$E67,AI$5:AI$53))</f>
        <v>4.9196139775821643E-2</v>
      </c>
      <c r="AJ68" s="83">
        <f t="array" ref="AJ68">_xlfn.STDEV.P(IF($E$5:$E$53=$E67,AJ$5:AJ$53))</f>
        <v>3.2365092436539886E-2</v>
      </c>
      <c r="AK68" s="83">
        <f t="array" ref="AK68">_xlfn.STDEV.P(IF($E$5:$E$53=$E67,AK$5:AK$53))</f>
        <v>2.9618967864616923E-2</v>
      </c>
      <c r="AL68" s="83">
        <f t="array" ref="AL68">_xlfn.STDEV.P(IF($E$5:$E$53=$E67,AL$5:AL$53))</f>
        <v>2.0541222008810367E-2</v>
      </c>
      <c r="AM68" s="83">
        <f t="array" ref="AM68">_xlfn.STDEV.P(IF($E$5:$E$53=$E67,AM$5:AM$53))</f>
        <v>2.6188025251947945E-2</v>
      </c>
      <c r="AN68" s="83">
        <f t="array" ref="AN68">_xlfn.STDEV.P(IF($E$5:$E$53=$E67,AN$5:AN$53))</f>
        <v>2.2133364313516556E-2</v>
      </c>
      <c r="AO68" s="83">
        <f t="array" ref="AO68">_xlfn.STDEV.P(IF($E$5:$E$53=$E67,AO$5:AO$53))</f>
        <v>1.4031810615461E-2</v>
      </c>
      <c r="AP68" s="83">
        <f t="array" ref="AP68">_xlfn.STDEV.P(IF($E$5:$E$53=$E67,AP$5:AP$53))</f>
        <v>1.4496564156894405E-2</v>
      </c>
      <c r="AQ68" s="83">
        <f t="array" ref="AQ68">_xlfn.STDEV.P(IF($E$5:$E$53=$E67,AQ$5:AQ$53))</f>
        <v>1.4796739829537948E-2</v>
      </c>
      <c r="AR68" s="83" t="e">
        <f t="array" ref="AR68">_xlfn.STDEV.P(IF($E$5:$E$53=$E67,AR$5:AR$53))</f>
        <v>#DIV/0!</v>
      </c>
      <c r="AS68" s="83" t="e">
        <f t="array" ref="AS68">_xlfn.STDEV.P(IF($E$5:$E$53=$E67,AS$5:AS$53))</f>
        <v>#DIV/0!</v>
      </c>
      <c r="AT68" s="83" t="e">
        <f t="array" ref="AT68">_xlfn.STDEV.P(IF($E$5:$E$53=$E67,AT$5:AT$53))</f>
        <v>#DIV/0!</v>
      </c>
      <c r="AU68" s="83" t="e">
        <f t="array" ref="AU68">_xlfn.STDEV.P(IF($E$5:$E$53=$E67,AU$5:AU$53))</f>
        <v>#DIV/0!</v>
      </c>
      <c r="AV68" s="83" t="e">
        <f t="array" ref="AV68">_xlfn.STDEV.P(IF($E$5:$E$53=$E67,AV$5:AV$53))</f>
        <v>#DIV/0!</v>
      </c>
      <c r="AW68" s="83" t="e">
        <f t="array" ref="AW68">_xlfn.STDEV.P(IF($E$5:$E$53=$E67,AW$5:AW$53))</f>
        <v>#DIV/0!</v>
      </c>
      <c r="AX68" s="83" t="e">
        <f t="array" ref="AX68">_xlfn.STDEV.P(IF($E$5:$E$53=$E67,AX$5:AX$53))</f>
        <v>#DIV/0!</v>
      </c>
      <c r="AY68" s="85"/>
    </row>
    <row r="69" spans="1:51" ht="14.25" customHeight="1">
      <c r="A69" s="129"/>
      <c r="E69" s="104"/>
      <c r="H69" s="104"/>
      <c r="I69" s="256"/>
      <c r="J69" s="256"/>
      <c r="K69" s="148" t="s">
        <v>43</v>
      </c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148" t="s">
        <v>43</v>
      </c>
      <c r="AF69" s="82">
        <f>AF67-AF$55</f>
        <v>0</v>
      </c>
      <c r="AG69" s="82">
        <f>AG67-AG$55</f>
        <v>-5.2925013279594535E-2</v>
      </c>
      <c r="AH69" s="82">
        <f t="shared" ref="AH69:AX69" si="24">AH67-AH$55</f>
        <v>-7.8728724830747887E-2</v>
      </c>
      <c r="AI69" s="82">
        <f t="shared" si="24"/>
        <v>-7.5811052176373073E-2</v>
      </c>
      <c r="AJ69" s="82">
        <f t="shared" si="24"/>
        <v>-7.4204381411648312E-2</v>
      </c>
      <c r="AK69" s="82">
        <f t="shared" si="24"/>
        <v>-7.8825367645925071E-2</v>
      </c>
      <c r="AL69" s="82">
        <f t="shared" si="24"/>
        <v>-6.6967422413327427E-2</v>
      </c>
      <c r="AM69" s="82">
        <f t="shared" si="24"/>
        <v>-7.050913061996944E-2</v>
      </c>
      <c r="AN69" s="82">
        <f t="shared" si="24"/>
        <v>-5.0784146385618956E-2</v>
      </c>
      <c r="AO69" s="82">
        <f t="shared" si="24"/>
        <v>-5.1046350683733588E-2</v>
      </c>
      <c r="AP69" s="82">
        <f t="shared" si="24"/>
        <v>-4.0421557917725032E-2</v>
      </c>
      <c r="AQ69" s="82">
        <f t="shared" si="24"/>
        <v>-3.4480128085909029E-2</v>
      </c>
      <c r="AR69" s="82" t="e">
        <f t="shared" si="24"/>
        <v>#DIV/0!</v>
      </c>
      <c r="AS69" s="82" t="e">
        <f t="shared" si="24"/>
        <v>#DIV/0!</v>
      </c>
      <c r="AT69" s="82" t="e">
        <f t="shared" si="24"/>
        <v>#DIV/0!</v>
      </c>
      <c r="AU69" s="82" t="e">
        <f t="shared" si="24"/>
        <v>#DIV/0!</v>
      </c>
      <c r="AV69" s="82" t="e">
        <f t="shared" si="24"/>
        <v>#DIV/0!</v>
      </c>
      <c r="AW69" s="82" t="e">
        <f t="shared" si="24"/>
        <v>#DIV/0!</v>
      </c>
      <c r="AX69" s="173" t="e">
        <f t="shared" si="24"/>
        <v>#DIV/0!</v>
      </c>
      <c r="AY69" s="147"/>
    </row>
    <row r="70" spans="1:51" ht="14.25" customHeight="1">
      <c r="A70" s="129"/>
      <c r="E70" s="104"/>
      <c r="H70" s="104"/>
      <c r="I70" s="256"/>
      <c r="J70" s="256"/>
      <c r="K70" s="116" t="s">
        <v>63</v>
      </c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116" t="s">
        <v>63</v>
      </c>
      <c r="AF70" s="82"/>
      <c r="AG70" s="82">
        <f>AF67*EXP((AG$4-AF$4)*-LN(2)/8.091)</f>
        <v>0.91789808441829013</v>
      </c>
      <c r="AH70" s="82">
        <f>AG67*EXP((AH$4-AG$4)*-LN(2)/8.091)</f>
        <v>0.79331565231762857</v>
      </c>
      <c r="AI70" s="82">
        <f t="shared" ref="AI70:AX70" si="25">AH67*EXP((AI$4-AH$4)*-LN(2)/8.091)</f>
        <v>0.64245604403040668</v>
      </c>
      <c r="AJ70" s="82">
        <f t="shared" si="25"/>
        <v>0.53239735624412909</v>
      </c>
      <c r="AK70" s="82">
        <f t="shared" si="25"/>
        <v>0.43909566521813453</v>
      </c>
      <c r="AL70" s="82">
        <f t="shared" si="25"/>
        <v>0.3555730635494852</v>
      </c>
      <c r="AM70" s="82">
        <f t="shared" si="25"/>
        <v>0.29857535983129341</v>
      </c>
      <c r="AN70" s="82">
        <f t="shared" si="25"/>
        <v>0.23923700080090105</v>
      </c>
      <c r="AO70" s="82">
        <f t="shared" si="25"/>
        <v>0.19133373524636599</v>
      </c>
      <c r="AP70" s="82">
        <f t="shared" si="25"/>
        <v>0.15084413058715082</v>
      </c>
      <c r="AQ70" s="82">
        <f t="shared" si="25"/>
        <v>0.12902267587340993</v>
      </c>
      <c r="AR70" s="82" t="e">
        <f t="shared" si="25"/>
        <v>#NUM!</v>
      </c>
      <c r="AS70" s="82" t="e">
        <f t="shared" si="25"/>
        <v>#DIV/0!</v>
      </c>
      <c r="AT70" s="82" t="e">
        <f t="shared" si="25"/>
        <v>#DIV/0!</v>
      </c>
      <c r="AU70" s="82" t="e">
        <f t="shared" si="25"/>
        <v>#DIV/0!</v>
      </c>
      <c r="AV70" s="82" t="e">
        <f t="shared" si="25"/>
        <v>#DIV/0!</v>
      </c>
      <c r="AW70" s="82" t="e">
        <f t="shared" si="25"/>
        <v>#DIV/0!</v>
      </c>
      <c r="AX70" s="173" t="e">
        <f t="shared" si="25"/>
        <v>#DIV/0!</v>
      </c>
      <c r="AY70" s="147"/>
    </row>
    <row r="71" spans="1:51" ht="14.25" customHeight="1">
      <c r="A71" s="129"/>
      <c r="E71" s="104"/>
      <c r="H71" s="104"/>
      <c r="I71" s="256"/>
      <c r="J71" s="256"/>
      <c r="K71" s="116" t="s">
        <v>44</v>
      </c>
      <c r="L71" s="89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116" t="s">
        <v>44</v>
      </c>
      <c r="AF71" s="174"/>
      <c r="AG71" s="83">
        <f>AG67-AG70</f>
        <v>-5.3623862928455113E-2</v>
      </c>
      <c r="AH71" s="83">
        <f>AH67-AH70</f>
        <v>-3.0789940886749356E-2</v>
      </c>
      <c r="AI71" s="83">
        <f t="shared" ref="AI71:AX71" si="26">AI67-AI70</f>
        <v>-1.0558069676911752E-2</v>
      </c>
      <c r="AJ71" s="83">
        <f t="shared" si="26"/>
        <v>-1.1238379505128293E-2</v>
      </c>
      <c r="AK71" s="83">
        <f t="shared" si="26"/>
        <v>-1.7068966632206084E-2</v>
      </c>
      <c r="AL71" s="83">
        <f t="shared" si="26"/>
        <v>-1.1964633344636044E-3</v>
      </c>
      <c r="AM71" s="83">
        <f t="shared" si="26"/>
        <v>-1.4626962222844819E-2</v>
      </c>
      <c r="AN71" s="83">
        <f t="shared" si="26"/>
        <v>8.167820901967604E-3</v>
      </c>
      <c r="AO71" s="83">
        <f t="shared" si="26"/>
        <v>-1.2298096839801737E-2</v>
      </c>
      <c r="AP71" s="83">
        <f t="shared" si="26"/>
        <v>2.2918055212365063E-3</v>
      </c>
      <c r="AQ71" s="83">
        <f t="shared" si="26"/>
        <v>-6.7170343816855271E-4</v>
      </c>
      <c r="AR71" s="83" t="e">
        <f t="shared" si="26"/>
        <v>#DIV/0!</v>
      </c>
      <c r="AS71" s="83" t="e">
        <f t="shared" si="26"/>
        <v>#DIV/0!</v>
      </c>
      <c r="AT71" s="83" t="e">
        <f t="shared" si="26"/>
        <v>#DIV/0!</v>
      </c>
      <c r="AU71" s="83" t="e">
        <f t="shared" si="26"/>
        <v>#DIV/0!</v>
      </c>
      <c r="AV71" s="83" t="e">
        <f t="shared" si="26"/>
        <v>#DIV/0!</v>
      </c>
      <c r="AW71" s="83" t="e">
        <f t="shared" si="26"/>
        <v>#DIV/0!</v>
      </c>
      <c r="AX71" s="175" t="e">
        <f t="shared" si="26"/>
        <v>#DIV/0!</v>
      </c>
      <c r="AY71" s="147"/>
    </row>
    <row r="72" spans="1:51" ht="14.25" customHeight="1">
      <c r="A72" s="129"/>
      <c r="E72" s="104"/>
      <c r="H72" s="104"/>
      <c r="I72" s="256"/>
      <c r="J72" s="256"/>
      <c r="K72" s="116" t="s">
        <v>64</v>
      </c>
      <c r="L72" s="89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116" t="s">
        <v>64</v>
      </c>
      <c r="AF72" s="174">
        <f>AF67/AF$55</f>
        <v>1</v>
      </c>
      <c r="AG72" s="83">
        <f>AG67/AG$55</f>
        <v>0.94229714627607697</v>
      </c>
      <c r="AH72" s="83">
        <f>AH67/AH$55</f>
        <v>0.90641508509529745</v>
      </c>
      <c r="AI72" s="83">
        <f t="shared" ref="AI72:AX72" si="27">AI67/AI$55</f>
        <v>0.89287821783466603</v>
      </c>
      <c r="AJ72" s="83">
        <f t="shared" si="27"/>
        <v>0.87536286807749453</v>
      </c>
      <c r="AK72" s="83">
        <f t="shared" si="27"/>
        <v>0.84261746539459148</v>
      </c>
      <c r="AL72" s="83">
        <f t="shared" si="27"/>
        <v>0.84106236515333987</v>
      </c>
      <c r="AM72" s="83">
        <f t="shared" si="27"/>
        <v>0.8010787611921385</v>
      </c>
      <c r="AN72" s="83">
        <f t="shared" si="27"/>
        <v>0.82969139766918287</v>
      </c>
      <c r="AO72" s="83">
        <f t="shared" si="27"/>
        <v>0.77813843280144812</v>
      </c>
      <c r="AP72" s="83">
        <f t="shared" si="27"/>
        <v>0.79116511028877101</v>
      </c>
      <c r="AQ72" s="83">
        <f t="shared" si="27"/>
        <v>0.78824605388311342</v>
      </c>
      <c r="AR72" s="83" t="e">
        <f t="shared" si="27"/>
        <v>#DIV/0!</v>
      </c>
      <c r="AS72" s="83" t="e">
        <f t="shared" si="27"/>
        <v>#DIV/0!</v>
      </c>
      <c r="AT72" s="83" t="e">
        <f t="shared" si="27"/>
        <v>#DIV/0!</v>
      </c>
      <c r="AU72" s="83" t="e">
        <f t="shared" si="27"/>
        <v>#DIV/0!</v>
      </c>
      <c r="AV72" s="83" t="e">
        <f t="shared" si="27"/>
        <v>#DIV/0!</v>
      </c>
      <c r="AW72" s="83" t="e">
        <f t="shared" si="27"/>
        <v>#DIV/0!</v>
      </c>
      <c r="AX72" s="175" t="e">
        <f t="shared" si="27"/>
        <v>#DIV/0!</v>
      </c>
      <c r="AY72" s="147"/>
    </row>
    <row r="73" spans="1:51" ht="15">
      <c r="A73" s="129"/>
      <c r="E73" s="58"/>
      <c r="H73" s="58"/>
      <c r="K73" s="150"/>
      <c r="AE73" s="150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176"/>
    </row>
    <row r="74" spans="1:51" ht="14.25" customHeight="1">
      <c r="A74" s="129"/>
      <c r="E74" s="134" t="str">
        <f>'PTX_DOSE Groups'!C8</f>
        <v>12.5mg CP-PTX</v>
      </c>
      <c r="H74" s="134" t="str">
        <f>E74</f>
        <v>12.5mg CP-PTX</v>
      </c>
      <c r="I74" s="256">
        <f>AVERAGEIF($E$5:$E$53,$E74,I$5:I$53)</f>
        <v>374</v>
      </c>
      <c r="J74" s="256"/>
      <c r="K74" s="216" t="s">
        <v>10</v>
      </c>
      <c r="L74" s="87" t="e">
        <f t="shared" ref="L74:AD74" si="28">AVERAGEIF($E$5:$E$53,$E74,L$5:L$53)</f>
        <v>#DIV/0!</v>
      </c>
      <c r="M74" s="87" t="e">
        <f t="shared" si="28"/>
        <v>#DIV/0!</v>
      </c>
      <c r="N74" s="87" t="e">
        <f t="shared" si="28"/>
        <v>#DIV/0!</v>
      </c>
      <c r="O74" s="87" t="e">
        <f t="shared" si="28"/>
        <v>#DIV/0!</v>
      </c>
      <c r="P74" s="87" t="e">
        <f t="shared" si="28"/>
        <v>#DIV/0!</v>
      </c>
      <c r="Q74" s="87" t="e">
        <f t="shared" si="28"/>
        <v>#DIV/0!</v>
      </c>
      <c r="R74" s="87" t="e">
        <f t="shared" si="28"/>
        <v>#DIV/0!</v>
      </c>
      <c r="S74" s="87" t="e">
        <f t="shared" si="28"/>
        <v>#DIV/0!</v>
      </c>
      <c r="T74" s="87" t="e">
        <f t="shared" si="28"/>
        <v>#DIV/0!</v>
      </c>
      <c r="U74" s="87" t="e">
        <f t="shared" si="28"/>
        <v>#DIV/0!</v>
      </c>
      <c r="V74" s="87" t="e">
        <f t="shared" si="28"/>
        <v>#DIV/0!</v>
      </c>
      <c r="W74" s="87" t="e">
        <f t="shared" si="28"/>
        <v>#DIV/0!</v>
      </c>
      <c r="X74" s="87" t="e">
        <f t="shared" si="28"/>
        <v>#DIV/0!</v>
      </c>
      <c r="Y74" s="87" t="e">
        <f t="shared" si="28"/>
        <v>#DIV/0!</v>
      </c>
      <c r="Z74" s="87" t="e">
        <f t="shared" si="28"/>
        <v>#DIV/0!</v>
      </c>
      <c r="AA74" s="87" t="e">
        <f t="shared" si="28"/>
        <v>#DIV/0!</v>
      </c>
      <c r="AB74" s="87" t="e">
        <f t="shared" si="28"/>
        <v>#DIV/0!</v>
      </c>
      <c r="AC74" s="87" t="e">
        <f t="shared" si="28"/>
        <v>#DIV/0!</v>
      </c>
      <c r="AD74" s="87" t="e">
        <f t="shared" si="28"/>
        <v>#DIV/0!</v>
      </c>
      <c r="AE74" s="153" t="s">
        <v>10</v>
      </c>
      <c r="AF74" s="82" t="e">
        <f t="shared" ref="AF74:AX74" si="29">AVERAGEIF($E$5:$E$53,$E74,AF$5:AF$53)</f>
        <v>#DIV/0!</v>
      </c>
      <c r="AG74" s="82" t="e">
        <f t="shared" si="29"/>
        <v>#DIV/0!</v>
      </c>
      <c r="AH74" s="82" t="e">
        <f t="shared" si="29"/>
        <v>#DIV/0!</v>
      </c>
      <c r="AI74" s="82" t="e">
        <f t="shared" si="29"/>
        <v>#DIV/0!</v>
      </c>
      <c r="AJ74" s="82" t="e">
        <f t="shared" si="29"/>
        <v>#DIV/0!</v>
      </c>
      <c r="AK74" s="82" t="e">
        <f t="shared" si="29"/>
        <v>#DIV/0!</v>
      </c>
      <c r="AL74" s="82" t="e">
        <f t="shared" si="29"/>
        <v>#DIV/0!</v>
      </c>
      <c r="AM74" s="82" t="e">
        <f t="shared" si="29"/>
        <v>#DIV/0!</v>
      </c>
      <c r="AN74" s="82" t="e">
        <f t="shared" si="29"/>
        <v>#DIV/0!</v>
      </c>
      <c r="AO74" s="82" t="e">
        <f t="shared" si="29"/>
        <v>#DIV/0!</v>
      </c>
      <c r="AP74" s="82" t="e">
        <f t="shared" si="29"/>
        <v>#DIV/0!</v>
      </c>
      <c r="AQ74" s="82" t="e">
        <f t="shared" si="29"/>
        <v>#DIV/0!</v>
      </c>
      <c r="AR74" s="82" t="e">
        <f t="shared" si="29"/>
        <v>#DIV/0!</v>
      </c>
      <c r="AS74" s="82" t="e">
        <f t="shared" si="29"/>
        <v>#DIV/0!</v>
      </c>
      <c r="AT74" s="82" t="e">
        <f t="shared" si="29"/>
        <v>#DIV/0!</v>
      </c>
      <c r="AU74" s="82" t="e">
        <f t="shared" si="29"/>
        <v>#DIV/0!</v>
      </c>
      <c r="AV74" s="82" t="e">
        <f t="shared" si="29"/>
        <v>#DIV/0!</v>
      </c>
      <c r="AW74" s="82" t="e">
        <f t="shared" si="29"/>
        <v>#DIV/0!</v>
      </c>
      <c r="AX74" s="82" t="e">
        <f t="shared" si="29"/>
        <v>#DIV/0!</v>
      </c>
      <c r="AY74" s="85"/>
    </row>
    <row r="75" spans="1:51" ht="14.25" customHeight="1">
      <c r="A75" s="129"/>
      <c r="E75" s="104"/>
      <c r="H75" s="104"/>
      <c r="I75" s="256">
        <f t="array" ref="I75">_xlfn.STDEV.P(IF($E$5:$E$53=$E74,I$5:I$53))</f>
        <v>139.3815705974869</v>
      </c>
      <c r="J75" s="256"/>
      <c r="K75" s="216" t="s">
        <v>12</v>
      </c>
      <c r="L75" s="90">
        <f t="array" ref="L75">_xlfn.STDEV.P(IF($E$5:$E$53=$E74,L$5:L$53))</f>
        <v>0</v>
      </c>
      <c r="M75" s="90">
        <f t="array" ref="M75">_xlfn.STDEV.P(IF($E$5:$E$53=$E74,M$5:M$53))</f>
        <v>0</v>
      </c>
      <c r="N75" s="90">
        <f t="array" ref="N75">_xlfn.STDEV.P(IF($E$5:$E$53=$E74,N$5:N$53))</f>
        <v>0</v>
      </c>
      <c r="O75" s="90">
        <f t="array" ref="O75">_xlfn.STDEV.P(IF($E$5:$E$53=$E74,O$5:O$53))</f>
        <v>0</v>
      </c>
      <c r="P75" s="90">
        <f t="array" ref="P75">_xlfn.STDEV.P(IF($E$5:$E$53=$E74,P$5:P$53))</f>
        <v>0</v>
      </c>
      <c r="Q75" s="90">
        <f t="array" ref="Q75">_xlfn.STDEV.P(IF($E$5:$E$53=$E74,Q$5:Q$53))</f>
        <v>0</v>
      </c>
      <c r="R75" s="90">
        <f t="array" ref="R75">_xlfn.STDEV.P(IF($E$5:$E$53=$E74,R$5:R$53))</f>
        <v>0</v>
      </c>
      <c r="S75" s="90">
        <f t="array" ref="S75">_xlfn.STDEV.P(IF($E$5:$E$53=$E74,S$5:S$53))</f>
        <v>0</v>
      </c>
      <c r="T75" s="90">
        <f t="array" ref="T75">_xlfn.STDEV.P(IF($E$5:$E$53=$E74,T$5:T$53))</f>
        <v>0</v>
      </c>
      <c r="U75" s="90">
        <f t="array" ref="U75">_xlfn.STDEV.P(IF($E$5:$E$53=$E74,U$5:U$53))</f>
        <v>0</v>
      </c>
      <c r="V75" s="90">
        <f t="array" ref="V75">_xlfn.STDEV.P(IF($E$5:$E$53=$E74,V$5:V$53))</f>
        <v>0</v>
      </c>
      <c r="W75" s="90">
        <f t="array" ref="W75">_xlfn.STDEV.P(IF($E$5:$E$53=$E74,W$5:W$53))</f>
        <v>0</v>
      </c>
      <c r="X75" s="90">
        <f t="array" ref="X75">_xlfn.STDEV.P(IF($E$5:$E$53=$E74,X$5:X$53))</f>
        <v>0</v>
      </c>
      <c r="Y75" s="90">
        <f t="array" ref="Y75">_xlfn.STDEV.P(IF($E$5:$E$53=$E74,Y$5:Y$53))</f>
        <v>0</v>
      </c>
      <c r="Z75" s="90">
        <f t="array" ref="Z75">_xlfn.STDEV.P(IF($E$5:$E$53=$E74,Z$5:Z$53))</f>
        <v>0</v>
      </c>
      <c r="AA75" s="90">
        <f t="array" ref="AA75">_xlfn.STDEV.P(IF($E$5:$E$53=$E74,AA$5:AA$53))</f>
        <v>0</v>
      </c>
      <c r="AB75" s="90">
        <f t="array" ref="AB75">_xlfn.STDEV.P(IF($E$5:$E$53=$E74,AB$5:AB$53))</f>
        <v>0</v>
      </c>
      <c r="AC75" s="90">
        <f t="array" ref="AC75">_xlfn.STDEV.P(IF($E$5:$E$53=$E74,AC$5:AC$53))</f>
        <v>0</v>
      </c>
      <c r="AD75" s="90">
        <f t="array" ref="AD75">_xlfn.STDEV.P(IF($E$5:$E$53=$E74,AD$5:AD$53))</f>
        <v>0</v>
      </c>
      <c r="AE75" s="154" t="s">
        <v>12</v>
      </c>
      <c r="AF75" s="83" t="e">
        <f t="array" ref="AF75">_xlfn.STDEV.P(IF($E$5:$E$53=$E74,AF$5:AF$53))</f>
        <v>#DIV/0!</v>
      </c>
      <c r="AG75" s="83" t="e">
        <f t="array" ref="AG75">_xlfn.STDEV.P(IF($E$5:$E$53=$E74,AG$5:AG$53))</f>
        <v>#DIV/0!</v>
      </c>
      <c r="AH75" s="83" t="e">
        <f t="array" ref="AH75">_xlfn.STDEV.P(IF($E$5:$E$53=$E74,AH$5:AH$53))</f>
        <v>#DIV/0!</v>
      </c>
      <c r="AI75" s="83" t="e">
        <f t="array" ref="AI75">_xlfn.STDEV.P(IF($E$5:$E$53=$E74,AI$5:AI$53))</f>
        <v>#DIV/0!</v>
      </c>
      <c r="AJ75" s="83" t="e">
        <f t="array" ref="AJ75">_xlfn.STDEV.P(IF($E$5:$E$53=$E74,AJ$5:AJ$53))</f>
        <v>#DIV/0!</v>
      </c>
      <c r="AK75" s="83" t="e">
        <f t="array" ref="AK75">_xlfn.STDEV.P(IF($E$5:$E$53=$E74,AK$5:AK$53))</f>
        <v>#DIV/0!</v>
      </c>
      <c r="AL75" s="83" t="e">
        <f t="array" ref="AL75">_xlfn.STDEV.P(IF($E$5:$E$53=$E74,AL$5:AL$53))</f>
        <v>#DIV/0!</v>
      </c>
      <c r="AM75" s="83" t="e">
        <f t="array" ref="AM75">_xlfn.STDEV.P(IF($E$5:$E$53=$E74,AM$5:AM$53))</f>
        <v>#DIV/0!</v>
      </c>
      <c r="AN75" s="83" t="e">
        <f t="array" ref="AN75">_xlfn.STDEV.P(IF($E$5:$E$53=$E74,AN$5:AN$53))</f>
        <v>#DIV/0!</v>
      </c>
      <c r="AO75" s="83" t="e">
        <f t="array" ref="AO75">_xlfn.STDEV.P(IF($E$5:$E$53=$E74,AO$5:AO$53))</f>
        <v>#DIV/0!</v>
      </c>
      <c r="AP75" s="83" t="e">
        <f t="array" ref="AP75">_xlfn.STDEV.P(IF($E$5:$E$53=$E74,AP$5:AP$53))</f>
        <v>#DIV/0!</v>
      </c>
      <c r="AQ75" s="83" t="e">
        <f t="array" ref="AQ75">_xlfn.STDEV.P(IF($E$5:$E$53=$E74,AQ$5:AQ$53))</f>
        <v>#DIV/0!</v>
      </c>
      <c r="AR75" s="83" t="e">
        <f t="array" ref="AR75">_xlfn.STDEV.P(IF($E$5:$E$53=$E74,AR$5:AR$53))</f>
        <v>#DIV/0!</v>
      </c>
      <c r="AS75" s="83" t="e">
        <f t="array" ref="AS75">_xlfn.STDEV.P(IF($E$5:$E$53=$E74,AS$5:AS$53))</f>
        <v>#DIV/0!</v>
      </c>
      <c r="AT75" s="83" t="e">
        <f t="array" ref="AT75">_xlfn.STDEV.P(IF($E$5:$E$53=$E74,AT$5:AT$53))</f>
        <v>#DIV/0!</v>
      </c>
      <c r="AU75" s="83" t="e">
        <f t="array" ref="AU75">_xlfn.STDEV.P(IF($E$5:$E$53=$E74,AU$5:AU$53))</f>
        <v>#DIV/0!</v>
      </c>
      <c r="AV75" s="83" t="e">
        <f t="array" ref="AV75">_xlfn.STDEV.P(IF($E$5:$E$53=$E74,AV$5:AV$53))</f>
        <v>#DIV/0!</v>
      </c>
      <c r="AW75" s="83" t="e">
        <f t="array" ref="AW75">_xlfn.STDEV.P(IF($E$5:$E$53=$E74,AW$5:AW$53))</f>
        <v>#DIV/0!</v>
      </c>
      <c r="AX75" s="83" t="e">
        <f t="array" ref="AX75">_xlfn.STDEV.P(IF($E$5:$E$53=$E74,AX$5:AX$53))</f>
        <v>#DIV/0!</v>
      </c>
      <c r="AY75" s="85"/>
    </row>
    <row r="76" spans="1:51" ht="14.25" customHeight="1">
      <c r="A76" s="129"/>
      <c r="E76" s="104"/>
      <c r="H76" s="104"/>
      <c r="I76" s="256"/>
      <c r="J76" s="256"/>
      <c r="K76" s="148" t="s">
        <v>43</v>
      </c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148" t="s">
        <v>43</v>
      </c>
      <c r="AF76" s="82" t="e">
        <f>AF74-AF$55</f>
        <v>#DIV/0!</v>
      </c>
      <c r="AG76" s="82" t="e">
        <f>AG74-AG$55</f>
        <v>#DIV/0!</v>
      </c>
      <c r="AH76" s="82" t="e">
        <f t="shared" ref="AH76:AX76" si="30">AH74-AH$55</f>
        <v>#DIV/0!</v>
      </c>
      <c r="AI76" s="82" t="e">
        <f t="shared" si="30"/>
        <v>#DIV/0!</v>
      </c>
      <c r="AJ76" s="82" t="e">
        <f t="shared" si="30"/>
        <v>#DIV/0!</v>
      </c>
      <c r="AK76" s="82" t="e">
        <f t="shared" si="30"/>
        <v>#DIV/0!</v>
      </c>
      <c r="AL76" s="82" t="e">
        <f t="shared" si="30"/>
        <v>#DIV/0!</v>
      </c>
      <c r="AM76" s="82" t="e">
        <f t="shared" si="30"/>
        <v>#DIV/0!</v>
      </c>
      <c r="AN76" s="82" t="e">
        <f t="shared" si="30"/>
        <v>#DIV/0!</v>
      </c>
      <c r="AO76" s="82" t="e">
        <f t="shared" si="30"/>
        <v>#DIV/0!</v>
      </c>
      <c r="AP76" s="82" t="e">
        <f t="shared" si="30"/>
        <v>#DIV/0!</v>
      </c>
      <c r="AQ76" s="82" t="e">
        <f t="shared" si="30"/>
        <v>#DIV/0!</v>
      </c>
      <c r="AR76" s="82" t="e">
        <f t="shared" si="30"/>
        <v>#DIV/0!</v>
      </c>
      <c r="AS76" s="82" t="e">
        <f t="shared" si="30"/>
        <v>#DIV/0!</v>
      </c>
      <c r="AT76" s="82" t="e">
        <f t="shared" si="30"/>
        <v>#DIV/0!</v>
      </c>
      <c r="AU76" s="82" t="e">
        <f t="shared" si="30"/>
        <v>#DIV/0!</v>
      </c>
      <c r="AV76" s="82" t="e">
        <f t="shared" si="30"/>
        <v>#DIV/0!</v>
      </c>
      <c r="AW76" s="82" t="e">
        <f t="shared" si="30"/>
        <v>#DIV/0!</v>
      </c>
      <c r="AX76" s="173" t="e">
        <f t="shared" si="30"/>
        <v>#DIV/0!</v>
      </c>
      <c r="AY76" s="147"/>
    </row>
    <row r="77" spans="1:51" ht="14.25" customHeight="1">
      <c r="A77" s="129"/>
      <c r="E77" s="104"/>
      <c r="H77" s="104"/>
      <c r="I77" s="256"/>
      <c r="J77" s="256"/>
      <c r="K77" s="116" t="s">
        <v>63</v>
      </c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116" t="s">
        <v>63</v>
      </c>
      <c r="AF77" s="82"/>
      <c r="AG77" s="82" t="e">
        <f>AF74*EXP((AG$4-AF$4)*-LN(2)/8.091)</f>
        <v>#DIV/0!</v>
      </c>
      <c r="AH77" s="82" t="e">
        <f>AG74*EXP((AH$4-AG$4)*-LN(2)/8.091)</f>
        <v>#DIV/0!</v>
      </c>
      <c r="AI77" s="82" t="e">
        <f t="shared" ref="AI77:AX77" si="31">AH74*EXP((AI$4-AH$4)*-LN(2)/8.091)</f>
        <v>#DIV/0!</v>
      </c>
      <c r="AJ77" s="82" t="e">
        <f t="shared" si="31"/>
        <v>#DIV/0!</v>
      </c>
      <c r="AK77" s="82" t="e">
        <f t="shared" si="31"/>
        <v>#DIV/0!</v>
      </c>
      <c r="AL77" s="82" t="e">
        <f t="shared" si="31"/>
        <v>#DIV/0!</v>
      </c>
      <c r="AM77" s="82" t="e">
        <f t="shared" si="31"/>
        <v>#DIV/0!</v>
      </c>
      <c r="AN77" s="82" t="e">
        <f t="shared" si="31"/>
        <v>#DIV/0!</v>
      </c>
      <c r="AO77" s="82" t="e">
        <f t="shared" si="31"/>
        <v>#DIV/0!</v>
      </c>
      <c r="AP77" s="82" t="e">
        <f t="shared" si="31"/>
        <v>#DIV/0!</v>
      </c>
      <c r="AQ77" s="82" t="e">
        <f t="shared" si="31"/>
        <v>#DIV/0!</v>
      </c>
      <c r="AR77" s="82" t="e">
        <f t="shared" si="31"/>
        <v>#DIV/0!</v>
      </c>
      <c r="AS77" s="82" t="e">
        <f t="shared" si="31"/>
        <v>#DIV/0!</v>
      </c>
      <c r="AT77" s="82" t="e">
        <f t="shared" si="31"/>
        <v>#DIV/0!</v>
      </c>
      <c r="AU77" s="82" t="e">
        <f t="shared" si="31"/>
        <v>#DIV/0!</v>
      </c>
      <c r="AV77" s="82" t="e">
        <f t="shared" si="31"/>
        <v>#DIV/0!</v>
      </c>
      <c r="AW77" s="82" t="e">
        <f t="shared" si="31"/>
        <v>#DIV/0!</v>
      </c>
      <c r="AX77" s="173" t="e">
        <f t="shared" si="31"/>
        <v>#DIV/0!</v>
      </c>
      <c r="AY77" s="147"/>
    </row>
    <row r="78" spans="1:51" ht="14.25" customHeight="1">
      <c r="A78" s="129"/>
      <c r="E78" s="104"/>
      <c r="H78" s="104"/>
      <c r="I78" s="256"/>
      <c r="J78" s="256"/>
      <c r="K78" s="116" t="s">
        <v>44</v>
      </c>
      <c r="L78" s="89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116" t="s">
        <v>44</v>
      </c>
      <c r="AF78" s="174"/>
      <c r="AG78" s="83" t="e">
        <f>AG74-AG77</f>
        <v>#DIV/0!</v>
      </c>
      <c r="AH78" s="83" t="e">
        <f>AH74-AH77</f>
        <v>#DIV/0!</v>
      </c>
      <c r="AI78" s="83" t="e">
        <f t="shared" ref="AI78:AX78" si="32">AI74-AI77</f>
        <v>#DIV/0!</v>
      </c>
      <c r="AJ78" s="83" t="e">
        <f t="shared" si="32"/>
        <v>#DIV/0!</v>
      </c>
      <c r="AK78" s="83" t="e">
        <f t="shared" si="32"/>
        <v>#DIV/0!</v>
      </c>
      <c r="AL78" s="83" t="e">
        <f t="shared" si="32"/>
        <v>#DIV/0!</v>
      </c>
      <c r="AM78" s="83" t="e">
        <f t="shared" si="32"/>
        <v>#DIV/0!</v>
      </c>
      <c r="AN78" s="83" t="e">
        <f t="shared" si="32"/>
        <v>#DIV/0!</v>
      </c>
      <c r="AO78" s="83" t="e">
        <f t="shared" si="32"/>
        <v>#DIV/0!</v>
      </c>
      <c r="AP78" s="83" t="e">
        <f t="shared" si="32"/>
        <v>#DIV/0!</v>
      </c>
      <c r="AQ78" s="83" t="e">
        <f t="shared" si="32"/>
        <v>#DIV/0!</v>
      </c>
      <c r="AR78" s="83" t="e">
        <f t="shared" si="32"/>
        <v>#DIV/0!</v>
      </c>
      <c r="AS78" s="83" t="e">
        <f t="shared" si="32"/>
        <v>#DIV/0!</v>
      </c>
      <c r="AT78" s="83" t="e">
        <f t="shared" si="32"/>
        <v>#DIV/0!</v>
      </c>
      <c r="AU78" s="83" t="e">
        <f t="shared" si="32"/>
        <v>#DIV/0!</v>
      </c>
      <c r="AV78" s="83" t="e">
        <f t="shared" si="32"/>
        <v>#DIV/0!</v>
      </c>
      <c r="AW78" s="83" t="e">
        <f t="shared" si="32"/>
        <v>#DIV/0!</v>
      </c>
      <c r="AX78" s="175" t="e">
        <f t="shared" si="32"/>
        <v>#DIV/0!</v>
      </c>
      <c r="AY78" s="147"/>
    </row>
    <row r="79" spans="1:51" ht="14.25" customHeight="1">
      <c r="A79" s="129"/>
      <c r="E79" s="104"/>
      <c r="H79" s="104"/>
      <c r="I79" s="256"/>
      <c r="J79" s="256"/>
      <c r="K79" s="116" t="s">
        <v>64</v>
      </c>
      <c r="L79" s="89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116" t="s">
        <v>64</v>
      </c>
      <c r="AF79" s="174" t="e">
        <f>AF74/AF$55</f>
        <v>#DIV/0!</v>
      </c>
      <c r="AG79" s="83" t="e">
        <f>AG74/AG$55</f>
        <v>#DIV/0!</v>
      </c>
      <c r="AH79" s="83" t="e">
        <f>AH74/AH$55</f>
        <v>#DIV/0!</v>
      </c>
      <c r="AI79" s="83" t="e">
        <f t="shared" ref="AI79:AX79" si="33">AI74/AI$55</f>
        <v>#DIV/0!</v>
      </c>
      <c r="AJ79" s="83" t="e">
        <f t="shared" si="33"/>
        <v>#DIV/0!</v>
      </c>
      <c r="AK79" s="83" t="e">
        <f t="shared" si="33"/>
        <v>#DIV/0!</v>
      </c>
      <c r="AL79" s="83" t="e">
        <f t="shared" si="33"/>
        <v>#DIV/0!</v>
      </c>
      <c r="AM79" s="83" t="e">
        <f t="shared" si="33"/>
        <v>#DIV/0!</v>
      </c>
      <c r="AN79" s="83" t="e">
        <f t="shared" si="33"/>
        <v>#DIV/0!</v>
      </c>
      <c r="AO79" s="83" t="e">
        <f t="shared" si="33"/>
        <v>#DIV/0!</v>
      </c>
      <c r="AP79" s="83" t="e">
        <f t="shared" si="33"/>
        <v>#DIV/0!</v>
      </c>
      <c r="AQ79" s="83" t="e">
        <f t="shared" si="33"/>
        <v>#DIV/0!</v>
      </c>
      <c r="AR79" s="83" t="e">
        <f t="shared" si="33"/>
        <v>#DIV/0!</v>
      </c>
      <c r="AS79" s="83" t="e">
        <f t="shared" si="33"/>
        <v>#DIV/0!</v>
      </c>
      <c r="AT79" s="83" t="e">
        <f t="shared" si="33"/>
        <v>#DIV/0!</v>
      </c>
      <c r="AU79" s="83" t="e">
        <f t="shared" si="33"/>
        <v>#DIV/0!</v>
      </c>
      <c r="AV79" s="83" t="e">
        <f t="shared" si="33"/>
        <v>#DIV/0!</v>
      </c>
      <c r="AW79" s="83" t="e">
        <f t="shared" si="33"/>
        <v>#DIV/0!</v>
      </c>
      <c r="AX79" s="175" t="e">
        <f t="shared" si="33"/>
        <v>#DIV/0!</v>
      </c>
      <c r="AY79" s="147"/>
    </row>
    <row r="80" spans="1:51" ht="15">
      <c r="A80" s="129"/>
      <c r="E80" s="58"/>
      <c r="H80" s="58"/>
      <c r="K80" s="150"/>
      <c r="AE80" s="150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176"/>
    </row>
    <row r="81" spans="1:51" ht="14.25" customHeight="1">
      <c r="A81" s="129"/>
      <c r="E81" s="134" t="str">
        <f>'PTX_DOSE Groups'!C9</f>
        <v>12.5mg Combotherapy</v>
      </c>
      <c r="H81" s="134" t="str">
        <f>E81</f>
        <v>12.5mg Combotherapy</v>
      </c>
      <c r="I81" s="256">
        <f>AVERAGEIF($E$5:$E$53,$E81,I$5:I$53)</f>
        <v>336.5</v>
      </c>
      <c r="J81" s="256"/>
      <c r="K81" s="216" t="s">
        <v>10</v>
      </c>
      <c r="L81" s="87">
        <f t="shared" ref="L81:AD81" si="34">AVERAGEIF($E$5:$E$53,$E81,L$5:L$53)</f>
        <v>336.5</v>
      </c>
      <c r="M81" s="87">
        <f t="shared" si="34"/>
        <v>299.5</v>
      </c>
      <c r="N81" s="87">
        <f t="shared" si="34"/>
        <v>273.75</v>
      </c>
      <c r="O81" s="87">
        <f t="shared" si="34"/>
        <v>220</v>
      </c>
      <c r="P81" s="87">
        <f t="shared" si="34"/>
        <v>181.5</v>
      </c>
      <c r="Q81" s="87">
        <f t="shared" si="34"/>
        <v>146.75</v>
      </c>
      <c r="R81" s="87">
        <f t="shared" si="34"/>
        <v>122</v>
      </c>
      <c r="S81" s="87">
        <f t="shared" si="34"/>
        <v>96.5</v>
      </c>
      <c r="T81" s="87">
        <f t="shared" si="34"/>
        <v>85.25</v>
      </c>
      <c r="U81" s="87">
        <f t="shared" si="34"/>
        <v>60.75</v>
      </c>
      <c r="V81" s="87">
        <f t="shared" si="34"/>
        <v>53</v>
      </c>
      <c r="W81" s="87">
        <f t="shared" si="34"/>
        <v>36.5</v>
      </c>
      <c r="X81" s="87" t="e">
        <f t="shared" si="34"/>
        <v>#DIV/0!</v>
      </c>
      <c r="Y81" s="87" t="e">
        <f t="shared" si="34"/>
        <v>#DIV/0!</v>
      </c>
      <c r="Z81" s="87" t="e">
        <f t="shared" si="34"/>
        <v>#DIV/0!</v>
      </c>
      <c r="AA81" s="87" t="e">
        <f t="shared" si="34"/>
        <v>#DIV/0!</v>
      </c>
      <c r="AB81" s="87" t="e">
        <f t="shared" si="34"/>
        <v>#DIV/0!</v>
      </c>
      <c r="AC81" s="87" t="e">
        <f t="shared" si="34"/>
        <v>#DIV/0!</v>
      </c>
      <c r="AD81" s="87" t="e">
        <f t="shared" si="34"/>
        <v>#DIV/0!</v>
      </c>
      <c r="AE81" s="153" t="s">
        <v>10</v>
      </c>
      <c r="AF81" s="82">
        <f t="shared" ref="AF81:AX81" si="35">AVERAGEIF($E$5:$E$53,$E81,AF$5:AF$53)</f>
        <v>1</v>
      </c>
      <c r="AG81" s="82">
        <f t="shared" si="35"/>
        <v>0.89286393890356619</v>
      </c>
      <c r="AH81" s="82">
        <f t="shared" si="35"/>
        <v>0.82959776822396214</v>
      </c>
      <c r="AI81" s="82">
        <f t="shared" si="35"/>
        <v>0.65987045207545336</v>
      </c>
      <c r="AJ81" s="82">
        <f t="shared" si="35"/>
        <v>0.54544995073548153</v>
      </c>
      <c r="AK81" s="82">
        <f t="shared" si="35"/>
        <v>0.43877473153862873</v>
      </c>
      <c r="AL81" s="82">
        <f t="shared" si="35"/>
        <v>0.36565472187107106</v>
      </c>
      <c r="AM81" s="82">
        <f t="shared" si="35"/>
        <v>0.2896049067184342</v>
      </c>
      <c r="AN81" s="82">
        <f t="shared" si="35"/>
        <v>0.25440461441164747</v>
      </c>
      <c r="AO81" s="82">
        <f t="shared" si="35"/>
        <v>0.17120578053077404</v>
      </c>
      <c r="AP81" s="82">
        <f t="shared" si="35"/>
        <v>0.14727110254777517</v>
      </c>
      <c r="AQ81" s="82">
        <f t="shared" si="35"/>
        <v>0.11278783424585642</v>
      </c>
      <c r="AR81" s="82" t="e">
        <f t="shared" si="35"/>
        <v>#DIV/0!</v>
      </c>
      <c r="AS81" s="82" t="e">
        <f t="shared" si="35"/>
        <v>#DIV/0!</v>
      </c>
      <c r="AT81" s="82" t="e">
        <f t="shared" si="35"/>
        <v>#DIV/0!</v>
      </c>
      <c r="AU81" s="82" t="e">
        <f t="shared" si="35"/>
        <v>#DIV/0!</v>
      </c>
      <c r="AV81" s="82" t="e">
        <f t="shared" si="35"/>
        <v>#DIV/0!</v>
      </c>
      <c r="AW81" s="82" t="e">
        <f t="shared" si="35"/>
        <v>#DIV/0!</v>
      </c>
      <c r="AX81" s="82" t="e">
        <f t="shared" si="35"/>
        <v>#DIV/0!</v>
      </c>
      <c r="AY81" s="85"/>
    </row>
    <row r="82" spans="1:51" ht="14.25" customHeight="1">
      <c r="A82" s="129"/>
      <c r="E82" s="104"/>
      <c r="H82" s="104"/>
      <c r="I82" s="256">
        <f t="array" ref="I82">_xlfn.STDEV.P(IF($E$5:$E$53=$E81,I$5:I$53))</f>
        <v>205.14446129496162</v>
      </c>
      <c r="J82" s="256"/>
      <c r="K82" s="216" t="s">
        <v>12</v>
      </c>
      <c r="L82" s="90">
        <f t="array" ref="L82">_xlfn.STDEV.P(IF($E$5:$E$53=$E81,L$5:L$53))</f>
        <v>205.14446129496162</v>
      </c>
      <c r="M82" s="90">
        <f t="array" ref="M82">_xlfn.STDEV.P(IF($E$5:$E$53=$E81,M$5:M$53))</f>
        <v>183.08536260444197</v>
      </c>
      <c r="N82" s="90">
        <f t="array" ref="N82">_xlfn.STDEV.P(IF($E$5:$E$53=$E81,N$5:N$53))</f>
        <v>163.38967990665751</v>
      </c>
      <c r="O82" s="90">
        <f t="array" ref="O82">_xlfn.STDEV.P(IF($E$5:$E$53=$E81,O$5:O$53))</f>
        <v>132.71586190052793</v>
      </c>
      <c r="P82" s="90">
        <f t="array" ref="P82">_xlfn.STDEV.P(IF($E$5:$E$53=$E81,P$5:P$53))</f>
        <v>109.454328374898</v>
      </c>
      <c r="Q82" s="90">
        <f t="array" ref="Q82">_xlfn.STDEV.P(IF($E$5:$E$53=$E81,Q$5:Q$53))</f>
        <v>89.772977560065371</v>
      </c>
      <c r="R82" s="90">
        <f t="array" ref="R82">_xlfn.STDEV.P(IF($E$5:$E$53=$E81,R$5:R$53))</f>
        <v>73.763134423640111</v>
      </c>
      <c r="S82" s="90">
        <f t="array" ref="S82">_xlfn.STDEV.P(IF($E$5:$E$53=$E81,S$5:S$53))</f>
        <v>58.25160941982633</v>
      </c>
      <c r="T82" s="90">
        <f t="array" ref="T82">_xlfn.STDEV.P(IF($E$5:$E$53=$E81,T$5:T$53))</f>
        <v>52.394536928958537</v>
      </c>
      <c r="U82" s="90">
        <f t="array" ref="U82">_xlfn.STDEV.P(IF($E$5:$E$53=$E81,U$5:U$53))</f>
        <v>40.232915628872831</v>
      </c>
      <c r="V82" s="90">
        <f t="array" ref="V82">_xlfn.STDEV.P(IF($E$5:$E$53=$E81,V$5:V$53))</f>
        <v>35.54574517435244</v>
      </c>
      <c r="W82" s="90">
        <f t="array" ref="W82">_xlfn.STDEV.P(IF($E$5:$E$53=$E81,W$5:W$53))</f>
        <v>21.230873745562146</v>
      </c>
      <c r="X82" s="90">
        <f t="array" ref="X82">_xlfn.STDEV.P(IF($E$5:$E$53=$E81,X$5:X$53))</f>
        <v>0</v>
      </c>
      <c r="Y82" s="90">
        <f t="array" ref="Y82">_xlfn.STDEV.P(IF($E$5:$E$53=$E81,Y$5:Y$53))</f>
        <v>0</v>
      </c>
      <c r="Z82" s="90">
        <f t="array" ref="Z82">_xlfn.STDEV.P(IF($E$5:$E$53=$E81,Z$5:Z$53))</f>
        <v>0</v>
      </c>
      <c r="AA82" s="90">
        <f t="array" ref="AA82">_xlfn.STDEV.P(IF($E$5:$E$53=$E81,AA$5:AA$53))</f>
        <v>0</v>
      </c>
      <c r="AB82" s="90">
        <f t="array" ref="AB82">_xlfn.STDEV.P(IF($E$5:$E$53=$E81,AB$5:AB$53))</f>
        <v>0</v>
      </c>
      <c r="AC82" s="90">
        <f t="array" ref="AC82">_xlfn.STDEV.P(IF($E$5:$E$53=$E81,AC$5:AC$53))</f>
        <v>0</v>
      </c>
      <c r="AD82" s="90">
        <f t="array" ref="AD82">_xlfn.STDEV.P(IF($E$5:$E$53=$E81,AD$5:AD$53))</f>
        <v>0</v>
      </c>
      <c r="AE82" s="154" t="s">
        <v>12</v>
      </c>
      <c r="AF82" s="83">
        <f t="array" ref="AF82">_xlfn.STDEV.P(IF($E$5:$E$53=$E81,AF$5:AF$53))</f>
        <v>0</v>
      </c>
      <c r="AG82" s="83">
        <f t="array" ref="AG82">_xlfn.STDEV.P(IF($E$5:$E$53=$E81,AG$5:AG$53))</f>
        <v>2.1483055785905654E-2</v>
      </c>
      <c r="AH82" s="83">
        <f t="array" ref="AH82">_xlfn.STDEV.P(IF($E$5:$E$53=$E81,AH$5:AH$53))</f>
        <v>4.286446303208219E-2</v>
      </c>
      <c r="AI82" s="83">
        <f t="array" ref="AI82">_xlfn.STDEV.P(IF($E$5:$E$53=$E81,AI$5:AI$53))</f>
        <v>1.315054069461113E-2</v>
      </c>
      <c r="AJ82" s="83">
        <f t="array" ref="AJ82">_xlfn.STDEV.P(IF($E$5:$E$53=$E81,AJ$5:AJ$53))</f>
        <v>1.4822854052541246E-2</v>
      </c>
      <c r="AK82" s="83">
        <f t="array" ref="AK82">_xlfn.STDEV.P(IF($E$5:$E$53=$E81,AK$5:AK$53))</f>
        <v>1.5863660209344623E-2</v>
      </c>
      <c r="AL82" s="83">
        <f t="array" ref="AL82">_xlfn.STDEV.P(IF($E$5:$E$53=$E81,AL$5:AL$53))</f>
        <v>7.4029517506732307E-3</v>
      </c>
      <c r="AM82" s="83">
        <f t="array" ref="AM82">_xlfn.STDEV.P(IF($E$5:$E$53=$E81,AM$5:AM$53))</f>
        <v>6.8308999862119633E-3</v>
      </c>
      <c r="AN82" s="83">
        <f t="array" ref="AN82">_xlfn.STDEV.P(IF($E$5:$E$53=$E81,AN$5:AN$53))</f>
        <v>1.0201423663453064E-2</v>
      </c>
      <c r="AO82" s="83">
        <f t="array" ref="AO82">_xlfn.STDEV.P(IF($E$5:$E$53=$E81,AO$5:AO$53))</f>
        <v>1.5525115724316384E-2</v>
      </c>
      <c r="AP82" s="83">
        <f t="array" ref="AP82">_xlfn.STDEV.P(IF($E$5:$E$53=$E81,AP$5:AP$53))</f>
        <v>1.8464691526175681E-2</v>
      </c>
      <c r="AQ82" s="83">
        <f t="array" ref="AQ82">_xlfn.STDEV.P(IF($E$5:$E$53=$E81,AQ$5:AQ$53))</f>
        <v>1.4496743077124204E-2</v>
      </c>
      <c r="AR82" s="83" t="e">
        <f t="array" ref="AR82">_xlfn.STDEV.P(IF($E$5:$E$53=$E81,AR$5:AR$53))</f>
        <v>#DIV/0!</v>
      </c>
      <c r="AS82" s="83" t="e">
        <f t="array" ref="AS82">_xlfn.STDEV.P(IF($E$5:$E$53=$E81,AS$5:AS$53))</f>
        <v>#DIV/0!</v>
      </c>
      <c r="AT82" s="83" t="e">
        <f t="array" ref="AT82">_xlfn.STDEV.P(IF($E$5:$E$53=$E81,AT$5:AT$53))</f>
        <v>#DIV/0!</v>
      </c>
      <c r="AU82" s="83" t="e">
        <f t="array" ref="AU82">_xlfn.STDEV.P(IF($E$5:$E$53=$E81,AU$5:AU$53))</f>
        <v>#DIV/0!</v>
      </c>
      <c r="AV82" s="83" t="e">
        <f t="array" ref="AV82">_xlfn.STDEV.P(IF($E$5:$E$53=$E81,AV$5:AV$53))</f>
        <v>#DIV/0!</v>
      </c>
      <c r="AW82" s="83" t="e">
        <f t="array" ref="AW82">_xlfn.STDEV.P(IF($E$5:$E$53=$E81,AW$5:AW$53))</f>
        <v>#DIV/0!</v>
      </c>
      <c r="AX82" s="83" t="e">
        <f t="array" ref="AX82">_xlfn.STDEV.P(IF($E$5:$E$53=$E81,AX$5:AX$53))</f>
        <v>#DIV/0!</v>
      </c>
      <c r="AY82" s="85"/>
    </row>
    <row r="83" spans="1:51" ht="14.25" customHeight="1">
      <c r="A83" s="129"/>
      <c r="E83" s="104"/>
      <c r="H83" s="104"/>
      <c r="I83" s="256"/>
      <c r="J83" s="256"/>
      <c r="K83" s="148" t="s">
        <v>43</v>
      </c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148" t="s">
        <v>43</v>
      </c>
      <c r="AF83" s="82">
        <f>AF81-AF$55</f>
        <v>0</v>
      </c>
      <c r="AG83" s="82">
        <f>AG81-AG$55</f>
        <v>-2.433529586586336E-2</v>
      </c>
      <c r="AH83" s="82">
        <f t="shared" ref="AH83:AX83" si="36">AH81-AH$55</f>
        <v>-1.1656668037664963E-2</v>
      </c>
      <c r="AI83" s="82">
        <f t="shared" si="36"/>
        <v>-4.783857445441464E-2</v>
      </c>
      <c r="AJ83" s="82">
        <f t="shared" si="36"/>
        <v>-4.9913407415167588E-2</v>
      </c>
      <c r="AK83" s="82">
        <f t="shared" si="36"/>
        <v>-6.2077334693224795E-2</v>
      </c>
      <c r="AL83" s="82">
        <f t="shared" si="36"/>
        <v>-5.568930075727796E-2</v>
      </c>
      <c r="AM83" s="82">
        <f t="shared" si="36"/>
        <v>-6.4852621509983832E-2</v>
      </c>
      <c r="AN83" s="82">
        <f t="shared" si="36"/>
        <v>-4.3784353676840138E-2</v>
      </c>
      <c r="AO83" s="82">
        <f t="shared" si="36"/>
        <v>-5.8876208559523802E-2</v>
      </c>
      <c r="AP83" s="82">
        <f t="shared" si="36"/>
        <v>-4.6286391478337185E-2</v>
      </c>
      <c r="AQ83" s="82">
        <f t="shared" si="36"/>
        <v>-5.0043266275293985E-2</v>
      </c>
      <c r="AR83" s="82" t="e">
        <f t="shared" si="36"/>
        <v>#DIV/0!</v>
      </c>
      <c r="AS83" s="82" t="e">
        <f t="shared" si="36"/>
        <v>#DIV/0!</v>
      </c>
      <c r="AT83" s="82" t="e">
        <f t="shared" si="36"/>
        <v>#DIV/0!</v>
      </c>
      <c r="AU83" s="82" t="e">
        <f t="shared" si="36"/>
        <v>#DIV/0!</v>
      </c>
      <c r="AV83" s="82" t="e">
        <f t="shared" si="36"/>
        <v>#DIV/0!</v>
      </c>
      <c r="AW83" s="82" t="e">
        <f t="shared" si="36"/>
        <v>#DIV/0!</v>
      </c>
      <c r="AX83" s="173" t="e">
        <f t="shared" si="36"/>
        <v>#DIV/0!</v>
      </c>
      <c r="AY83" s="147"/>
    </row>
    <row r="84" spans="1:51" ht="14.25" customHeight="1">
      <c r="A84" s="129"/>
      <c r="E84" s="104"/>
      <c r="H84" s="104"/>
      <c r="I84" s="256"/>
      <c r="J84" s="256"/>
      <c r="K84" s="116" t="s">
        <v>63</v>
      </c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116" t="s">
        <v>63</v>
      </c>
      <c r="AF84" s="82"/>
      <c r="AG84" s="82">
        <f>AF81*EXP((AG$4-AF$4)*-LN(2)/8.091)</f>
        <v>0.91789808441829013</v>
      </c>
      <c r="AH84" s="82">
        <f>AG81*EXP((AH$4-AG$4)*-LN(2)/8.091)</f>
        <v>0.81955809916575262</v>
      </c>
      <c r="AI84" s="82">
        <f t="shared" ref="AI84:AX84" si="37">AH81*EXP((AI$4-AH$4)*-LN(2)/8.091)</f>
        <v>0.69896672639337498</v>
      </c>
      <c r="AJ84" s="82">
        <f t="shared" si="37"/>
        <v>0.55596520072409472</v>
      </c>
      <c r="AK84" s="82">
        <f t="shared" si="37"/>
        <v>0.4595617069862738</v>
      </c>
      <c r="AL84" s="82">
        <f t="shared" si="37"/>
        <v>0.36968389920365852</v>
      </c>
      <c r="AM84" s="82">
        <f t="shared" si="37"/>
        <v>0.30807759341452912</v>
      </c>
      <c r="AN84" s="82">
        <f t="shared" si="37"/>
        <v>0.24400281841379701</v>
      </c>
      <c r="AO84" s="82">
        <f t="shared" si="37"/>
        <v>0.19674711593839395</v>
      </c>
      <c r="AP84" s="82">
        <f t="shared" si="37"/>
        <v>0.14424718645688525</v>
      </c>
      <c r="AQ84" s="82">
        <f t="shared" si="37"/>
        <v>0.12408133722506823</v>
      </c>
      <c r="AR84" s="82" t="e">
        <f t="shared" si="37"/>
        <v>#NUM!</v>
      </c>
      <c r="AS84" s="82" t="e">
        <f t="shared" si="37"/>
        <v>#DIV/0!</v>
      </c>
      <c r="AT84" s="82" t="e">
        <f t="shared" si="37"/>
        <v>#DIV/0!</v>
      </c>
      <c r="AU84" s="82" t="e">
        <f t="shared" si="37"/>
        <v>#DIV/0!</v>
      </c>
      <c r="AV84" s="82" t="e">
        <f t="shared" si="37"/>
        <v>#DIV/0!</v>
      </c>
      <c r="AW84" s="82" t="e">
        <f t="shared" si="37"/>
        <v>#DIV/0!</v>
      </c>
      <c r="AX84" s="173" t="e">
        <f t="shared" si="37"/>
        <v>#DIV/0!</v>
      </c>
      <c r="AY84" s="147"/>
    </row>
    <row r="85" spans="1:51" ht="14.25" customHeight="1">
      <c r="A85" s="129"/>
      <c r="E85" s="104"/>
      <c r="H85" s="104"/>
      <c r="I85" s="256"/>
      <c r="J85" s="256"/>
      <c r="K85" s="116" t="s">
        <v>44</v>
      </c>
      <c r="L85" s="89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116" t="s">
        <v>44</v>
      </c>
      <c r="AF85" s="174"/>
      <c r="AG85" s="83">
        <f>AG81-AG84</f>
        <v>-2.5034145514723938E-2</v>
      </c>
      <c r="AH85" s="83">
        <f>AH81-AH84</f>
        <v>1.0039669058209522E-2</v>
      </c>
      <c r="AI85" s="83">
        <f t="shared" ref="AI85:AX85" si="38">AI81-AI84</f>
        <v>-3.909627431792162E-2</v>
      </c>
      <c r="AJ85" s="83">
        <f t="shared" si="38"/>
        <v>-1.0515249988613196E-2</v>
      </c>
      <c r="AK85" s="83">
        <f t="shared" si="38"/>
        <v>-2.0786975447645073E-2</v>
      </c>
      <c r="AL85" s="83">
        <f t="shared" si="38"/>
        <v>-4.0291773325874525E-3</v>
      </c>
      <c r="AM85" s="83">
        <f t="shared" si="38"/>
        <v>-1.847268669609492E-2</v>
      </c>
      <c r="AN85" s="83">
        <f t="shared" si="38"/>
        <v>1.040179599785046E-2</v>
      </c>
      <c r="AO85" s="83">
        <f t="shared" si="38"/>
        <v>-2.5541335407619908E-2</v>
      </c>
      <c r="AP85" s="83">
        <f t="shared" si="38"/>
        <v>3.0239160908899221E-3</v>
      </c>
      <c r="AQ85" s="83">
        <f t="shared" si="38"/>
        <v>-1.1293502979211806E-2</v>
      </c>
      <c r="AR85" s="83" t="e">
        <f t="shared" si="38"/>
        <v>#DIV/0!</v>
      </c>
      <c r="AS85" s="83" t="e">
        <f t="shared" si="38"/>
        <v>#DIV/0!</v>
      </c>
      <c r="AT85" s="83" t="e">
        <f t="shared" si="38"/>
        <v>#DIV/0!</v>
      </c>
      <c r="AU85" s="83" t="e">
        <f t="shared" si="38"/>
        <v>#DIV/0!</v>
      </c>
      <c r="AV85" s="83" t="e">
        <f t="shared" si="38"/>
        <v>#DIV/0!</v>
      </c>
      <c r="AW85" s="83" t="e">
        <f t="shared" si="38"/>
        <v>#DIV/0!</v>
      </c>
      <c r="AX85" s="175" t="e">
        <f t="shared" si="38"/>
        <v>#DIV/0!</v>
      </c>
      <c r="AY85" s="147"/>
    </row>
    <row r="86" spans="1:51" ht="14.25" customHeight="1">
      <c r="A86" s="129"/>
      <c r="E86" s="104"/>
      <c r="H86" s="104"/>
      <c r="I86" s="256"/>
      <c r="J86" s="256"/>
      <c r="K86" s="116" t="s">
        <v>64</v>
      </c>
      <c r="L86" s="89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116" t="s">
        <v>64</v>
      </c>
      <c r="AF86" s="174">
        <f>AF81/AF$55</f>
        <v>1</v>
      </c>
      <c r="AG86" s="83">
        <f>AG81/AG$55</f>
        <v>0.97346781926613701</v>
      </c>
      <c r="AH86" s="83">
        <f>AH81/AH$55</f>
        <v>0.98614370690338948</v>
      </c>
      <c r="AI86" s="83">
        <f t="shared" ref="AI86:AX86" si="39">AI81/AI$55</f>
        <v>0.93240361128501781</v>
      </c>
      <c r="AJ86" s="83">
        <f t="shared" si="39"/>
        <v>0.91616311831784303</v>
      </c>
      <c r="AK86" s="83">
        <f t="shared" si="39"/>
        <v>0.87605654667602373</v>
      </c>
      <c r="AL86" s="83">
        <f t="shared" si="39"/>
        <v>0.8678293798737492</v>
      </c>
      <c r="AM86" s="83">
        <f t="shared" si="39"/>
        <v>0.81703697525027097</v>
      </c>
      <c r="AN86" s="83">
        <f t="shared" si="39"/>
        <v>0.85316574936519074</v>
      </c>
      <c r="AO86" s="83">
        <f t="shared" si="39"/>
        <v>0.744107703552505</v>
      </c>
      <c r="AP86" s="83">
        <f t="shared" si="39"/>
        <v>0.76086489592548245</v>
      </c>
      <c r="AQ86" s="83">
        <f t="shared" si="39"/>
        <v>0.69266764079388032</v>
      </c>
      <c r="AR86" s="83" t="e">
        <f t="shared" si="39"/>
        <v>#DIV/0!</v>
      </c>
      <c r="AS86" s="83" t="e">
        <f t="shared" si="39"/>
        <v>#DIV/0!</v>
      </c>
      <c r="AT86" s="83" t="e">
        <f t="shared" si="39"/>
        <v>#DIV/0!</v>
      </c>
      <c r="AU86" s="83" t="e">
        <f t="shared" si="39"/>
        <v>#DIV/0!</v>
      </c>
      <c r="AV86" s="83" t="e">
        <f t="shared" si="39"/>
        <v>#DIV/0!</v>
      </c>
      <c r="AW86" s="83" t="e">
        <f t="shared" si="39"/>
        <v>#DIV/0!</v>
      </c>
      <c r="AX86" s="175" t="e">
        <f t="shared" si="39"/>
        <v>#DIV/0!</v>
      </c>
      <c r="AY86" s="147"/>
    </row>
    <row r="87" spans="1:51" ht="15">
      <c r="A87" s="129"/>
      <c r="E87" s="58"/>
      <c r="H87" s="58"/>
      <c r="K87" s="150"/>
      <c r="AE87" s="150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176"/>
    </row>
    <row r="88" spans="1:51" ht="14.25" customHeight="1">
      <c r="A88" s="129"/>
      <c r="E88" s="134" t="str">
        <f>'PTX_DOSE Groups'!C10</f>
        <v>25mg CP-PTX</v>
      </c>
      <c r="H88" s="134" t="str">
        <f>E88</f>
        <v>25mg CP-PTX</v>
      </c>
      <c r="I88" s="256" t="e">
        <f>AVERAGEIF($E$5:$E$53,$E88,I$5:I$53)</f>
        <v>#DIV/0!</v>
      </c>
      <c r="J88" s="256"/>
      <c r="K88" s="216" t="s">
        <v>10</v>
      </c>
      <c r="L88" s="87" t="e">
        <f t="shared" ref="L88:AD88" si="40">AVERAGEIF($E$5:$E$53,$E88,L$5:L$53)</f>
        <v>#DIV/0!</v>
      </c>
      <c r="M88" s="87" t="e">
        <f t="shared" si="40"/>
        <v>#DIV/0!</v>
      </c>
      <c r="N88" s="87" t="e">
        <f t="shared" si="40"/>
        <v>#DIV/0!</v>
      </c>
      <c r="O88" s="87" t="e">
        <f t="shared" si="40"/>
        <v>#DIV/0!</v>
      </c>
      <c r="P88" s="87" t="e">
        <f t="shared" si="40"/>
        <v>#DIV/0!</v>
      </c>
      <c r="Q88" s="87" t="e">
        <f t="shared" si="40"/>
        <v>#DIV/0!</v>
      </c>
      <c r="R88" s="87" t="e">
        <f t="shared" si="40"/>
        <v>#DIV/0!</v>
      </c>
      <c r="S88" s="87" t="e">
        <f t="shared" si="40"/>
        <v>#DIV/0!</v>
      </c>
      <c r="T88" s="87" t="e">
        <f t="shared" si="40"/>
        <v>#DIV/0!</v>
      </c>
      <c r="U88" s="87" t="e">
        <f t="shared" si="40"/>
        <v>#DIV/0!</v>
      </c>
      <c r="V88" s="87" t="e">
        <f t="shared" si="40"/>
        <v>#DIV/0!</v>
      </c>
      <c r="W88" s="87" t="e">
        <f t="shared" si="40"/>
        <v>#DIV/0!</v>
      </c>
      <c r="X88" s="87" t="e">
        <f t="shared" si="40"/>
        <v>#DIV/0!</v>
      </c>
      <c r="Y88" s="87" t="e">
        <f t="shared" si="40"/>
        <v>#DIV/0!</v>
      </c>
      <c r="Z88" s="87" t="e">
        <f t="shared" si="40"/>
        <v>#DIV/0!</v>
      </c>
      <c r="AA88" s="87" t="e">
        <f t="shared" si="40"/>
        <v>#DIV/0!</v>
      </c>
      <c r="AB88" s="87" t="e">
        <f t="shared" si="40"/>
        <v>#DIV/0!</v>
      </c>
      <c r="AC88" s="87" t="e">
        <f t="shared" si="40"/>
        <v>#DIV/0!</v>
      </c>
      <c r="AD88" s="87" t="e">
        <f t="shared" si="40"/>
        <v>#DIV/0!</v>
      </c>
      <c r="AE88" s="153" t="s">
        <v>10</v>
      </c>
      <c r="AF88" s="82" t="e">
        <f t="shared" ref="AF88:AX88" si="41">AVERAGEIF($E$5:$E$53,$E88,AF$5:AF$53)</f>
        <v>#DIV/0!</v>
      </c>
      <c r="AG88" s="82" t="e">
        <f t="shared" si="41"/>
        <v>#DIV/0!</v>
      </c>
      <c r="AH88" s="82" t="e">
        <f t="shared" si="41"/>
        <v>#DIV/0!</v>
      </c>
      <c r="AI88" s="82" t="e">
        <f t="shared" si="41"/>
        <v>#DIV/0!</v>
      </c>
      <c r="AJ88" s="82" t="e">
        <f t="shared" si="41"/>
        <v>#DIV/0!</v>
      </c>
      <c r="AK88" s="82" t="e">
        <f t="shared" si="41"/>
        <v>#DIV/0!</v>
      </c>
      <c r="AL88" s="82" t="e">
        <f t="shared" si="41"/>
        <v>#DIV/0!</v>
      </c>
      <c r="AM88" s="82" t="e">
        <f t="shared" si="41"/>
        <v>#DIV/0!</v>
      </c>
      <c r="AN88" s="82" t="e">
        <f t="shared" si="41"/>
        <v>#DIV/0!</v>
      </c>
      <c r="AO88" s="82" t="e">
        <f t="shared" si="41"/>
        <v>#DIV/0!</v>
      </c>
      <c r="AP88" s="82" t="e">
        <f t="shared" si="41"/>
        <v>#DIV/0!</v>
      </c>
      <c r="AQ88" s="82" t="e">
        <f t="shared" si="41"/>
        <v>#DIV/0!</v>
      </c>
      <c r="AR88" s="82" t="e">
        <f t="shared" si="41"/>
        <v>#DIV/0!</v>
      </c>
      <c r="AS88" s="82" t="e">
        <f t="shared" si="41"/>
        <v>#DIV/0!</v>
      </c>
      <c r="AT88" s="82" t="e">
        <f t="shared" si="41"/>
        <v>#DIV/0!</v>
      </c>
      <c r="AU88" s="82" t="e">
        <f t="shared" si="41"/>
        <v>#DIV/0!</v>
      </c>
      <c r="AV88" s="82" t="e">
        <f t="shared" si="41"/>
        <v>#DIV/0!</v>
      </c>
      <c r="AW88" s="82" t="e">
        <f t="shared" si="41"/>
        <v>#DIV/0!</v>
      </c>
      <c r="AX88" s="82" t="e">
        <f t="shared" si="41"/>
        <v>#DIV/0!</v>
      </c>
      <c r="AY88" s="85"/>
    </row>
    <row r="89" spans="1:51" ht="14.25" customHeight="1">
      <c r="A89" s="129"/>
      <c r="E89" s="104"/>
      <c r="H89" s="104"/>
      <c r="I89" s="256">
        <f t="array" ref="I89">_xlfn.STDEV.P(IF($E$5:$E$53=$E88,I$5:I$53))</f>
        <v>0</v>
      </c>
      <c r="J89" s="256"/>
      <c r="K89" s="216" t="s">
        <v>12</v>
      </c>
      <c r="L89" s="90">
        <f t="array" ref="L89">_xlfn.STDEV.P(IF($E$5:$E$53=$E88,L$5:L$53))</f>
        <v>0</v>
      </c>
      <c r="M89" s="90">
        <f t="array" ref="M89">_xlfn.STDEV.P(IF($E$5:$E$53=$E88,M$5:M$53))</f>
        <v>0</v>
      </c>
      <c r="N89" s="90">
        <f t="array" ref="N89">_xlfn.STDEV.P(IF($E$5:$E$53=$E88,N$5:N$53))</f>
        <v>0</v>
      </c>
      <c r="O89" s="90">
        <f t="array" ref="O89">_xlfn.STDEV.P(IF($E$5:$E$53=$E88,O$5:O$53))</f>
        <v>0</v>
      </c>
      <c r="P89" s="90">
        <f t="array" ref="P89">_xlfn.STDEV.P(IF($E$5:$E$53=$E88,P$5:P$53))</f>
        <v>0</v>
      </c>
      <c r="Q89" s="90">
        <f t="array" ref="Q89">_xlfn.STDEV.P(IF($E$5:$E$53=$E88,Q$5:Q$53))</f>
        <v>0</v>
      </c>
      <c r="R89" s="90">
        <f t="array" ref="R89">_xlfn.STDEV.P(IF($E$5:$E$53=$E88,R$5:R$53))</f>
        <v>0</v>
      </c>
      <c r="S89" s="90">
        <f t="array" ref="S89">_xlfn.STDEV.P(IF($E$5:$E$53=$E88,S$5:S$53))</f>
        <v>0</v>
      </c>
      <c r="T89" s="90">
        <f t="array" ref="T89">_xlfn.STDEV.P(IF($E$5:$E$53=$E88,T$5:T$53))</f>
        <v>0</v>
      </c>
      <c r="U89" s="90">
        <f t="array" ref="U89">_xlfn.STDEV.P(IF($E$5:$E$53=$E88,U$5:U$53))</f>
        <v>0</v>
      </c>
      <c r="V89" s="90">
        <f t="array" ref="V89">_xlfn.STDEV.P(IF($E$5:$E$53=$E88,V$5:V$53))</f>
        <v>0</v>
      </c>
      <c r="W89" s="90">
        <f t="array" ref="W89">_xlfn.STDEV.P(IF($E$5:$E$53=$E88,W$5:W$53))</f>
        <v>0</v>
      </c>
      <c r="X89" s="90">
        <f t="array" ref="X89">_xlfn.STDEV.P(IF($E$5:$E$53=$E88,X$5:X$53))</f>
        <v>0</v>
      </c>
      <c r="Y89" s="90">
        <f t="array" ref="Y89">_xlfn.STDEV.P(IF($E$5:$E$53=$E88,Y$5:Y$53))</f>
        <v>0</v>
      </c>
      <c r="Z89" s="90">
        <f t="array" ref="Z89">_xlfn.STDEV.P(IF($E$5:$E$53=$E88,Z$5:Z$53))</f>
        <v>0</v>
      </c>
      <c r="AA89" s="90">
        <f t="array" ref="AA89">_xlfn.STDEV.P(IF($E$5:$E$53=$E88,AA$5:AA$53))</f>
        <v>0</v>
      </c>
      <c r="AB89" s="90">
        <f t="array" ref="AB89">_xlfn.STDEV.P(IF($E$5:$E$53=$E88,AB$5:AB$53))</f>
        <v>0</v>
      </c>
      <c r="AC89" s="90">
        <f t="array" ref="AC89">_xlfn.STDEV.P(IF($E$5:$E$53=$E88,AC$5:AC$53))</f>
        <v>0</v>
      </c>
      <c r="AD89" s="90">
        <f t="array" ref="AD89">_xlfn.STDEV.P(IF($E$5:$E$53=$E88,AD$5:AD$53))</f>
        <v>0</v>
      </c>
      <c r="AE89" s="154" t="s">
        <v>12</v>
      </c>
      <c r="AF89" s="83" t="e">
        <f t="array" ref="AF89">_xlfn.STDEV.P(IF($E$5:$E$53=$E88,AF$5:AF$53))</f>
        <v>#DIV/0!</v>
      </c>
      <c r="AG89" s="83" t="e">
        <f t="array" ref="AG89">_xlfn.STDEV.P(IF($E$5:$E$53=$E88,AG$5:AG$53))</f>
        <v>#DIV/0!</v>
      </c>
      <c r="AH89" s="83" t="e">
        <f t="array" ref="AH89">_xlfn.STDEV.P(IF($E$5:$E$53=$E88,AH$5:AH$53))</f>
        <v>#DIV/0!</v>
      </c>
      <c r="AI89" s="83" t="e">
        <f t="array" ref="AI89">_xlfn.STDEV.P(IF($E$5:$E$53=$E88,AI$5:AI$53))</f>
        <v>#DIV/0!</v>
      </c>
      <c r="AJ89" s="83" t="e">
        <f t="array" ref="AJ89">_xlfn.STDEV.P(IF($E$5:$E$53=$E88,AJ$5:AJ$53))</f>
        <v>#DIV/0!</v>
      </c>
      <c r="AK89" s="83" t="e">
        <f t="array" ref="AK89">_xlfn.STDEV.P(IF($E$5:$E$53=$E88,AK$5:AK$53))</f>
        <v>#DIV/0!</v>
      </c>
      <c r="AL89" s="83" t="e">
        <f t="array" ref="AL89">_xlfn.STDEV.P(IF($E$5:$E$53=$E88,AL$5:AL$53))</f>
        <v>#DIV/0!</v>
      </c>
      <c r="AM89" s="83" t="e">
        <f t="array" ref="AM89">_xlfn.STDEV.P(IF($E$5:$E$53=$E88,AM$5:AM$53))</f>
        <v>#DIV/0!</v>
      </c>
      <c r="AN89" s="83" t="e">
        <f t="array" ref="AN89">_xlfn.STDEV.P(IF($E$5:$E$53=$E88,AN$5:AN$53))</f>
        <v>#DIV/0!</v>
      </c>
      <c r="AO89" s="83" t="e">
        <f t="array" ref="AO89">_xlfn.STDEV.P(IF($E$5:$E$53=$E88,AO$5:AO$53))</f>
        <v>#DIV/0!</v>
      </c>
      <c r="AP89" s="83" t="e">
        <f t="array" ref="AP89">_xlfn.STDEV.P(IF($E$5:$E$53=$E88,AP$5:AP$53))</f>
        <v>#DIV/0!</v>
      </c>
      <c r="AQ89" s="83" t="e">
        <f t="array" ref="AQ89">_xlfn.STDEV.P(IF($E$5:$E$53=$E88,AQ$5:AQ$53))</f>
        <v>#DIV/0!</v>
      </c>
      <c r="AR89" s="83" t="e">
        <f t="array" ref="AR89">_xlfn.STDEV.P(IF($E$5:$E$53=$E88,AR$5:AR$53))</f>
        <v>#DIV/0!</v>
      </c>
      <c r="AS89" s="83" t="e">
        <f t="array" ref="AS89">_xlfn.STDEV.P(IF($E$5:$E$53=$E88,AS$5:AS$53))</f>
        <v>#DIV/0!</v>
      </c>
      <c r="AT89" s="83" t="e">
        <f t="array" ref="AT89">_xlfn.STDEV.P(IF($E$5:$E$53=$E88,AT$5:AT$53))</f>
        <v>#DIV/0!</v>
      </c>
      <c r="AU89" s="83" t="e">
        <f t="array" ref="AU89">_xlfn.STDEV.P(IF($E$5:$E$53=$E88,AU$5:AU$53))</f>
        <v>#DIV/0!</v>
      </c>
      <c r="AV89" s="83" t="e">
        <f t="array" ref="AV89">_xlfn.STDEV.P(IF($E$5:$E$53=$E88,AV$5:AV$53))</f>
        <v>#DIV/0!</v>
      </c>
      <c r="AW89" s="83" t="e">
        <f t="array" ref="AW89">_xlfn.STDEV.P(IF($E$5:$E$53=$E88,AW$5:AW$53))</f>
        <v>#DIV/0!</v>
      </c>
      <c r="AX89" s="83" t="e">
        <f t="array" ref="AX89">_xlfn.STDEV.P(IF($E$5:$E$53=$E88,AX$5:AX$53))</f>
        <v>#DIV/0!</v>
      </c>
      <c r="AY89" s="85"/>
    </row>
    <row r="90" spans="1:51" ht="14.25" customHeight="1">
      <c r="A90" s="129"/>
      <c r="E90" s="104"/>
      <c r="H90" s="104"/>
      <c r="I90" s="256"/>
      <c r="J90" s="256"/>
      <c r="K90" s="148" t="s">
        <v>43</v>
      </c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148" t="s">
        <v>43</v>
      </c>
      <c r="AF90" s="82" t="e">
        <f>AF88-AF$55</f>
        <v>#DIV/0!</v>
      </c>
      <c r="AG90" s="82" t="e">
        <f>AG88-AG$55</f>
        <v>#DIV/0!</v>
      </c>
      <c r="AH90" s="82" t="e">
        <f t="shared" ref="AH90:AX90" si="42">AH88-AH$55</f>
        <v>#DIV/0!</v>
      </c>
      <c r="AI90" s="82" t="e">
        <f t="shared" si="42"/>
        <v>#DIV/0!</v>
      </c>
      <c r="AJ90" s="82" t="e">
        <f t="shared" si="42"/>
        <v>#DIV/0!</v>
      </c>
      <c r="AK90" s="82" t="e">
        <f t="shared" si="42"/>
        <v>#DIV/0!</v>
      </c>
      <c r="AL90" s="82" t="e">
        <f t="shared" si="42"/>
        <v>#DIV/0!</v>
      </c>
      <c r="AM90" s="82" t="e">
        <f t="shared" si="42"/>
        <v>#DIV/0!</v>
      </c>
      <c r="AN90" s="82" t="e">
        <f t="shared" si="42"/>
        <v>#DIV/0!</v>
      </c>
      <c r="AO90" s="82" t="e">
        <f t="shared" si="42"/>
        <v>#DIV/0!</v>
      </c>
      <c r="AP90" s="82" t="e">
        <f t="shared" si="42"/>
        <v>#DIV/0!</v>
      </c>
      <c r="AQ90" s="82" t="e">
        <f t="shared" si="42"/>
        <v>#DIV/0!</v>
      </c>
      <c r="AR90" s="82" t="e">
        <f t="shared" si="42"/>
        <v>#DIV/0!</v>
      </c>
      <c r="AS90" s="82" t="e">
        <f t="shared" si="42"/>
        <v>#DIV/0!</v>
      </c>
      <c r="AT90" s="82" t="e">
        <f t="shared" si="42"/>
        <v>#DIV/0!</v>
      </c>
      <c r="AU90" s="82" t="e">
        <f t="shared" si="42"/>
        <v>#DIV/0!</v>
      </c>
      <c r="AV90" s="82" t="e">
        <f t="shared" si="42"/>
        <v>#DIV/0!</v>
      </c>
      <c r="AW90" s="82" t="e">
        <f t="shared" si="42"/>
        <v>#DIV/0!</v>
      </c>
      <c r="AX90" s="173" t="e">
        <f t="shared" si="42"/>
        <v>#DIV/0!</v>
      </c>
      <c r="AY90" s="147"/>
    </row>
    <row r="91" spans="1:51" ht="14.25" customHeight="1">
      <c r="A91" s="129"/>
      <c r="E91" s="104"/>
      <c r="H91" s="104"/>
      <c r="I91" s="256"/>
      <c r="J91" s="256"/>
      <c r="K91" s="116" t="s">
        <v>63</v>
      </c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116" t="s">
        <v>63</v>
      </c>
      <c r="AF91" s="82"/>
      <c r="AG91" s="82" t="e">
        <f>AF88*EXP((AG$4-AF$4)*-LN(2)/8.091)</f>
        <v>#DIV/0!</v>
      </c>
      <c r="AH91" s="82" t="e">
        <f>AG88*EXP((AH$4-AG$4)*-LN(2)/8.091)</f>
        <v>#DIV/0!</v>
      </c>
      <c r="AI91" s="82" t="e">
        <f t="shared" ref="AI91:AX91" si="43">AH88*EXP((AI$4-AH$4)*-LN(2)/8.091)</f>
        <v>#DIV/0!</v>
      </c>
      <c r="AJ91" s="82" t="e">
        <f t="shared" si="43"/>
        <v>#DIV/0!</v>
      </c>
      <c r="AK91" s="82" t="e">
        <f t="shared" si="43"/>
        <v>#DIV/0!</v>
      </c>
      <c r="AL91" s="82" t="e">
        <f t="shared" si="43"/>
        <v>#DIV/0!</v>
      </c>
      <c r="AM91" s="82" t="e">
        <f t="shared" si="43"/>
        <v>#DIV/0!</v>
      </c>
      <c r="AN91" s="82" t="e">
        <f t="shared" si="43"/>
        <v>#DIV/0!</v>
      </c>
      <c r="AO91" s="82" t="e">
        <f t="shared" si="43"/>
        <v>#DIV/0!</v>
      </c>
      <c r="AP91" s="82" t="e">
        <f t="shared" si="43"/>
        <v>#DIV/0!</v>
      </c>
      <c r="AQ91" s="82" t="e">
        <f t="shared" si="43"/>
        <v>#DIV/0!</v>
      </c>
      <c r="AR91" s="82" t="e">
        <f t="shared" si="43"/>
        <v>#DIV/0!</v>
      </c>
      <c r="AS91" s="82" t="e">
        <f t="shared" si="43"/>
        <v>#DIV/0!</v>
      </c>
      <c r="AT91" s="82" t="e">
        <f t="shared" si="43"/>
        <v>#DIV/0!</v>
      </c>
      <c r="AU91" s="82" t="e">
        <f t="shared" si="43"/>
        <v>#DIV/0!</v>
      </c>
      <c r="AV91" s="82" t="e">
        <f t="shared" si="43"/>
        <v>#DIV/0!</v>
      </c>
      <c r="AW91" s="82" t="e">
        <f t="shared" si="43"/>
        <v>#DIV/0!</v>
      </c>
      <c r="AX91" s="173" t="e">
        <f t="shared" si="43"/>
        <v>#DIV/0!</v>
      </c>
      <c r="AY91" s="147"/>
    </row>
    <row r="92" spans="1:51" ht="14.25" customHeight="1">
      <c r="A92" s="129"/>
      <c r="E92" s="104"/>
      <c r="H92" s="104"/>
      <c r="I92" s="256"/>
      <c r="J92" s="256"/>
      <c r="K92" s="116" t="s">
        <v>44</v>
      </c>
      <c r="L92" s="89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116" t="s">
        <v>44</v>
      </c>
      <c r="AF92" s="174"/>
      <c r="AG92" s="83" t="e">
        <f>AG88-AG91</f>
        <v>#DIV/0!</v>
      </c>
      <c r="AH92" s="83" t="e">
        <f>AH88-AH91</f>
        <v>#DIV/0!</v>
      </c>
      <c r="AI92" s="83" t="e">
        <f t="shared" ref="AI92:AX92" si="44">AI88-AI91</f>
        <v>#DIV/0!</v>
      </c>
      <c r="AJ92" s="83" t="e">
        <f t="shared" si="44"/>
        <v>#DIV/0!</v>
      </c>
      <c r="AK92" s="83" t="e">
        <f t="shared" si="44"/>
        <v>#DIV/0!</v>
      </c>
      <c r="AL92" s="83" t="e">
        <f t="shared" si="44"/>
        <v>#DIV/0!</v>
      </c>
      <c r="AM92" s="83" t="e">
        <f t="shared" si="44"/>
        <v>#DIV/0!</v>
      </c>
      <c r="AN92" s="83" t="e">
        <f t="shared" si="44"/>
        <v>#DIV/0!</v>
      </c>
      <c r="AO92" s="83" t="e">
        <f t="shared" si="44"/>
        <v>#DIV/0!</v>
      </c>
      <c r="AP92" s="83" t="e">
        <f t="shared" si="44"/>
        <v>#DIV/0!</v>
      </c>
      <c r="AQ92" s="83" t="e">
        <f t="shared" si="44"/>
        <v>#DIV/0!</v>
      </c>
      <c r="AR92" s="83" t="e">
        <f t="shared" si="44"/>
        <v>#DIV/0!</v>
      </c>
      <c r="AS92" s="83" t="e">
        <f t="shared" si="44"/>
        <v>#DIV/0!</v>
      </c>
      <c r="AT92" s="83" t="e">
        <f t="shared" si="44"/>
        <v>#DIV/0!</v>
      </c>
      <c r="AU92" s="83" t="e">
        <f t="shared" si="44"/>
        <v>#DIV/0!</v>
      </c>
      <c r="AV92" s="83" t="e">
        <f t="shared" si="44"/>
        <v>#DIV/0!</v>
      </c>
      <c r="AW92" s="83" t="e">
        <f t="shared" si="44"/>
        <v>#DIV/0!</v>
      </c>
      <c r="AX92" s="175" t="e">
        <f t="shared" si="44"/>
        <v>#DIV/0!</v>
      </c>
      <c r="AY92" s="147"/>
    </row>
    <row r="93" spans="1:51" ht="14.25" customHeight="1">
      <c r="A93" s="129"/>
      <c r="E93" s="104"/>
      <c r="H93" s="104"/>
      <c r="I93" s="256"/>
      <c r="J93" s="256"/>
      <c r="K93" s="116" t="s">
        <v>64</v>
      </c>
      <c r="L93" s="89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116" t="s">
        <v>64</v>
      </c>
      <c r="AF93" s="174" t="e">
        <f>AF88/AF$55</f>
        <v>#DIV/0!</v>
      </c>
      <c r="AG93" s="83" t="e">
        <f>AG88/AG$55</f>
        <v>#DIV/0!</v>
      </c>
      <c r="AH93" s="83" t="e">
        <f>AH88/AH$55</f>
        <v>#DIV/0!</v>
      </c>
      <c r="AI93" s="83" t="e">
        <f t="shared" ref="AI93:AX93" si="45">AI88/AI$55</f>
        <v>#DIV/0!</v>
      </c>
      <c r="AJ93" s="83" t="e">
        <f t="shared" si="45"/>
        <v>#DIV/0!</v>
      </c>
      <c r="AK93" s="83" t="e">
        <f t="shared" si="45"/>
        <v>#DIV/0!</v>
      </c>
      <c r="AL93" s="83" t="e">
        <f t="shared" si="45"/>
        <v>#DIV/0!</v>
      </c>
      <c r="AM93" s="83" t="e">
        <f t="shared" si="45"/>
        <v>#DIV/0!</v>
      </c>
      <c r="AN93" s="83" t="e">
        <f t="shared" si="45"/>
        <v>#DIV/0!</v>
      </c>
      <c r="AO93" s="83" t="e">
        <f t="shared" si="45"/>
        <v>#DIV/0!</v>
      </c>
      <c r="AP93" s="83" t="e">
        <f t="shared" si="45"/>
        <v>#DIV/0!</v>
      </c>
      <c r="AQ93" s="83" t="e">
        <f t="shared" si="45"/>
        <v>#DIV/0!</v>
      </c>
      <c r="AR93" s="83" t="e">
        <f t="shared" si="45"/>
        <v>#DIV/0!</v>
      </c>
      <c r="AS93" s="83" t="e">
        <f t="shared" si="45"/>
        <v>#DIV/0!</v>
      </c>
      <c r="AT93" s="83" t="e">
        <f t="shared" si="45"/>
        <v>#DIV/0!</v>
      </c>
      <c r="AU93" s="83" t="e">
        <f t="shared" si="45"/>
        <v>#DIV/0!</v>
      </c>
      <c r="AV93" s="83" t="e">
        <f t="shared" si="45"/>
        <v>#DIV/0!</v>
      </c>
      <c r="AW93" s="83" t="e">
        <f t="shared" si="45"/>
        <v>#DIV/0!</v>
      </c>
      <c r="AX93" s="175" t="e">
        <f t="shared" si="45"/>
        <v>#DIV/0!</v>
      </c>
      <c r="AY93" s="147"/>
    </row>
    <row r="94" spans="1:51" ht="15">
      <c r="A94" s="129"/>
      <c r="E94" s="58"/>
      <c r="H94" s="58"/>
      <c r="K94" s="150"/>
      <c r="AE94" s="150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176"/>
    </row>
    <row r="95" spans="1:51" ht="14.25" customHeight="1">
      <c r="A95" s="129"/>
      <c r="E95" s="134" t="str">
        <f>'PTX_DOSE Groups'!C11</f>
        <v>25mg Combotherapy</v>
      </c>
      <c r="H95" s="134" t="str">
        <f>E95</f>
        <v>25mg Combotherapy</v>
      </c>
      <c r="I95" s="256">
        <f>AVERAGEIF($E$5:$E$53,$E95,I$5:I$53)</f>
        <v>281.8</v>
      </c>
      <c r="J95" s="256"/>
      <c r="K95" s="216" t="s">
        <v>10</v>
      </c>
      <c r="L95" s="87">
        <f t="shared" ref="L95:AD95" si="46">AVERAGEIF($E$5:$E$53,$E95,L$5:L$53)</f>
        <v>281.8</v>
      </c>
      <c r="M95" s="87">
        <f t="shared" si="46"/>
        <v>250.6</v>
      </c>
      <c r="N95" s="87">
        <f t="shared" si="46"/>
        <v>225.8</v>
      </c>
      <c r="O95" s="87">
        <f t="shared" si="46"/>
        <v>187.2</v>
      </c>
      <c r="P95" s="87">
        <f t="shared" si="46"/>
        <v>155.19999999999999</v>
      </c>
      <c r="Q95" s="87">
        <f t="shared" si="46"/>
        <v>125.2</v>
      </c>
      <c r="R95" s="87">
        <f t="shared" si="46"/>
        <v>106.4</v>
      </c>
      <c r="S95" s="87">
        <f t="shared" si="46"/>
        <v>85.2</v>
      </c>
      <c r="T95" s="87">
        <f t="shared" si="46"/>
        <v>73.599999999999994</v>
      </c>
      <c r="U95" s="87">
        <f t="shared" si="46"/>
        <v>55</v>
      </c>
      <c r="V95" s="87">
        <f t="shared" si="46"/>
        <v>47.4</v>
      </c>
      <c r="W95" s="87">
        <f t="shared" si="46"/>
        <v>38.4</v>
      </c>
      <c r="X95" s="87" t="e">
        <f t="shared" si="46"/>
        <v>#DIV/0!</v>
      </c>
      <c r="Y95" s="87" t="e">
        <f t="shared" si="46"/>
        <v>#DIV/0!</v>
      </c>
      <c r="Z95" s="87" t="e">
        <f t="shared" si="46"/>
        <v>#DIV/0!</v>
      </c>
      <c r="AA95" s="87" t="e">
        <f t="shared" si="46"/>
        <v>#DIV/0!</v>
      </c>
      <c r="AB95" s="87" t="e">
        <f t="shared" si="46"/>
        <v>#DIV/0!</v>
      </c>
      <c r="AC95" s="87" t="e">
        <f t="shared" si="46"/>
        <v>#DIV/0!</v>
      </c>
      <c r="AD95" s="87" t="e">
        <f t="shared" si="46"/>
        <v>#DIV/0!</v>
      </c>
      <c r="AE95" s="153" t="s">
        <v>10</v>
      </c>
      <c r="AF95" s="82">
        <f t="shared" ref="AF95:AX95" si="47">AVERAGEIF($E$5:$E$53,$E95,AF$5:AF$53)</f>
        <v>1</v>
      </c>
      <c r="AG95" s="82">
        <f t="shared" si="47"/>
        <v>0.87641058344913159</v>
      </c>
      <c r="AH95" s="82">
        <f t="shared" si="47"/>
        <v>0.79273182410208887</v>
      </c>
      <c r="AI95" s="82">
        <f t="shared" si="47"/>
        <v>0.65829261216354185</v>
      </c>
      <c r="AJ95" s="82">
        <f t="shared" si="47"/>
        <v>0.53963007555217568</v>
      </c>
      <c r="AK95" s="82">
        <f t="shared" si="47"/>
        <v>0.4333785134490708</v>
      </c>
      <c r="AL95" s="82">
        <f t="shared" si="47"/>
        <v>0.36811213500270085</v>
      </c>
      <c r="AM95" s="82">
        <f t="shared" si="47"/>
        <v>0.29282181521375683</v>
      </c>
      <c r="AN95" s="82">
        <f t="shared" si="47"/>
        <v>0.25267839576236789</v>
      </c>
      <c r="AO95" s="82">
        <f t="shared" si="47"/>
        <v>0.19397456891695503</v>
      </c>
      <c r="AP95" s="82">
        <f t="shared" si="47"/>
        <v>0.1672412516380101</v>
      </c>
      <c r="AQ95" s="82">
        <f t="shared" si="47"/>
        <v>0.13338449887489784</v>
      </c>
      <c r="AR95" s="82" t="e">
        <f t="shared" si="47"/>
        <v>#DIV/0!</v>
      </c>
      <c r="AS95" s="82" t="e">
        <f t="shared" si="47"/>
        <v>#DIV/0!</v>
      </c>
      <c r="AT95" s="82" t="e">
        <f t="shared" si="47"/>
        <v>#DIV/0!</v>
      </c>
      <c r="AU95" s="82" t="e">
        <f t="shared" si="47"/>
        <v>#DIV/0!</v>
      </c>
      <c r="AV95" s="82" t="e">
        <f t="shared" si="47"/>
        <v>#DIV/0!</v>
      </c>
      <c r="AW95" s="82" t="e">
        <f t="shared" si="47"/>
        <v>#DIV/0!</v>
      </c>
      <c r="AX95" s="82" t="e">
        <f t="shared" si="47"/>
        <v>#DIV/0!</v>
      </c>
      <c r="AY95" s="85"/>
    </row>
    <row r="96" spans="1:51" ht="14.25" customHeight="1">
      <c r="A96" s="129"/>
      <c r="E96" s="104"/>
      <c r="H96" s="104"/>
      <c r="I96" s="256">
        <f t="array" ref="I96">_xlfn.STDEV.P(IF($E$5:$E$53=$E95,I$5:I$53))</f>
        <v>108.68560162229402</v>
      </c>
      <c r="J96" s="256"/>
      <c r="K96" s="216" t="s">
        <v>12</v>
      </c>
      <c r="L96" s="90">
        <f t="array" ref="L96">_xlfn.STDEV.P(IF($E$5:$E$53=$E95,L$5:L$53))</f>
        <v>108.68560162229402</v>
      </c>
      <c r="M96" s="90">
        <f t="array" ref="M96">_xlfn.STDEV.P(IF($E$5:$E$53=$E95,M$5:M$53))</f>
        <v>103.57721757220551</v>
      </c>
      <c r="N96" s="90">
        <f t="array" ref="N96">_xlfn.STDEV.P(IF($E$5:$E$53=$E95,N$5:N$53))</f>
        <v>90.70259092220023</v>
      </c>
      <c r="O96" s="90">
        <f t="array" ref="O96">_xlfn.STDEV.P(IF($E$5:$E$53=$E95,O$5:O$53))</f>
        <v>75.729518683271721</v>
      </c>
      <c r="P96" s="90">
        <f t="array" ref="P96">_xlfn.STDEV.P(IF($E$5:$E$53=$E95,P$5:P$53))</f>
        <v>65.737051957020398</v>
      </c>
      <c r="Q96" s="90">
        <f t="array" ref="Q96">_xlfn.STDEV.P(IF($E$5:$E$53=$E95,Q$5:Q$53))</f>
        <v>54.005184936263298</v>
      </c>
      <c r="R96" s="90">
        <f t="array" ref="R96">_xlfn.STDEV.P(IF($E$5:$E$53=$E95,R$5:R$53))</f>
        <v>45.49109803027401</v>
      </c>
      <c r="S96" s="90">
        <f t="array" ref="S96">_xlfn.STDEV.P(IF($E$5:$E$53=$E95,S$5:S$53))</f>
        <v>37.615954062073186</v>
      </c>
      <c r="T96" s="90">
        <f t="array" ref="T96">_xlfn.STDEV.P(IF($E$5:$E$53=$E95,T$5:T$53))</f>
        <v>32.68394101083895</v>
      </c>
      <c r="U96" s="90">
        <f t="array" ref="U96">_xlfn.STDEV.P(IF($E$5:$E$53=$E95,U$5:U$53))</f>
        <v>22.297981971469973</v>
      </c>
      <c r="V96" s="90">
        <f t="array" ref="V96">_xlfn.STDEV.P(IF($E$5:$E$53=$E95,V$5:V$53))</f>
        <v>18.736061485808591</v>
      </c>
      <c r="W96" s="90">
        <f t="array" ref="W96">_xlfn.STDEV.P(IF($E$5:$E$53=$E95,W$5:W$53))</f>
        <v>16.365818036383025</v>
      </c>
      <c r="X96" s="90">
        <f t="array" ref="X96">_xlfn.STDEV.P(IF($E$5:$E$53=$E95,X$5:X$53))</f>
        <v>0</v>
      </c>
      <c r="Y96" s="90">
        <f t="array" ref="Y96">_xlfn.STDEV.P(IF($E$5:$E$53=$E95,Y$5:Y$53))</f>
        <v>0</v>
      </c>
      <c r="Z96" s="90">
        <f t="array" ref="Z96">_xlfn.STDEV.P(IF($E$5:$E$53=$E95,Z$5:Z$53))</f>
        <v>0</v>
      </c>
      <c r="AA96" s="90">
        <f t="array" ref="AA96">_xlfn.STDEV.P(IF($E$5:$E$53=$E95,AA$5:AA$53))</f>
        <v>0</v>
      </c>
      <c r="AB96" s="90">
        <f t="array" ref="AB96">_xlfn.STDEV.P(IF($E$5:$E$53=$E95,AB$5:AB$53))</f>
        <v>0</v>
      </c>
      <c r="AC96" s="90">
        <f t="array" ref="AC96">_xlfn.STDEV.P(IF($E$5:$E$53=$E95,AC$5:AC$53))</f>
        <v>0</v>
      </c>
      <c r="AD96" s="90">
        <f t="array" ref="AD96">_xlfn.STDEV.P(IF($E$5:$E$53=$E95,AD$5:AD$53))</f>
        <v>0</v>
      </c>
      <c r="AE96" s="154" t="s">
        <v>12</v>
      </c>
      <c r="AF96" s="83">
        <f t="array" ref="AF96">_xlfn.STDEV.P(IF($E$5:$E$53=$E95,AF$5:AF$53))</f>
        <v>0</v>
      </c>
      <c r="AG96" s="83">
        <f t="array" ref="AG96">_xlfn.STDEV.P(IF($E$5:$E$53=$E95,AG$5:AG$53))</f>
        <v>3.3746821706126501E-2</v>
      </c>
      <c r="AH96" s="83">
        <f t="array" ref="AH96">_xlfn.STDEV.P(IF($E$5:$E$53=$E95,AH$5:AH$53))</f>
        <v>2.6171444611584611E-2</v>
      </c>
      <c r="AI96" s="83">
        <f t="array" ref="AI96">_xlfn.STDEV.P(IF($E$5:$E$53=$E95,AI$5:AI$53))</f>
        <v>1.8668534985776128E-2</v>
      </c>
      <c r="AJ96" s="83">
        <f t="array" ref="AJ96">_xlfn.STDEV.P(IF($E$5:$E$53=$E95,AJ$5:AJ$53))</f>
        <v>3.3767013501760278E-2</v>
      </c>
      <c r="AK96" s="83">
        <f t="array" ref="AK96">_xlfn.STDEV.P(IF($E$5:$E$53=$E95,AK$5:AK$53))</f>
        <v>2.8488110117515914E-2</v>
      </c>
      <c r="AL96" s="83">
        <f t="array" ref="AL96">_xlfn.STDEV.P(IF($E$5:$E$53=$E95,AL$5:AL$53))</f>
        <v>2.6329583574094529E-2</v>
      </c>
      <c r="AM96" s="83">
        <f t="array" ref="AM96">_xlfn.STDEV.P(IF($E$5:$E$53=$E95,AM$5:AM$53))</f>
        <v>2.5051555551324569E-2</v>
      </c>
      <c r="AN96" s="83">
        <f t="array" ref="AN96">_xlfn.STDEV.P(IF($E$5:$E$53=$E95,AN$5:AN$53))</f>
        <v>2.2229919802725349E-2</v>
      </c>
      <c r="AO96" s="83">
        <f t="array" ref="AO96">_xlfn.STDEV.P(IF($E$5:$E$53=$E95,AO$5:AO$53))</f>
        <v>7.7297361221221553E-3</v>
      </c>
      <c r="AP96" s="83">
        <f t="array" ref="AP96">_xlfn.STDEV.P(IF($E$5:$E$53=$E95,AP$5:AP$53))</f>
        <v>9.2483300686233977E-3</v>
      </c>
      <c r="AQ96" s="83">
        <f t="array" ref="AQ96">_xlfn.STDEV.P(IF($E$5:$E$53=$E95,AQ$5:AQ$53))</f>
        <v>7.9827637706512064E-3</v>
      </c>
      <c r="AR96" s="83" t="e">
        <f t="array" ref="AR96">_xlfn.STDEV.P(IF($E$5:$E$53=$E95,AR$5:AR$53))</f>
        <v>#DIV/0!</v>
      </c>
      <c r="AS96" s="83" t="e">
        <f t="array" ref="AS96">_xlfn.STDEV.P(IF($E$5:$E$53=$E95,AS$5:AS$53))</f>
        <v>#DIV/0!</v>
      </c>
      <c r="AT96" s="83" t="e">
        <f t="array" ref="AT96">_xlfn.STDEV.P(IF($E$5:$E$53=$E95,AT$5:AT$53))</f>
        <v>#DIV/0!</v>
      </c>
      <c r="AU96" s="83" t="e">
        <f t="array" ref="AU96">_xlfn.STDEV.P(IF($E$5:$E$53=$E95,AU$5:AU$53))</f>
        <v>#DIV/0!</v>
      </c>
      <c r="AV96" s="83" t="e">
        <f t="array" ref="AV96">_xlfn.STDEV.P(IF($E$5:$E$53=$E95,AV$5:AV$53))</f>
        <v>#DIV/0!</v>
      </c>
      <c r="AW96" s="83" t="e">
        <f t="array" ref="AW96">_xlfn.STDEV.P(IF($E$5:$E$53=$E95,AW$5:AW$53))</f>
        <v>#DIV/0!</v>
      </c>
      <c r="AX96" s="83" t="e">
        <f t="array" ref="AX96">_xlfn.STDEV.P(IF($E$5:$E$53=$E95,AX$5:AX$53))</f>
        <v>#DIV/0!</v>
      </c>
      <c r="AY96" s="85"/>
    </row>
    <row r="97" spans="1:51" ht="14.25" customHeight="1">
      <c r="A97" s="129"/>
      <c r="E97" s="104"/>
      <c r="H97" s="104"/>
      <c r="I97" s="256"/>
      <c r="J97" s="256"/>
      <c r="K97" s="148" t="s">
        <v>43</v>
      </c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148" t="s">
        <v>43</v>
      </c>
      <c r="AF97" s="82">
        <f>AF95-AF$55</f>
        <v>0</v>
      </c>
      <c r="AG97" s="82">
        <f>AG95-AG$55</f>
        <v>-4.0788651320297964E-2</v>
      </c>
      <c r="AH97" s="82">
        <f t="shared" ref="AH97:AX97" si="48">AH95-AH$55</f>
        <v>-4.8522612159538236E-2</v>
      </c>
      <c r="AI97" s="82">
        <f t="shared" si="48"/>
        <v>-4.9416414366326156E-2</v>
      </c>
      <c r="AJ97" s="82">
        <f t="shared" si="48"/>
        <v>-5.5733282598473433E-2</v>
      </c>
      <c r="AK97" s="82">
        <f t="shared" si="48"/>
        <v>-6.747355278278272E-2</v>
      </c>
      <c r="AL97" s="82">
        <f t="shared" si="48"/>
        <v>-5.3231887625648178E-2</v>
      </c>
      <c r="AM97" s="82">
        <f t="shared" si="48"/>
        <v>-6.1635713014661198E-2</v>
      </c>
      <c r="AN97" s="82">
        <f t="shared" si="48"/>
        <v>-4.5510572326119714E-2</v>
      </c>
      <c r="AO97" s="82">
        <f t="shared" si="48"/>
        <v>-3.6107420173342814E-2</v>
      </c>
      <c r="AP97" s="82">
        <f t="shared" si="48"/>
        <v>-2.6316242388102262E-2</v>
      </c>
      <c r="AQ97" s="82">
        <f t="shared" si="48"/>
        <v>-2.9446601646252568E-2</v>
      </c>
      <c r="AR97" s="82" t="e">
        <f t="shared" si="48"/>
        <v>#DIV/0!</v>
      </c>
      <c r="AS97" s="82" t="e">
        <f t="shared" si="48"/>
        <v>#DIV/0!</v>
      </c>
      <c r="AT97" s="82" t="e">
        <f t="shared" si="48"/>
        <v>#DIV/0!</v>
      </c>
      <c r="AU97" s="82" t="e">
        <f t="shared" si="48"/>
        <v>#DIV/0!</v>
      </c>
      <c r="AV97" s="82" t="e">
        <f t="shared" si="48"/>
        <v>#DIV/0!</v>
      </c>
      <c r="AW97" s="82" t="e">
        <f t="shared" si="48"/>
        <v>#DIV/0!</v>
      </c>
      <c r="AX97" s="173" t="e">
        <f t="shared" si="48"/>
        <v>#DIV/0!</v>
      </c>
      <c r="AY97" s="147"/>
    </row>
    <row r="98" spans="1:51" ht="14.25" customHeight="1">
      <c r="A98" s="129"/>
      <c r="E98" s="104"/>
      <c r="H98" s="104"/>
      <c r="I98" s="256"/>
      <c r="J98" s="256"/>
      <c r="K98" s="116" t="s">
        <v>63</v>
      </c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116" t="s">
        <v>63</v>
      </c>
      <c r="AF98" s="82"/>
      <c r="AG98" s="82">
        <f>AF95*EXP((AG$4-AF$4)*-LN(2)/8.091)</f>
        <v>0.91789808441829013</v>
      </c>
      <c r="AH98" s="82">
        <f>AG95*EXP((AH$4-AG$4)*-LN(2)/8.091)</f>
        <v>0.80445559571187386</v>
      </c>
      <c r="AI98" s="82">
        <f t="shared" ref="AI98:AX98" si="49">AH95*EXP((AI$4-AH$4)*-LN(2)/8.091)</f>
        <v>0.66790580836145674</v>
      </c>
      <c r="AJ98" s="82">
        <f t="shared" si="49"/>
        <v>0.55463581238646376</v>
      </c>
      <c r="AK98" s="82">
        <f t="shared" si="49"/>
        <v>0.45465824742947913</v>
      </c>
      <c r="AL98" s="82">
        <f t="shared" si="49"/>
        <v>0.36513738637848808</v>
      </c>
      <c r="AM98" s="82">
        <f t="shared" si="49"/>
        <v>0.31014805464020068</v>
      </c>
      <c r="AN98" s="82">
        <f t="shared" si="49"/>
        <v>0.24671318250372989</v>
      </c>
      <c r="AO98" s="82">
        <f t="shared" si="49"/>
        <v>0.19541212230429547</v>
      </c>
      <c r="AP98" s="82">
        <f t="shared" si="49"/>
        <v>0.16343073068977673</v>
      </c>
      <c r="AQ98" s="82">
        <f t="shared" si="49"/>
        <v>0.14090692459986556</v>
      </c>
      <c r="AR98" s="82" t="e">
        <f t="shared" si="49"/>
        <v>#NUM!</v>
      </c>
      <c r="AS98" s="82" t="e">
        <f t="shared" si="49"/>
        <v>#DIV/0!</v>
      </c>
      <c r="AT98" s="82" t="e">
        <f t="shared" si="49"/>
        <v>#DIV/0!</v>
      </c>
      <c r="AU98" s="82" t="e">
        <f t="shared" si="49"/>
        <v>#DIV/0!</v>
      </c>
      <c r="AV98" s="82" t="e">
        <f t="shared" si="49"/>
        <v>#DIV/0!</v>
      </c>
      <c r="AW98" s="82" t="e">
        <f t="shared" si="49"/>
        <v>#DIV/0!</v>
      </c>
      <c r="AX98" s="173" t="e">
        <f t="shared" si="49"/>
        <v>#DIV/0!</v>
      </c>
      <c r="AY98" s="147"/>
    </row>
    <row r="99" spans="1:51" ht="14.25" customHeight="1">
      <c r="A99" s="129"/>
      <c r="E99" s="104"/>
      <c r="H99" s="104"/>
      <c r="I99" s="256"/>
      <c r="J99" s="256"/>
      <c r="K99" s="116" t="s">
        <v>44</v>
      </c>
      <c r="L99" s="89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116" t="s">
        <v>44</v>
      </c>
      <c r="AF99" s="174"/>
      <c r="AG99" s="83">
        <f>AG95-AG98</f>
        <v>-4.1487500969158542E-2</v>
      </c>
      <c r="AH99" s="83">
        <f>AH95-AH98</f>
        <v>-1.1723771609784994E-2</v>
      </c>
      <c r="AI99" s="83">
        <f t="shared" ref="AI99:AX99" si="50">AI95-AI98</f>
        <v>-9.6131961979148972E-3</v>
      </c>
      <c r="AJ99" s="83">
        <f t="shared" si="50"/>
        <v>-1.5005736834288075E-2</v>
      </c>
      <c r="AK99" s="83">
        <f t="shared" si="50"/>
        <v>-2.1279733980408333E-2</v>
      </c>
      <c r="AL99" s="83">
        <f t="shared" si="50"/>
        <v>2.9747486242127641E-3</v>
      </c>
      <c r="AM99" s="83">
        <f t="shared" si="50"/>
        <v>-1.7326239426443846E-2</v>
      </c>
      <c r="AN99" s="83">
        <f t="shared" si="50"/>
        <v>5.9652132586379969E-3</v>
      </c>
      <c r="AO99" s="83">
        <f t="shared" si="50"/>
        <v>-1.4375533873404456E-3</v>
      </c>
      <c r="AP99" s="83">
        <f t="shared" si="50"/>
        <v>3.8105209482333646E-3</v>
      </c>
      <c r="AQ99" s="83">
        <f t="shared" si="50"/>
        <v>-7.522425724967724E-3</v>
      </c>
      <c r="AR99" s="83" t="e">
        <f t="shared" si="50"/>
        <v>#DIV/0!</v>
      </c>
      <c r="AS99" s="83" t="e">
        <f t="shared" si="50"/>
        <v>#DIV/0!</v>
      </c>
      <c r="AT99" s="83" t="e">
        <f t="shared" si="50"/>
        <v>#DIV/0!</v>
      </c>
      <c r="AU99" s="83" t="e">
        <f t="shared" si="50"/>
        <v>#DIV/0!</v>
      </c>
      <c r="AV99" s="83" t="e">
        <f t="shared" si="50"/>
        <v>#DIV/0!</v>
      </c>
      <c r="AW99" s="83" t="e">
        <f t="shared" si="50"/>
        <v>#DIV/0!</v>
      </c>
      <c r="AX99" s="175" t="e">
        <f t="shared" si="50"/>
        <v>#DIV/0!</v>
      </c>
      <c r="AY99" s="147"/>
    </row>
    <row r="100" spans="1:51" ht="14.25" customHeight="1">
      <c r="A100" s="129"/>
      <c r="E100" s="104"/>
      <c r="H100" s="104"/>
      <c r="I100" s="256"/>
      <c r="J100" s="256"/>
      <c r="K100" s="116" t="s">
        <v>64</v>
      </c>
      <c r="L100" s="89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116" t="s">
        <v>64</v>
      </c>
      <c r="AF100" s="174">
        <f>AF95/AF$55</f>
        <v>1</v>
      </c>
      <c r="AG100" s="83">
        <f>AG95/AG$55</f>
        <v>0.95552912630749021</v>
      </c>
      <c r="AH100" s="83">
        <f>AH95/AH$55</f>
        <v>0.9423211218057127</v>
      </c>
      <c r="AI100" s="83">
        <f t="shared" ref="AI100:AX100" si="51">AI95/AI$55</f>
        <v>0.93017410755853824</v>
      </c>
      <c r="AJ100" s="83">
        <f t="shared" si="51"/>
        <v>0.90638778514755214</v>
      </c>
      <c r="AK100" s="83">
        <f t="shared" si="51"/>
        <v>0.86528247094912059</v>
      </c>
      <c r="AL100" s="83">
        <f t="shared" si="51"/>
        <v>0.87366169978255059</v>
      </c>
      <c r="AM100" s="83">
        <f t="shared" si="51"/>
        <v>0.82611255762371005</v>
      </c>
      <c r="AN100" s="83">
        <f t="shared" si="51"/>
        <v>0.84737674026688192</v>
      </c>
      <c r="AO100" s="83">
        <f t="shared" si="51"/>
        <v>0.84306715916310981</v>
      </c>
      <c r="AP100" s="83">
        <f t="shared" si="51"/>
        <v>0.86403914495528644</v>
      </c>
      <c r="AQ100" s="83">
        <f t="shared" si="51"/>
        <v>0.81915861557155234</v>
      </c>
      <c r="AR100" s="83" t="e">
        <f t="shared" si="51"/>
        <v>#DIV/0!</v>
      </c>
      <c r="AS100" s="83" t="e">
        <f t="shared" si="51"/>
        <v>#DIV/0!</v>
      </c>
      <c r="AT100" s="83" t="e">
        <f t="shared" si="51"/>
        <v>#DIV/0!</v>
      </c>
      <c r="AU100" s="83" t="e">
        <f t="shared" si="51"/>
        <v>#DIV/0!</v>
      </c>
      <c r="AV100" s="83" t="e">
        <f t="shared" si="51"/>
        <v>#DIV/0!</v>
      </c>
      <c r="AW100" s="83" t="e">
        <f t="shared" si="51"/>
        <v>#DIV/0!</v>
      </c>
      <c r="AX100" s="175" t="e">
        <f t="shared" si="51"/>
        <v>#DIV/0!</v>
      </c>
      <c r="AY100" s="147"/>
    </row>
    <row r="101" spans="1:51" ht="15">
      <c r="A101" s="129"/>
      <c r="E101" s="58"/>
      <c r="H101" s="58"/>
      <c r="K101" s="150"/>
      <c r="AE101" s="150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176"/>
    </row>
    <row r="102" spans="1:51" ht="14.25" customHeight="1">
      <c r="A102" s="129"/>
      <c r="E102" s="134" t="str">
        <f>'PTX_DOSE Groups'!C12</f>
        <v>50mg CP-PTX</v>
      </c>
      <c r="H102" s="134" t="str">
        <f>E102</f>
        <v>50mg CP-PTX</v>
      </c>
      <c r="I102" s="256" t="e">
        <f>AVERAGEIF($E$5:$E$53,$E102,I$5:I$53)</f>
        <v>#DIV/0!</v>
      </c>
      <c r="J102" s="256"/>
      <c r="K102" s="216" t="s">
        <v>10</v>
      </c>
      <c r="L102" s="87" t="e">
        <f t="shared" ref="L102:AD102" si="52">AVERAGEIF($E$5:$E$53,$E102,L$5:L$53)</f>
        <v>#DIV/0!</v>
      </c>
      <c r="M102" s="87" t="e">
        <f t="shared" si="52"/>
        <v>#DIV/0!</v>
      </c>
      <c r="N102" s="87" t="e">
        <f t="shared" si="52"/>
        <v>#DIV/0!</v>
      </c>
      <c r="O102" s="87" t="e">
        <f t="shared" si="52"/>
        <v>#DIV/0!</v>
      </c>
      <c r="P102" s="87" t="e">
        <f t="shared" si="52"/>
        <v>#DIV/0!</v>
      </c>
      <c r="Q102" s="87" t="e">
        <f t="shared" si="52"/>
        <v>#DIV/0!</v>
      </c>
      <c r="R102" s="87" t="e">
        <f t="shared" si="52"/>
        <v>#DIV/0!</v>
      </c>
      <c r="S102" s="87" t="e">
        <f t="shared" si="52"/>
        <v>#DIV/0!</v>
      </c>
      <c r="T102" s="87" t="e">
        <f t="shared" si="52"/>
        <v>#DIV/0!</v>
      </c>
      <c r="U102" s="87" t="e">
        <f t="shared" si="52"/>
        <v>#DIV/0!</v>
      </c>
      <c r="V102" s="87" t="e">
        <f t="shared" si="52"/>
        <v>#DIV/0!</v>
      </c>
      <c r="W102" s="87" t="e">
        <f t="shared" si="52"/>
        <v>#DIV/0!</v>
      </c>
      <c r="X102" s="87" t="e">
        <f t="shared" si="52"/>
        <v>#DIV/0!</v>
      </c>
      <c r="Y102" s="87" t="e">
        <f t="shared" si="52"/>
        <v>#DIV/0!</v>
      </c>
      <c r="Z102" s="87" t="e">
        <f t="shared" si="52"/>
        <v>#DIV/0!</v>
      </c>
      <c r="AA102" s="87" t="e">
        <f t="shared" si="52"/>
        <v>#DIV/0!</v>
      </c>
      <c r="AB102" s="87" t="e">
        <f t="shared" si="52"/>
        <v>#DIV/0!</v>
      </c>
      <c r="AC102" s="87" t="e">
        <f t="shared" si="52"/>
        <v>#DIV/0!</v>
      </c>
      <c r="AD102" s="87" t="e">
        <f t="shared" si="52"/>
        <v>#DIV/0!</v>
      </c>
      <c r="AE102" s="153" t="s">
        <v>10</v>
      </c>
      <c r="AF102" s="82" t="e">
        <f t="shared" ref="AF102:AX102" si="53">AVERAGEIF($E$5:$E$53,$E102,AF$5:AF$53)</f>
        <v>#DIV/0!</v>
      </c>
      <c r="AG102" s="82" t="e">
        <f t="shared" si="53"/>
        <v>#DIV/0!</v>
      </c>
      <c r="AH102" s="82" t="e">
        <f t="shared" si="53"/>
        <v>#DIV/0!</v>
      </c>
      <c r="AI102" s="82" t="e">
        <f t="shared" si="53"/>
        <v>#DIV/0!</v>
      </c>
      <c r="AJ102" s="82" t="e">
        <f t="shared" si="53"/>
        <v>#DIV/0!</v>
      </c>
      <c r="AK102" s="82" t="e">
        <f t="shared" si="53"/>
        <v>#DIV/0!</v>
      </c>
      <c r="AL102" s="82" t="e">
        <f t="shared" si="53"/>
        <v>#DIV/0!</v>
      </c>
      <c r="AM102" s="82" t="e">
        <f t="shared" si="53"/>
        <v>#DIV/0!</v>
      </c>
      <c r="AN102" s="82" t="e">
        <f t="shared" si="53"/>
        <v>#DIV/0!</v>
      </c>
      <c r="AO102" s="82" t="e">
        <f t="shared" si="53"/>
        <v>#DIV/0!</v>
      </c>
      <c r="AP102" s="82" t="e">
        <f t="shared" si="53"/>
        <v>#DIV/0!</v>
      </c>
      <c r="AQ102" s="82" t="e">
        <f t="shared" si="53"/>
        <v>#DIV/0!</v>
      </c>
      <c r="AR102" s="82" t="e">
        <f t="shared" si="53"/>
        <v>#DIV/0!</v>
      </c>
      <c r="AS102" s="82" t="e">
        <f t="shared" si="53"/>
        <v>#DIV/0!</v>
      </c>
      <c r="AT102" s="82" t="e">
        <f t="shared" si="53"/>
        <v>#DIV/0!</v>
      </c>
      <c r="AU102" s="82" t="e">
        <f t="shared" si="53"/>
        <v>#DIV/0!</v>
      </c>
      <c r="AV102" s="82" t="e">
        <f t="shared" si="53"/>
        <v>#DIV/0!</v>
      </c>
      <c r="AW102" s="82" t="e">
        <f t="shared" si="53"/>
        <v>#DIV/0!</v>
      </c>
      <c r="AX102" s="82" t="e">
        <f t="shared" si="53"/>
        <v>#DIV/0!</v>
      </c>
      <c r="AY102" s="85"/>
    </row>
    <row r="103" spans="1:51" ht="14.25" customHeight="1">
      <c r="A103" s="129"/>
      <c r="E103" s="104"/>
      <c r="H103" s="104"/>
      <c r="I103" s="256">
        <f t="array" ref="I103">_xlfn.STDEV.P(IF($E$5:$E$53=$E102,I$5:I$53))</f>
        <v>0</v>
      </c>
      <c r="J103" s="256"/>
      <c r="K103" s="216" t="s">
        <v>12</v>
      </c>
      <c r="L103" s="90">
        <f t="array" ref="L103">_xlfn.STDEV.P(IF($E$5:$E$53=$E102,L$5:L$53))</f>
        <v>0</v>
      </c>
      <c r="M103" s="90">
        <f t="array" ref="M103">_xlfn.STDEV.P(IF($E$5:$E$53=$E102,M$5:M$53))</f>
        <v>0</v>
      </c>
      <c r="N103" s="90">
        <f t="array" ref="N103">_xlfn.STDEV.P(IF($E$5:$E$53=$E102,N$5:N$53))</f>
        <v>0</v>
      </c>
      <c r="O103" s="90">
        <f t="array" ref="O103">_xlfn.STDEV.P(IF($E$5:$E$53=$E102,O$5:O$53))</f>
        <v>0</v>
      </c>
      <c r="P103" s="90">
        <f t="array" ref="P103">_xlfn.STDEV.P(IF($E$5:$E$53=$E102,P$5:P$53))</f>
        <v>0</v>
      </c>
      <c r="Q103" s="90">
        <f t="array" ref="Q103">_xlfn.STDEV.P(IF($E$5:$E$53=$E102,Q$5:Q$53))</f>
        <v>0</v>
      </c>
      <c r="R103" s="90">
        <f t="array" ref="R103">_xlfn.STDEV.P(IF($E$5:$E$53=$E102,R$5:R$53))</f>
        <v>0</v>
      </c>
      <c r="S103" s="90">
        <f t="array" ref="S103">_xlfn.STDEV.P(IF($E$5:$E$53=$E102,S$5:S$53))</f>
        <v>0</v>
      </c>
      <c r="T103" s="90">
        <f t="array" ref="T103">_xlfn.STDEV.P(IF($E$5:$E$53=$E102,T$5:T$53))</f>
        <v>0</v>
      </c>
      <c r="U103" s="90">
        <f t="array" ref="U103">_xlfn.STDEV.P(IF($E$5:$E$53=$E102,U$5:U$53))</f>
        <v>0</v>
      </c>
      <c r="V103" s="90">
        <f t="array" ref="V103">_xlfn.STDEV.P(IF($E$5:$E$53=$E102,V$5:V$53))</f>
        <v>0</v>
      </c>
      <c r="W103" s="90">
        <f t="array" ref="W103">_xlfn.STDEV.P(IF($E$5:$E$53=$E102,W$5:W$53))</f>
        <v>0</v>
      </c>
      <c r="X103" s="90">
        <f t="array" ref="X103">_xlfn.STDEV.P(IF($E$5:$E$53=$E102,X$5:X$53))</f>
        <v>0</v>
      </c>
      <c r="Y103" s="90">
        <f t="array" ref="Y103">_xlfn.STDEV.P(IF($E$5:$E$53=$E102,Y$5:Y$53))</f>
        <v>0</v>
      </c>
      <c r="Z103" s="90">
        <f t="array" ref="Z103">_xlfn.STDEV.P(IF($E$5:$E$53=$E102,Z$5:Z$53))</f>
        <v>0</v>
      </c>
      <c r="AA103" s="90">
        <f t="array" ref="AA103">_xlfn.STDEV.P(IF($E$5:$E$53=$E102,AA$5:AA$53))</f>
        <v>0</v>
      </c>
      <c r="AB103" s="90">
        <f t="array" ref="AB103">_xlfn.STDEV.P(IF($E$5:$E$53=$E102,AB$5:AB$53))</f>
        <v>0</v>
      </c>
      <c r="AC103" s="90">
        <f t="array" ref="AC103">_xlfn.STDEV.P(IF($E$5:$E$53=$E102,AC$5:AC$53))</f>
        <v>0</v>
      </c>
      <c r="AD103" s="90">
        <f t="array" ref="AD103">_xlfn.STDEV.P(IF($E$5:$E$53=$E102,AD$5:AD$53))</f>
        <v>0</v>
      </c>
      <c r="AE103" s="154" t="s">
        <v>12</v>
      </c>
      <c r="AF103" s="83" t="e">
        <f t="array" ref="AF103">_xlfn.STDEV.P(IF($E$5:$E$53=$E102,AF$5:AF$53))</f>
        <v>#DIV/0!</v>
      </c>
      <c r="AG103" s="83" t="e">
        <f t="array" ref="AG103">_xlfn.STDEV.P(IF($E$5:$E$53=$E102,AG$5:AG$53))</f>
        <v>#DIV/0!</v>
      </c>
      <c r="AH103" s="83" t="e">
        <f t="array" ref="AH103">_xlfn.STDEV.P(IF($E$5:$E$53=$E102,AH$5:AH$53))</f>
        <v>#DIV/0!</v>
      </c>
      <c r="AI103" s="83" t="e">
        <f t="array" ref="AI103">_xlfn.STDEV.P(IF($E$5:$E$53=$E102,AI$5:AI$53))</f>
        <v>#DIV/0!</v>
      </c>
      <c r="AJ103" s="83" t="e">
        <f t="array" ref="AJ103">_xlfn.STDEV.P(IF($E$5:$E$53=$E102,AJ$5:AJ$53))</f>
        <v>#DIV/0!</v>
      </c>
      <c r="AK103" s="83" t="e">
        <f t="array" ref="AK103">_xlfn.STDEV.P(IF($E$5:$E$53=$E102,AK$5:AK$53))</f>
        <v>#DIV/0!</v>
      </c>
      <c r="AL103" s="83" t="e">
        <f t="array" ref="AL103">_xlfn.STDEV.P(IF($E$5:$E$53=$E102,AL$5:AL$53))</f>
        <v>#DIV/0!</v>
      </c>
      <c r="AM103" s="83" t="e">
        <f t="array" ref="AM103">_xlfn.STDEV.P(IF($E$5:$E$53=$E102,AM$5:AM$53))</f>
        <v>#DIV/0!</v>
      </c>
      <c r="AN103" s="83" t="e">
        <f t="array" ref="AN103">_xlfn.STDEV.P(IF($E$5:$E$53=$E102,AN$5:AN$53))</f>
        <v>#DIV/0!</v>
      </c>
      <c r="AO103" s="83" t="e">
        <f t="array" ref="AO103">_xlfn.STDEV.P(IF($E$5:$E$53=$E102,AO$5:AO$53))</f>
        <v>#DIV/0!</v>
      </c>
      <c r="AP103" s="83" t="e">
        <f t="array" ref="AP103">_xlfn.STDEV.P(IF($E$5:$E$53=$E102,AP$5:AP$53))</f>
        <v>#DIV/0!</v>
      </c>
      <c r="AQ103" s="83" t="e">
        <f t="array" ref="AQ103">_xlfn.STDEV.P(IF($E$5:$E$53=$E102,AQ$5:AQ$53))</f>
        <v>#DIV/0!</v>
      </c>
      <c r="AR103" s="83" t="e">
        <f t="array" ref="AR103">_xlfn.STDEV.P(IF($E$5:$E$53=$E102,AR$5:AR$53))</f>
        <v>#DIV/0!</v>
      </c>
      <c r="AS103" s="83" t="e">
        <f t="array" ref="AS103">_xlfn.STDEV.P(IF($E$5:$E$53=$E102,AS$5:AS$53))</f>
        <v>#DIV/0!</v>
      </c>
      <c r="AT103" s="83" t="e">
        <f t="array" ref="AT103">_xlfn.STDEV.P(IF($E$5:$E$53=$E102,AT$5:AT$53))</f>
        <v>#DIV/0!</v>
      </c>
      <c r="AU103" s="83" t="e">
        <f t="array" ref="AU103">_xlfn.STDEV.P(IF($E$5:$E$53=$E102,AU$5:AU$53))</f>
        <v>#DIV/0!</v>
      </c>
      <c r="AV103" s="83" t="e">
        <f t="array" ref="AV103">_xlfn.STDEV.P(IF($E$5:$E$53=$E102,AV$5:AV$53))</f>
        <v>#DIV/0!</v>
      </c>
      <c r="AW103" s="83" t="e">
        <f t="array" ref="AW103">_xlfn.STDEV.P(IF($E$5:$E$53=$E102,AW$5:AW$53))</f>
        <v>#DIV/0!</v>
      </c>
      <c r="AX103" s="83" t="e">
        <f t="array" ref="AX103">_xlfn.STDEV.P(IF($E$5:$E$53=$E102,AX$5:AX$53))</f>
        <v>#DIV/0!</v>
      </c>
      <c r="AY103" s="85"/>
    </row>
    <row r="104" spans="1:51" ht="14.25" customHeight="1">
      <c r="A104" s="129"/>
      <c r="E104" s="104"/>
      <c r="H104" s="104"/>
      <c r="I104" s="256"/>
      <c r="J104" s="256"/>
      <c r="K104" s="148" t="s">
        <v>43</v>
      </c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148" t="s">
        <v>43</v>
      </c>
      <c r="AF104" s="82" t="e">
        <f>AF102-AF$55</f>
        <v>#DIV/0!</v>
      </c>
      <c r="AG104" s="82" t="e">
        <f>AG102-AG$55</f>
        <v>#DIV/0!</v>
      </c>
      <c r="AH104" s="82" t="e">
        <f t="shared" ref="AH104:AX104" si="54">AH102-AH$55</f>
        <v>#DIV/0!</v>
      </c>
      <c r="AI104" s="82" t="e">
        <f t="shared" si="54"/>
        <v>#DIV/0!</v>
      </c>
      <c r="AJ104" s="82" t="e">
        <f t="shared" si="54"/>
        <v>#DIV/0!</v>
      </c>
      <c r="AK104" s="82" t="e">
        <f t="shared" si="54"/>
        <v>#DIV/0!</v>
      </c>
      <c r="AL104" s="82" t="e">
        <f t="shared" si="54"/>
        <v>#DIV/0!</v>
      </c>
      <c r="AM104" s="82" t="e">
        <f t="shared" si="54"/>
        <v>#DIV/0!</v>
      </c>
      <c r="AN104" s="82" t="e">
        <f t="shared" si="54"/>
        <v>#DIV/0!</v>
      </c>
      <c r="AO104" s="82" t="e">
        <f t="shared" si="54"/>
        <v>#DIV/0!</v>
      </c>
      <c r="AP104" s="82" t="e">
        <f t="shared" si="54"/>
        <v>#DIV/0!</v>
      </c>
      <c r="AQ104" s="82" t="e">
        <f t="shared" si="54"/>
        <v>#DIV/0!</v>
      </c>
      <c r="AR104" s="82" t="e">
        <f t="shared" si="54"/>
        <v>#DIV/0!</v>
      </c>
      <c r="AS104" s="82" t="e">
        <f t="shared" si="54"/>
        <v>#DIV/0!</v>
      </c>
      <c r="AT104" s="82" t="e">
        <f t="shared" si="54"/>
        <v>#DIV/0!</v>
      </c>
      <c r="AU104" s="82" t="e">
        <f t="shared" si="54"/>
        <v>#DIV/0!</v>
      </c>
      <c r="AV104" s="82" t="e">
        <f t="shared" si="54"/>
        <v>#DIV/0!</v>
      </c>
      <c r="AW104" s="82" t="e">
        <f t="shared" si="54"/>
        <v>#DIV/0!</v>
      </c>
      <c r="AX104" s="173" t="e">
        <f t="shared" si="54"/>
        <v>#DIV/0!</v>
      </c>
      <c r="AY104" s="147"/>
    </row>
    <row r="105" spans="1:51" ht="14.25" customHeight="1">
      <c r="A105" s="129"/>
      <c r="E105" s="104"/>
      <c r="H105" s="104"/>
      <c r="I105" s="256"/>
      <c r="J105" s="256"/>
      <c r="K105" s="116" t="s">
        <v>63</v>
      </c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116" t="s">
        <v>63</v>
      </c>
      <c r="AF105" s="82"/>
      <c r="AG105" s="82" t="e">
        <f>AF102*EXP((AG$4-AF$4)*-LN(2)/8.091)</f>
        <v>#DIV/0!</v>
      </c>
      <c r="AH105" s="82" t="e">
        <f>AG102*EXP((AH$4-AG$4)*-LN(2)/8.091)</f>
        <v>#DIV/0!</v>
      </c>
      <c r="AI105" s="82" t="e">
        <f t="shared" ref="AI105:AX105" si="55">AH102*EXP((AI$4-AH$4)*-LN(2)/8.091)</f>
        <v>#DIV/0!</v>
      </c>
      <c r="AJ105" s="82" t="e">
        <f t="shared" si="55"/>
        <v>#DIV/0!</v>
      </c>
      <c r="AK105" s="82" t="e">
        <f t="shared" si="55"/>
        <v>#DIV/0!</v>
      </c>
      <c r="AL105" s="82" t="e">
        <f t="shared" si="55"/>
        <v>#DIV/0!</v>
      </c>
      <c r="AM105" s="82" t="e">
        <f t="shared" si="55"/>
        <v>#DIV/0!</v>
      </c>
      <c r="AN105" s="82" t="e">
        <f t="shared" si="55"/>
        <v>#DIV/0!</v>
      </c>
      <c r="AO105" s="82" t="e">
        <f t="shared" si="55"/>
        <v>#DIV/0!</v>
      </c>
      <c r="AP105" s="82" t="e">
        <f t="shared" si="55"/>
        <v>#DIV/0!</v>
      </c>
      <c r="AQ105" s="82" t="e">
        <f t="shared" si="55"/>
        <v>#DIV/0!</v>
      </c>
      <c r="AR105" s="82" t="e">
        <f t="shared" si="55"/>
        <v>#DIV/0!</v>
      </c>
      <c r="AS105" s="82" t="e">
        <f t="shared" si="55"/>
        <v>#DIV/0!</v>
      </c>
      <c r="AT105" s="82" t="e">
        <f t="shared" si="55"/>
        <v>#DIV/0!</v>
      </c>
      <c r="AU105" s="82" t="e">
        <f t="shared" si="55"/>
        <v>#DIV/0!</v>
      </c>
      <c r="AV105" s="82" t="e">
        <f t="shared" si="55"/>
        <v>#DIV/0!</v>
      </c>
      <c r="AW105" s="82" t="e">
        <f t="shared" si="55"/>
        <v>#DIV/0!</v>
      </c>
      <c r="AX105" s="173" t="e">
        <f t="shared" si="55"/>
        <v>#DIV/0!</v>
      </c>
      <c r="AY105" s="147"/>
    </row>
    <row r="106" spans="1:51" ht="14.25" customHeight="1">
      <c r="A106" s="129"/>
      <c r="E106" s="104"/>
      <c r="H106" s="104"/>
      <c r="I106" s="256"/>
      <c r="J106" s="256"/>
      <c r="K106" s="116" t="s">
        <v>44</v>
      </c>
      <c r="L106" s="89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116" t="s">
        <v>44</v>
      </c>
      <c r="AF106" s="174"/>
      <c r="AG106" s="83" t="e">
        <f>AG102-AG105</f>
        <v>#DIV/0!</v>
      </c>
      <c r="AH106" s="83" t="e">
        <f>AH102-AH105</f>
        <v>#DIV/0!</v>
      </c>
      <c r="AI106" s="83" t="e">
        <f t="shared" ref="AI106:AX106" si="56">AI102-AI105</f>
        <v>#DIV/0!</v>
      </c>
      <c r="AJ106" s="83" t="e">
        <f t="shared" si="56"/>
        <v>#DIV/0!</v>
      </c>
      <c r="AK106" s="83" t="e">
        <f t="shared" si="56"/>
        <v>#DIV/0!</v>
      </c>
      <c r="AL106" s="83" t="e">
        <f t="shared" si="56"/>
        <v>#DIV/0!</v>
      </c>
      <c r="AM106" s="83" t="e">
        <f t="shared" si="56"/>
        <v>#DIV/0!</v>
      </c>
      <c r="AN106" s="83" t="e">
        <f t="shared" si="56"/>
        <v>#DIV/0!</v>
      </c>
      <c r="AO106" s="83" t="e">
        <f t="shared" si="56"/>
        <v>#DIV/0!</v>
      </c>
      <c r="AP106" s="83" t="e">
        <f t="shared" si="56"/>
        <v>#DIV/0!</v>
      </c>
      <c r="AQ106" s="83" t="e">
        <f t="shared" si="56"/>
        <v>#DIV/0!</v>
      </c>
      <c r="AR106" s="83" t="e">
        <f t="shared" si="56"/>
        <v>#DIV/0!</v>
      </c>
      <c r="AS106" s="83" t="e">
        <f t="shared" si="56"/>
        <v>#DIV/0!</v>
      </c>
      <c r="AT106" s="83" t="e">
        <f t="shared" si="56"/>
        <v>#DIV/0!</v>
      </c>
      <c r="AU106" s="83" t="e">
        <f t="shared" si="56"/>
        <v>#DIV/0!</v>
      </c>
      <c r="AV106" s="83" t="e">
        <f t="shared" si="56"/>
        <v>#DIV/0!</v>
      </c>
      <c r="AW106" s="83" t="e">
        <f t="shared" si="56"/>
        <v>#DIV/0!</v>
      </c>
      <c r="AX106" s="175" t="e">
        <f t="shared" si="56"/>
        <v>#DIV/0!</v>
      </c>
      <c r="AY106" s="147"/>
    </row>
    <row r="107" spans="1:51" ht="14.25" customHeight="1">
      <c r="A107" s="129"/>
      <c r="E107" s="104"/>
      <c r="H107" s="104"/>
      <c r="I107" s="256"/>
      <c r="J107" s="256"/>
      <c r="K107" s="116" t="s">
        <v>64</v>
      </c>
      <c r="L107" s="89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116" t="s">
        <v>64</v>
      </c>
      <c r="AF107" s="174" t="e">
        <f>AF102/AF$55</f>
        <v>#DIV/0!</v>
      </c>
      <c r="AG107" s="83" t="e">
        <f>AG102/AG$55</f>
        <v>#DIV/0!</v>
      </c>
      <c r="AH107" s="83" t="e">
        <f>AH102/AH$55</f>
        <v>#DIV/0!</v>
      </c>
      <c r="AI107" s="83" t="e">
        <f t="shared" ref="AI107:AX107" si="57">AI102/AI$55</f>
        <v>#DIV/0!</v>
      </c>
      <c r="AJ107" s="83" t="e">
        <f t="shared" si="57"/>
        <v>#DIV/0!</v>
      </c>
      <c r="AK107" s="83" t="e">
        <f t="shared" si="57"/>
        <v>#DIV/0!</v>
      </c>
      <c r="AL107" s="83" t="e">
        <f t="shared" si="57"/>
        <v>#DIV/0!</v>
      </c>
      <c r="AM107" s="83" t="e">
        <f t="shared" si="57"/>
        <v>#DIV/0!</v>
      </c>
      <c r="AN107" s="83" t="e">
        <f t="shared" si="57"/>
        <v>#DIV/0!</v>
      </c>
      <c r="AO107" s="83" t="e">
        <f t="shared" si="57"/>
        <v>#DIV/0!</v>
      </c>
      <c r="AP107" s="83" t="e">
        <f t="shared" si="57"/>
        <v>#DIV/0!</v>
      </c>
      <c r="AQ107" s="83" t="e">
        <f t="shared" si="57"/>
        <v>#DIV/0!</v>
      </c>
      <c r="AR107" s="83" t="e">
        <f t="shared" si="57"/>
        <v>#DIV/0!</v>
      </c>
      <c r="AS107" s="83" t="e">
        <f t="shared" si="57"/>
        <v>#DIV/0!</v>
      </c>
      <c r="AT107" s="83" t="e">
        <f t="shared" si="57"/>
        <v>#DIV/0!</v>
      </c>
      <c r="AU107" s="83" t="e">
        <f t="shared" si="57"/>
        <v>#DIV/0!</v>
      </c>
      <c r="AV107" s="83" t="e">
        <f t="shared" si="57"/>
        <v>#DIV/0!</v>
      </c>
      <c r="AW107" s="83" t="e">
        <f t="shared" si="57"/>
        <v>#DIV/0!</v>
      </c>
      <c r="AX107" s="175" t="e">
        <f t="shared" si="57"/>
        <v>#DIV/0!</v>
      </c>
      <c r="AY107" s="147"/>
    </row>
    <row r="108" spans="1:51" ht="15">
      <c r="A108" s="129"/>
      <c r="E108" s="58"/>
      <c r="H108" s="58"/>
      <c r="K108" s="150"/>
      <c r="AE108" s="150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176"/>
    </row>
    <row r="109" spans="1:51" ht="14.25" customHeight="1">
      <c r="A109" s="129"/>
      <c r="E109" s="134" t="str">
        <f>'PTX_DOSE Groups'!C13</f>
        <v>50mg Combotherapy</v>
      </c>
      <c r="H109" s="134" t="str">
        <f>E109</f>
        <v>50mg Combotherapy</v>
      </c>
      <c r="I109" s="256">
        <f>AVERAGEIF($E$5:$E$53,$E109,I$5:I$53)</f>
        <v>318.8</v>
      </c>
      <c r="J109" s="256"/>
      <c r="K109" s="216" t="s">
        <v>10</v>
      </c>
      <c r="L109" s="87">
        <f t="shared" ref="L109:AD109" si="58">AVERAGEIF($E$5:$E$53,$E109,L$5:L$53)</f>
        <v>318.8</v>
      </c>
      <c r="M109" s="87">
        <f t="shared" si="58"/>
        <v>278.2</v>
      </c>
      <c r="N109" s="87">
        <f t="shared" si="58"/>
        <v>235.6</v>
      </c>
      <c r="O109" s="87">
        <f t="shared" si="58"/>
        <v>193.4</v>
      </c>
      <c r="P109" s="87">
        <f t="shared" si="58"/>
        <v>162.4</v>
      </c>
      <c r="Q109" s="87">
        <f t="shared" si="58"/>
        <v>128.6</v>
      </c>
      <c r="R109" s="87">
        <f t="shared" si="58"/>
        <v>110</v>
      </c>
      <c r="S109" s="87">
        <f t="shared" si="58"/>
        <v>87.6</v>
      </c>
      <c r="T109" s="87">
        <f t="shared" si="58"/>
        <v>76.400000000000006</v>
      </c>
      <c r="U109" s="87">
        <f t="shared" si="58"/>
        <v>56</v>
      </c>
      <c r="V109" s="87">
        <f t="shared" si="58"/>
        <v>48.4</v>
      </c>
      <c r="W109" s="87">
        <f t="shared" si="58"/>
        <v>39.4</v>
      </c>
      <c r="X109" s="87" t="e">
        <f t="shared" si="58"/>
        <v>#DIV/0!</v>
      </c>
      <c r="Y109" s="87" t="e">
        <f t="shared" si="58"/>
        <v>#DIV/0!</v>
      </c>
      <c r="Z109" s="87" t="e">
        <f t="shared" si="58"/>
        <v>#DIV/0!</v>
      </c>
      <c r="AA109" s="87" t="e">
        <f t="shared" si="58"/>
        <v>#DIV/0!</v>
      </c>
      <c r="AB109" s="87" t="e">
        <f t="shared" si="58"/>
        <v>#DIV/0!</v>
      </c>
      <c r="AC109" s="87" t="e">
        <f t="shared" si="58"/>
        <v>#DIV/0!</v>
      </c>
      <c r="AD109" s="87" t="e">
        <f t="shared" si="58"/>
        <v>#DIV/0!</v>
      </c>
      <c r="AE109" s="153" t="s">
        <v>10</v>
      </c>
      <c r="AF109" s="82">
        <f t="shared" ref="AF109:AX109" si="59">AVERAGEIF($E$5:$E$53,$E109,AF$5:AF$53)</f>
        <v>1</v>
      </c>
      <c r="AG109" s="82">
        <f t="shared" si="59"/>
        <v>0.87523301950760468</v>
      </c>
      <c r="AH109" s="82">
        <f t="shared" si="59"/>
        <v>0.74083897235408569</v>
      </c>
      <c r="AI109" s="82">
        <f t="shared" si="59"/>
        <v>0.60352654308822395</v>
      </c>
      <c r="AJ109" s="82">
        <f t="shared" si="59"/>
        <v>0.51338919420144935</v>
      </c>
      <c r="AK109" s="82">
        <f t="shared" si="59"/>
        <v>0.40425756507798621</v>
      </c>
      <c r="AL109" s="82">
        <f t="shared" si="59"/>
        <v>0.34620528753577245</v>
      </c>
      <c r="AM109" s="82">
        <f t="shared" si="59"/>
        <v>0.27406173546940049</v>
      </c>
      <c r="AN109" s="82">
        <f t="shared" si="59"/>
        <v>0.24014169962386447</v>
      </c>
      <c r="AO109" s="82">
        <f t="shared" si="59"/>
        <v>0.17583571640504453</v>
      </c>
      <c r="AP109" s="82">
        <f t="shared" si="59"/>
        <v>0.15259725606626687</v>
      </c>
      <c r="AQ109" s="82">
        <f t="shared" si="59"/>
        <v>0.12435665000026294</v>
      </c>
      <c r="AR109" s="82" t="e">
        <f t="shared" si="59"/>
        <v>#DIV/0!</v>
      </c>
      <c r="AS109" s="82" t="e">
        <f t="shared" si="59"/>
        <v>#DIV/0!</v>
      </c>
      <c r="AT109" s="82" t="e">
        <f t="shared" si="59"/>
        <v>#DIV/0!</v>
      </c>
      <c r="AU109" s="82" t="e">
        <f t="shared" si="59"/>
        <v>#DIV/0!</v>
      </c>
      <c r="AV109" s="82" t="e">
        <f t="shared" si="59"/>
        <v>#DIV/0!</v>
      </c>
      <c r="AW109" s="82" t="e">
        <f t="shared" si="59"/>
        <v>#DIV/0!</v>
      </c>
      <c r="AX109" s="82" t="e">
        <f t="shared" si="59"/>
        <v>#DIV/0!</v>
      </c>
      <c r="AY109" s="85"/>
    </row>
    <row r="110" spans="1:51" ht="14.25" customHeight="1">
      <c r="A110" s="129"/>
      <c r="E110" s="104"/>
      <c r="H110" s="104"/>
      <c r="I110" s="256">
        <f t="array" ref="I110">_xlfn.STDEV.P(IF($E$5:$E$53=$E109,I$5:I$53))</f>
        <v>126.79022044306099</v>
      </c>
      <c r="J110" s="256"/>
      <c r="K110" s="216" t="s">
        <v>12</v>
      </c>
      <c r="L110" s="90">
        <f t="array" ref="L110">_xlfn.STDEV.P(IF($E$5:$E$53=$E109,L$5:L$53))</f>
        <v>126.79022044306099</v>
      </c>
      <c r="M110" s="90">
        <f t="array" ref="M110">_xlfn.STDEV.P(IF($E$5:$E$53=$E109,M$5:M$53))</f>
        <v>110.31844813991901</v>
      </c>
      <c r="N110" s="90">
        <f t="array" ref="N110">_xlfn.STDEV.P(IF($E$5:$E$53=$E109,N$5:N$53))</f>
        <v>91.285486250553546</v>
      </c>
      <c r="O110" s="90">
        <f t="array" ref="O110">_xlfn.STDEV.P(IF($E$5:$E$53=$E109,O$5:O$53))</f>
        <v>78.792385418896913</v>
      </c>
      <c r="P110" s="90">
        <f t="array" ref="P110">_xlfn.STDEV.P(IF($E$5:$E$53=$E109,P$5:P$53))</f>
        <v>60.387415907621019</v>
      </c>
      <c r="Q110" s="90">
        <f t="array" ref="Q110">_xlfn.STDEV.P(IF($E$5:$E$53=$E109,Q$5:Q$53))</f>
        <v>49.749773868832811</v>
      </c>
      <c r="R110" s="90">
        <f t="array" ref="R110">_xlfn.STDEV.P(IF($E$5:$E$53=$E109,R$5:R$53))</f>
        <v>42.204265187300678</v>
      </c>
      <c r="S110" s="90">
        <f t="array" ref="S110">_xlfn.STDEV.P(IF($E$5:$E$53=$E109,S$5:S$53))</f>
        <v>35.228397635998149</v>
      </c>
      <c r="T110" s="90">
        <f t="array" ref="T110">_xlfn.STDEV.P(IF($E$5:$E$53=$E109,T$5:T$53))</f>
        <v>29.493050028777965</v>
      </c>
      <c r="U110" s="90">
        <f t="array" ref="U110">_xlfn.STDEV.P(IF($E$5:$E$53=$E109,U$5:U$53))</f>
        <v>21.799082549501939</v>
      </c>
      <c r="V110" s="90">
        <f t="array" ref="V110">_xlfn.STDEV.P(IF($E$5:$E$53=$E109,V$5:V$53))</f>
        <v>18.271288952889996</v>
      </c>
      <c r="W110" s="90">
        <f t="array" ref="W110">_xlfn.STDEV.P(IF($E$5:$E$53=$E109,W$5:W$53))</f>
        <v>15.027973915335361</v>
      </c>
      <c r="X110" s="90">
        <f t="array" ref="X110">_xlfn.STDEV.P(IF($E$5:$E$53=$E109,X$5:X$53))</f>
        <v>0</v>
      </c>
      <c r="Y110" s="90">
        <f t="array" ref="Y110">_xlfn.STDEV.P(IF($E$5:$E$53=$E109,Y$5:Y$53))</f>
        <v>0</v>
      </c>
      <c r="Z110" s="90">
        <f t="array" ref="Z110">_xlfn.STDEV.P(IF($E$5:$E$53=$E109,Z$5:Z$53))</f>
        <v>0</v>
      </c>
      <c r="AA110" s="90">
        <f t="array" ref="AA110">_xlfn.STDEV.P(IF($E$5:$E$53=$E109,AA$5:AA$53))</f>
        <v>0</v>
      </c>
      <c r="AB110" s="90">
        <f t="array" ref="AB110">_xlfn.STDEV.P(IF($E$5:$E$53=$E109,AB$5:AB$53))</f>
        <v>0</v>
      </c>
      <c r="AC110" s="90">
        <f t="array" ref="AC110">_xlfn.STDEV.P(IF($E$5:$E$53=$E109,AC$5:AC$53))</f>
        <v>0</v>
      </c>
      <c r="AD110" s="90">
        <f t="array" ref="AD110">_xlfn.STDEV.P(IF($E$5:$E$53=$E109,AD$5:AD$53))</f>
        <v>0</v>
      </c>
      <c r="AE110" s="154" t="s">
        <v>12</v>
      </c>
      <c r="AF110" s="83">
        <f t="array" ref="AF110">_xlfn.STDEV.P(IF($E$5:$E$53=$E109,AF$5:AF$53))</f>
        <v>0</v>
      </c>
      <c r="AG110" s="83">
        <f t="array" ref="AG110">_xlfn.STDEV.P(IF($E$5:$E$53=$E109,AG$5:AG$53))</f>
        <v>2.4426392391204137E-2</v>
      </c>
      <c r="AH110" s="83">
        <f t="array" ref="AH110">_xlfn.STDEV.P(IF($E$5:$E$53=$E109,AH$5:AH$53))</f>
        <v>2.0670537381022772E-2</v>
      </c>
      <c r="AI110" s="83">
        <f t="array" ref="AI110">_xlfn.STDEV.P(IF($E$5:$E$53=$E109,AI$5:AI$53))</f>
        <v>2.0339349606523921E-2</v>
      </c>
      <c r="AJ110" s="83">
        <f t="array" ref="AJ110">_xlfn.STDEV.P(IF($E$5:$E$53=$E109,AJ$5:AJ$53))</f>
        <v>3.1455040459904854E-2</v>
      </c>
      <c r="AK110" s="83">
        <f t="array" ref="AK110">_xlfn.STDEV.P(IF($E$5:$E$53=$E109,AK$5:AK$53))</f>
        <v>1.7040155857083163E-2</v>
      </c>
      <c r="AL110" s="83">
        <f t="array" ref="AL110">_xlfn.STDEV.P(IF($E$5:$E$53=$E109,AL$5:AL$53))</f>
        <v>1.4502908974305118E-2</v>
      </c>
      <c r="AM110" s="83">
        <f t="array" ref="AM110">_xlfn.STDEV.P(IF($E$5:$E$53=$E109,AM$5:AM$53))</f>
        <v>1.1255187770289572E-2</v>
      </c>
      <c r="AN110" s="83">
        <f t="array" ref="AN110">_xlfn.STDEV.P(IF($E$5:$E$53=$E109,AN$5:AN$53))</f>
        <v>1.3710995373770001E-2</v>
      </c>
      <c r="AO110" s="83">
        <f t="array" ref="AO110">_xlfn.STDEV.P(IF($E$5:$E$53=$E109,AO$5:AO$53))</f>
        <v>8.175349323096914E-3</v>
      </c>
      <c r="AP110" s="83">
        <f t="array" ref="AP110">_xlfn.STDEV.P(IF($E$5:$E$53=$E109,AP$5:AP$53))</f>
        <v>8.3143123880544383E-3</v>
      </c>
      <c r="AQ110" s="83">
        <f t="array" ref="AQ110">_xlfn.STDEV.P(IF($E$5:$E$53=$E109,AQ$5:AQ$53))</f>
        <v>4.4789685129992662E-3</v>
      </c>
      <c r="AR110" s="83" t="e">
        <f t="array" ref="AR110">_xlfn.STDEV.P(IF($E$5:$E$53=$E109,AR$5:AR$53))</f>
        <v>#DIV/0!</v>
      </c>
      <c r="AS110" s="83" t="e">
        <f t="array" ref="AS110">_xlfn.STDEV.P(IF($E$5:$E$53=$E109,AS$5:AS$53))</f>
        <v>#DIV/0!</v>
      </c>
      <c r="AT110" s="83" t="e">
        <f t="array" ref="AT110">_xlfn.STDEV.P(IF($E$5:$E$53=$E109,AT$5:AT$53))</f>
        <v>#DIV/0!</v>
      </c>
      <c r="AU110" s="83" t="e">
        <f t="array" ref="AU110">_xlfn.STDEV.P(IF($E$5:$E$53=$E109,AU$5:AU$53))</f>
        <v>#DIV/0!</v>
      </c>
      <c r="AV110" s="83" t="e">
        <f t="array" ref="AV110">_xlfn.STDEV.P(IF($E$5:$E$53=$E109,AV$5:AV$53))</f>
        <v>#DIV/0!</v>
      </c>
      <c r="AW110" s="83" t="e">
        <f t="array" ref="AW110">_xlfn.STDEV.P(IF($E$5:$E$53=$E109,AW$5:AW$53))</f>
        <v>#DIV/0!</v>
      </c>
      <c r="AX110" s="83" t="e">
        <f t="array" ref="AX110">_xlfn.STDEV.P(IF($E$5:$E$53=$E109,AX$5:AX$53))</f>
        <v>#DIV/0!</v>
      </c>
      <c r="AY110" s="85"/>
    </row>
    <row r="111" spans="1:51" ht="14.25" customHeight="1">
      <c r="A111" s="129"/>
      <c r="E111" s="104"/>
      <c r="H111" s="104"/>
      <c r="I111" s="256"/>
      <c r="J111" s="256"/>
      <c r="K111" s="148" t="s">
        <v>43</v>
      </c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148" t="s">
        <v>43</v>
      </c>
      <c r="AF111" s="82">
        <f>AF109-AF$55</f>
        <v>0</v>
      </c>
      <c r="AG111" s="82">
        <f>AG109-AG$55</f>
        <v>-4.1966215261824868E-2</v>
      </c>
      <c r="AH111" s="82">
        <f t="shared" ref="AH111:AX111" si="60">AH109-AH$55</f>
        <v>-0.10041546390754141</v>
      </c>
      <c r="AI111" s="82">
        <f t="shared" si="60"/>
        <v>-0.10418248344164405</v>
      </c>
      <c r="AJ111" s="82">
        <f t="shared" si="60"/>
        <v>-8.1974163949199763E-2</v>
      </c>
      <c r="AK111" s="82">
        <f t="shared" si="60"/>
        <v>-9.6594501153867307E-2</v>
      </c>
      <c r="AL111" s="82">
        <f t="shared" si="60"/>
        <v>-7.513873509257657E-2</v>
      </c>
      <c r="AM111" s="82">
        <f t="shared" si="60"/>
        <v>-8.0395792759017537E-2</v>
      </c>
      <c r="AN111" s="82">
        <f t="shared" si="60"/>
        <v>-5.8047268464623131E-2</v>
      </c>
      <c r="AO111" s="82">
        <f t="shared" si="60"/>
        <v>-5.4246272685253311E-2</v>
      </c>
      <c r="AP111" s="82">
        <f t="shared" si="60"/>
        <v>-4.0960237959845491E-2</v>
      </c>
      <c r="AQ111" s="82">
        <f t="shared" si="60"/>
        <v>-3.8474450520887465E-2</v>
      </c>
      <c r="AR111" s="82" t="e">
        <f t="shared" si="60"/>
        <v>#DIV/0!</v>
      </c>
      <c r="AS111" s="82" t="e">
        <f t="shared" si="60"/>
        <v>#DIV/0!</v>
      </c>
      <c r="AT111" s="82" t="e">
        <f t="shared" si="60"/>
        <v>#DIV/0!</v>
      </c>
      <c r="AU111" s="82" t="e">
        <f t="shared" si="60"/>
        <v>#DIV/0!</v>
      </c>
      <c r="AV111" s="82" t="e">
        <f t="shared" si="60"/>
        <v>#DIV/0!</v>
      </c>
      <c r="AW111" s="82" t="e">
        <f t="shared" si="60"/>
        <v>#DIV/0!</v>
      </c>
      <c r="AX111" s="173" t="e">
        <f t="shared" si="60"/>
        <v>#DIV/0!</v>
      </c>
      <c r="AY111" s="147"/>
    </row>
    <row r="112" spans="1:51" ht="14.25" customHeight="1">
      <c r="A112" s="129"/>
      <c r="E112" s="104"/>
      <c r="H112" s="104"/>
      <c r="I112" s="256"/>
      <c r="J112" s="256"/>
      <c r="K112" s="116" t="s">
        <v>63</v>
      </c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116" t="s">
        <v>63</v>
      </c>
      <c r="AF112" s="82"/>
      <c r="AG112" s="82">
        <f>AF109*EXP((AG$4-AF$4)*-LN(2)/8.091)</f>
        <v>0.91789808441829013</v>
      </c>
      <c r="AH112" s="82">
        <f>AG109*EXP((AH$4-AG$4)*-LN(2)/8.091)</f>
        <v>0.80337471202566624</v>
      </c>
      <c r="AI112" s="82">
        <f t="shared" ref="AI112:AX112" si="61">AH109*EXP((AI$4-AH$4)*-LN(2)/8.091)</f>
        <v>0.62418416626112927</v>
      </c>
      <c r="AJ112" s="82">
        <f t="shared" si="61"/>
        <v>0.50849337868517841</v>
      </c>
      <c r="AK112" s="82">
        <f t="shared" si="61"/>
        <v>0.43254933677671736</v>
      </c>
      <c r="AL112" s="82">
        <f t="shared" si="61"/>
        <v>0.340601913005671</v>
      </c>
      <c r="AM112" s="82">
        <f t="shared" si="61"/>
        <v>0.29169072743169233</v>
      </c>
      <c r="AN112" s="82">
        <f t="shared" si="61"/>
        <v>0.23090712319638199</v>
      </c>
      <c r="AO112" s="82">
        <f t="shared" si="61"/>
        <v>0.18571670536246496</v>
      </c>
      <c r="AP112" s="82">
        <f t="shared" si="61"/>
        <v>0.14814807824493603</v>
      </c>
      <c r="AQ112" s="82">
        <f t="shared" si="61"/>
        <v>0.12856881806419662</v>
      </c>
      <c r="AR112" s="82" t="e">
        <f t="shared" si="61"/>
        <v>#NUM!</v>
      </c>
      <c r="AS112" s="82" t="e">
        <f t="shared" si="61"/>
        <v>#DIV/0!</v>
      </c>
      <c r="AT112" s="82" t="e">
        <f t="shared" si="61"/>
        <v>#DIV/0!</v>
      </c>
      <c r="AU112" s="82" t="e">
        <f t="shared" si="61"/>
        <v>#DIV/0!</v>
      </c>
      <c r="AV112" s="82" t="e">
        <f t="shared" si="61"/>
        <v>#DIV/0!</v>
      </c>
      <c r="AW112" s="82" t="e">
        <f t="shared" si="61"/>
        <v>#DIV/0!</v>
      </c>
      <c r="AX112" s="173" t="e">
        <f t="shared" si="61"/>
        <v>#DIV/0!</v>
      </c>
      <c r="AY112" s="147"/>
    </row>
    <row r="113" spans="1:51" ht="14.25" customHeight="1">
      <c r="A113" s="129"/>
      <c r="E113" s="104"/>
      <c r="H113" s="104"/>
      <c r="I113" s="256"/>
      <c r="J113" s="256"/>
      <c r="K113" s="116" t="s">
        <v>44</v>
      </c>
      <c r="L113" s="89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116" t="s">
        <v>44</v>
      </c>
      <c r="AF113" s="174"/>
      <c r="AG113" s="83">
        <f>AG109-AG112</f>
        <v>-4.2665064910685446E-2</v>
      </c>
      <c r="AH113" s="83">
        <f>AH109-AH112</f>
        <v>-6.2535739671580548E-2</v>
      </c>
      <c r="AI113" s="83">
        <f t="shared" ref="AI113:AX113" si="62">AI109-AI112</f>
        <v>-2.0657623172905315E-2</v>
      </c>
      <c r="AJ113" s="83">
        <f t="shared" si="62"/>
        <v>4.8958155162709405E-3</v>
      </c>
      <c r="AK113" s="83">
        <f t="shared" si="62"/>
        <v>-2.829177169873115E-2</v>
      </c>
      <c r="AL113" s="83">
        <f t="shared" si="62"/>
        <v>5.603374530101457E-3</v>
      </c>
      <c r="AM113" s="83">
        <f t="shared" si="62"/>
        <v>-1.762899196229184E-2</v>
      </c>
      <c r="AN113" s="83">
        <f t="shared" si="62"/>
        <v>9.2345764274824882E-3</v>
      </c>
      <c r="AO113" s="83">
        <f t="shared" si="62"/>
        <v>-9.8809889574204279E-3</v>
      </c>
      <c r="AP113" s="83">
        <f t="shared" si="62"/>
        <v>4.4491778213308353E-3</v>
      </c>
      <c r="AQ113" s="83">
        <f t="shared" si="62"/>
        <v>-4.21216806393368E-3</v>
      </c>
      <c r="AR113" s="83" t="e">
        <f t="shared" si="62"/>
        <v>#DIV/0!</v>
      </c>
      <c r="AS113" s="83" t="e">
        <f t="shared" si="62"/>
        <v>#DIV/0!</v>
      </c>
      <c r="AT113" s="83" t="e">
        <f t="shared" si="62"/>
        <v>#DIV/0!</v>
      </c>
      <c r="AU113" s="83" t="e">
        <f t="shared" si="62"/>
        <v>#DIV/0!</v>
      </c>
      <c r="AV113" s="83" t="e">
        <f t="shared" si="62"/>
        <v>#DIV/0!</v>
      </c>
      <c r="AW113" s="83" t="e">
        <f t="shared" si="62"/>
        <v>#DIV/0!</v>
      </c>
      <c r="AX113" s="175" t="e">
        <f t="shared" si="62"/>
        <v>#DIV/0!</v>
      </c>
      <c r="AY113" s="147"/>
    </row>
    <row r="114" spans="1:51" ht="14.25" customHeight="1">
      <c r="A114" s="129"/>
      <c r="E114" s="104"/>
      <c r="H114" s="104"/>
      <c r="I114" s="256"/>
      <c r="J114" s="256"/>
      <c r="K114" s="116" t="s">
        <v>64</v>
      </c>
      <c r="L114" s="89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116" t="s">
        <v>64</v>
      </c>
      <c r="AF114" s="174">
        <f>AF109/AF$55</f>
        <v>1</v>
      </c>
      <c r="AG114" s="83">
        <f>AG109/AG$55</f>
        <v>0.95424525700528462</v>
      </c>
      <c r="AH114" s="83">
        <f>AH109/AH$55</f>
        <v>0.88063603640086774</v>
      </c>
      <c r="AI114" s="83">
        <f t="shared" ref="AI114:AX114" si="63">AI109/AI$55</f>
        <v>0.8527890989995065</v>
      </c>
      <c r="AJ114" s="83">
        <f t="shared" si="63"/>
        <v>0.86231237978126085</v>
      </c>
      <c r="AK114" s="83">
        <f t="shared" si="63"/>
        <v>0.80713965726328474</v>
      </c>
      <c r="AL114" s="83">
        <f t="shared" si="63"/>
        <v>0.82166891884721605</v>
      </c>
      <c r="AM114" s="83">
        <f t="shared" si="63"/>
        <v>0.77318638664317152</v>
      </c>
      <c r="AN114" s="83">
        <f t="shared" si="63"/>
        <v>0.80533395035795696</v>
      </c>
      <c r="AO114" s="83">
        <f t="shared" si="63"/>
        <v>0.76423068620132695</v>
      </c>
      <c r="AP114" s="83">
        <f t="shared" si="63"/>
        <v>0.78838206102048602</v>
      </c>
      <c r="AQ114" s="83">
        <f t="shared" si="63"/>
        <v>0.7637155899717698</v>
      </c>
      <c r="AR114" s="83" t="e">
        <f t="shared" si="63"/>
        <v>#DIV/0!</v>
      </c>
      <c r="AS114" s="83" t="e">
        <f t="shared" si="63"/>
        <v>#DIV/0!</v>
      </c>
      <c r="AT114" s="83" t="e">
        <f t="shared" si="63"/>
        <v>#DIV/0!</v>
      </c>
      <c r="AU114" s="83" t="e">
        <f t="shared" si="63"/>
        <v>#DIV/0!</v>
      </c>
      <c r="AV114" s="83" t="e">
        <f t="shared" si="63"/>
        <v>#DIV/0!</v>
      </c>
      <c r="AW114" s="83" t="e">
        <f t="shared" si="63"/>
        <v>#DIV/0!</v>
      </c>
      <c r="AX114" s="175" t="e">
        <f t="shared" si="63"/>
        <v>#DIV/0!</v>
      </c>
      <c r="AY114" s="147"/>
    </row>
    <row r="115" spans="1:51" ht="15">
      <c r="A115" s="129"/>
      <c r="E115" s="58"/>
      <c r="H115" s="58"/>
      <c r="K115" s="150"/>
      <c r="AE115" s="150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176"/>
    </row>
    <row r="116" spans="1:51" ht="14.25" customHeight="1">
      <c r="A116" s="129"/>
      <c r="E116" s="134" t="str">
        <f>'PTX_DOSE Groups'!C14</f>
        <v>Metronomic CP-PTX</v>
      </c>
      <c r="H116" s="134" t="str">
        <f>E116</f>
        <v>Metronomic CP-PTX</v>
      </c>
      <c r="I116" s="256" t="e">
        <f>AVERAGEIF($E$5:$E$53,$E116,I$5:I$53)</f>
        <v>#DIV/0!</v>
      </c>
      <c r="J116" s="256"/>
      <c r="K116" s="216" t="s">
        <v>10</v>
      </c>
      <c r="L116" s="87" t="e">
        <f t="shared" ref="L116:AD116" si="64">AVERAGEIF($E$5:$E$53,$E116,L$5:L$53)</f>
        <v>#DIV/0!</v>
      </c>
      <c r="M116" s="87" t="e">
        <f t="shared" si="64"/>
        <v>#DIV/0!</v>
      </c>
      <c r="N116" s="87" t="e">
        <f t="shared" si="64"/>
        <v>#DIV/0!</v>
      </c>
      <c r="O116" s="87" t="e">
        <f t="shared" si="64"/>
        <v>#DIV/0!</v>
      </c>
      <c r="P116" s="87" t="e">
        <f t="shared" si="64"/>
        <v>#DIV/0!</v>
      </c>
      <c r="Q116" s="87" t="e">
        <f t="shared" si="64"/>
        <v>#DIV/0!</v>
      </c>
      <c r="R116" s="87" t="e">
        <f t="shared" si="64"/>
        <v>#DIV/0!</v>
      </c>
      <c r="S116" s="87" t="e">
        <f t="shared" si="64"/>
        <v>#DIV/0!</v>
      </c>
      <c r="T116" s="87" t="e">
        <f t="shared" si="64"/>
        <v>#DIV/0!</v>
      </c>
      <c r="U116" s="87" t="e">
        <f t="shared" si="64"/>
        <v>#DIV/0!</v>
      </c>
      <c r="V116" s="87" t="e">
        <f t="shared" si="64"/>
        <v>#DIV/0!</v>
      </c>
      <c r="W116" s="87" t="e">
        <f t="shared" si="64"/>
        <v>#DIV/0!</v>
      </c>
      <c r="X116" s="87" t="e">
        <f t="shared" si="64"/>
        <v>#DIV/0!</v>
      </c>
      <c r="Y116" s="87" t="e">
        <f t="shared" si="64"/>
        <v>#DIV/0!</v>
      </c>
      <c r="Z116" s="87" t="e">
        <f t="shared" si="64"/>
        <v>#DIV/0!</v>
      </c>
      <c r="AA116" s="87" t="e">
        <f t="shared" si="64"/>
        <v>#DIV/0!</v>
      </c>
      <c r="AB116" s="87" t="e">
        <f t="shared" si="64"/>
        <v>#DIV/0!</v>
      </c>
      <c r="AC116" s="87" t="e">
        <f t="shared" si="64"/>
        <v>#DIV/0!</v>
      </c>
      <c r="AD116" s="87" t="e">
        <f t="shared" si="64"/>
        <v>#DIV/0!</v>
      </c>
      <c r="AE116" s="153" t="s">
        <v>10</v>
      </c>
      <c r="AF116" s="82" t="e">
        <f t="shared" ref="AF116:AX116" si="65">AVERAGEIF($E$5:$E$53,$E116,AF$5:AF$53)</f>
        <v>#DIV/0!</v>
      </c>
      <c r="AG116" s="82" t="e">
        <f t="shared" si="65"/>
        <v>#DIV/0!</v>
      </c>
      <c r="AH116" s="82" t="e">
        <f t="shared" si="65"/>
        <v>#DIV/0!</v>
      </c>
      <c r="AI116" s="82" t="e">
        <f t="shared" si="65"/>
        <v>#DIV/0!</v>
      </c>
      <c r="AJ116" s="82" t="e">
        <f t="shared" si="65"/>
        <v>#DIV/0!</v>
      </c>
      <c r="AK116" s="82" t="e">
        <f t="shared" si="65"/>
        <v>#DIV/0!</v>
      </c>
      <c r="AL116" s="82" t="e">
        <f t="shared" si="65"/>
        <v>#DIV/0!</v>
      </c>
      <c r="AM116" s="82" t="e">
        <f t="shared" si="65"/>
        <v>#DIV/0!</v>
      </c>
      <c r="AN116" s="82" t="e">
        <f t="shared" si="65"/>
        <v>#DIV/0!</v>
      </c>
      <c r="AO116" s="82" t="e">
        <f t="shared" si="65"/>
        <v>#DIV/0!</v>
      </c>
      <c r="AP116" s="82" t="e">
        <f t="shared" si="65"/>
        <v>#DIV/0!</v>
      </c>
      <c r="AQ116" s="82" t="e">
        <f t="shared" si="65"/>
        <v>#DIV/0!</v>
      </c>
      <c r="AR116" s="82" t="e">
        <f t="shared" si="65"/>
        <v>#DIV/0!</v>
      </c>
      <c r="AS116" s="82" t="e">
        <f t="shared" si="65"/>
        <v>#DIV/0!</v>
      </c>
      <c r="AT116" s="82" t="e">
        <f t="shared" si="65"/>
        <v>#DIV/0!</v>
      </c>
      <c r="AU116" s="82" t="e">
        <f t="shared" si="65"/>
        <v>#DIV/0!</v>
      </c>
      <c r="AV116" s="82" t="e">
        <f t="shared" si="65"/>
        <v>#DIV/0!</v>
      </c>
      <c r="AW116" s="82" t="e">
        <f t="shared" si="65"/>
        <v>#DIV/0!</v>
      </c>
      <c r="AX116" s="82" t="e">
        <f t="shared" si="65"/>
        <v>#DIV/0!</v>
      </c>
      <c r="AY116" s="85"/>
    </row>
    <row r="117" spans="1:51" ht="14.25" customHeight="1">
      <c r="A117" s="129"/>
      <c r="E117" s="104"/>
      <c r="H117" s="104"/>
      <c r="I117" s="256">
        <f t="array" ref="I117">_xlfn.STDEV.P(IF($E$5:$E$53=$E116,I$5:I$53))</f>
        <v>0</v>
      </c>
      <c r="J117" s="256"/>
      <c r="K117" s="216" t="s">
        <v>12</v>
      </c>
      <c r="L117" s="90">
        <f t="array" ref="L117">_xlfn.STDEV.P(IF($E$5:$E$53=$E116,L$5:L$53))</f>
        <v>0</v>
      </c>
      <c r="M117" s="90">
        <f t="array" ref="M117">_xlfn.STDEV.P(IF($E$5:$E$53=$E116,M$5:M$53))</f>
        <v>0</v>
      </c>
      <c r="N117" s="90">
        <f t="array" ref="N117">_xlfn.STDEV.P(IF($E$5:$E$53=$E116,N$5:N$53))</f>
        <v>0</v>
      </c>
      <c r="O117" s="90">
        <f t="array" ref="O117">_xlfn.STDEV.P(IF($E$5:$E$53=$E116,O$5:O$53))</f>
        <v>0</v>
      </c>
      <c r="P117" s="90">
        <f t="array" ref="P117">_xlfn.STDEV.P(IF($E$5:$E$53=$E116,P$5:P$53))</f>
        <v>0</v>
      </c>
      <c r="Q117" s="90">
        <f t="array" ref="Q117">_xlfn.STDEV.P(IF($E$5:$E$53=$E116,Q$5:Q$53))</f>
        <v>0</v>
      </c>
      <c r="R117" s="90">
        <f t="array" ref="R117">_xlfn.STDEV.P(IF($E$5:$E$53=$E116,R$5:R$53))</f>
        <v>0</v>
      </c>
      <c r="S117" s="90">
        <f t="array" ref="S117">_xlfn.STDEV.P(IF($E$5:$E$53=$E116,S$5:S$53))</f>
        <v>0</v>
      </c>
      <c r="T117" s="90">
        <f t="array" ref="T117">_xlfn.STDEV.P(IF($E$5:$E$53=$E116,T$5:T$53))</f>
        <v>0</v>
      </c>
      <c r="U117" s="90">
        <f t="array" ref="U117">_xlfn.STDEV.P(IF($E$5:$E$53=$E116,U$5:U$53))</f>
        <v>0</v>
      </c>
      <c r="V117" s="90">
        <f t="array" ref="V117">_xlfn.STDEV.P(IF($E$5:$E$53=$E116,V$5:V$53))</f>
        <v>0</v>
      </c>
      <c r="W117" s="90">
        <f t="array" ref="W117">_xlfn.STDEV.P(IF($E$5:$E$53=$E116,W$5:W$53))</f>
        <v>0</v>
      </c>
      <c r="X117" s="90">
        <f t="array" ref="X117">_xlfn.STDEV.P(IF($E$5:$E$53=$E116,X$5:X$53))</f>
        <v>0</v>
      </c>
      <c r="Y117" s="90">
        <f t="array" ref="Y117">_xlfn.STDEV.P(IF($E$5:$E$53=$E116,Y$5:Y$53))</f>
        <v>0</v>
      </c>
      <c r="Z117" s="90">
        <f t="array" ref="Z117">_xlfn.STDEV.P(IF($E$5:$E$53=$E116,Z$5:Z$53))</f>
        <v>0</v>
      </c>
      <c r="AA117" s="90">
        <f t="array" ref="AA117">_xlfn.STDEV.P(IF($E$5:$E$53=$E116,AA$5:AA$53))</f>
        <v>0</v>
      </c>
      <c r="AB117" s="90">
        <f t="array" ref="AB117">_xlfn.STDEV.P(IF($E$5:$E$53=$E116,AB$5:AB$53))</f>
        <v>0</v>
      </c>
      <c r="AC117" s="90">
        <f t="array" ref="AC117">_xlfn.STDEV.P(IF($E$5:$E$53=$E116,AC$5:AC$53))</f>
        <v>0</v>
      </c>
      <c r="AD117" s="90">
        <f t="array" ref="AD117">_xlfn.STDEV.P(IF($E$5:$E$53=$E116,AD$5:AD$53))</f>
        <v>0</v>
      </c>
      <c r="AE117" s="154" t="s">
        <v>12</v>
      </c>
      <c r="AF117" s="83" t="e">
        <f t="array" ref="AF117">_xlfn.STDEV.P(IF($E$5:$E$53=$E116,AF$5:AF$53))</f>
        <v>#DIV/0!</v>
      </c>
      <c r="AG117" s="83" t="e">
        <f t="array" ref="AG117">_xlfn.STDEV.P(IF($E$5:$E$53=$E116,AG$5:AG$53))</f>
        <v>#DIV/0!</v>
      </c>
      <c r="AH117" s="83" t="e">
        <f t="array" ref="AH117">_xlfn.STDEV.P(IF($E$5:$E$53=$E116,AH$5:AH$53))</f>
        <v>#DIV/0!</v>
      </c>
      <c r="AI117" s="83" t="e">
        <f t="array" ref="AI117">_xlfn.STDEV.P(IF($E$5:$E$53=$E116,AI$5:AI$53))</f>
        <v>#DIV/0!</v>
      </c>
      <c r="AJ117" s="83" t="e">
        <f t="array" ref="AJ117">_xlfn.STDEV.P(IF($E$5:$E$53=$E116,AJ$5:AJ$53))</f>
        <v>#DIV/0!</v>
      </c>
      <c r="AK117" s="83" t="e">
        <f t="array" ref="AK117">_xlfn.STDEV.P(IF($E$5:$E$53=$E116,AK$5:AK$53))</f>
        <v>#DIV/0!</v>
      </c>
      <c r="AL117" s="83" t="e">
        <f t="array" ref="AL117">_xlfn.STDEV.P(IF($E$5:$E$53=$E116,AL$5:AL$53))</f>
        <v>#DIV/0!</v>
      </c>
      <c r="AM117" s="83" t="e">
        <f t="array" ref="AM117">_xlfn.STDEV.P(IF($E$5:$E$53=$E116,AM$5:AM$53))</f>
        <v>#DIV/0!</v>
      </c>
      <c r="AN117" s="83" t="e">
        <f t="array" ref="AN117">_xlfn.STDEV.P(IF($E$5:$E$53=$E116,AN$5:AN$53))</f>
        <v>#DIV/0!</v>
      </c>
      <c r="AO117" s="83" t="e">
        <f t="array" ref="AO117">_xlfn.STDEV.P(IF($E$5:$E$53=$E116,AO$5:AO$53))</f>
        <v>#DIV/0!</v>
      </c>
      <c r="AP117" s="83" t="e">
        <f t="array" ref="AP117">_xlfn.STDEV.P(IF($E$5:$E$53=$E116,AP$5:AP$53))</f>
        <v>#DIV/0!</v>
      </c>
      <c r="AQ117" s="83" t="e">
        <f t="array" ref="AQ117">_xlfn.STDEV.P(IF($E$5:$E$53=$E116,AQ$5:AQ$53))</f>
        <v>#DIV/0!</v>
      </c>
      <c r="AR117" s="83" t="e">
        <f t="array" ref="AR117">_xlfn.STDEV.P(IF($E$5:$E$53=$E116,AR$5:AR$53))</f>
        <v>#DIV/0!</v>
      </c>
      <c r="AS117" s="83" t="e">
        <f t="array" ref="AS117">_xlfn.STDEV.P(IF($E$5:$E$53=$E116,AS$5:AS$53))</f>
        <v>#DIV/0!</v>
      </c>
      <c r="AT117" s="83" t="e">
        <f t="array" ref="AT117">_xlfn.STDEV.P(IF($E$5:$E$53=$E116,AT$5:AT$53))</f>
        <v>#DIV/0!</v>
      </c>
      <c r="AU117" s="83" t="e">
        <f t="array" ref="AU117">_xlfn.STDEV.P(IF($E$5:$E$53=$E116,AU$5:AU$53))</f>
        <v>#DIV/0!</v>
      </c>
      <c r="AV117" s="83" t="e">
        <f t="array" ref="AV117">_xlfn.STDEV.P(IF($E$5:$E$53=$E116,AV$5:AV$53))</f>
        <v>#DIV/0!</v>
      </c>
      <c r="AW117" s="83" t="e">
        <f t="array" ref="AW117">_xlfn.STDEV.P(IF($E$5:$E$53=$E116,AW$5:AW$53))</f>
        <v>#DIV/0!</v>
      </c>
      <c r="AX117" s="83" t="e">
        <f t="array" ref="AX117">_xlfn.STDEV.P(IF($E$5:$E$53=$E116,AX$5:AX$53))</f>
        <v>#DIV/0!</v>
      </c>
      <c r="AY117" s="85"/>
    </row>
    <row r="118" spans="1:51" ht="14.25" customHeight="1">
      <c r="A118" s="129"/>
      <c r="E118" s="104"/>
      <c r="H118" s="104"/>
      <c r="I118" s="256"/>
      <c r="J118" s="256"/>
      <c r="K118" s="148" t="s">
        <v>43</v>
      </c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148" t="s">
        <v>43</v>
      </c>
      <c r="AF118" s="82" t="e">
        <f>AF116-AF$55</f>
        <v>#DIV/0!</v>
      </c>
      <c r="AG118" s="82" t="e">
        <f>AG116-AG$55</f>
        <v>#DIV/0!</v>
      </c>
      <c r="AH118" s="82" t="e">
        <f t="shared" ref="AH118:AX118" si="66">AH116-AH$55</f>
        <v>#DIV/0!</v>
      </c>
      <c r="AI118" s="82" t="e">
        <f t="shared" si="66"/>
        <v>#DIV/0!</v>
      </c>
      <c r="AJ118" s="82" t="e">
        <f t="shared" si="66"/>
        <v>#DIV/0!</v>
      </c>
      <c r="AK118" s="82" t="e">
        <f t="shared" si="66"/>
        <v>#DIV/0!</v>
      </c>
      <c r="AL118" s="82" t="e">
        <f t="shared" si="66"/>
        <v>#DIV/0!</v>
      </c>
      <c r="AM118" s="82" t="e">
        <f t="shared" si="66"/>
        <v>#DIV/0!</v>
      </c>
      <c r="AN118" s="82" t="e">
        <f t="shared" si="66"/>
        <v>#DIV/0!</v>
      </c>
      <c r="AO118" s="82" t="e">
        <f t="shared" si="66"/>
        <v>#DIV/0!</v>
      </c>
      <c r="AP118" s="82" t="e">
        <f t="shared" si="66"/>
        <v>#DIV/0!</v>
      </c>
      <c r="AQ118" s="82" t="e">
        <f t="shared" si="66"/>
        <v>#DIV/0!</v>
      </c>
      <c r="AR118" s="82" t="e">
        <f t="shared" si="66"/>
        <v>#DIV/0!</v>
      </c>
      <c r="AS118" s="82" t="e">
        <f t="shared" si="66"/>
        <v>#DIV/0!</v>
      </c>
      <c r="AT118" s="82" t="e">
        <f t="shared" si="66"/>
        <v>#DIV/0!</v>
      </c>
      <c r="AU118" s="82" t="e">
        <f t="shared" si="66"/>
        <v>#DIV/0!</v>
      </c>
      <c r="AV118" s="82" t="e">
        <f t="shared" si="66"/>
        <v>#DIV/0!</v>
      </c>
      <c r="AW118" s="82" t="e">
        <f t="shared" si="66"/>
        <v>#DIV/0!</v>
      </c>
      <c r="AX118" s="173" t="e">
        <f t="shared" si="66"/>
        <v>#DIV/0!</v>
      </c>
      <c r="AY118" s="147"/>
    </row>
    <row r="119" spans="1:51" ht="14.25" customHeight="1">
      <c r="A119" s="129"/>
      <c r="E119" s="104"/>
      <c r="H119" s="104"/>
      <c r="I119" s="256"/>
      <c r="J119" s="256"/>
      <c r="K119" s="116" t="s">
        <v>63</v>
      </c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116" t="s">
        <v>63</v>
      </c>
      <c r="AF119" s="82"/>
      <c r="AG119" s="82" t="e">
        <f>AF116*EXP((AG$4-AF$4)*-LN(2)/8.091)</f>
        <v>#DIV/0!</v>
      </c>
      <c r="AH119" s="82" t="e">
        <f>AG116*EXP((AH$4-AG$4)*-LN(2)/8.091)</f>
        <v>#DIV/0!</v>
      </c>
      <c r="AI119" s="82" t="e">
        <f t="shared" ref="AI119:AX119" si="67">AH116*EXP((AI$4-AH$4)*-LN(2)/8.091)</f>
        <v>#DIV/0!</v>
      </c>
      <c r="AJ119" s="82" t="e">
        <f t="shared" si="67"/>
        <v>#DIV/0!</v>
      </c>
      <c r="AK119" s="82" t="e">
        <f t="shared" si="67"/>
        <v>#DIV/0!</v>
      </c>
      <c r="AL119" s="82" t="e">
        <f t="shared" si="67"/>
        <v>#DIV/0!</v>
      </c>
      <c r="AM119" s="82" t="e">
        <f t="shared" si="67"/>
        <v>#DIV/0!</v>
      </c>
      <c r="AN119" s="82" t="e">
        <f t="shared" si="67"/>
        <v>#DIV/0!</v>
      </c>
      <c r="AO119" s="82" t="e">
        <f t="shared" si="67"/>
        <v>#DIV/0!</v>
      </c>
      <c r="AP119" s="82" t="e">
        <f t="shared" si="67"/>
        <v>#DIV/0!</v>
      </c>
      <c r="AQ119" s="82" t="e">
        <f t="shared" si="67"/>
        <v>#DIV/0!</v>
      </c>
      <c r="AR119" s="82" t="e">
        <f t="shared" si="67"/>
        <v>#DIV/0!</v>
      </c>
      <c r="AS119" s="82" t="e">
        <f t="shared" si="67"/>
        <v>#DIV/0!</v>
      </c>
      <c r="AT119" s="82" t="e">
        <f t="shared" si="67"/>
        <v>#DIV/0!</v>
      </c>
      <c r="AU119" s="82" t="e">
        <f t="shared" si="67"/>
        <v>#DIV/0!</v>
      </c>
      <c r="AV119" s="82" t="e">
        <f t="shared" si="67"/>
        <v>#DIV/0!</v>
      </c>
      <c r="AW119" s="82" t="e">
        <f t="shared" si="67"/>
        <v>#DIV/0!</v>
      </c>
      <c r="AX119" s="173" t="e">
        <f t="shared" si="67"/>
        <v>#DIV/0!</v>
      </c>
      <c r="AY119" s="147"/>
    </row>
    <row r="120" spans="1:51" ht="14.25" customHeight="1">
      <c r="A120" s="129"/>
      <c r="E120" s="104"/>
      <c r="H120" s="104"/>
      <c r="I120" s="256"/>
      <c r="J120" s="256"/>
      <c r="K120" s="116" t="s">
        <v>44</v>
      </c>
      <c r="L120" s="89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116" t="s">
        <v>44</v>
      </c>
      <c r="AF120" s="174"/>
      <c r="AG120" s="83" t="e">
        <f>AG116-AG119</f>
        <v>#DIV/0!</v>
      </c>
      <c r="AH120" s="83" t="e">
        <f>AH116-AH119</f>
        <v>#DIV/0!</v>
      </c>
      <c r="AI120" s="83" t="e">
        <f t="shared" ref="AI120:AX120" si="68">AI116-AI119</f>
        <v>#DIV/0!</v>
      </c>
      <c r="AJ120" s="83" t="e">
        <f t="shared" si="68"/>
        <v>#DIV/0!</v>
      </c>
      <c r="AK120" s="83" t="e">
        <f t="shared" si="68"/>
        <v>#DIV/0!</v>
      </c>
      <c r="AL120" s="83" t="e">
        <f t="shared" si="68"/>
        <v>#DIV/0!</v>
      </c>
      <c r="AM120" s="83" t="e">
        <f t="shared" si="68"/>
        <v>#DIV/0!</v>
      </c>
      <c r="AN120" s="83" t="e">
        <f t="shared" si="68"/>
        <v>#DIV/0!</v>
      </c>
      <c r="AO120" s="83" t="e">
        <f t="shared" si="68"/>
        <v>#DIV/0!</v>
      </c>
      <c r="AP120" s="83" t="e">
        <f t="shared" si="68"/>
        <v>#DIV/0!</v>
      </c>
      <c r="AQ120" s="83" t="e">
        <f t="shared" si="68"/>
        <v>#DIV/0!</v>
      </c>
      <c r="AR120" s="83" t="e">
        <f t="shared" si="68"/>
        <v>#DIV/0!</v>
      </c>
      <c r="AS120" s="83" t="e">
        <f t="shared" si="68"/>
        <v>#DIV/0!</v>
      </c>
      <c r="AT120" s="83" t="e">
        <f t="shared" si="68"/>
        <v>#DIV/0!</v>
      </c>
      <c r="AU120" s="83" t="e">
        <f t="shared" si="68"/>
        <v>#DIV/0!</v>
      </c>
      <c r="AV120" s="83" t="e">
        <f t="shared" si="68"/>
        <v>#DIV/0!</v>
      </c>
      <c r="AW120" s="83" t="e">
        <f t="shared" si="68"/>
        <v>#DIV/0!</v>
      </c>
      <c r="AX120" s="175" t="e">
        <f t="shared" si="68"/>
        <v>#DIV/0!</v>
      </c>
      <c r="AY120" s="147"/>
    </row>
    <row r="121" spans="1:51" ht="14.25" customHeight="1">
      <c r="A121" s="129"/>
      <c r="E121" s="104"/>
      <c r="H121" s="104"/>
      <c r="I121" s="256"/>
      <c r="J121" s="256"/>
      <c r="K121" s="116" t="s">
        <v>64</v>
      </c>
      <c r="L121" s="89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116" t="s">
        <v>64</v>
      </c>
      <c r="AF121" s="174" t="e">
        <f>AF116/AF$55</f>
        <v>#DIV/0!</v>
      </c>
      <c r="AG121" s="83" t="e">
        <f>AG116/AG$55</f>
        <v>#DIV/0!</v>
      </c>
      <c r="AH121" s="83" t="e">
        <f>AH116/AH$55</f>
        <v>#DIV/0!</v>
      </c>
      <c r="AI121" s="83" t="e">
        <f t="shared" ref="AI121:AX121" si="69">AI116/AI$55</f>
        <v>#DIV/0!</v>
      </c>
      <c r="AJ121" s="83" t="e">
        <f t="shared" si="69"/>
        <v>#DIV/0!</v>
      </c>
      <c r="AK121" s="83" t="e">
        <f t="shared" si="69"/>
        <v>#DIV/0!</v>
      </c>
      <c r="AL121" s="83" t="e">
        <f t="shared" si="69"/>
        <v>#DIV/0!</v>
      </c>
      <c r="AM121" s="83" t="e">
        <f t="shared" si="69"/>
        <v>#DIV/0!</v>
      </c>
      <c r="AN121" s="83" t="e">
        <f t="shared" si="69"/>
        <v>#DIV/0!</v>
      </c>
      <c r="AO121" s="83" t="e">
        <f t="shared" si="69"/>
        <v>#DIV/0!</v>
      </c>
      <c r="AP121" s="83" t="e">
        <f t="shared" si="69"/>
        <v>#DIV/0!</v>
      </c>
      <c r="AQ121" s="83" t="e">
        <f t="shared" si="69"/>
        <v>#DIV/0!</v>
      </c>
      <c r="AR121" s="83" t="e">
        <f t="shared" si="69"/>
        <v>#DIV/0!</v>
      </c>
      <c r="AS121" s="83" t="e">
        <f t="shared" si="69"/>
        <v>#DIV/0!</v>
      </c>
      <c r="AT121" s="83" t="e">
        <f t="shared" si="69"/>
        <v>#DIV/0!</v>
      </c>
      <c r="AU121" s="83" t="e">
        <f t="shared" si="69"/>
        <v>#DIV/0!</v>
      </c>
      <c r="AV121" s="83" t="e">
        <f t="shared" si="69"/>
        <v>#DIV/0!</v>
      </c>
      <c r="AW121" s="83" t="e">
        <f t="shared" si="69"/>
        <v>#DIV/0!</v>
      </c>
      <c r="AX121" s="175" t="e">
        <f t="shared" si="69"/>
        <v>#DIV/0!</v>
      </c>
      <c r="AY121" s="147"/>
    </row>
    <row r="122" spans="1:51" ht="15">
      <c r="A122" s="129"/>
      <c r="E122" s="58"/>
      <c r="H122" s="58"/>
      <c r="K122" s="150"/>
      <c r="AE122" s="150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176"/>
    </row>
    <row r="123" spans="1:51" ht="14.25" customHeight="1">
      <c r="A123" s="129"/>
      <c r="E123" s="134" t="str">
        <f>'PTX_DOSE Groups'!C15</f>
        <v>Metronomic Combotherapy</v>
      </c>
      <c r="H123" s="134" t="str">
        <f>E123</f>
        <v>Metronomic Combotherapy</v>
      </c>
      <c r="I123" s="256">
        <f>AVERAGEIF($E$5:$E$53,$E123,I$5:I$53)</f>
        <v>339.4</v>
      </c>
      <c r="J123" s="256"/>
      <c r="K123" s="216" t="s">
        <v>10</v>
      </c>
      <c r="L123" s="87">
        <f t="shared" ref="L123:AD123" si="70">AVERAGEIF($E$5:$E$53,$E123,L$5:L$53)</f>
        <v>339.4</v>
      </c>
      <c r="M123" s="87">
        <f t="shared" si="70"/>
        <v>284.39999999999998</v>
      </c>
      <c r="N123" s="87">
        <f t="shared" si="70"/>
        <v>255.8</v>
      </c>
      <c r="O123" s="87">
        <f t="shared" si="70"/>
        <v>214.2</v>
      </c>
      <c r="P123" s="87">
        <f t="shared" si="70"/>
        <v>177.2</v>
      </c>
      <c r="Q123" s="87">
        <f t="shared" si="70"/>
        <v>142.80000000000001</v>
      </c>
      <c r="R123" s="87">
        <f t="shared" si="70"/>
        <v>118.8</v>
      </c>
      <c r="S123" s="87">
        <f t="shared" si="70"/>
        <v>96</v>
      </c>
      <c r="T123" s="87">
        <f t="shared" si="70"/>
        <v>83.6</v>
      </c>
      <c r="U123" s="87">
        <f t="shared" si="70"/>
        <v>62.2</v>
      </c>
      <c r="V123" s="87">
        <f t="shared" si="70"/>
        <v>53.8</v>
      </c>
      <c r="W123" s="87">
        <f t="shared" si="70"/>
        <v>43.2</v>
      </c>
      <c r="X123" s="87" t="e">
        <f t="shared" si="70"/>
        <v>#DIV/0!</v>
      </c>
      <c r="Y123" s="87" t="e">
        <f t="shared" si="70"/>
        <v>#DIV/0!</v>
      </c>
      <c r="Z123" s="87" t="e">
        <f t="shared" si="70"/>
        <v>#DIV/0!</v>
      </c>
      <c r="AA123" s="87" t="e">
        <f t="shared" si="70"/>
        <v>#DIV/0!</v>
      </c>
      <c r="AB123" s="87" t="e">
        <f t="shared" si="70"/>
        <v>#DIV/0!</v>
      </c>
      <c r="AC123" s="87" t="e">
        <f t="shared" si="70"/>
        <v>#DIV/0!</v>
      </c>
      <c r="AD123" s="87" t="e">
        <f t="shared" si="70"/>
        <v>#DIV/0!</v>
      </c>
      <c r="AE123" s="153" t="s">
        <v>10</v>
      </c>
      <c r="AF123" s="82">
        <f t="shared" ref="AF123:AX123" si="71">AVERAGEIF($E$5:$E$53,$E123,AF$5:AF$53)</f>
        <v>1</v>
      </c>
      <c r="AG123" s="82">
        <f t="shared" si="71"/>
        <v>0.83772013527646805</v>
      </c>
      <c r="AH123" s="82">
        <f t="shared" si="71"/>
        <v>0.75372902513537188</v>
      </c>
      <c r="AI123" s="82">
        <f t="shared" si="71"/>
        <v>0.63099124545225338</v>
      </c>
      <c r="AJ123" s="82">
        <f t="shared" si="71"/>
        <v>0.52534544749820467</v>
      </c>
      <c r="AK123" s="82">
        <f t="shared" si="71"/>
        <v>0.4223582573729906</v>
      </c>
      <c r="AL123" s="82">
        <f t="shared" si="71"/>
        <v>0.3528435931686279</v>
      </c>
      <c r="AM123" s="82">
        <f t="shared" si="71"/>
        <v>0.28367543217927321</v>
      </c>
      <c r="AN123" s="82">
        <f t="shared" si="71"/>
        <v>0.24645905183034209</v>
      </c>
      <c r="AO123" s="82">
        <f t="shared" si="71"/>
        <v>0.18299173186441361</v>
      </c>
      <c r="AP123" s="82">
        <f t="shared" si="71"/>
        <v>0.16001200695184853</v>
      </c>
      <c r="AQ123" s="82">
        <f t="shared" si="71"/>
        <v>0.12726145654815335</v>
      </c>
      <c r="AR123" s="82" t="e">
        <f t="shared" si="71"/>
        <v>#DIV/0!</v>
      </c>
      <c r="AS123" s="82" t="e">
        <f t="shared" si="71"/>
        <v>#DIV/0!</v>
      </c>
      <c r="AT123" s="82" t="e">
        <f t="shared" si="71"/>
        <v>#DIV/0!</v>
      </c>
      <c r="AU123" s="82" t="e">
        <f t="shared" si="71"/>
        <v>#DIV/0!</v>
      </c>
      <c r="AV123" s="82" t="e">
        <f t="shared" si="71"/>
        <v>#DIV/0!</v>
      </c>
      <c r="AW123" s="82" t="e">
        <f t="shared" si="71"/>
        <v>#DIV/0!</v>
      </c>
      <c r="AX123" s="82" t="e">
        <f t="shared" si="71"/>
        <v>#DIV/0!</v>
      </c>
      <c r="AY123" s="85"/>
    </row>
    <row r="124" spans="1:51" ht="14.25" customHeight="1">
      <c r="A124" s="129"/>
      <c r="E124" s="104"/>
      <c r="H124" s="104"/>
      <c r="I124" s="256">
        <f t="array" ref="I124">_xlfn.STDEV.P(IF($E$5:$E$53=$E123,I$5:I$53))</f>
        <v>139.46841936438514</v>
      </c>
      <c r="J124" s="256"/>
      <c r="K124" s="216" t="s">
        <v>12</v>
      </c>
      <c r="L124" s="90">
        <f t="array" ref="L124">_xlfn.STDEV.P(IF($E$5:$E$53=$E123,L$5:L$53))</f>
        <v>139.46841936438514</v>
      </c>
      <c r="M124" s="90">
        <f t="array" ref="M124">_xlfn.STDEV.P(IF($E$5:$E$53=$E123,M$5:M$53))</f>
        <v>115.38214766591928</v>
      </c>
      <c r="N124" s="90">
        <f t="array" ref="N124">_xlfn.STDEV.P(IF($E$5:$E$53=$E123,N$5:N$53))</f>
        <v>103.69069389294297</v>
      </c>
      <c r="O124" s="90">
        <f t="array" ref="O124">_xlfn.STDEV.P(IF($E$5:$E$53=$E123,O$5:O$53))</f>
        <v>86.45091092637486</v>
      </c>
      <c r="P124" s="90">
        <f t="array" ref="P124">_xlfn.STDEV.P(IF($E$5:$E$53=$E123,P$5:P$53))</f>
        <v>69.254313945053269</v>
      </c>
      <c r="Q124" s="90">
        <f t="array" ref="Q124">_xlfn.STDEV.P(IF($E$5:$E$53=$E123,Q$5:Q$53))</f>
        <v>57.080294322997318</v>
      </c>
      <c r="R124" s="90">
        <f t="array" ref="R124">_xlfn.STDEV.P(IF($E$5:$E$53=$E123,R$5:R$53))</f>
        <v>46.425854865581101</v>
      </c>
      <c r="S124" s="90">
        <f t="array" ref="S124">_xlfn.STDEV.P(IF($E$5:$E$53=$E123,S$5:S$53))</f>
        <v>38.940980984048153</v>
      </c>
      <c r="T124" s="90">
        <f t="array" ref="T124">_xlfn.STDEV.P(IF($E$5:$E$53=$E123,T$5:T$53))</f>
        <v>34.074037037016907</v>
      </c>
      <c r="U124" s="90">
        <f t="array" ref="U124">_xlfn.STDEV.P(IF($E$5:$E$53=$E123,U$5:U$53))</f>
        <v>25.933761778808719</v>
      </c>
      <c r="V124" s="90">
        <f t="array" ref="V124">_xlfn.STDEV.P(IF($E$5:$E$53=$E123,V$5:V$53))</f>
        <v>21.245234759823202</v>
      </c>
      <c r="W124" s="90">
        <f t="array" ref="W124">_xlfn.STDEV.P(IF($E$5:$E$53=$E123,W$5:W$53))</f>
        <v>18.004443895883039</v>
      </c>
      <c r="X124" s="90">
        <f t="array" ref="X124">_xlfn.STDEV.P(IF($E$5:$E$53=$E123,X$5:X$53))</f>
        <v>0</v>
      </c>
      <c r="Y124" s="90">
        <f t="array" ref="Y124">_xlfn.STDEV.P(IF($E$5:$E$53=$E123,Y$5:Y$53))</f>
        <v>0</v>
      </c>
      <c r="Z124" s="90">
        <f t="array" ref="Z124">_xlfn.STDEV.P(IF($E$5:$E$53=$E123,Z$5:Z$53))</f>
        <v>0</v>
      </c>
      <c r="AA124" s="90">
        <f t="array" ref="AA124">_xlfn.STDEV.P(IF($E$5:$E$53=$E123,AA$5:AA$53))</f>
        <v>0</v>
      </c>
      <c r="AB124" s="90">
        <f t="array" ref="AB124">_xlfn.STDEV.P(IF($E$5:$E$53=$E123,AB$5:AB$53))</f>
        <v>0</v>
      </c>
      <c r="AC124" s="90">
        <f t="array" ref="AC124">_xlfn.STDEV.P(IF($E$5:$E$53=$E123,AC$5:AC$53))</f>
        <v>0</v>
      </c>
      <c r="AD124" s="90">
        <f t="array" ref="AD124">_xlfn.STDEV.P(IF($E$5:$E$53=$E123,AD$5:AD$53))</f>
        <v>0</v>
      </c>
      <c r="AE124" s="154" t="s">
        <v>12</v>
      </c>
      <c r="AF124" s="83">
        <f t="array" ref="AF124">_xlfn.STDEV.P(IF($E$5:$E$53=$E123,AF$5:AF$53))</f>
        <v>0</v>
      </c>
      <c r="AG124" s="83">
        <f t="array" ref="AG124">_xlfn.STDEV.P(IF($E$5:$E$53=$E123,AG$5:AG$53))</f>
        <v>1.5251690088093043E-2</v>
      </c>
      <c r="AH124" s="83">
        <f t="array" ref="AH124">_xlfn.STDEV.P(IF($E$5:$E$53=$E123,AH$5:AH$53))</f>
        <v>2.6308487206394008E-2</v>
      </c>
      <c r="AI124" s="83">
        <f t="array" ref="AI124">_xlfn.STDEV.P(IF($E$5:$E$53=$E123,AI$5:AI$53))</f>
        <v>1.4417059098288111E-2</v>
      </c>
      <c r="AJ124" s="83">
        <f t="array" ref="AJ124">_xlfn.STDEV.P(IF($E$5:$E$53=$E123,AJ$5:AJ$53))</f>
        <v>1.0680765075671724E-2</v>
      </c>
      <c r="AK124" s="83">
        <f t="array" ref="AK124">_xlfn.STDEV.P(IF($E$5:$E$53=$E123,AK$5:AK$53))</f>
        <v>1.1409479839780523E-2</v>
      </c>
      <c r="AL124" s="83">
        <f t="array" ref="AL124">_xlfn.STDEV.P(IF($E$5:$E$53=$E123,AL$5:AL$53))</f>
        <v>9.5715991975822753E-3</v>
      </c>
      <c r="AM124" s="83">
        <f t="array" ref="AM124">_xlfn.STDEV.P(IF($E$5:$E$53=$E123,AM$5:AM$53))</f>
        <v>7.4233977011851915E-3</v>
      </c>
      <c r="AN124" s="83">
        <f t="array" ref="AN124">_xlfn.STDEV.P(IF($E$5:$E$53=$E123,AN$5:AN$53))</f>
        <v>2.9421519136716822E-3</v>
      </c>
      <c r="AO124" s="83">
        <f t="array" ref="AO124">_xlfn.STDEV.P(IF($E$5:$E$53=$E123,AO$5:AO$53))</f>
        <v>4.4597340312712555E-3</v>
      </c>
      <c r="AP124" s="83">
        <f t="array" ref="AP124">_xlfn.STDEV.P(IF($E$5:$E$53=$E123,AP$5:AP$53))</f>
        <v>8.1460681838195093E-3</v>
      </c>
      <c r="AQ124" s="83">
        <f t="array" ref="AQ124">_xlfn.STDEV.P(IF($E$5:$E$53=$E123,AQ$5:AQ$53))</f>
        <v>1.793304835976938E-3</v>
      </c>
      <c r="AR124" s="83" t="e">
        <f t="array" ref="AR124">_xlfn.STDEV.P(IF($E$5:$E$53=$E123,AR$5:AR$53))</f>
        <v>#DIV/0!</v>
      </c>
      <c r="AS124" s="83" t="e">
        <f t="array" ref="AS124">_xlfn.STDEV.P(IF($E$5:$E$53=$E123,AS$5:AS$53))</f>
        <v>#DIV/0!</v>
      </c>
      <c r="AT124" s="83" t="e">
        <f t="array" ref="AT124">_xlfn.STDEV.P(IF($E$5:$E$53=$E123,AT$5:AT$53))</f>
        <v>#DIV/0!</v>
      </c>
      <c r="AU124" s="83" t="e">
        <f t="array" ref="AU124">_xlfn.STDEV.P(IF($E$5:$E$53=$E123,AU$5:AU$53))</f>
        <v>#DIV/0!</v>
      </c>
      <c r="AV124" s="83" t="e">
        <f t="array" ref="AV124">_xlfn.STDEV.P(IF($E$5:$E$53=$E123,AV$5:AV$53))</f>
        <v>#DIV/0!</v>
      </c>
      <c r="AW124" s="83" t="e">
        <f t="array" ref="AW124">_xlfn.STDEV.P(IF($E$5:$E$53=$E123,AW$5:AW$53))</f>
        <v>#DIV/0!</v>
      </c>
      <c r="AX124" s="83" t="e">
        <f t="array" ref="AX124">_xlfn.STDEV.P(IF($E$5:$E$53=$E123,AX$5:AX$53))</f>
        <v>#DIV/0!</v>
      </c>
      <c r="AY124" s="85"/>
    </row>
    <row r="125" spans="1:51" ht="14.25" customHeight="1">
      <c r="A125" s="129"/>
      <c r="E125" s="104"/>
      <c r="H125" s="104"/>
      <c r="I125" s="256"/>
      <c r="J125" s="256"/>
      <c r="K125" s="148" t="s">
        <v>43</v>
      </c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148" t="s">
        <v>43</v>
      </c>
      <c r="AF125" s="82">
        <f>AF123-AF$55</f>
        <v>0</v>
      </c>
      <c r="AG125" s="82">
        <f>AG123-AG$55</f>
        <v>-7.9479099492961502E-2</v>
      </c>
      <c r="AH125" s="82">
        <f t="shared" ref="AH125:AX125" si="72">AH123-AH$55</f>
        <v>-8.7525411126255226E-2</v>
      </c>
      <c r="AI125" s="82">
        <f t="shared" si="72"/>
        <v>-7.6717781077614622E-2</v>
      </c>
      <c r="AJ125" s="82">
        <f t="shared" si="72"/>
        <v>-7.0017910652444448E-2</v>
      </c>
      <c r="AK125" s="82">
        <f t="shared" si="72"/>
        <v>-7.8493808858862923E-2</v>
      </c>
      <c r="AL125" s="82">
        <f t="shared" si="72"/>
        <v>-6.8500429459721124E-2</v>
      </c>
      <c r="AM125" s="82">
        <f t="shared" si="72"/>
        <v>-7.0782096049144816E-2</v>
      </c>
      <c r="AN125" s="82">
        <f t="shared" si="72"/>
        <v>-5.172991625814552E-2</v>
      </c>
      <c r="AO125" s="82">
        <f t="shared" si="72"/>
        <v>-4.7090257225884224E-2</v>
      </c>
      <c r="AP125" s="82">
        <f t="shared" si="72"/>
        <v>-3.354548707426383E-2</v>
      </c>
      <c r="AQ125" s="82">
        <f t="shared" si="72"/>
        <v>-3.5569643972997056E-2</v>
      </c>
      <c r="AR125" s="82" t="e">
        <f t="shared" si="72"/>
        <v>#DIV/0!</v>
      </c>
      <c r="AS125" s="82" t="e">
        <f t="shared" si="72"/>
        <v>#DIV/0!</v>
      </c>
      <c r="AT125" s="82" t="e">
        <f t="shared" si="72"/>
        <v>#DIV/0!</v>
      </c>
      <c r="AU125" s="82" t="e">
        <f t="shared" si="72"/>
        <v>#DIV/0!</v>
      </c>
      <c r="AV125" s="82" t="e">
        <f t="shared" si="72"/>
        <v>#DIV/0!</v>
      </c>
      <c r="AW125" s="82" t="e">
        <f t="shared" si="72"/>
        <v>#DIV/0!</v>
      </c>
      <c r="AX125" s="173" t="e">
        <f t="shared" si="72"/>
        <v>#DIV/0!</v>
      </c>
      <c r="AY125" s="147"/>
    </row>
    <row r="126" spans="1:51" ht="14.25" customHeight="1">
      <c r="A126" s="129"/>
      <c r="E126" s="104"/>
      <c r="H126" s="104"/>
      <c r="I126" s="256"/>
      <c r="J126" s="256"/>
      <c r="K126" s="116" t="s">
        <v>63</v>
      </c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116" t="s">
        <v>63</v>
      </c>
      <c r="AF126" s="82"/>
      <c r="AG126" s="82">
        <f>AF123*EXP((AG$4-AF$4)*-LN(2)/8.091)</f>
        <v>0.91789808441829013</v>
      </c>
      <c r="AH126" s="82">
        <f>AG123*EXP((AH$4-AG$4)*-LN(2)/8.091)</f>
        <v>0.76894170744890089</v>
      </c>
      <c r="AI126" s="82">
        <f t="shared" ref="AI126:AX126" si="73">AH123*EXP((AI$4-AH$4)*-LN(2)/8.091)</f>
        <v>0.63504451128696238</v>
      </c>
      <c r="AJ126" s="82">
        <f t="shared" si="73"/>
        <v>0.53163340369254031</v>
      </c>
      <c r="AK126" s="82">
        <f t="shared" si="73"/>
        <v>0.44262292128581521</v>
      </c>
      <c r="AL126" s="82">
        <f t="shared" si="73"/>
        <v>0.35585241405990897</v>
      </c>
      <c r="AM126" s="82">
        <f t="shared" si="73"/>
        <v>0.29728374483689712</v>
      </c>
      <c r="AN126" s="82">
        <f t="shared" si="73"/>
        <v>0.2390070173562038</v>
      </c>
      <c r="AO126" s="82">
        <f t="shared" si="73"/>
        <v>0.19060231181998136</v>
      </c>
      <c r="AP126" s="82">
        <f t="shared" si="73"/>
        <v>0.15417728527904329</v>
      </c>
      <c r="AQ126" s="82">
        <f t="shared" si="73"/>
        <v>0.13481601924051204</v>
      </c>
      <c r="AR126" s="82" t="e">
        <f t="shared" si="73"/>
        <v>#NUM!</v>
      </c>
      <c r="AS126" s="82" t="e">
        <f t="shared" si="73"/>
        <v>#DIV/0!</v>
      </c>
      <c r="AT126" s="82" t="e">
        <f t="shared" si="73"/>
        <v>#DIV/0!</v>
      </c>
      <c r="AU126" s="82" t="e">
        <f t="shared" si="73"/>
        <v>#DIV/0!</v>
      </c>
      <c r="AV126" s="82" t="e">
        <f t="shared" si="73"/>
        <v>#DIV/0!</v>
      </c>
      <c r="AW126" s="82" t="e">
        <f t="shared" si="73"/>
        <v>#DIV/0!</v>
      </c>
      <c r="AX126" s="173" t="e">
        <f t="shared" si="73"/>
        <v>#DIV/0!</v>
      </c>
      <c r="AY126" s="147"/>
    </row>
    <row r="127" spans="1:51" ht="14.25" customHeight="1">
      <c r="A127" s="129"/>
      <c r="E127" s="104"/>
      <c r="H127" s="104"/>
      <c r="I127" s="256"/>
      <c r="J127" s="256"/>
      <c r="K127" s="116" t="s">
        <v>44</v>
      </c>
      <c r="L127" s="89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116" t="s">
        <v>44</v>
      </c>
      <c r="AF127" s="174"/>
      <c r="AG127" s="83">
        <f>AG123-AG126</f>
        <v>-8.017794914182208E-2</v>
      </c>
      <c r="AH127" s="83">
        <f>AH123-AH126</f>
        <v>-1.5212682313529013E-2</v>
      </c>
      <c r="AI127" s="83">
        <f t="shared" ref="AI127:AX127" si="74">AI123-AI126</f>
        <v>-4.0532658347089967E-3</v>
      </c>
      <c r="AJ127" s="83">
        <f t="shared" si="74"/>
        <v>-6.2879561943356421E-3</v>
      </c>
      <c r="AK127" s="83">
        <f t="shared" si="74"/>
        <v>-2.026466391282461E-2</v>
      </c>
      <c r="AL127" s="83">
        <f t="shared" si="74"/>
        <v>-3.0088208912810721E-3</v>
      </c>
      <c r="AM127" s="83">
        <f t="shared" si="74"/>
        <v>-1.3608312657623911E-2</v>
      </c>
      <c r="AN127" s="83">
        <f t="shared" si="74"/>
        <v>7.4520344741382805E-3</v>
      </c>
      <c r="AO127" s="83">
        <f t="shared" si="74"/>
        <v>-7.6105799555677422E-3</v>
      </c>
      <c r="AP127" s="83">
        <f t="shared" si="74"/>
        <v>5.8347216728052431E-3</v>
      </c>
      <c r="AQ127" s="83">
        <f t="shared" si="74"/>
        <v>-7.554562692358685E-3</v>
      </c>
      <c r="AR127" s="83" t="e">
        <f t="shared" si="74"/>
        <v>#DIV/0!</v>
      </c>
      <c r="AS127" s="83" t="e">
        <f t="shared" si="74"/>
        <v>#DIV/0!</v>
      </c>
      <c r="AT127" s="83" t="e">
        <f t="shared" si="74"/>
        <v>#DIV/0!</v>
      </c>
      <c r="AU127" s="83" t="e">
        <f t="shared" si="74"/>
        <v>#DIV/0!</v>
      </c>
      <c r="AV127" s="83" t="e">
        <f t="shared" si="74"/>
        <v>#DIV/0!</v>
      </c>
      <c r="AW127" s="83" t="e">
        <f t="shared" si="74"/>
        <v>#DIV/0!</v>
      </c>
      <c r="AX127" s="175" t="e">
        <f t="shared" si="74"/>
        <v>#DIV/0!</v>
      </c>
      <c r="AY127" s="147"/>
    </row>
    <row r="128" spans="1:51" ht="14.25" customHeight="1">
      <c r="A128" s="129"/>
      <c r="E128" s="104"/>
      <c r="H128" s="104"/>
      <c r="I128" s="256"/>
      <c r="J128" s="256"/>
      <c r="K128" s="116" t="s">
        <v>64</v>
      </c>
      <c r="L128" s="89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116" t="s">
        <v>64</v>
      </c>
      <c r="AF128" s="174">
        <f>AF123/AF$55</f>
        <v>1</v>
      </c>
      <c r="AG128" s="83">
        <f>AG123/AG$55</f>
        <v>0.91334587243420307</v>
      </c>
      <c r="AH128" s="83">
        <f>AH123/AH$55</f>
        <v>0.89595845519079664</v>
      </c>
      <c r="AI128" s="83">
        <f t="shared" ref="AI128:AX128" si="75">AI123/AI$55</f>
        <v>0.89159700074225801</v>
      </c>
      <c r="AJ128" s="83">
        <f t="shared" si="75"/>
        <v>0.88239465917093385</v>
      </c>
      <c r="AK128" s="83">
        <f t="shared" si="75"/>
        <v>0.84327945485099243</v>
      </c>
      <c r="AL128" s="83">
        <f t="shared" si="75"/>
        <v>0.83742399136834877</v>
      </c>
      <c r="AM128" s="83">
        <f t="shared" si="75"/>
        <v>0.80030866771848697</v>
      </c>
      <c r="AN128" s="83">
        <f t="shared" si="75"/>
        <v>0.82651968451497282</v>
      </c>
      <c r="AO128" s="83">
        <f t="shared" si="75"/>
        <v>0.79533270982196169</v>
      </c>
      <c r="AP128" s="83">
        <f t="shared" si="75"/>
        <v>0.82668980478876064</v>
      </c>
      <c r="AQ128" s="83">
        <f t="shared" si="75"/>
        <v>0.78155497408569774</v>
      </c>
      <c r="AR128" s="83" t="e">
        <f t="shared" si="75"/>
        <v>#DIV/0!</v>
      </c>
      <c r="AS128" s="83" t="e">
        <f t="shared" si="75"/>
        <v>#DIV/0!</v>
      </c>
      <c r="AT128" s="83" t="e">
        <f t="shared" si="75"/>
        <v>#DIV/0!</v>
      </c>
      <c r="AU128" s="83" t="e">
        <f t="shared" si="75"/>
        <v>#DIV/0!</v>
      </c>
      <c r="AV128" s="83" t="e">
        <f t="shared" si="75"/>
        <v>#DIV/0!</v>
      </c>
      <c r="AW128" s="83" t="e">
        <f t="shared" si="75"/>
        <v>#DIV/0!</v>
      </c>
      <c r="AX128" s="175" t="e">
        <f t="shared" si="75"/>
        <v>#DIV/0!</v>
      </c>
      <c r="AY128" s="147"/>
    </row>
    <row r="129" spans="1:51" ht="15">
      <c r="A129" s="129"/>
      <c r="E129" s="58"/>
      <c r="H129" s="58"/>
      <c r="K129" s="150"/>
      <c r="AE129" s="150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176"/>
    </row>
  </sheetData>
  <autoFilter ref="A4:AX53" xr:uid="{00000000-0009-0000-0000-000002000000}">
    <sortState xmlns:xlrd2="http://schemas.microsoft.com/office/spreadsheetml/2017/richdata2" ref="A5:AX54">
      <sortCondition ref="B4:B54"/>
    </sortState>
  </autoFilter>
  <mergeCells count="4">
    <mergeCell ref="F2:G3"/>
    <mergeCell ref="H2:I3"/>
    <mergeCell ref="H55:K55"/>
    <mergeCell ref="H57:H58"/>
  </mergeCells>
  <dataValidations count="1">
    <dataValidation type="list" allowBlank="1" showInputMessage="1" showErrorMessage="1" sqref="E5:E53" xr:uid="{F1A4249B-5DC0-4F6A-BB43-9E6CBDC9F244}">
      <formula1>PTX_DOSE_Groups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E7F995-55CD-4630-9136-1F5F941870F4}">
          <x14:formula1>
            <xm:f>'PTX_DOSE Groups'!$C$6:$C$21</xm:f>
          </x14:formula1>
          <xm:sqref>E60:E129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FD5B4-756B-4C83-8AB1-2A0C3B79D46A}">
  <dimension ref="A1:AZ122"/>
  <sheetViews>
    <sheetView showGridLines="0" workbookViewId="0">
      <pane xSplit="8" ySplit="4" topLeftCell="I5" activePane="bottomRight" state="frozen"/>
      <selection activeCell="AA20" sqref="AA20"/>
      <selection pane="topRight" activeCell="AA20" sqref="AA20"/>
      <selection pane="bottomLeft" activeCell="AA20" sqref="AA20"/>
      <selection pane="bottomRight"/>
    </sheetView>
  </sheetViews>
  <sheetFormatPr defaultRowHeight="12.75" outlineLevelCol="1"/>
  <cols>
    <col min="1" max="1" width="9.85546875" style="60" bestFit="1" customWidth="1"/>
    <col min="2" max="2" width="9.140625" style="50"/>
    <col min="3" max="3" width="17.28515625" style="61" hidden="1" customWidth="1" outlineLevel="1"/>
    <col min="4" max="4" width="22.85546875" style="50" hidden="1" customWidth="1" outlineLevel="1"/>
    <col min="5" max="5" width="22.85546875" style="59" customWidth="1" collapsed="1"/>
    <col min="6" max="6" width="12.7109375" style="62" customWidth="1"/>
    <col min="7" max="7" width="12.7109375" style="63" hidden="1" customWidth="1" outlineLevel="1"/>
    <col min="8" max="8" width="13.85546875" style="62" customWidth="1" collapsed="1"/>
    <col min="9" max="9" width="11.85546875" style="50" customWidth="1"/>
    <col min="10" max="11" width="8.5703125" style="50" customWidth="1"/>
    <col min="12" max="51" width="8.5703125" style="50" customWidth="1" outlineLevel="1"/>
    <col min="52" max="16384" width="9.140625" style="59"/>
  </cols>
  <sheetData>
    <row r="1" spans="1:52" s="7" customFormat="1" ht="28.5">
      <c r="A1" s="6" t="s">
        <v>96</v>
      </c>
      <c r="C1" s="8"/>
      <c r="D1" s="9"/>
      <c r="F1" s="10"/>
      <c r="G1" s="11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s="56" customFormat="1" ht="15.75" customHeight="1">
      <c r="A2" s="274" t="s">
        <v>45</v>
      </c>
      <c r="B2" s="7"/>
      <c r="C2" s="223"/>
      <c r="D2" s="222"/>
      <c r="E2" s="16"/>
      <c r="F2" s="275" t="s">
        <v>14</v>
      </c>
      <c r="G2" s="285"/>
      <c r="H2" s="275" t="s">
        <v>0</v>
      </c>
      <c r="I2" s="17"/>
      <c r="J2" s="274" t="s">
        <v>46</v>
      </c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4"/>
      <c r="AZ2" s="55"/>
    </row>
    <row r="3" spans="1:52" s="72" customFormat="1" ht="15.75">
      <c r="A3" s="226"/>
      <c r="B3" s="227"/>
      <c r="C3" s="228"/>
      <c r="D3" s="227"/>
      <c r="E3" s="68"/>
      <c r="F3" s="275"/>
      <c r="G3" s="285"/>
      <c r="H3" s="275"/>
      <c r="I3" s="69" t="s">
        <v>15</v>
      </c>
      <c r="J3" s="229">
        <v>42468</v>
      </c>
      <c r="K3" s="229">
        <v>42469</v>
      </c>
      <c r="L3" s="229">
        <v>42470</v>
      </c>
      <c r="M3" s="229">
        <v>42472</v>
      </c>
      <c r="N3" s="229">
        <v>42474</v>
      </c>
      <c r="O3" s="229">
        <v>42476</v>
      </c>
      <c r="P3" s="229">
        <v>42478</v>
      </c>
      <c r="Q3" s="229">
        <v>42480</v>
      </c>
      <c r="R3" s="229">
        <v>42482</v>
      </c>
      <c r="S3" s="229">
        <v>42485</v>
      </c>
      <c r="T3" s="229">
        <v>42487</v>
      </c>
      <c r="U3" s="229">
        <v>42489</v>
      </c>
      <c r="V3" s="229">
        <v>42491</v>
      </c>
      <c r="W3" s="229">
        <v>42493</v>
      </c>
      <c r="X3" s="229">
        <v>42495</v>
      </c>
      <c r="Y3" s="229">
        <v>42497</v>
      </c>
      <c r="Z3" s="229">
        <v>42499</v>
      </c>
      <c r="AA3" s="229">
        <v>42501</v>
      </c>
      <c r="AB3" s="229">
        <v>42504</v>
      </c>
      <c r="AC3" s="229">
        <v>42506</v>
      </c>
      <c r="AD3" s="229">
        <v>42509</v>
      </c>
      <c r="AE3" s="229">
        <v>42512</v>
      </c>
      <c r="AF3" s="229">
        <v>42514</v>
      </c>
      <c r="AG3" s="229">
        <v>42517</v>
      </c>
      <c r="AH3" s="229">
        <v>42520</v>
      </c>
      <c r="AI3" s="229">
        <v>42522</v>
      </c>
      <c r="AJ3" s="229">
        <v>42524</v>
      </c>
      <c r="AK3" s="229">
        <v>42527</v>
      </c>
      <c r="AL3" s="229">
        <v>42530</v>
      </c>
      <c r="AM3" s="229">
        <v>42533</v>
      </c>
      <c r="AN3" s="229">
        <v>42538</v>
      </c>
      <c r="AO3" s="229">
        <v>42541</v>
      </c>
      <c r="AP3" s="229">
        <v>42543</v>
      </c>
      <c r="AQ3" s="229">
        <v>42549</v>
      </c>
      <c r="AR3" s="229">
        <v>42551</v>
      </c>
      <c r="AS3" s="229">
        <v>42555</v>
      </c>
      <c r="AT3" s="229">
        <v>42559</v>
      </c>
      <c r="AU3" s="229">
        <v>42564</v>
      </c>
      <c r="AV3" s="229">
        <v>42566</v>
      </c>
      <c r="AW3" s="229"/>
      <c r="AX3" s="229"/>
      <c r="AY3" s="229"/>
      <c r="AZ3" s="71"/>
    </row>
    <row r="4" spans="1:52" s="58" customFormat="1" ht="15.75" customHeight="1">
      <c r="A4" s="230" t="s">
        <v>6</v>
      </c>
      <c r="B4" s="213" t="s">
        <v>7</v>
      </c>
      <c r="C4" s="231" t="s">
        <v>8</v>
      </c>
      <c r="D4" s="230" t="s">
        <v>17</v>
      </c>
      <c r="E4" s="21" t="s">
        <v>11</v>
      </c>
      <c r="F4" s="22" t="s">
        <v>1</v>
      </c>
      <c r="G4" s="232" t="s">
        <v>2</v>
      </c>
      <c r="H4" s="22" t="s">
        <v>1</v>
      </c>
      <c r="I4" s="25" t="s">
        <v>9</v>
      </c>
      <c r="J4" s="213">
        <f>J3-$H5</f>
        <v>0</v>
      </c>
      <c r="K4" s="213">
        <f>K3-$H5</f>
        <v>1</v>
      </c>
      <c r="L4" s="213">
        <f>L3-$H5</f>
        <v>2</v>
      </c>
      <c r="M4" s="213">
        <f t="shared" ref="M4:AY4" si="0">M3-$H5</f>
        <v>4</v>
      </c>
      <c r="N4" s="213">
        <f t="shared" si="0"/>
        <v>6</v>
      </c>
      <c r="O4" s="213">
        <f t="shared" si="0"/>
        <v>8</v>
      </c>
      <c r="P4" s="213">
        <f t="shared" si="0"/>
        <v>10</v>
      </c>
      <c r="Q4" s="213">
        <f t="shared" si="0"/>
        <v>12</v>
      </c>
      <c r="R4" s="213">
        <f t="shared" si="0"/>
        <v>14</v>
      </c>
      <c r="S4" s="213">
        <f t="shared" si="0"/>
        <v>17</v>
      </c>
      <c r="T4" s="213">
        <f t="shared" si="0"/>
        <v>19</v>
      </c>
      <c r="U4" s="213">
        <f t="shared" si="0"/>
        <v>21</v>
      </c>
      <c r="V4" s="213">
        <f t="shared" si="0"/>
        <v>23</v>
      </c>
      <c r="W4" s="213">
        <f t="shared" si="0"/>
        <v>25</v>
      </c>
      <c r="X4" s="213">
        <f t="shared" si="0"/>
        <v>27</v>
      </c>
      <c r="Y4" s="213">
        <f t="shared" si="0"/>
        <v>29</v>
      </c>
      <c r="Z4" s="213">
        <f t="shared" si="0"/>
        <v>31</v>
      </c>
      <c r="AA4" s="213">
        <f t="shared" si="0"/>
        <v>33</v>
      </c>
      <c r="AB4" s="213">
        <f t="shared" si="0"/>
        <v>36</v>
      </c>
      <c r="AC4" s="213">
        <f t="shared" si="0"/>
        <v>38</v>
      </c>
      <c r="AD4" s="213">
        <f t="shared" si="0"/>
        <v>41</v>
      </c>
      <c r="AE4" s="213">
        <f t="shared" si="0"/>
        <v>44</v>
      </c>
      <c r="AF4" s="213">
        <f t="shared" si="0"/>
        <v>46</v>
      </c>
      <c r="AG4" s="213">
        <f t="shared" si="0"/>
        <v>49</v>
      </c>
      <c r="AH4" s="213">
        <f t="shared" si="0"/>
        <v>52</v>
      </c>
      <c r="AI4" s="213">
        <f t="shared" si="0"/>
        <v>54</v>
      </c>
      <c r="AJ4" s="213">
        <f t="shared" si="0"/>
        <v>56</v>
      </c>
      <c r="AK4" s="213">
        <f t="shared" si="0"/>
        <v>59</v>
      </c>
      <c r="AL4" s="213">
        <f t="shared" si="0"/>
        <v>62</v>
      </c>
      <c r="AM4" s="213">
        <f t="shared" si="0"/>
        <v>65</v>
      </c>
      <c r="AN4" s="213">
        <f t="shared" si="0"/>
        <v>70</v>
      </c>
      <c r="AO4" s="213">
        <f t="shared" si="0"/>
        <v>73</v>
      </c>
      <c r="AP4" s="213">
        <f t="shared" si="0"/>
        <v>75</v>
      </c>
      <c r="AQ4" s="213">
        <f t="shared" si="0"/>
        <v>81</v>
      </c>
      <c r="AR4" s="213">
        <f t="shared" si="0"/>
        <v>83</v>
      </c>
      <c r="AS4" s="213">
        <f t="shared" si="0"/>
        <v>87</v>
      </c>
      <c r="AT4" s="213">
        <f t="shared" si="0"/>
        <v>91</v>
      </c>
      <c r="AU4" s="213">
        <f t="shared" si="0"/>
        <v>96</v>
      </c>
      <c r="AV4" s="213">
        <f t="shared" si="0"/>
        <v>98</v>
      </c>
      <c r="AW4" s="213">
        <f t="shared" si="0"/>
        <v>-42468</v>
      </c>
      <c r="AX4" s="213">
        <f t="shared" si="0"/>
        <v>-42468</v>
      </c>
      <c r="AY4" s="213">
        <f t="shared" si="0"/>
        <v>-42468</v>
      </c>
      <c r="AZ4" s="57"/>
    </row>
    <row r="5" spans="1:52">
      <c r="A5" s="27">
        <v>975081</v>
      </c>
      <c r="B5" s="28">
        <v>11</v>
      </c>
      <c r="C5" s="29" t="str">
        <f t="shared" ref="C5:C53" si="1">CONCATENATE(A5,"-",B5)</f>
        <v>975081-11</v>
      </c>
      <c r="D5" s="28" t="s">
        <v>80</v>
      </c>
      <c r="E5" s="30" t="s">
        <v>81</v>
      </c>
      <c r="F5" s="31">
        <v>42458</v>
      </c>
      <c r="G5" s="32"/>
      <c r="H5" s="31">
        <v>42468</v>
      </c>
      <c r="I5" s="138"/>
      <c r="J5" s="87" t="s">
        <v>24</v>
      </c>
      <c r="K5" s="87" t="s">
        <v>24</v>
      </c>
      <c r="L5" s="87" t="s">
        <v>24</v>
      </c>
      <c r="M5" s="87" t="s">
        <v>24</v>
      </c>
      <c r="N5" s="87" t="s">
        <v>24</v>
      </c>
      <c r="O5" s="87" t="s">
        <v>24</v>
      </c>
      <c r="P5" s="87" t="s">
        <v>24</v>
      </c>
      <c r="Q5" s="87" t="s">
        <v>24</v>
      </c>
      <c r="R5" s="87" t="s">
        <v>24</v>
      </c>
      <c r="S5" s="87" t="s">
        <v>24</v>
      </c>
      <c r="T5" s="87" t="s">
        <v>24</v>
      </c>
      <c r="U5" s="87" t="s">
        <v>24</v>
      </c>
      <c r="V5" s="87" t="s">
        <v>24</v>
      </c>
      <c r="W5" s="87" t="s">
        <v>24</v>
      </c>
      <c r="X5" s="87" t="s">
        <v>24</v>
      </c>
      <c r="Y5" s="87" t="s">
        <v>24</v>
      </c>
      <c r="Z5" s="87" t="s">
        <v>24</v>
      </c>
      <c r="AA5" s="87" t="s">
        <v>24</v>
      </c>
      <c r="AB5" s="87" t="s">
        <v>70</v>
      </c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3"/>
    </row>
    <row r="6" spans="1:52">
      <c r="A6" s="27">
        <v>975081</v>
      </c>
      <c r="B6" s="1">
        <v>12</v>
      </c>
      <c r="C6" s="29" t="str">
        <f t="shared" si="1"/>
        <v>975081-12</v>
      </c>
      <c r="D6" s="28" t="s">
        <v>80</v>
      </c>
      <c r="E6" s="37" t="s">
        <v>82</v>
      </c>
      <c r="F6" s="31">
        <v>42458</v>
      </c>
      <c r="G6" s="32"/>
      <c r="H6" s="31">
        <v>42468</v>
      </c>
      <c r="I6" s="138"/>
      <c r="J6" s="87" t="s">
        <v>24</v>
      </c>
      <c r="K6" s="87" t="s">
        <v>24</v>
      </c>
      <c r="L6" s="87" t="s">
        <v>24</v>
      </c>
      <c r="M6" s="87" t="s">
        <v>24</v>
      </c>
      <c r="N6" s="87" t="s">
        <v>24</v>
      </c>
      <c r="O6" s="87" t="s">
        <v>24</v>
      </c>
      <c r="P6" s="87" t="s">
        <v>24</v>
      </c>
      <c r="Q6" s="87" t="s">
        <v>24</v>
      </c>
      <c r="R6" s="87" t="s">
        <v>24</v>
      </c>
      <c r="S6" s="87" t="s">
        <v>24</v>
      </c>
      <c r="T6" s="87" t="s">
        <v>24</v>
      </c>
      <c r="U6" s="87" t="s">
        <v>24</v>
      </c>
      <c r="V6" s="87" t="s">
        <v>24</v>
      </c>
      <c r="W6" s="87" t="s">
        <v>24</v>
      </c>
      <c r="X6" s="87" t="s">
        <v>24</v>
      </c>
      <c r="Y6" s="87" t="s">
        <v>24</v>
      </c>
      <c r="Z6" s="87" t="s">
        <v>24</v>
      </c>
      <c r="AA6" s="87" t="s">
        <v>24</v>
      </c>
      <c r="AB6" s="93" t="s">
        <v>24</v>
      </c>
      <c r="AC6" s="93" t="s">
        <v>24</v>
      </c>
      <c r="AD6" s="93" t="s">
        <v>24</v>
      </c>
      <c r="AE6" s="93" t="s">
        <v>24</v>
      </c>
      <c r="AF6" s="93" t="s">
        <v>24</v>
      </c>
      <c r="AG6" s="93" t="s">
        <v>24</v>
      </c>
      <c r="AH6" s="93" t="s">
        <v>70</v>
      </c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3"/>
    </row>
    <row r="7" spans="1:52">
      <c r="A7" s="27">
        <v>975081</v>
      </c>
      <c r="B7" s="1">
        <v>13</v>
      </c>
      <c r="C7" s="29" t="str">
        <f t="shared" si="1"/>
        <v>975081-13</v>
      </c>
      <c r="D7" s="28" t="s">
        <v>80</v>
      </c>
      <c r="E7" s="37" t="s">
        <v>82</v>
      </c>
      <c r="F7" s="31">
        <v>42458</v>
      </c>
      <c r="G7" s="32"/>
      <c r="H7" s="31">
        <v>42468</v>
      </c>
      <c r="I7" s="138"/>
      <c r="J7" s="87" t="s">
        <v>24</v>
      </c>
      <c r="K7" s="87" t="s">
        <v>24</v>
      </c>
      <c r="L7" s="87" t="s">
        <v>24</v>
      </c>
      <c r="M7" s="87" t="s">
        <v>24</v>
      </c>
      <c r="N7" s="87" t="s">
        <v>24</v>
      </c>
      <c r="O7" s="87" t="s">
        <v>24</v>
      </c>
      <c r="P7" s="87" t="s">
        <v>24</v>
      </c>
      <c r="Q7" s="87" t="s">
        <v>24</v>
      </c>
      <c r="R7" s="87" t="s">
        <v>24</v>
      </c>
      <c r="S7" s="87" t="s">
        <v>24</v>
      </c>
      <c r="T7" s="87" t="s">
        <v>24</v>
      </c>
      <c r="U7" s="87" t="s">
        <v>24</v>
      </c>
      <c r="V7" s="87" t="s">
        <v>24</v>
      </c>
      <c r="W7" s="87" t="s">
        <v>24</v>
      </c>
      <c r="X7" s="87" t="s">
        <v>24</v>
      </c>
      <c r="Y7" s="87" t="s">
        <v>24</v>
      </c>
      <c r="Z7" s="87" t="s">
        <v>24</v>
      </c>
      <c r="AA7" s="87" t="s">
        <v>24</v>
      </c>
      <c r="AB7" s="93" t="s">
        <v>24</v>
      </c>
      <c r="AC7" s="93" t="s">
        <v>24</v>
      </c>
      <c r="AD7" s="93" t="s">
        <v>70</v>
      </c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3"/>
    </row>
    <row r="8" spans="1:52">
      <c r="A8" s="27">
        <v>975081</v>
      </c>
      <c r="B8" s="1">
        <v>14</v>
      </c>
      <c r="C8" s="29" t="str">
        <f t="shared" si="1"/>
        <v>975081-14</v>
      </c>
      <c r="D8" s="28" t="s">
        <v>80</v>
      </c>
      <c r="E8" s="37" t="s">
        <v>34</v>
      </c>
      <c r="F8" s="31">
        <v>42458</v>
      </c>
      <c r="G8" s="32"/>
      <c r="H8" s="31">
        <v>42468</v>
      </c>
      <c r="I8" s="138"/>
      <c r="J8" s="87" t="s">
        <v>24</v>
      </c>
      <c r="K8" s="87" t="s">
        <v>24</v>
      </c>
      <c r="L8" s="87" t="s">
        <v>24</v>
      </c>
      <c r="M8" s="87" t="s">
        <v>24</v>
      </c>
      <c r="N8" s="87" t="s">
        <v>24</v>
      </c>
      <c r="O8" s="87" t="s">
        <v>24</v>
      </c>
      <c r="P8" s="87" t="s">
        <v>24</v>
      </c>
      <c r="Q8" s="87" t="s">
        <v>24</v>
      </c>
      <c r="R8" s="87" t="s">
        <v>24</v>
      </c>
      <c r="S8" s="87" t="s">
        <v>24</v>
      </c>
      <c r="T8" s="87" t="s">
        <v>24</v>
      </c>
      <c r="U8" s="87" t="s">
        <v>70</v>
      </c>
      <c r="V8" s="87"/>
      <c r="W8" s="87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3"/>
    </row>
    <row r="9" spans="1:52">
      <c r="A9" s="27">
        <v>975081</v>
      </c>
      <c r="B9" s="1">
        <v>15</v>
      </c>
      <c r="C9" s="29" t="str">
        <f t="shared" si="1"/>
        <v>975081-15</v>
      </c>
      <c r="D9" s="28" t="s">
        <v>80</v>
      </c>
      <c r="E9" s="37" t="s">
        <v>83</v>
      </c>
      <c r="F9" s="31">
        <v>42458</v>
      </c>
      <c r="G9" s="32"/>
      <c r="H9" s="31">
        <v>42468</v>
      </c>
      <c r="I9" s="138"/>
      <c r="J9" s="87" t="s">
        <v>24</v>
      </c>
      <c r="K9" s="87" t="s">
        <v>24</v>
      </c>
      <c r="L9" s="87" t="s">
        <v>24</v>
      </c>
      <c r="M9" s="87" t="s">
        <v>24</v>
      </c>
      <c r="N9" s="87" t="s">
        <v>24</v>
      </c>
      <c r="O9" s="87" t="s">
        <v>24</v>
      </c>
      <c r="P9" s="87" t="s">
        <v>24</v>
      </c>
      <c r="Q9" s="87" t="s">
        <v>24</v>
      </c>
      <c r="R9" s="87" t="s">
        <v>24</v>
      </c>
      <c r="S9" s="87" t="s">
        <v>24</v>
      </c>
      <c r="T9" s="87" t="s">
        <v>24</v>
      </c>
      <c r="U9" s="87" t="s">
        <v>24</v>
      </c>
      <c r="V9" s="87" t="s">
        <v>24</v>
      </c>
      <c r="W9" s="93" t="s">
        <v>70</v>
      </c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3"/>
    </row>
    <row r="10" spans="1:52">
      <c r="A10" s="41">
        <v>975080</v>
      </c>
      <c r="B10" s="1">
        <v>21</v>
      </c>
      <c r="C10" s="29" t="str">
        <f t="shared" si="1"/>
        <v>975080-21</v>
      </c>
      <c r="D10" s="28" t="s">
        <v>80</v>
      </c>
      <c r="E10" s="37" t="s">
        <v>84</v>
      </c>
      <c r="F10" s="31">
        <v>42458</v>
      </c>
      <c r="G10" s="32"/>
      <c r="H10" s="31">
        <v>42468</v>
      </c>
      <c r="I10" s="138"/>
      <c r="J10" s="87" t="s">
        <v>24</v>
      </c>
      <c r="K10" s="87" t="s">
        <v>24</v>
      </c>
      <c r="L10" s="87" t="s">
        <v>24</v>
      </c>
      <c r="M10" s="87" t="s">
        <v>24</v>
      </c>
      <c r="N10" s="87" t="s">
        <v>24</v>
      </c>
      <c r="O10" s="87" t="s">
        <v>24</v>
      </c>
      <c r="P10" s="87" t="s">
        <v>24</v>
      </c>
      <c r="Q10" s="87" t="s">
        <v>24</v>
      </c>
      <c r="R10" s="87" t="s">
        <v>24</v>
      </c>
      <c r="S10" s="87" t="s">
        <v>24</v>
      </c>
      <c r="T10" s="87" t="s">
        <v>24</v>
      </c>
      <c r="U10" s="87" t="s">
        <v>24</v>
      </c>
      <c r="V10" s="87" t="s">
        <v>24</v>
      </c>
      <c r="W10" s="93" t="s">
        <v>70</v>
      </c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3"/>
    </row>
    <row r="11" spans="1:52">
      <c r="A11" s="41">
        <v>975080</v>
      </c>
      <c r="B11" s="1">
        <v>22</v>
      </c>
      <c r="C11" s="29" t="str">
        <f t="shared" si="1"/>
        <v>975080-22</v>
      </c>
      <c r="D11" s="28" t="s">
        <v>80</v>
      </c>
      <c r="E11" s="37" t="s">
        <v>85</v>
      </c>
      <c r="F11" s="31">
        <v>42458</v>
      </c>
      <c r="G11" s="32"/>
      <c r="H11" s="31">
        <v>42468</v>
      </c>
      <c r="I11" s="138"/>
      <c r="J11" s="87" t="s">
        <v>24</v>
      </c>
      <c r="K11" s="87" t="s">
        <v>24</v>
      </c>
      <c r="L11" s="87" t="s">
        <v>24</v>
      </c>
      <c r="M11" s="87" t="s">
        <v>24</v>
      </c>
      <c r="N11" s="87" t="s">
        <v>24</v>
      </c>
      <c r="O11" s="87" t="s">
        <v>24</v>
      </c>
      <c r="P11" s="87" t="s">
        <v>24</v>
      </c>
      <c r="Q11" s="87" t="s">
        <v>24</v>
      </c>
      <c r="R11" s="87" t="s">
        <v>24</v>
      </c>
      <c r="S11" s="87" t="s">
        <v>24</v>
      </c>
      <c r="T11" s="87" t="s">
        <v>24</v>
      </c>
      <c r="U11" s="87" t="s">
        <v>24</v>
      </c>
      <c r="V11" s="87" t="s">
        <v>70</v>
      </c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3"/>
    </row>
    <row r="12" spans="1:52">
      <c r="A12" s="41">
        <v>975080</v>
      </c>
      <c r="B12" s="1">
        <v>23</v>
      </c>
      <c r="C12" s="29" t="str">
        <f t="shared" si="1"/>
        <v>975080-23</v>
      </c>
      <c r="D12" s="28" t="s">
        <v>80</v>
      </c>
      <c r="E12" s="37" t="s">
        <v>86</v>
      </c>
      <c r="F12" s="31">
        <v>42458</v>
      </c>
      <c r="G12" s="32"/>
      <c r="H12" s="31">
        <v>42468</v>
      </c>
      <c r="I12" s="138"/>
      <c r="J12" s="87" t="s">
        <v>24</v>
      </c>
      <c r="K12" s="87" t="s">
        <v>24</v>
      </c>
      <c r="L12" s="87" t="s">
        <v>24</v>
      </c>
      <c r="M12" s="87" t="s">
        <v>24</v>
      </c>
      <c r="N12" s="87" t="s">
        <v>24</v>
      </c>
      <c r="O12" s="87" t="s">
        <v>24</v>
      </c>
      <c r="P12" s="87" t="s">
        <v>24</v>
      </c>
      <c r="Q12" s="87" t="s">
        <v>24</v>
      </c>
      <c r="R12" s="87" t="s">
        <v>24</v>
      </c>
      <c r="S12" s="87" t="s">
        <v>24</v>
      </c>
      <c r="T12" s="87" t="s">
        <v>24</v>
      </c>
      <c r="U12" s="87" t="s">
        <v>24</v>
      </c>
      <c r="V12" s="87" t="s">
        <v>24</v>
      </c>
      <c r="W12" s="87" t="s">
        <v>24</v>
      </c>
      <c r="X12" s="87" t="s">
        <v>24</v>
      </c>
      <c r="Y12" s="87" t="s">
        <v>24</v>
      </c>
      <c r="Z12" s="87" t="s">
        <v>24</v>
      </c>
      <c r="AA12" s="87" t="s">
        <v>24</v>
      </c>
      <c r="AB12" s="93" t="s">
        <v>70</v>
      </c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3"/>
    </row>
    <row r="13" spans="1:52">
      <c r="A13" s="41">
        <v>975080</v>
      </c>
      <c r="B13" s="1">
        <v>24</v>
      </c>
      <c r="C13" s="29" t="str">
        <f t="shared" si="1"/>
        <v>975080-24</v>
      </c>
      <c r="D13" s="28" t="s">
        <v>80</v>
      </c>
      <c r="E13" s="37" t="s">
        <v>87</v>
      </c>
      <c r="F13" s="31">
        <v>42458</v>
      </c>
      <c r="G13" s="32"/>
      <c r="H13" s="31">
        <v>42468</v>
      </c>
      <c r="I13" s="138"/>
      <c r="J13" s="87" t="s">
        <v>24</v>
      </c>
      <c r="K13" s="87" t="s">
        <v>24</v>
      </c>
      <c r="L13" s="87" t="s">
        <v>24</v>
      </c>
      <c r="M13" s="87" t="s">
        <v>24</v>
      </c>
      <c r="N13" s="87" t="s">
        <v>24</v>
      </c>
      <c r="O13" s="87" t="s">
        <v>24</v>
      </c>
      <c r="P13" s="87" t="s">
        <v>24</v>
      </c>
      <c r="Q13" s="87" t="s">
        <v>24</v>
      </c>
      <c r="R13" s="87" t="s">
        <v>24</v>
      </c>
      <c r="S13" s="87" t="s">
        <v>24</v>
      </c>
      <c r="T13" s="87" t="s">
        <v>24</v>
      </c>
      <c r="U13" s="87" t="s">
        <v>24</v>
      </c>
      <c r="V13" s="87" t="s">
        <v>24</v>
      </c>
      <c r="W13" s="87" t="s">
        <v>24</v>
      </c>
      <c r="X13" s="87" t="s">
        <v>24</v>
      </c>
      <c r="Y13" s="87" t="s">
        <v>24</v>
      </c>
      <c r="Z13" s="87" t="s">
        <v>24</v>
      </c>
      <c r="AA13" s="87" t="s">
        <v>24</v>
      </c>
      <c r="AB13" s="93" t="s">
        <v>24</v>
      </c>
      <c r="AC13" s="93" t="s">
        <v>70</v>
      </c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3"/>
    </row>
    <row r="14" spans="1:52">
      <c r="A14" s="41">
        <v>975080</v>
      </c>
      <c r="B14" s="1">
        <v>25</v>
      </c>
      <c r="C14" s="29" t="str">
        <f t="shared" si="1"/>
        <v>975080-25</v>
      </c>
      <c r="D14" s="28" t="s">
        <v>80</v>
      </c>
      <c r="E14" s="37" t="s">
        <v>88</v>
      </c>
      <c r="F14" s="31">
        <v>42458</v>
      </c>
      <c r="G14" s="32"/>
      <c r="H14" s="31">
        <v>42468</v>
      </c>
      <c r="I14" s="138"/>
      <c r="J14" s="87" t="s">
        <v>24</v>
      </c>
      <c r="K14" s="87" t="s">
        <v>24</v>
      </c>
      <c r="L14" s="87" t="s">
        <v>24</v>
      </c>
      <c r="M14" s="87" t="s">
        <v>24</v>
      </c>
      <c r="N14" s="87" t="s">
        <v>24</v>
      </c>
      <c r="O14" s="87" t="s">
        <v>24</v>
      </c>
      <c r="P14" s="87" t="s">
        <v>24</v>
      </c>
      <c r="Q14" s="87" t="s">
        <v>24</v>
      </c>
      <c r="R14" s="87" t="s">
        <v>24</v>
      </c>
      <c r="S14" s="87" t="s">
        <v>24</v>
      </c>
      <c r="T14" s="87" t="s">
        <v>24</v>
      </c>
      <c r="U14" s="87" t="s">
        <v>24</v>
      </c>
      <c r="V14" s="87" t="s">
        <v>24</v>
      </c>
      <c r="W14" s="93" t="s">
        <v>70</v>
      </c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3"/>
    </row>
    <row r="15" spans="1:52">
      <c r="A15" s="41">
        <v>961180</v>
      </c>
      <c r="B15" s="1">
        <v>31</v>
      </c>
      <c r="C15" s="29" t="str">
        <f t="shared" si="1"/>
        <v>961180-31</v>
      </c>
      <c r="D15" s="28" t="s">
        <v>80</v>
      </c>
      <c r="E15" s="37" t="s">
        <v>83</v>
      </c>
      <c r="F15" s="31">
        <v>42458</v>
      </c>
      <c r="G15" s="32"/>
      <c r="H15" s="31">
        <v>42468</v>
      </c>
      <c r="I15" s="138"/>
      <c r="J15" s="87" t="s">
        <v>24</v>
      </c>
      <c r="K15" s="87" t="s">
        <v>24</v>
      </c>
      <c r="L15" s="87" t="s">
        <v>24</v>
      </c>
      <c r="M15" s="87" t="s">
        <v>24</v>
      </c>
      <c r="N15" s="87" t="s">
        <v>24</v>
      </c>
      <c r="O15" s="87" t="s">
        <v>24</v>
      </c>
      <c r="P15" s="87" t="s">
        <v>24</v>
      </c>
      <c r="Q15" s="87" t="s">
        <v>24</v>
      </c>
      <c r="R15" s="87" t="s">
        <v>24</v>
      </c>
      <c r="S15" s="87" t="s">
        <v>70</v>
      </c>
      <c r="T15" s="87"/>
      <c r="U15" s="87"/>
      <c r="V15" s="87"/>
      <c r="W15" s="87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3"/>
    </row>
    <row r="16" spans="1:52">
      <c r="A16" s="41">
        <v>961180</v>
      </c>
      <c r="B16" s="1">
        <v>32</v>
      </c>
      <c r="C16" s="29" t="str">
        <f t="shared" si="1"/>
        <v>961180-32</v>
      </c>
      <c r="D16" s="28" t="s">
        <v>80</v>
      </c>
      <c r="E16" s="37" t="s">
        <v>34</v>
      </c>
      <c r="F16" s="31">
        <v>42458</v>
      </c>
      <c r="G16" s="32"/>
      <c r="H16" s="31">
        <v>42468</v>
      </c>
      <c r="I16" s="138"/>
      <c r="J16" s="87" t="s">
        <v>24</v>
      </c>
      <c r="K16" s="87" t="s">
        <v>24</v>
      </c>
      <c r="L16" s="87" t="s">
        <v>24</v>
      </c>
      <c r="M16" s="87" t="s">
        <v>24</v>
      </c>
      <c r="N16" s="87" t="s">
        <v>24</v>
      </c>
      <c r="O16" s="87" t="s">
        <v>24</v>
      </c>
      <c r="P16" s="87" t="s">
        <v>24</v>
      </c>
      <c r="Q16" s="87" t="s">
        <v>24</v>
      </c>
      <c r="R16" s="87" t="s">
        <v>24</v>
      </c>
      <c r="S16" s="87" t="s">
        <v>70</v>
      </c>
      <c r="T16" s="87"/>
      <c r="U16" s="87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3"/>
    </row>
    <row r="17" spans="1:52">
      <c r="A17" s="41">
        <v>961180</v>
      </c>
      <c r="B17" s="1">
        <v>33</v>
      </c>
      <c r="C17" s="29" t="str">
        <f t="shared" si="1"/>
        <v>961180-33</v>
      </c>
      <c r="D17" s="28" t="s">
        <v>80</v>
      </c>
      <c r="E17" s="37" t="s">
        <v>86</v>
      </c>
      <c r="F17" s="31">
        <v>42458</v>
      </c>
      <c r="G17" s="32"/>
      <c r="H17" s="31">
        <v>42468</v>
      </c>
      <c r="I17" s="138"/>
      <c r="J17" s="87" t="s">
        <v>24</v>
      </c>
      <c r="K17" s="87" t="s">
        <v>24</v>
      </c>
      <c r="L17" s="87" t="s">
        <v>24</v>
      </c>
      <c r="M17" s="87" t="s">
        <v>24</v>
      </c>
      <c r="N17" s="87" t="s">
        <v>24</v>
      </c>
      <c r="O17" s="87" t="s">
        <v>24</v>
      </c>
      <c r="P17" s="87" t="s">
        <v>24</v>
      </c>
      <c r="Q17" s="87" t="s">
        <v>24</v>
      </c>
      <c r="R17" s="87" t="s">
        <v>24</v>
      </c>
      <c r="S17" s="87" t="s">
        <v>24</v>
      </c>
      <c r="T17" s="87" t="s">
        <v>24</v>
      </c>
      <c r="U17" s="87" t="s">
        <v>24</v>
      </c>
      <c r="V17" s="87" t="s">
        <v>24</v>
      </c>
      <c r="W17" s="87" t="s">
        <v>24</v>
      </c>
      <c r="X17" s="93" t="s">
        <v>70</v>
      </c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3"/>
    </row>
    <row r="18" spans="1:52">
      <c r="A18" s="41">
        <v>961180</v>
      </c>
      <c r="B18" s="1">
        <v>34</v>
      </c>
      <c r="C18" s="29" t="str">
        <f t="shared" si="1"/>
        <v>961180-34</v>
      </c>
      <c r="D18" s="28" t="s">
        <v>80</v>
      </c>
      <c r="E18" s="37" t="s">
        <v>84</v>
      </c>
      <c r="F18" s="31">
        <v>42458</v>
      </c>
      <c r="G18" s="32"/>
      <c r="H18" s="31">
        <v>42468</v>
      </c>
      <c r="I18" s="138"/>
      <c r="J18" s="87" t="s">
        <v>24</v>
      </c>
      <c r="K18" s="87" t="s">
        <v>24</v>
      </c>
      <c r="L18" s="87" t="s">
        <v>24</v>
      </c>
      <c r="M18" s="87" t="s">
        <v>24</v>
      </c>
      <c r="N18" s="87" t="s">
        <v>24</v>
      </c>
      <c r="O18" s="87" t="s">
        <v>24</v>
      </c>
      <c r="P18" s="87" t="s">
        <v>24</v>
      </c>
      <c r="Q18" s="87" t="s">
        <v>24</v>
      </c>
      <c r="R18" s="87" t="s">
        <v>24</v>
      </c>
      <c r="S18" s="87" t="s">
        <v>24</v>
      </c>
      <c r="T18" s="87" t="s">
        <v>24</v>
      </c>
      <c r="U18" s="87" t="s">
        <v>24</v>
      </c>
      <c r="V18" s="87" t="s">
        <v>24</v>
      </c>
      <c r="W18" s="93" t="s">
        <v>70</v>
      </c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3"/>
    </row>
    <row r="19" spans="1:52">
      <c r="A19" s="41">
        <v>961180</v>
      </c>
      <c r="B19" s="1">
        <v>35</v>
      </c>
      <c r="C19" s="29" t="str">
        <f t="shared" si="1"/>
        <v>961180-35</v>
      </c>
      <c r="D19" s="28" t="s">
        <v>80</v>
      </c>
      <c r="E19" s="37" t="s">
        <v>85</v>
      </c>
      <c r="F19" s="31">
        <v>42458</v>
      </c>
      <c r="G19" s="32"/>
      <c r="H19" s="31">
        <v>42468</v>
      </c>
      <c r="I19" s="138"/>
      <c r="J19" s="87" t="s">
        <v>24</v>
      </c>
      <c r="K19" s="87" t="s">
        <v>24</v>
      </c>
      <c r="L19" s="87" t="s">
        <v>24</v>
      </c>
      <c r="M19" s="87" t="s">
        <v>24</v>
      </c>
      <c r="N19" s="87" t="s">
        <v>24</v>
      </c>
      <c r="O19" s="87" t="s">
        <v>24</v>
      </c>
      <c r="P19" s="87" t="s">
        <v>24</v>
      </c>
      <c r="Q19" s="87" t="s">
        <v>24</v>
      </c>
      <c r="R19" s="87" t="s">
        <v>24</v>
      </c>
      <c r="S19" s="87" t="s">
        <v>24</v>
      </c>
      <c r="T19" s="87" t="s">
        <v>24</v>
      </c>
      <c r="U19" s="87" t="s">
        <v>24</v>
      </c>
      <c r="V19" s="87" t="s">
        <v>24</v>
      </c>
      <c r="W19" s="93" t="s">
        <v>70</v>
      </c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3"/>
    </row>
    <row r="20" spans="1:52">
      <c r="A20" s="41">
        <v>961177</v>
      </c>
      <c r="B20" s="1">
        <v>41</v>
      </c>
      <c r="C20" s="29" t="str">
        <f t="shared" si="1"/>
        <v>961177-41</v>
      </c>
      <c r="D20" s="28" t="s">
        <v>80</v>
      </c>
      <c r="E20" s="37" t="s">
        <v>87</v>
      </c>
      <c r="F20" s="31">
        <v>42458</v>
      </c>
      <c r="G20" s="32"/>
      <c r="H20" s="31">
        <v>42468</v>
      </c>
      <c r="I20" s="138"/>
      <c r="J20" s="87" t="s">
        <v>24</v>
      </c>
      <c r="K20" s="87" t="s">
        <v>24</v>
      </c>
      <c r="L20" s="87" t="s">
        <v>24</v>
      </c>
      <c r="M20" s="87" t="s">
        <v>24</v>
      </c>
      <c r="N20" s="87" t="s">
        <v>24</v>
      </c>
      <c r="O20" s="87" t="s">
        <v>24</v>
      </c>
      <c r="P20" s="87" t="s">
        <v>24</v>
      </c>
      <c r="Q20" s="87" t="s">
        <v>24</v>
      </c>
      <c r="R20" s="87" t="s">
        <v>24</v>
      </c>
      <c r="S20" s="87" t="s">
        <v>24</v>
      </c>
      <c r="T20" s="87" t="s">
        <v>24</v>
      </c>
      <c r="U20" s="87" t="s">
        <v>24</v>
      </c>
      <c r="V20" s="87" t="s">
        <v>24</v>
      </c>
      <c r="W20" s="87" t="s">
        <v>24</v>
      </c>
      <c r="X20" s="87" t="s">
        <v>24</v>
      </c>
      <c r="Y20" s="87" t="s">
        <v>24</v>
      </c>
      <c r="Z20" s="87" t="s">
        <v>24</v>
      </c>
      <c r="AA20" s="87" t="s">
        <v>24</v>
      </c>
      <c r="AB20" s="93" t="s">
        <v>70</v>
      </c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3"/>
    </row>
    <row r="21" spans="1:52">
      <c r="A21" s="41">
        <v>961177</v>
      </c>
      <c r="B21" s="1">
        <v>42</v>
      </c>
      <c r="C21" s="29" t="str">
        <f t="shared" si="1"/>
        <v>961177-42</v>
      </c>
      <c r="D21" s="28" t="s">
        <v>80</v>
      </c>
      <c r="E21" s="37" t="s">
        <v>89</v>
      </c>
      <c r="F21" s="31">
        <v>42458</v>
      </c>
      <c r="G21" s="32"/>
      <c r="H21" s="31">
        <v>42468</v>
      </c>
      <c r="I21" s="138"/>
      <c r="J21" s="87" t="s">
        <v>24</v>
      </c>
      <c r="K21" s="87" t="s">
        <v>24</v>
      </c>
      <c r="L21" s="87" t="s">
        <v>24</v>
      </c>
      <c r="M21" s="87" t="s">
        <v>24</v>
      </c>
      <c r="N21" s="87" t="s">
        <v>24</v>
      </c>
      <c r="O21" s="87" t="s">
        <v>24</v>
      </c>
      <c r="P21" s="87" t="s">
        <v>24</v>
      </c>
      <c r="Q21" s="87" t="s">
        <v>24</v>
      </c>
      <c r="R21" s="87" t="s">
        <v>24</v>
      </c>
      <c r="S21" s="87" t="s">
        <v>24</v>
      </c>
      <c r="T21" s="87" t="s">
        <v>24</v>
      </c>
      <c r="U21" s="87" t="s">
        <v>24</v>
      </c>
      <c r="V21" s="87" t="s">
        <v>24</v>
      </c>
      <c r="W21" s="87" t="s">
        <v>24</v>
      </c>
      <c r="X21" s="87" t="s">
        <v>24</v>
      </c>
      <c r="Y21" s="87" t="s">
        <v>24</v>
      </c>
      <c r="Z21" s="87" t="s">
        <v>24</v>
      </c>
      <c r="AA21" s="87" t="s">
        <v>24</v>
      </c>
      <c r="AB21" s="93" t="s">
        <v>24</v>
      </c>
      <c r="AC21" s="93" t="s">
        <v>24</v>
      </c>
      <c r="AD21" s="93" t="s">
        <v>24</v>
      </c>
      <c r="AE21" s="93" t="s">
        <v>24</v>
      </c>
      <c r="AF21" s="93" t="s">
        <v>24</v>
      </c>
      <c r="AG21" s="93" t="s">
        <v>24</v>
      </c>
      <c r="AH21" s="93" t="s">
        <v>24</v>
      </c>
      <c r="AI21" s="93" t="s">
        <v>24</v>
      </c>
      <c r="AJ21" s="93" t="s">
        <v>24</v>
      </c>
      <c r="AK21" s="93" t="s">
        <v>70</v>
      </c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3"/>
    </row>
    <row r="22" spans="1:52">
      <c r="A22" s="41">
        <v>961177</v>
      </c>
      <c r="B22" s="1">
        <v>43</v>
      </c>
      <c r="C22" s="29" t="str">
        <f t="shared" si="1"/>
        <v>961177-43</v>
      </c>
      <c r="D22" s="28" t="s">
        <v>80</v>
      </c>
      <c r="E22" s="37" t="s">
        <v>89</v>
      </c>
      <c r="F22" s="31">
        <v>42458</v>
      </c>
      <c r="G22" s="32"/>
      <c r="H22" s="31">
        <v>42468</v>
      </c>
      <c r="I22" s="138"/>
      <c r="J22" s="87" t="s">
        <v>24</v>
      </c>
      <c r="K22" s="87" t="s">
        <v>24</v>
      </c>
      <c r="L22" s="87" t="s">
        <v>24</v>
      </c>
      <c r="M22" s="87" t="s">
        <v>24</v>
      </c>
      <c r="N22" s="87" t="s">
        <v>24</v>
      </c>
      <c r="O22" s="87" t="s">
        <v>24</v>
      </c>
      <c r="P22" s="87" t="s">
        <v>24</v>
      </c>
      <c r="Q22" s="87" t="s">
        <v>24</v>
      </c>
      <c r="R22" s="87" t="s">
        <v>24</v>
      </c>
      <c r="S22" s="87" t="s">
        <v>24</v>
      </c>
      <c r="T22" s="87" t="s">
        <v>24</v>
      </c>
      <c r="U22" s="87" t="s">
        <v>24</v>
      </c>
      <c r="V22" s="87" t="s">
        <v>24</v>
      </c>
      <c r="W22" s="87" t="s">
        <v>24</v>
      </c>
      <c r="X22" s="87" t="s">
        <v>24</v>
      </c>
      <c r="Y22" s="87" t="s">
        <v>24</v>
      </c>
      <c r="Z22" s="93" t="s">
        <v>70</v>
      </c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3"/>
    </row>
    <row r="23" spans="1:52">
      <c r="A23" s="41">
        <v>961177</v>
      </c>
      <c r="B23" s="1">
        <v>44</v>
      </c>
      <c r="C23" s="29" t="str">
        <f t="shared" si="1"/>
        <v>961177-44</v>
      </c>
      <c r="D23" s="28" t="s">
        <v>80</v>
      </c>
      <c r="E23" s="37" t="s">
        <v>88</v>
      </c>
      <c r="F23" s="31">
        <v>42458</v>
      </c>
      <c r="G23" s="32"/>
      <c r="H23" s="31">
        <v>42468</v>
      </c>
      <c r="I23" s="138"/>
      <c r="J23" s="87" t="s">
        <v>24</v>
      </c>
      <c r="K23" s="87" t="s">
        <v>24</v>
      </c>
      <c r="L23" s="87" t="s">
        <v>24</v>
      </c>
      <c r="M23" s="87" t="s">
        <v>24</v>
      </c>
      <c r="N23" s="87" t="s">
        <v>24</v>
      </c>
      <c r="O23" s="87" t="s">
        <v>24</v>
      </c>
      <c r="P23" s="87" t="s">
        <v>24</v>
      </c>
      <c r="Q23" s="87" t="s">
        <v>24</v>
      </c>
      <c r="R23" s="87" t="s">
        <v>24</v>
      </c>
      <c r="S23" s="87" t="s">
        <v>24</v>
      </c>
      <c r="T23" s="87" t="s">
        <v>24</v>
      </c>
      <c r="U23" s="87" t="s">
        <v>24</v>
      </c>
      <c r="V23" s="87" t="s">
        <v>24</v>
      </c>
      <c r="W23" s="87" t="s">
        <v>70</v>
      </c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3"/>
    </row>
    <row r="24" spans="1:52">
      <c r="A24" s="41">
        <v>961177</v>
      </c>
      <c r="B24" s="1">
        <v>45</v>
      </c>
      <c r="C24" s="29" t="str">
        <f t="shared" si="1"/>
        <v>961177-45</v>
      </c>
      <c r="D24" s="28" t="s">
        <v>80</v>
      </c>
      <c r="E24" s="30" t="s">
        <v>88</v>
      </c>
      <c r="F24" s="31">
        <v>42458</v>
      </c>
      <c r="G24" s="32"/>
      <c r="H24" s="31">
        <v>42468</v>
      </c>
      <c r="I24" s="138"/>
      <c r="J24" s="87" t="s">
        <v>24</v>
      </c>
      <c r="K24" s="87" t="s">
        <v>24</v>
      </c>
      <c r="L24" s="87" t="s">
        <v>24</v>
      </c>
      <c r="M24" s="87" t="s">
        <v>24</v>
      </c>
      <c r="N24" s="87" t="s">
        <v>24</v>
      </c>
      <c r="O24" s="87" t="s">
        <v>24</v>
      </c>
      <c r="P24" s="87" t="s">
        <v>24</v>
      </c>
      <c r="Q24" s="87" t="s">
        <v>24</v>
      </c>
      <c r="R24" s="87" t="s">
        <v>24</v>
      </c>
      <c r="S24" s="87" t="s">
        <v>24</v>
      </c>
      <c r="T24" s="87" t="s">
        <v>24</v>
      </c>
      <c r="U24" s="87" t="s">
        <v>24</v>
      </c>
      <c r="V24" s="87" t="s">
        <v>24</v>
      </c>
      <c r="W24" s="87" t="s">
        <v>24</v>
      </c>
      <c r="X24" s="87" t="s">
        <v>24</v>
      </c>
      <c r="Y24" s="93" t="s">
        <v>70</v>
      </c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3"/>
    </row>
    <row r="25" spans="1:52">
      <c r="A25" s="41">
        <v>961179</v>
      </c>
      <c r="B25" s="1">
        <v>51</v>
      </c>
      <c r="C25" s="29" t="str">
        <f t="shared" si="1"/>
        <v>961179-51</v>
      </c>
      <c r="D25" s="28" t="s">
        <v>80</v>
      </c>
      <c r="E25" s="30" t="s">
        <v>89</v>
      </c>
      <c r="F25" s="31">
        <v>42458</v>
      </c>
      <c r="G25" s="32"/>
      <c r="H25" s="31">
        <v>42468</v>
      </c>
      <c r="I25" s="138"/>
      <c r="J25" s="87" t="s">
        <v>24</v>
      </c>
      <c r="K25" s="87" t="s">
        <v>24</v>
      </c>
      <c r="L25" s="87" t="s">
        <v>24</v>
      </c>
      <c r="M25" s="87" t="s">
        <v>24</v>
      </c>
      <c r="N25" s="87" t="s">
        <v>24</v>
      </c>
      <c r="O25" s="87" t="s">
        <v>24</v>
      </c>
      <c r="P25" s="87" t="s">
        <v>24</v>
      </c>
      <c r="Q25" s="87" t="s">
        <v>24</v>
      </c>
      <c r="R25" s="87" t="s">
        <v>24</v>
      </c>
      <c r="S25" s="87" t="s">
        <v>24</v>
      </c>
      <c r="T25" s="87" t="s">
        <v>24</v>
      </c>
      <c r="U25" s="87" t="s">
        <v>24</v>
      </c>
      <c r="V25" s="87" t="s">
        <v>24</v>
      </c>
      <c r="W25" s="87" t="s">
        <v>24</v>
      </c>
      <c r="X25" s="87" t="s">
        <v>24</v>
      </c>
      <c r="Y25" s="87" t="s">
        <v>24</v>
      </c>
      <c r="Z25" s="87" t="s">
        <v>24</v>
      </c>
      <c r="AA25" s="87" t="s">
        <v>24</v>
      </c>
      <c r="AB25" s="93" t="s">
        <v>24</v>
      </c>
      <c r="AC25" s="93" t="s">
        <v>24</v>
      </c>
      <c r="AD25" s="93" t="s">
        <v>70</v>
      </c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3"/>
    </row>
    <row r="26" spans="1:52">
      <c r="A26" s="41">
        <v>961179</v>
      </c>
      <c r="B26" s="1">
        <v>52</v>
      </c>
      <c r="C26" s="29" t="str">
        <f t="shared" si="1"/>
        <v>961179-52</v>
      </c>
      <c r="D26" s="28" t="s">
        <v>80</v>
      </c>
      <c r="E26" s="37" t="s">
        <v>90</v>
      </c>
      <c r="F26" s="31">
        <v>42458</v>
      </c>
      <c r="G26" s="32"/>
      <c r="H26" s="31">
        <v>42468</v>
      </c>
      <c r="I26" s="138"/>
      <c r="J26" s="87" t="s">
        <v>24</v>
      </c>
      <c r="K26" s="87" t="s">
        <v>24</v>
      </c>
      <c r="L26" s="87" t="s">
        <v>24</v>
      </c>
      <c r="M26" s="87" t="s">
        <v>24</v>
      </c>
      <c r="N26" s="87" t="s">
        <v>24</v>
      </c>
      <c r="O26" s="87" t="s">
        <v>24</v>
      </c>
      <c r="P26" s="87" t="s">
        <v>24</v>
      </c>
      <c r="Q26" s="87" t="s">
        <v>24</v>
      </c>
      <c r="R26" s="87" t="s">
        <v>24</v>
      </c>
      <c r="S26" s="87" t="s">
        <v>24</v>
      </c>
      <c r="T26" s="87" t="s">
        <v>24</v>
      </c>
      <c r="U26" s="87" t="s">
        <v>24</v>
      </c>
      <c r="V26" s="87" t="s">
        <v>24</v>
      </c>
      <c r="W26" s="93" t="s">
        <v>70</v>
      </c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3"/>
    </row>
    <row r="27" spans="1:52">
      <c r="A27" s="41">
        <v>961179</v>
      </c>
      <c r="B27" s="1">
        <v>53</v>
      </c>
      <c r="C27" s="29" t="str">
        <f t="shared" si="1"/>
        <v>961179-53</v>
      </c>
      <c r="D27" s="28" t="s">
        <v>80</v>
      </c>
      <c r="E27" s="37" t="s">
        <v>34</v>
      </c>
      <c r="F27" s="31">
        <v>42458</v>
      </c>
      <c r="G27" s="32"/>
      <c r="H27" s="31">
        <v>42468</v>
      </c>
      <c r="I27" s="138"/>
      <c r="J27" s="87" t="s">
        <v>24</v>
      </c>
      <c r="K27" s="87" t="s">
        <v>24</v>
      </c>
      <c r="L27" s="87" t="s">
        <v>24</v>
      </c>
      <c r="M27" s="87" t="s">
        <v>24</v>
      </c>
      <c r="N27" s="87" t="s">
        <v>24</v>
      </c>
      <c r="O27" s="87" t="s">
        <v>24</v>
      </c>
      <c r="P27" s="87" t="s">
        <v>24</v>
      </c>
      <c r="Q27" s="87" t="s">
        <v>24</v>
      </c>
      <c r="R27" s="87" t="s">
        <v>24</v>
      </c>
      <c r="S27" s="87" t="s">
        <v>24</v>
      </c>
      <c r="T27" s="87" t="s">
        <v>24</v>
      </c>
      <c r="U27" s="87" t="s">
        <v>70</v>
      </c>
      <c r="V27" s="87"/>
      <c r="W27" s="87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3"/>
    </row>
    <row r="28" spans="1:52">
      <c r="A28" s="41">
        <v>961179</v>
      </c>
      <c r="B28" s="1">
        <v>54</v>
      </c>
      <c r="C28" s="29" t="str">
        <f t="shared" si="1"/>
        <v>961179-54</v>
      </c>
      <c r="D28" s="28" t="s">
        <v>80</v>
      </c>
      <c r="E28" s="37" t="s">
        <v>85</v>
      </c>
      <c r="F28" s="31">
        <v>42458</v>
      </c>
      <c r="G28" s="32"/>
      <c r="H28" s="31">
        <v>42468</v>
      </c>
      <c r="I28" s="138"/>
      <c r="J28" s="87" t="s">
        <v>24</v>
      </c>
      <c r="K28" s="87" t="s">
        <v>24</v>
      </c>
      <c r="L28" s="87" t="s">
        <v>24</v>
      </c>
      <c r="M28" s="87" t="s">
        <v>24</v>
      </c>
      <c r="N28" s="87" t="s">
        <v>24</v>
      </c>
      <c r="O28" s="87" t="s">
        <v>24</v>
      </c>
      <c r="P28" s="87" t="s">
        <v>24</v>
      </c>
      <c r="Q28" s="87" t="s">
        <v>24</v>
      </c>
      <c r="R28" s="87" t="s">
        <v>24</v>
      </c>
      <c r="S28" s="87" t="s">
        <v>24</v>
      </c>
      <c r="T28" s="87" t="s">
        <v>24</v>
      </c>
      <c r="U28" s="87" t="s">
        <v>24</v>
      </c>
      <c r="V28" s="87" t="s">
        <v>24</v>
      </c>
      <c r="W28" s="87" t="s">
        <v>70</v>
      </c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3"/>
    </row>
    <row r="29" spans="1:52">
      <c r="A29" s="41">
        <v>961179</v>
      </c>
      <c r="B29" s="1">
        <v>55</v>
      </c>
      <c r="C29" s="29" t="str">
        <f t="shared" si="1"/>
        <v>961179-55</v>
      </c>
      <c r="D29" s="28" t="s">
        <v>80</v>
      </c>
      <c r="E29" s="37" t="s">
        <v>85</v>
      </c>
      <c r="F29" s="31">
        <v>42458</v>
      </c>
      <c r="G29" s="32"/>
      <c r="H29" s="31">
        <v>42468</v>
      </c>
      <c r="I29" s="138"/>
      <c r="J29" s="87" t="s">
        <v>24</v>
      </c>
      <c r="K29" s="87" t="s">
        <v>24</v>
      </c>
      <c r="L29" s="87" t="s">
        <v>24</v>
      </c>
      <c r="M29" s="87" t="s">
        <v>24</v>
      </c>
      <c r="N29" s="87" t="s">
        <v>24</v>
      </c>
      <c r="O29" s="87" t="s">
        <v>24</v>
      </c>
      <c r="P29" s="87" t="s">
        <v>94</v>
      </c>
      <c r="Q29" s="87"/>
      <c r="R29" s="87"/>
      <c r="S29" s="87"/>
      <c r="T29" s="87"/>
      <c r="U29" s="87"/>
      <c r="V29" s="87"/>
      <c r="W29" s="87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3"/>
    </row>
    <row r="30" spans="1:52">
      <c r="A30" s="41">
        <v>961178</v>
      </c>
      <c r="B30" s="1">
        <v>61</v>
      </c>
      <c r="C30" s="29" t="str">
        <f t="shared" si="1"/>
        <v>961178-61</v>
      </c>
      <c r="D30" s="28" t="s">
        <v>80</v>
      </c>
      <c r="E30" s="37" t="s">
        <v>86</v>
      </c>
      <c r="F30" s="31">
        <v>42458</v>
      </c>
      <c r="G30" s="32"/>
      <c r="H30" s="31">
        <v>42468</v>
      </c>
      <c r="I30" s="138"/>
      <c r="J30" s="87" t="s">
        <v>24</v>
      </c>
      <c r="K30" s="87" t="s">
        <v>24</v>
      </c>
      <c r="L30" s="87" t="s">
        <v>24</v>
      </c>
      <c r="M30" s="87" t="s">
        <v>24</v>
      </c>
      <c r="N30" s="87" t="s">
        <v>24</v>
      </c>
      <c r="O30" s="87" t="s">
        <v>24</v>
      </c>
      <c r="P30" s="87" t="s">
        <v>24</v>
      </c>
      <c r="Q30" s="87" t="s">
        <v>24</v>
      </c>
      <c r="R30" s="87" t="s">
        <v>24</v>
      </c>
      <c r="S30" s="87" t="s">
        <v>24</v>
      </c>
      <c r="T30" s="87" t="s">
        <v>24</v>
      </c>
      <c r="U30" s="87" t="s">
        <v>24</v>
      </c>
      <c r="V30" s="87" t="s">
        <v>24</v>
      </c>
      <c r="W30" s="87" t="s">
        <v>24</v>
      </c>
      <c r="X30" s="93" t="s">
        <v>24</v>
      </c>
      <c r="Y30" s="93" t="s">
        <v>24</v>
      </c>
      <c r="Z30" s="93" t="s">
        <v>24</v>
      </c>
      <c r="AA30" s="93" t="s">
        <v>24</v>
      </c>
      <c r="AB30" s="93" t="s">
        <v>24</v>
      </c>
      <c r="AC30" s="93" t="s">
        <v>24</v>
      </c>
      <c r="AD30" s="93" t="s">
        <v>70</v>
      </c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3"/>
    </row>
    <row r="31" spans="1:52">
      <c r="A31" s="41">
        <v>961178</v>
      </c>
      <c r="B31" s="1">
        <v>62</v>
      </c>
      <c r="C31" s="29" t="str">
        <f t="shared" si="1"/>
        <v>961178-62</v>
      </c>
      <c r="D31" s="28" t="s">
        <v>80</v>
      </c>
      <c r="E31" s="37" t="s">
        <v>83</v>
      </c>
      <c r="F31" s="31">
        <v>42458</v>
      </c>
      <c r="G31" s="32"/>
      <c r="H31" s="31">
        <v>42468</v>
      </c>
      <c r="I31" s="138"/>
      <c r="J31" s="87" t="s">
        <v>24</v>
      </c>
      <c r="K31" s="87" t="s">
        <v>24</v>
      </c>
      <c r="L31" s="87" t="s">
        <v>24</v>
      </c>
      <c r="M31" s="87" t="s">
        <v>24</v>
      </c>
      <c r="N31" s="87" t="s">
        <v>24</v>
      </c>
      <c r="O31" s="87" t="s">
        <v>24</v>
      </c>
      <c r="P31" s="87" t="s">
        <v>24</v>
      </c>
      <c r="Q31" s="87" t="s">
        <v>24</v>
      </c>
      <c r="R31" s="87" t="s">
        <v>24</v>
      </c>
      <c r="S31" s="87" t="s">
        <v>24</v>
      </c>
      <c r="T31" s="87" t="s">
        <v>24</v>
      </c>
      <c r="U31" s="87" t="s">
        <v>70</v>
      </c>
      <c r="V31" s="87"/>
      <c r="W31" s="87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3"/>
    </row>
    <row r="32" spans="1:52">
      <c r="A32" s="41">
        <v>961178</v>
      </c>
      <c r="B32" s="1">
        <v>63</v>
      </c>
      <c r="C32" s="29" t="str">
        <f t="shared" si="1"/>
        <v>961178-63</v>
      </c>
      <c r="D32" s="28" t="s">
        <v>80</v>
      </c>
      <c r="E32" s="37" t="s">
        <v>90</v>
      </c>
      <c r="F32" s="31">
        <v>42458</v>
      </c>
      <c r="G32" s="32"/>
      <c r="H32" s="31">
        <v>42468</v>
      </c>
      <c r="I32" s="138"/>
      <c r="J32" s="87" t="s">
        <v>24</v>
      </c>
      <c r="K32" s="87" t="s">
        <v>24</v>
      </c>
      <c r="L32" s="87" t="s">
        <v>24</v>
      </c>
      <c r="M32" s="87" t="s">
        <v>24</v>
      </c>
      <c r="N32" s="87" t="s">
        <v>24</v>
      </c>
      <c r="O32" s="87" t="s">
        <v>24</v>
      </c>
      <c r="P32" s="87" t="s">
        <v>24</v>
      </c>
      <c r="Q32" s="87" t="s">
        <v>24</v>
      </c>
      <c r="R32" s="87" t="s">
        <v>24</v>
      </c>
      <c r="S32" s="87" t="s">
        <v>24</v>
      </c>
      <c r="T32" s="87" t="s">
        <v>24</v>
      </c>
      <c r="U32" s="87" t="s">
        <v>24</v>
      </c>
      <c r="V32" s="87" t="s">
        <v>24</v>
      </c>
      <c r="W32" s="87" t="s">
        <v>24</v>
      </c>
      <c r="X32" s="87" t="s">
        <v>24</v>
      </c>
      <c r="Y32" s="93" t="s">
        <v>70</v>
      </c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3"/>
    </row>
    <row r="33" spans="1:52">
      <c r="A33" s="41">
        <v>961178</v>
      </c>
      <c r="B33" s="1">
        <v>64</v>
      </c>
      <c r="C33" s="29" t="str">
        <f t="shared" si="1"/>
        <v>961178-64</v>
      </c>
      <c r="D33" s="28" t="s">
        <v>80</v>
      </c>
      <c r="E33" s="37" t="s">
        <v>89</v>
      </c>
      <c r="F33" s="31">
        <v>42458</v>
      </c>
      <c r="G33" s="32"/>
      <c r="H33" s="31">
        <v>42468</v>
      </c>
      <c r="I33" s="138"/>
      <c r="J33" s="87" t="s">
        <v>24</v>
      </c>
      <c r="K33" s="87" t="s">
        <v>24</v>
      </c>
      <c r="L33" s="87" t="s">
        <v>24</v>
      </c>
      <c r="M33" s="87" t="s">
        <v>24</v>
      </c>
      <c r="N33" s="87" t="s">
        <v>24</v>
      </c>
      <c r="O33" s="87" t="s">
        <v>24</v>
      </c>
      <c r="P33" s="87" t="s">
        <v>24</v>
      </c>
      <c r="Q33" s="87" t="s">
        <v>24</v>
      </c>
      <c r="R33" s="87" t="s">
        <v>24</v>
      </c>
      <c r="S33" s="87" t="s">
        <v>24</v>
      </c>
      <c r="T33" s="87" t="s">
        <v>24</v>
      </c>
      <c r="U33" s="87" t="s">
        <v>24</v>
      </c>
      <c r="V33" s="87" t="s">
        <v>24</v>
      </c>
      <c r="W33" s="87" t="s">
        <v>24</v>
      </c>
      <c r="X33" s="87" t="s">
        <v>24</v>
      </c>
      <c r="Y33" s="93" t="s">
        <v>24</v>
      </c>
      <c r="Z33" s="93" t="s">
        <v>24</v>
      </c>
      <c r="AA33" s="93" t="s">
        <v>24</v>
      </c>
      <c r="AB33" s="93" t="s">
        <v>24</v>
      </c>
      <c r="AC33" s="93" t="s">
        <v>24</v>
      </c>
      <c r="AD33" s="93" t="s">
        <v>24</v>
      </c>
      <c r="AE33" s="93" t="s">
        <v>24</v>
      </c>
      <c r="AF33" s="93" t="s">
        <v>24</v>
      </c>
      <c r="AG33" s="93" t="s">
        <v>24</v>
      </c>
      <c r="AH33" s="93" t="s">
        <v>24</v>
      </c>
      <c r="AI33" s="93" t="s">
        <v>24</v>
      </c>
      <c r="AJ33" s="93" t="s">
        <v>70</v>
      </c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3"/>
    </row>
    <row r="34" spans="1:52">
      <c r="A34" s="41">
        <v>961178</v>
      </c>
      <c r="B34" s="1">
        <v>65</v>
      </c>
      <c r="C34" s="29" t="str">
        <f t="shared" si="1"/>
        <v>961178-65</v>
      </c>
      <c r="D34" s="28" t="s">
        <v>80</v>
      </c>
      <c r="E34" s="37" t="s">
        <v>83</v>
      </c>
      <c r="F34" s="31">
        <v>42458</v>
      </c>
      <c r="G34" s="32"/>
      <c r="H34" s="31">
        <v>42468</v>
      </c>
      <c r="I34" s="138"/>
      <c r="J34" s="87" t="s">
        <v>24</v>
      </c>
      <c r="K34" s="87" t="s">
        <v>24</v>
      </c>
      <c r="L34" s="87" t="s">
        <v>24</v>
      </c>
      <c r="M34" s="87" t="s">
        <v>24</v>
      </c>
      <c r="N34" s="87" t="s">
        <v>24</v>
      </c>
      <c r="O34" s="87" t="s">
        <v>24</v>
      </c>
      <c r="P34" s="87" t="s">
        <v>24</v>
      </c>
      <c r="Q34" s="87" t="s">
        <v>24</v>
      </c>
      <c r="R34" s="87" t="s">
        <v>24</v>
      </c>
      <c r="S34" s="87" t="s">
        <v>24</v>
      </c>
      <c r="T34" s="87" t="s">
        <v>24</v>
      </c>
      <c r="U34" s="87" t="s">
        <v>70</v>
      </c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3"/>
    </row>
    <row r="35" spans="1:52">
      <c r="A35" s="41">
        <v>975075</v>
      </c>
      <c r="B35" s="1">
        <v>71</v>
      </c>
      <c r="C35" s="29" t="str">
        <f t="shared" si="1"/>
        <v>975075-71</v>
      </c>
      <c r="D35" s="28" t="s">
        <v>80</v>
      </c>
      <c r="E35" s="37" t="s">
        <v>87</v>
      </c>
      <c r="F35" s="31">
        <v>42458</v>
      </c>
      <c r="G35" s="32"/>
      <c r="H35" s="31">
        <v>42468</v>
      </c>
      <c r="I35" s="138"/>
      <c r="J35" s="87" t="s">
        <v>24</v>
      </c>
      <c r="K35" s="87" t="s">
        <v>24</v>
      </c>
      <c r="L35" s="87" t="s">
        <v>24</v>
      </c>
      <c r="M35" s="87" t="s">
        <v>24</v>
      </c>
      <c r="N35" s="87" t="s">
        <v>24</v>
      </c>
      <c r="O35" s="87" t="s">
        <v>24</v>
      </c>
      <c r="P35" s="87" t="s">
        <v>24</v>
      </c>
      <c r="Q35" s="87" t="s">
        <v>24</v>
      </c>
      <c r="R35" s="87" t="s">
        <v>24</v>
      </c>
      <c r="S35" s="87" t="s">
        <v>24</v>
      </c>
      <c r="T35" s="87" t="s">
        <v>24</v>
      </c>
      <c r="U35" s="87" t="s">
        <v>24</v>
      </c>
      <c r="V35" s="87" t="s">
        <v>24</v>
      </c>
      <c r="W35" s="87" t="s">
        <v>24</v>
      </c>
      <c r="X35" s="87" t="s">
        <v>24</v>
      </c>
      <c r="Y35" s="87" t="s">
        <v>24</v>
      </c>
      <c r="Z35" s="87" t="s">
        <v>24</v>
      </c>
      <c r="AA35" s="87" t="s">
        <v>24</v>
      </c>
      <c r="AB35" s="93" t="s">
        <v>24</v>
      </c>
      <c r="AC35" s="93" t="s">
        <v>24</v>
      </c>
      <c r="AD35" s="93" t="s">
        <v>24</v>
      </c>
      <c r="AE35" s="93" t="s">
        <v>24</v>
      </c>
      <c r="AF35" s="93" t="s">
        <v>24</v>
      </c>
      <c r="AG35" s="93" t="s">
        <v>24</v>
      </c>
      <c r="AH35" s="93" t="s">
        <v>24</v>
      </c>
      <c r="AI35" s="93" t="s">
        <v>24</v>
      </c>
      <c r="AJ35" s="93" t="s">
        <v>24</v>
      </c>
      <c r="AK35" s="93" t="s">
        <v>24</v>
      </c>
      <c r="AL35" s="93" t="s">
        <v>24</v>
      </c>
      <c r="AM35" s="93" t="s">
        <v>24</v>
      </c>
      <c r="AN35" s="93" t="s">
        <v>24</v>
      </c>
      <c r="AO35" s="93" t="s">
        <v>24</v>
      </c>
      <c r="AP35" s="93" t="s">
        <v>24</v>
      </c>
      <c r="AQ35" s="93" t="s">
        <v>24</v>
      </c>
      <c r="AR35" s="93" t="s">
        <v>24</v>
      </c>
      <c r="AS35" s="93" t="s">
        <v>24</v>
      </c>
      <c r="AT35" s="93" t="s">
        <v>24</v>
      </c>
      <c r="AU35" s="93" t="s">
        <v>70</v>
      </c>
      <c r="AV35" s="93"/>
      <c r="AW35" s="93"/>
      <c r="AX35" s="93"/>
      <c r="AY35" s="93"/>
      <c r="AZ35" s="3"/>
    </row>
    <row r="36" spans="1:52">
      <c r="A36" s="41">
        <v>975075</v>
      </c>
      <c r="B36" s="1">
        <v>72</v>
      </c>
      <c r="C36" s="29" t="str">
        <f t="shared" si="1"/>
        <v>975075-72</v>
      </c>
      <c r="D36" s="28" t="s">
        <v>80</v>
      </c>
      <c r="E36" s="37" t="s">
        <v>90</v>
      </c>
      <c r="F36" s="31">
        <v>42458</v>
      </c>
      <c r="G36" s="32"/>
      <c r="H36" s="31">
        <v>42468</v>
      </c>
      <c r="I36" s="138"/>
      <c r="J36" s="87" t="s">
        <v>24</v>
      </c>
      <c r="K36" s="87" t="s">
        <v>24</v>
      </c>
      <c r="L36" s="87" t="s">
        <v>24</v>
      </c>
      <c r="M36" s="87" t="s">
        <v>24</v>
      </c>
      <c r="N36" s="87" t="s">
        <v>24</v>
      </c>
      <c r="O36" s="87" t="s">
        <v>24</v>
      </c>
      <c r="P36" s="87" t="s">
        <v>24</v>
      </c>
      <c r="Q36" s="87" t="s">
        <v>24</v>
      </c>
      <c r="R36" s="87" t="s">
        <v>24</v>
      </c>
      <c r="S36" s="87" t="s">
        <v>24</v>
      </c>
      <c r="T36" s="87" t="s">
        <v>24</v>
      </c>
      <c r="U36" s="87" t="s">
        <v>24</v>
      </c>
      <c r="V36" s="87" t="s">
        <v>24</v>
      </c>
      <c r="W36" s="87" t="s">
        <v>24</v>
      </c>
      <c r="X36" s="87" t="s">
        <v>24</v>
      </c>
      <c r="Y36" s="87" t="s">
        <v>24</v>
      </c>
      <c r="Z36" s="87" t="s">
        <v>24</v>
      </c>
      <c r="AA36" s="87" t="s">
        <v>24</v>
      </c>
      <c r="AB36" s="93" t="s">
        <v>70</v>
      </c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3"/>
    </row>
    <row r="37" spans="1:52">
      <c r="A37" s="41">
        <v>975075</v>
      </c>
      <c r="B37" s="1">
        <v>73</v>
      </c>
      <c r="C37" s="29" t="str">
        <f t="shared" si="1"/>
        <v>975075-73</v>
      </c>
      <c r="D37" s="28" t="s">
        <v>80</v>
      </c>
      <c r="E37" s="37" t="s">
        <v>87</v>
      </c>
      <c r="F37" s="31">
        <v>42458</v>
      </c>
      <c r="G37" s="32"/>
      <c r="H37" s="31">
        <v>42468</v>
      </c>
      <c r="I37" s="138"/>
      <c r="J37" s="87" t="s">
        <v>24</v>
      </c>
      <c r="K37" s="87" t="s">
        <v>24</v>
      </c>
      <c r="L37" s="87" t="s">
        <v>24</v>
      </c>
      <c r="M37" s="87" t="s">
        <v>24</v>
      </c>
      <c r="N37" s="87" t="s">
        <v>24</v>
      </c>
      <c r="O37" s="87" t="s">
        <v>24</v>
      </c>
      <c r="P37" s="87" t="s">
        <v>24</v>
      </c>
      <c r="Q37" s="87" t="s">
        <v>24</v>
      </c>
      <c r="R37" s="87" t="s">
        <v>24</v>
      </c>
      <c r="S37" s="87" t="s">
        <v>24</v>
      </c>
      <c r="T37" s="87" t="s">
        <v>24</v>
      </c>
      <c r="U37" s="87" t="s">
        <v>24</v>
      </c>
      <c r="V37" s="87" t="s">
        <v>24</v>
      </c>
      <c r="W37" s="87" t="s">
        <v>24</v>
      </c>
      <c r="X37" s="87" t="s">
        <v>24</v>
      </c>
      <c r="Y37" s="87" t="s">
        <v>24</v>
      </c>
      <c r="Z37" s="87" t="s">
        <v>24</v>
      </c>
      <c r="AA37" s="87" t="s">
        <v>24</v>
      </c>
      <c r="AB37" s="93" t="s">
        <v>24</v>
      </c>
      <c r="AC37" s="93" t="s">
        <v>24</v>
      </c>
      <c r="AD37" s="93" t="s">
        <v>24</v>
      </c>
      <c r="AE37" s="93" t="s">
        <v>24</v>
      </c>
      <c r="AF37" s="93" t="s">
        <v>24</v>
      </c>
      <c r="AG37" s="93" t="s">
        <v>24</v>
      </c>
      <c r="AH37" s="93" t="s">
        <v>24</v>
      </c>
      <c r="AI37" s="93" t="s">
        <v>24</v>
      </c>
      <c r="AJ37" s="93" t="s">
        <v>24</v>
      </c>
      <c r="AK37" s="93" t="s">
        <v>24</v>
      </c>
      <c r="AL37" s="93" t="s">
        <v>24</v>
      </c>
      <c r="AM37" s="93" t="s">
        <v>24</v>
      </c>
      <c r="AN37" s="93" t="s">
        <v>24</v>
      </c>
      <c r="AO37" s="93" t="s">
        <v>24</v>
      </c>
      <c r="AP37" s="93" t="s">
        <v>24</v>
      </c>
      <c r="AQ37" s="93" t="s">
        <v>24</v>
      </c>
      <c r="AR37" s="93" t="s">
        <v>24</v>
      </c>
      <c r="AS37" s="93" t="s">
        <v>24</v>
      </c>
      <c r="AT37" s="93" t="s">
        <v>24</v>
      </c>
      <c r="AU37" s="93" t="s">
        <v>24</v>
      </c>
      <c r="AV37" s="93" t="s">
        <v>70</v>
      </c>
      <c r="AW37" s="93"/>
      <c r="AX37" s="93"/>
      <c r="AY37" s="93"/>
      <c r="AZ37" s="3"/>
    </row>
    <row r="38" spans="1:52">
      <c r="A38" s="41">
        <v>975075</v>
      </c>
      <c r="B38" s="1">
        <v>74</v>
      </c>
      <c r="C38" s="29" t="str">
        <f t="shared" si="1"/>
        <v>975075-74</v>
      </c>
      <c r="D38" s="28" t="s">
        <v>80</v>
      </c>
      <c r="E38" s="37" t="s">
        <v>83</v>
      </c>
      <c r="F38" s="31">
        <v>42458</v>
      </c>
      <c r="G38" s="32"/>
      <c r="H38" s="31">
        <v>42468</v>
      </c>
      <c r="I38" s="138"/>
      <c r="J38" s="87" t="s">
        <v>24</v>
      </c>
      <c r="K38" s="87" t="s">
        <v>24</v>
      </c>
      <c r="L38" s="87" t="s">
        <v>24</v>
      </c>
      <c r="M38" s="87" t="s">
        <v>24</v>
      </c>
      <c r="N38" s="87" t="s">
        <v>24</v>
      </c>
      <c r="O38" s="87" t="s">
        <v>24</v>
      </c>
      <c r="P38" s="87" t="s">
        <v>24</v>
      </c>
      <c r="Q38" s="87" t="s">
        <v>24</v>
      </c>
      <c r="R38" s="87" t="s">
        <v>24</v>
      </c>
      <c r="S38" s="87" t="s">
        <v>24</v>
      </c>
      <c r="T38" s="87" t="s">
        <v>70</v>
      </c>
      <c r="U38" s="87"/>
      <c r="V38" s="87"/>
      <c r="W38" s="87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3"/>
    </row>
    <row r="39" spans="1:52">
      <c r="A39" s="41">
        <v>975075</v>
      </c>
      <c r="B39" s="1">
        <v>75</v>
      </c>
      <c r="C39" s="29" t="str">
        <f t="shared" si="1"/>
        <v>975075-75</v>
      </c>
      <c r="D39" s="28" t="s">
        <v>80</v>
      </c>
      <c r="E39" s="37" t="s">
        <v>83</v>
      </c>
      <c r="F39" s="31">
        <v>42458</v>
      </c>
      <c r="G39" s="32"/>
      <c r="H39" s="31">
        <v>42468</v>
      </c>
      <c r="I39" s="138"/>
      <c r="J39" s="87" t="s">
        <v>24</v>
      </c>
      <c r="K39" s="87" t="s">
        <v>24</v>
      </c>
      <c r="L39" s="87" t="s">
        <v>24</v>
      </c>
      <c r="M39" s="87" t="s">
        <v>24</v>
      </c>
      <c r="N39" s="87" t="s">
        <v>24</v>
      </c>
      <c r="O39" s="87" t="s">
        <v>24</v>
      </c>
      <c r="P39" s="87" t="s">
        <v>24</v>
      </c>
      <c r="Q39" s="87" t="s">
        <v>24</v>
      </c>
      <c r="R39" s="87" t="s">
        <v>24</v>
      </c>
      <c r="S39" s="87" t="s">
        <v>24</v>
      </c>
      <c r="T39" s="87" t="s">
        <v>24</v>
      </c>
      <c r="U39" s="93" t="s">
        <v>70</v>
      </c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3"/>
    </row>
    <row r="40" spans="1:52">
      <c r="A40" s="41">
        <v>975074</v>
      </c>
      <c r="B40" s="1">
        <v>81</v>
      </c>
      <c r="C40" s="29" t="str">
        <f t="shared" si="1"/>
        <v>975074-81</v>
      </c>
      <c r="D40" s="28" t="s">
        <v>80</v>
      </c>
      <c r="E40" s="37" t="s">
        <v>84</v>
      </c>
      <c r="F40" s="31">
        <v>42458</v>
      </c>
      <c r="G40" s="32"/>
      <c r="H40" s="31">
        <v>42468</v>
      </c>
      <c r="I40" s="138"/>
      <c r="J40" s="87" t="s">
        <v>24</v>
      </c>
      <c r="K40" s="87" t="s">
        <v>24</v>
      </c>
      <c r="L40" s="87" t="s">
        <v>24</v>
      </c>
      <c r="M40" s="87" t="s">
        <v>24</v>
      </c>
      <c r="N40" s="87" t="s">
        <v>24</v>
      </c>
      <c r="O40" s="87" t="s">
        <v>24</v>
      </c>
      <c r="P40" s="87" t="s">
        <v>24</v>
      </c>
      <c r="Q40" s="87" t="s">
        <v>24</v>
      </c>
      <c r="R40" s="87" t="s">
        <v>24</v>
      </c>
      <c r="S40" s="87" t="s">
        <v>24</v>
      </c>
      <c r="T40" s="87" t="s">
        <v>24</v>
      </c>
      <c r="U40" s="87" t="s">
        <v>24</v>
      </c>
      <c r="V40" s="87" t="s">
        <v>70</v>
      </c>
      <c r="W40" s="87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3"/>
    </row>
    <row r="41" spans="1:52">
      <c r="A41" s="41">
        <v>975074</v>
      </c>
      <c r="B41" s="1">
        <v>82</v>
      </c>
      <c r="C41" s="29" t="str">
        <f t="shared" si="1"/>
        <v>975074-82</v>
      </c>
      <c r="D41" s="28" t="s">
        <v>80</v>
      </c>
      <c r="E41" s="37" t="s">
        <v>84</v>
      </c>
      <c r="F41" s="31">
        <v>42458</v>
      </c>
      <c r="G41" s="32"/>
      <c r="H41" s="31">
        <v>42468</v>
      </c>
      <c r="I41" s="138"/>
      <c r="J41" s="87" t="s">
        <v>24</v>
      </c>
      <c r="K41" s="87" t="s">
        <v>24</v>
      </c>
      <c r="L41" s="87" t="s">
        <v>24</v>
      </c>
      <c r="M41" s="87" t="s">
        <v>24</v>
      </c>
      <c r="N41" s="87" t="s">
        <v>24</v>
      </c>
      <c r="O41" s="87" t="s">
        <v>24</v>
      </c>
      <c r="P41" s="87" t="s">
        <v>24</v>
      </c>
      <c r="Q41" s="87" t="s">
        <v>24</v>
      </c>
      <c r="R41" s="87" t="s">
        <v>24</v>
      </c>
      <c r="S41" s="87" t="s">
        <v>24</v>
      </c>
      <c r="T41" s="87" t="s">
        <v>24</v>
      </c>
      <c r="U41" s="87" t="s">
        <v>24</v>
      </c>
      <c r="V41" s="93" t="s">
        <v>70</v>
      </c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3"/>
    </row>
    <row r="42" spans="1:52">
      <c r="A42" s="41">
        <v>975074</v>
      </c>
      <c r="B42" s="1">
        <v>83</v>
      </c>
      <c r="C42" s="29" t="str">
        <f t="shared" si="1"/>
        <v>975074-83</v>
      </c>
      <c r="D42" s="28" t="s">
        <v>80</v>
      </c>
      <c r="E42" s="37" t="s">
        <v>90</v>
      </c>
      <c r="F42" s="31">
        <v>42458</v>
      </c>
      <c r="G42" s="32"/>
      <c r="H42" s="31">
        <v>42468</v>
      </c>
      <c r="I42" s="138"/>
      <c r="J42" s="87" t="s">
        <v>24</v>
      </c>
      <c r="K42" s="87" t="s">
        <v>24</v>
      </c>
      <c r="L42" s="87" t="s">
        <v>24</v>
      </c>
      <c r="M42" s="87" t="s">
        <v>24</v>
      </c>
      <c r="N42" s="87" t="s">
        <v>24</v>
      </c>
      <c r="O42" s="87" t="s">
        <v>24</v>
      </c>
      <c r="P42" s="87" t="s">
        <v>24</v>
      </c>
      <c r="Q42" s="87" t="s">
        <v>24</v>
      </c>
      <c r="R42" s="87" t="s">
        <v>24</v>
      </c>
      <c r="S42" s="87" t="s">
        <v>24</v>
      </c>
      <c r="T42" s="87" t="s">
        <v>24</v>
      </c>
      <c r="U42" s="87" t="s">
        <v>24</v>
      </c>
      <c r="V42" s="87" t="s">
        <v>24</v>
      </c>
      <c r="W42" s="87" t="s">
        <v>24</v>
      </c>
      <c r="X42" s="87" t="s">
        <v>24</v>
      </c>
      <c r="Y42" s="93" t="s">
        <v>94</v>
      </c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3"/>
    </row>
    <row r="43" spans="1:52">
      <c r="A43" s="41">
        <v>975074</v>
      </c>
      <c r="B43" s="1">
        <v>84</v>
      </c>
      <c r="C43" s="29" t="str">
        <f t="shared" si="1"/>
        <v>975074-84</v>
      </c>
      <c r="D43" s="28" t="s">
        <v>80</v>
      </c>
      <c r="E43" s="37" t="s">
        <v>86</v>
      </c>
      <c r="F43" s="31">
        <v>42458</v>
      </c>
      <c r="G43" s="32"/>
      <c r="H43" s="31">
        <v>42468</v>
      </c>
      <c r="I43" s="138"/>
      <c r="J43" s="87" t="s">
        <v>24</v>
      </c>
      <c r="K43" s="87" t="s">
        <v>24</v>
      </c>
      <c r="L43" s="87" t="s">
        <v>24</v>
      </c>
      <c r="M43" s="87" t="s">
        <v>24</v>
      </c>
      <c r="N43" s="87" t="s">
        <v>24</v>
      </c>
      <c r="O43" s="87" t="s">
        <v>24</v>
      </c>
      <c r="P43" s="87" t="s">
        <v>24</v>
      </c>
      <c r="Q43" s="87" t="s">
        <v>24</v>
      </c>
      <c r="R43" s="87" t="s">
        <v>24</v>
      </c>
      <c r="S43" s="87" t="s">
        <v>24</v>
      </c>
      <c r="T43" s="87" t="s">
        <v>24</v>
      </c>
      <c r="U43" s="87" t="s">
        <v>24</v>
      </c>
      <c r="V43" s="87" t="s">
        <v>24</v>
      </c>
      <c r="W43" s="93" t="s">
        <v>24</v>
      </c>
      <c r="X43" s="93" t="s">
        <v>24</v>
      </c>
      <c r="Y43" s="93" t="s">
        <v>94</v>
      </c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3"/>
    </row>
    <row r="44" spans="1:52">
      <c r="A44" s="41">
        <v>975074</v>
      </c>
      <c r="B44" s="1">
        <v>85</v>
      </c>
      <c r="C44" s="29" t="str">
        <f t="shared" si="1"/>
        <v>975074-85</v>
      </c>
      <c r="D44" s="28" t="s">
        <v>80</v>
      </c>
      <c r="E44" s="30" t="s">
        <v>34</v>
      </c>
      <c r="F44" s="31">
        <v>42458</v>
      </c>
      <c r="G44" s="32"/>
      <c r="H44" s="31">
        <v>42468</v>
      </c>
      <c r="I44" s="138"/>
      <c r="J44" s="87" t="s">
        <v>24</v>
      </c>
      <c r="K44" s="87" t="s">
        <v>24</v>
      </c>
      <c r="L44" s="87" t="s">
        <v>24</v>
      </c>
      <c r="M44" s="87" t="s">
        <v>24</v>
      </c>
      <c r="N44" s="87" t="s">
        <v>24</v>
      </c>
      <c r="O44" s="87" t="s">
        <v>24</v>
      </c>
      <c r="P44" s="87" t="s">
        <v>24</v>
      </c>
      <c r="Q44" s="87" t="s">
        <v>24</v>
      </c>
      <c r="R44" s="87" t="s">
        <v>24</v>
      </c>
      <c r="S44" s="87" t="s">
        <v>24</v>
      </c>
      <c r="T44" s="87" t="s">
        <v>24</v>
      </c>
      <c r="U44" s="87" t="s">
        <v>24</v>
      </c>
      <c r="V44" s="87" t="s">
        <v>24</v>
      </c>
      <c r="W44" s="93" t="s">
        <v>70</v>
      </c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3"/>
    </row>
    <row r="45" spans="1:52">
      <c r="A45" s="41">
        <v>975073</v>
      </c>
      <c r="B45" s="1">
        <v>91</v>
      </c>
      <c r="C45" s="29" t="str">
        <f t="shared" si="1"/>
        <v>975073-91</v>
      </c>
      <c r="D45" s="28" t="s">
        <v>80</v>
      </c>
      <c r="E45" s="37" t="s">
        <v>82</v>
      </c>
      <c r="F45" s="31">
        <v>42458</v>
      </c>
      <c r="G45" s="32"/>
      <c r="H45" s="31">
        <v>42468</v>
      </c>
      <c r="I45" s="138"/>
      <c r="J45" s="87" t="s">
        <v>24</v>
      </c>
      <c r="K45" s="87" t="s">
        <v>24</v>
      </c>
      <c r="L45" s="87" t="s">
        <v>24</v>
      </c>
      <c r="M45" s="87" t="s">
        <v>24</v>
      </c>
      <c r="N45" s="87" t="s">
        <v>24</v>
      </c>
      <c r="O45" s="87" t="s">
        <v>24</v>
      </c>
      <c r="P45" s="87" t="s">
        <v>24</v>
      </c>
      <c r="Q45" s="87" t="s">
        <v>24</v>
      </c>
      <c r="R45" s="87" t="s">
        <v>24</v>
      </c>
      <c r="S45" s="87" t="s">
        <v>24</v>
      </c>
      <c r="T45" s="87" t="s">
        <v>24</v>
      </c>
      <c r="U45" s="87" t="s">
        <v>24</v>
      </c>
      <c r="V45" s="87" t="s">
        <v>24</v>
      </c>
      <c r="W45" s="93" t="s">
        <v>24</v>
      </c>
      <c r="X45" s="93" t="s">
        <v>24</v>
      </c>
      <c r="Y45" s="93" t="s">
        <v>24</v>
      </c>
      <c r="Z45" s="93" t="s">
        <v>24</v>
      </c>
      <c r="AA45" s="93" t="s">
        <v>24</v>
      </c>
      <c r="AB45" s="93" t="s">
        <v>24</v>
      </c>
      <c r="AC45" s="93" t="s">
        <v>24</v>
      </c>
      <c r="AD45" s="93" t="s">
        <v>24</v>
      </c>
      <c r="AE45" s="93" t="s">
        <v>70</v>
      </c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3"/>
    </row>
    <row r="46" spans="1:52">
      <c r="A46" s="41">
        <v>975073</v>
      </c>
      <c r="B46" s="1">
        <v>92</v>
      </c>
      <c r="C46" s="29" t="str">
        <f t="shared" si="1"/>
        <v>975073-92</v>
      </c>
      <c r="D46" s="28" t="s">
        <v>80</v>
      </c>
      <c r="E46" s="37" t="s">
        <v>84</v>
      </c>
      <c r="F46" s="31">
        <v>42458</v>
      </c>
      <c r="G46" s="32"/>
      <c r="H46" s="31">
        <v>42468</v>
      </c>
      <c r="I46" s="138"/>
      <c r="J46" s="87" t="s">
        <v>24</v>
      </c>
      <c r="K46" s="87" t="s">
        <v>24</v>
      </c>
      <c r="L46" s="87" t="s">
        <v>24</v>
      </c>
      <c r="M46" s="87" t="s">
        <v>24</v>
      </c>
      <c r="N46" s="87" t="s">
        <v>24</v>
      </c>
      <c r="O46" s="87" t="s">
        <v>24</v>
      </c>
      <c r="P46" s="87" t="s">
        <v>24</v>
      </c>
      <c r="Q46" s="87" t="s">
        <v>24</v>
      </c>
      <c r="R46" s="87" t="s">
        <v>24</v>
      </c>
      <c r="S46" s="87" t="s">
        <v>24</v>
      </c>
      <c r="T46" s="87" t="s">
        <v>24</v>
      </c>
      <c r="U46" s="93" t="s">
        <v>70</v>
      </c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3"/>
    </row>
    <row r="47" spans="1:52">
      <c r="A47" s="41">
        <v>975073</v>
      </c>
      <c r="B47" s="1">
        <v>93</v>
      </c>
      <c r="C47" s="29" t="str">
        <f t="shared" si="1"/>
        <v>975073-93</v>
      </c>
      <c r="D47" s="28" t="s">
        <v>80</v>
      </c>
      <c r="E47" s="37" t="s">
        <v>85</v>
      </c>
      <c r="F47" s="31">
        <v>42458</v>
      </c>
      <c r="G47" s="32"/>
      <c r="H47" s="31">
        <v>42468</v>
      </c>
      <c r="I47" s="138"/>
      <c r="J47" s="87" t="s">
        <v>24</v>
      </c>
      <c r="K47" s="87" t="s">
        <v>24</v>
      </c>
      <c r="L47" s="87" t="s">
        <v>24</v>
      </c>
      <c r="M47" s="87" t="s">
        <v>24</v>
      </c>
      <c r="N47" s="87" t="s">
        <v>24</v>
      </c>
      <c r="O47" s="87" t="s">
        <v>24</v>
      </c>
      <c r="P47" s="87" t="s">
        <v>24</v>
      </c>
      <c r="Q47" s="87" t="s">
        <v>24</v>
      </c>
      <c r="R47" s="87" t="s">
        <v>24</v>
      </c>
      <c r="S47" s="87" t="s">
        <v>24</v>
      </c>
      <c r="T47" s="87" t="s">
        <v>24</v>
      </c>
      <c r="U47" s="87" t="s">
        <v>24</v>
      </c>
      <c r="V47" s="87" t="s">
        <v>24</v>
      </c>
      <c r="W47" s="93" t="s">
        <v>70</v>
      </c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3"/>
    </row>
    <row r="48" spans="1:52">
      <c r="A48" s="41">
        <v>975073</v>
      </c>
      <c r="B48" s="1">
        <v>94</v>
      </c>
      <c r="C48" s="29" t="str">
        <f t="shared" si="1"/>
        <v>975073-94</v>
      </c>
      <c r="D48" s="28" t="s">
        <v>80</v>
      </c>
      <c r="E48" s="37" t="s">
        <v>82</v>
      </c>
      <c r="F48" s="31">
        <v>42458</v>
      </c>
      <c r="G48" s="32"/>
      <c r="H48" s="31">
        <v>42468</v>
      </c>
      <c r="I48" s="138"/>
      <c r="J48" s="87" t="s">
        <v>24</v>
      </c>
      <c r="K48" s="87" t="s">
        <v>24</v>
      </c>
      <c r="L48" s="87" t="s">
        <v>24</v>
      </c>
      <c r="M48" s="87" t="s">
        <v>24</v>
      </c>
      <c r="N48" s="87" t="s">
        <v>24</v>
      </c>
      <c r="O48" s="87" t="s">
        <v>24</v>
      </c>
      <c r="P48" s="87" t="s">
        <v>24</v>
      </c>
      <c r="Q48" s="87" t="s">
        <v>24</v>
      </c>
      <c r="R48" s="87" t="s">
        <v>24</v>
      </c>
      <c r="S48" s="87" t="s">
        <v>24</v>
      </c>
      <c r="T48" s="87" t="s">
        <v>24</v>
      </c>
      <c r="U48" s="87" t="s">
        <v>24</v>
      </c>
      <c r="V48" s="87" t="s">
        <v>24</v>
      </c>
      <c r="W48" s="87" t="s">
        <v>24</v>
      </c>
      <c r="X48" s="93" t="s">
        <v>24</v>
      </c>
      <c r="Y48" s="93" t="s">
        <v>24</v>
      </c>
      <c r="Z48" s="93" t="s">
        <v>24</v>
      </c>
      <c r="AA48" s="93" t="s">
        <v>24</v>
      </c>
      <c r="AB48" s="93" t="s">
        <v>24</v>
      </c>
      <c r="AC48" s="93" t="s">
        <v>24</v>
      </c>
      <c r="AD48" s="93" t="s">
        <v>70</v>
      </c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3"/>
    </row>
    <row r="49" spans="1:52">
      <c r="A49" s="41">
        <v>975073</v>
      </c>
      <c r="B49" s="1">
        <v>95</v>
      </c>
      <c r="C49" s="29" t="str">
        <f t="shared" si="1"/>
        <v>975073-95</v>
      </c>
      <c r="D49" s="28" t="s">
        <v>80</v>
      </c>
      <c r="E49" s="37" t="s">
        <v>86</v>
      </c>
      <c r="F49" s="31">
        <v>42458</v>
      </c>
      <c r="G49" s="32"/>
      <c r="H49" s="31">
        <v>42468</v>
      </c>
      <c r="I49" s="138"/>
      <c r="J49" s="87" t="s">
        <v>24</v>
      </c>
      <c r="K49" s="87" t="s">
        <v>24</v>
      </c>
      <c r="L49" s="87" t="s">
        <v>24</v>
      </c>
      <c r="M49" s="87" t="s">
        <v>24</v>
      </c>
      <c r="N49" s="87" t="s">
        <v>24</v>
      </c>
      <c r="O49" s="87" t="s">
        <v>24</v>
      </c>
      <c r="P49" s="87" t="s">
        <v>24</v>
      </c>
      <c r="Q49" s="87" t="s">
        <v>24</v>
      </c>
      <c r="R49" s="87" t="s">
        <v>24</v>
      </c>
      <c r="S49" s="87" t="s">
        <v>24</v>
      </c>
      <c r="T49" s="87" t="s">
        <v>24</v>
      </c>
      <c r="U49" s="93" t="s">
        <v>70</v>
      </c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3"/>
    </row>
    <row r="50" spans="1:52">
      <c r="A50" s="41">
        <v>961176</v>
      </c>
      <c r="B50" s="1">
        <v>101</v>
      </c>
      <c r="C50" s="29" t="str">
        <f t="shared" si="1"/>
        <v>961176-101</v>
      </c>
      <c r="D50" s="28" t="s">
        <v>80</v>
      </c>
      <c r="E50" s="37" t="s">
        <v>89</v>
      </c>
      <c r="F50" s="31">
        <v>42458</v>
      </c>
      <c r="G50" s="32"/>
      <c r="H50" s="31">
        <v>42468</v>
      </c>
      <c r="I50" s="138"/>
      <c r="J50" s="87" t="s">
        <v>24</v>
      </c>
      <c r="K50" s="87" t="s">
        <v>24</v>
      </c>
      <c r="L50" s="87" t="s">
        <v>24</v>
      </c>
      <c r="M50" s="87" t="s">
        <v>24</v>
      </c>
      <c r="N50" s="87" t="s">
        <v>24</v>
      </c>
      <c r="O50" s="87" t="s">
        <v>24</v>
      </c>
      <c r="P50" s="87" t="s">
        <v>24</v>
      </c>
      <c r="Q50" s="87" t="s">
        <v>24</v>
      </c>
      <c r="R50" s="87" t="s">
        <v>24</v>
      </c>
      <c r="S50" s="87" t="s">
        <v>24</v>
      </c>
      <c r="T50" s="87" t="s">
        <v>24</v>
      </c>
      <c r="U50" s="93" t="s">
        <v>24</v>
      </c>
      <c r="V50" s="93" t="s">
        <v>24</v>
      </c>
      <c r="W50" s="93" t="s">
        <v>24</v>
      </c>
      <c r="X50" s="93" t="s">
        <v>70</v>
      </c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3"/>
    </row>
    <row r="51" spans="1:52">
      <c r="A51" s="41">
        <v>961176</v>
      </c>
      <c r="B51" s="1">
        <v>102</v>
      </c>
      <c r="C51" s="29" t="str">
        <f t="shared" si="1"/>
        <v>961176-102</v>
      </c>
      <c r="D51" s="28" t="s">
        <v>80</v>
      </c>
      <c r="E51" s="37" t="s">
        <v>90</v>
      </c>
      <c r="F51" s="31">
        <v>42458</v>
      </c>
      <c r="G51" s="32"/>
      <c r="H51" s="31">
        <v>42468</v>
      </c>
      <c r="I51" s="138"/>
      <c r="J51" s="87" t="s">
        <v>24</v>
      </c>
      <c r="K51" s="87" t="s">
        <v>24</v>
      </c>
      <c r="L51" s="87" t="s">
        <v>24</v>
      </c>
      <c r="M51" s="87" t="s">
        <v>24</v>
      </c>
      <c r="N51" s="87" t="s">
        <v>24</v>
      </c>
      <c r="O51" s="87" t="s">
        <v>24</v>
      </c>
      <c r="P51" s="87" t="s">
        <v>24</v>
      </c>
      <c r="Q51" s="87" t="s">
        <v>24</v>
      </c>
      <c r="R51" s="87" t="s">
        <v>24</v>
      </c>
      <c r="S51" s="87" t="s">
        <v>70</v>
      </c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3"/>
    </row>
    <row r="52" spans="1:52">
      <c r="A52" s="41">
        <v>961176</v>
      </c>
      <c r="B52" s="1">
        <v>103</v>
      </c>
      <c r="C52" s="29" t="str">
        <f t="shared" si="1"/>
        <v>961176-103</v>
      </c>
      <c r="D52" s="28" t="s">
        <v>80</v>
      </c>
      <c r="E52" s="37" t="s">
        <v>88</v>
      </c>
      <c r="F52" s="31">
        <v>42458</v>
      </c>
      <c r="G52" s="32"/>
      <c r="H52" s="31">
        <v>42468</v>
      </c>
      <c r="I52" s="138"/>
      <c r="J52" s="87" t="s">
        <v>24</v>
      </c>
      <c r="K52" s="87" t="s">
        <v>24</v>
      </c>
      <c r="L52" s="87" t="s">
        <v>24</v>
      </c>
      <c r="M52" s="87" t="s">
        <v>24</v>
      </c>
      <c r="N52" s="87" t="s">
        <v>24</v>
      </c>
      <c r="O52" s="87" t="s">
        <v>24</v>
      </c>
      <c r="P52" s="87" t="s">
        <v>24</v>
      </c>
      <c r="Q52" s="87" t="s">
        <v>24</v>
      </c>
      <c r="R52" s="87" t="s">
        <v>24</v>
      </c>
      <c r="S52" s="87" t="s">
        <v>24</v>
      </c>
      <c r="T52" s="87" t="s">
        <v>24</v>
      </c>
      <c r="U52" s="93" t="s">
        <v>70</v>
      </c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3"/>
    </row>
    <row r="53" spans="1:52">
      <c r="A53" s="42">
        <v>961176</v>
      </c>
      <c r="B53" s="4">
        <v>105</v>
      </c>
      <c r="C53" s="100" t="str">
        <f t="shared" si="1"/>
        <v>961176-105</v>
      </c>
      <c r="D53" s="28" t="s">
        <v>80</v>
      </c>
      <c r="E53" s="37" t="s">
        <v>82</v>
      </c>
      <c r="F53" s="31">
        <v>42458</v>
      </c>
      <c r="G53" s="32"/>
      <c r="H53" s="31">
        <v>42468</v>
      </c>
      <c r="I53" s="138"/>
      <c r="J53" s="87" t="s">
        <v>24</v>
      </c>
      <c r="K53" s="87" t="s">
        <v>24</v>
      </c>
      <c r="L53" s="87" t="s">
        <v>24</v>
      </c>
      <c r="M53" s="87" t="s">
        <v>24</v>
      </c>
      <c r="N53" s="87" t="s">
        <v>24</v>
      </c>
      <c r="O53" s="87" t="s">
        <v>24</v>
      </c>
      <c r="P53" s="87" t="s">
        <v>24</v>
      </c>
      <c r="Q53" s="87" t="s">
        <v>24</v>
      </c>
      <c r="R53" s="87" t="s">
        <v>24</v>
      </c>
      <c r="S53" s="87" t="s">
        <v>24</v>
      </c>
      <c r="T53" s="87" t="s">
        <v>24</v>
      </c>
      <c r="U53" s="93" t="s">
        <v>24</v>
      </c>
      <c r="V53" s="93" t="s">
        <v>24</v>
      </c>
      <c r="W53" s="93" t="s">
        <v>24</v>
      </c>
      <c r="X53" s="93" t="s">
        <v>24</v>
      </c>
      <c r="Y53" s="94" t="s">
        <v>24</v>
      </c>
      <c r="Z53" s="94" t="s">
        <v>24</v>
      </c>
      <c r="AA53" s="94" t="s">
        <v>24</v>
      </c>
      <c r="AB53" s="94" t="s">
        <v>24</v>
      </c>
      <c r="AC53" s="94" t="s">
        <v>24</v>
      </c>
      <c r="AD53" s="94" t="s">
        <v>70</v>
      </c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3"/>
    </row>
    <row r="54" spans="1:52">
      <c r="A54" s="240"/>
      <c r="B54" s="241"/>
      <c r="C54" s="242"/>
      <c r="D54" s="241"/>
      <c r="E54" s="243"/>
      <c r="F54" s="244"/>
      <c r="G54" s="245"/>
      <c r="H54" s="244"/>
      <c r="I54" s="241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252"/>
      <c r="AK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252"/>
      <c r="AV54" s="252"/>
      <c r="AW54" s="252"/>
      <c r="AX54" s="252"/>
      <c r="AY54" s="252"/>
    </row>
    <row r="55" spans="1:52"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</row>
    <row r="56" spans="1:52" ht="14.25" customHeight="1">
      <c r="A56" s="59"/>
      <c r="B56" s="59"/>
      <c r="C56" s="59"/>
      <c r="E56" s="104" t="s">
        <v>20</v>
      </c>
      <c r="H56" s="286" t="s">
        <v>20</v>
      </c>
      <c r="I56" s="216" t="s">
        <v>65</v>
      </c>
      <c r="J56" s="87">
        <f t="shared" ref="J56:AY56" si="2">COUNTIF(J5:J53,"Alive")</f>
        <v>49</v>
      </c>
      <c r="K56" s="87">
        <f t="shared" si="2"/>
        <v>49</v>
      </c>
      <c r="L56" s="87">
        <f t="shared" si="2"/>
        <v>49</v>
      </c>
      <c r="M56" s="87">
        <f t="shared" si="2"/>
        <v>49</v>
      </c>
      <c r="N56" s="87">
        <f t="shared" si="2"/>
        <v>49</v>
      </c>
      <c r="O56" s="87">
        <f t="shared" si="2"/>
        <v>49</v>
      </c>
      <c r="P56" s="87">
        <f t="shared" si="2"/>
        <v>48</v>
      </c>
      <c r="Q56" s="87">
        <f t="shared" si="2"/>
        <v>48</v>
      </c>
      <c r="R56" s="87">
        <f t="shared" si="2"/>
        <v>48</v>
      </c>
      <c r="S56" s="87">
        <f t="shared" si="2"/>
        <v>45</v>
      </c>
      <c r="T56" s="87">
        <f t="shared" si="2"/>
        <v>44</v>
      </c>
      <c r="U56" s="87">
        <f t="shared" si="2"/>
        <v>36</v>
      </c>
      <c r="V56" s="87">
        <f t="shared" si="2"/>
        <v>33</v>
      </c>
      <c r="W56" s="87">
        <f t="shared" si="2"/>
        <v>23</v>
      </c>
      <c r="X56" s="87">
        <f t="shared" si="2"/>
        <v>21</v>
      </c>
      <c r="Y56" s="87">
        <f t="shared" si="2"/>
        <v>17</v>
      </c>
      <c r="Z56" s="87">
        <f t="shared" si="2"/>
        <v>16</v>
      </c>
      <c r="AA56" s="87">
        <f t="shared" si="2"/>
        <v>16</v>
      </c>
      <c r="AB56" s="87">
        <f t="shared" si="2"/>
        <v>12</v>
      </c>
      <c r="AC56" s="87">
        <f t="shared" si="2"/>
        <v>11</v>
      </c>
      <c r="AD56" s="87">
        <f t="shared" si="2"/>
        <v>6</v>
      </c>
      <c r="AE56" s="87">
        <f t="shared" si="2"/>
        <v>5</v>
      </c>
      <c r="AF56" s="87">
        <f t="shared" si="2"/>
        <v>5</v>
      </c>
      <c r="AG56" s="87">
        <f t="shared" si="2"/>
        <v>5</v>
      </c>
      <c r="AH56" s="87">
        <f t="shared" si="2"/>
        <v>4</v>
      </c>
      <c r="AI56" s="87">
        <f t="shared" si="2"/>
        <v>4</v>
      </c>
      <c r="AJ56" s="87">
        <f t="shared" si="2"/>
        <v>3</v>
      </c>
      <c r="AK56" s="87">
        <f t="shared" si="2"/>
        <v>2</v>
      </c>
      <c r="AL56" s="87">
        <f t="shared" si="2"/>
        <v>2</v>
      </c>
      <c r="AM56" s="87">
        <f t="shared" si="2"/>
        <v>2</v>
      </c>
      <c r="AN56" s="87">
        <f t="shared" si="2"/>
        <v>2</v>
      </c>
      <c r="AO56" s="87">
        <f t="shared" si="2"/>
        <v>2</v>
      </c>
      <c r="AP56" s="87">
        <f t="shared" si="2"/>
        <v>2</v>
      </c>
      <c r="AQ56" s="87">
        <f t="shared" si="2"/>
        <v>2</v>
      </c>
      <c r="AR56" s="87">
        <f t="shared" si="2"/>
        <v>2</v>
      </c>
      <c r="AS56" s="87">
        <f t="shared" si="2"/>
        <v>2</v>
      </c>
      <c r="AT56" s="87">
        <f t="shared" si="2"/>
        <v>2</v>
      </c>
      <c r="AU56" s="87">
        <f t="shared" si="2"/>
        <v>1</v>
      </c>
      <c r="AV56" s="87">
        <f t="shared" si="2"/>
        <v>0</v>
      </c>
      <c r="AW56" s="87">
        <f t="shared" si="2"/>
        <v>0</v>
      </c>
      <c r="AX56" s="87">
        <f t="shared" si="2"/>
        <v>0</v>
      </c>
      <c r="AY56" s="87">
        <f t="shared" si="2"/>
        <v>0</v>
      </c>
      <c r="AZ56" s="3"/>
    </row>
    <row r="57" spans="1:52" ht="14.25" customHeight="1">
      <c r="A57" s="59"/>
      <c r="B57" s="59"/>
      <c r="C57" s="59"/>
      <c r="E57" s="104"/>
      <c r="H57" s="286"/>
      <c r="I57" s="216" t="s">
        <v>66</v>
      </c>
      <c r="J57" s="88">
        <f t="shared" ref="J57:AY57" si="3">COUNTIF(J5:J53,"Censored")</f>
        <v>0</v>
      </c>
      <c r="K57" s="88">
        <f t="shared" si="3"/>
        <v>0</v>
      </c>
      <c r="L57" s="88">
        <f t="shared" si="3"/>
        <v>0</v>
      </c>
      <c r="M57" s="88">
        <f t="shared" si="3"/>
        <v>0</v>
      </c>
      <c r="N57" s="88">
        <f t="shared" si="3"/>
        <v>0</v>
      </c>
      <c r="O57" s="88">
        <f t="shared" si="3"/>
        <v>0</v>
      </c>
      <c r="P57" s="88">
        <f t="shared" si="3"/>
        <v>0</v>
      </c>
      <c r="Q57" s="88">
        <f t="shared" si="3"/>
        <v>0</v>
      </c>
      <c r="R57" s="88">
        <f t="shared" si="3"/>
        <v>0</v>
      </c>
      <c r="S57" s="88">
        <f t="shared" si="3"/>
        <v>0</v>
      </c>
      <c r="T57" s="88">
        <f t="shared" si="3"/>
        <v>0</v>
      </c>
      <c r="U57" s="88">
        <f t="shared" si="3"/>
        <v>0</v>
      </c>
      <c r="V57" s="88">
        <f t="shared" si="3"/>
        <v>0</v>
      </c>
      <c r="W57" s="88">
        <f t="shared" si="3"/>
        <v>0</v>
      </c>
      <c r="X57" s="88">
        <f t="shared" si="3"/>
        <v>0</v>
      </c>
      <c r="Y57" s="88">
        <f t="shared" si="3"/>
        <v>0</v>
      </c>
      <c r="Z57" s="88">
        <f t="shared" si="3"/>
        <v>0</v>
      </c>
      <c r="AA57" s="88">
        <f t="shared" si="3"/>
        <v>0</v>
      </c>
      <c r="AB57" s="88">
        <f t="shared" si="3"/>
        <v>0</v>
      </c>
      <c r="AC57" s="88">
        <f t="shared" si="3"/>
        <v>0</v>
      </c>
      <c r="AD57" s="88">
        <f t="shared" si="3"/>
        <v>0</v>
      </c>
      <c r="AE57" s="88">
        <f t="shared" si="3"/>
        <v>0</v>
      </c>
      <c r="AF57" s="88">
        <f t="shared" si="3"/>
        <v>0</v>
      </c>
      <c r="AG57" s="88">
        <f t="shared" si="3"/>
        <v>0</v>
      </c>
      <c r="AH57" s="88">
        <f t="shared" si="3"/>
        <v>0</v>
      </c>
      <c r="AI57" s="88">
        <f t="shared" si="3"/>
        <v>0</v>
      </c>
      <c r="AJ57" s="88">
        <f t="shared" si="3"/>
        <v>0</v>
      </c>
      <c r="AK57" s="88">
        <f t="shared" si="3"/>
        <v>0</v>
      </c>
      <c r="AL57" s="88">
        <f t="shared" si="3"/>
        <v>0</v>
      </c>
      <c r="AM57" s="88">
        <f t="shared" si="3"/>
        <v>0</v>
      </c>
      <c r="AN57" s="88">
        <f t="shared" si="3"/>
        <v>0</v>
      </c>
      <c r="AO57" s="88">
        <f t="shared" si="3"/>
        <v>0</v>
      </c>
      <c r="AP57" s="88">
        <f t="shared" si="3"/>
        <v>0</v>
      </c>
      <c r="AQ57" s="88">
        <f t="shared" si="3"/>
        <v>0</v>
      </c>
      <c r="AR57" s="88">
        <f t="shared" si="3"/>
        <v>0</v>
      </c>
      <c r="AS57" s="88">
        <f t="shared" si="3"/>
        <v>0</v>
      </c>
      <c r="AT57" s="88">
        <f t="shared" si="3"/>
        <v>0</v>
      </c>
      <c r="AU57" s="88">
        <f t="shared" si="3"/>
        <v>0</v>
      </c>
      <c r="AV57" s="88">
        <f t="shared" si="3"/>
        <v>0</v>
      </c>
      <c r="AW57" s="88">
        <f t="shared" si="3"/>
        <v>0</v>
      </c>
      <c r="AX57" s="88">
        <f t="shared" si="3"/>
        <v>0</v>
      </c>
      <c r="AY57" s="88">
        <f t="shared" si="3"/>
        <v>0</v>
      </c>
      <c r="AZ57" s="3"/>
    </row>
    <row r="58" spans="1:52" ht="14.25" customHeight="1">
      <c r="E58" s="254"/>
      <c r="H58" s="286"/>
      <c r="I58" s="216" t="s">
        <v>68</v>
      </c>
      <c r="J58" s="83">
        <f>J56/(COUNTIF(J5:J53,"Alive")+COUNTIF(J5:J53,"Sacrificed")+COUNTIF(J5:J53,"Died"))</f>
        <v>1</v>
      </c>
      <c r="K58" s="83">
        <f t="shared" ref="K58:AY58" si="4">K56/(COUNTIF(K5:K53,"Alive")+COUNTIF(K5:K53,"Sacrificed")+COUNTIF(K5:K53,"Died")) *J58</f>
        <v>1</v>
      </c>
      <c r="L58" s="83">
        <f t="shared" si="4"/>
        <v>1</v>
      </c>
      <c r="M58" s="83">
        <f t="shared" si="4"/>
        <v>1</v>
      </c>
      <c r="N58" s="83">
        <f t="shared" si="4"/>
        <v>1</v>
      </c>
      <c r="O58" s="83">
        <f t="shared" si="4"/>
        <v>1</v>
      </c>
      <c r="P58" s="83">
        <f t="shared" si="4"/>
        <v>0.97959183673469385</v>
      </c>
      <c r="Q58" s="83">
        <f t="shared" si="4"/>
        <v>0.97959183673469385</v>
      </c>
      <c r="R58" s="83">
        <f t="shared" si="4"/>
        <v>0.97959183673469385</v>
      </c>
      <c r="S58" s="83">
        <f t="shared" si="4"/>
        <v>0.91836734693877553</v>
      </c>
      <c r="T58" s="83">
        <f t="shared" si="4"/>
        <v>0.89795918367346939</v>
      </c>
      <c r="U58" s="83">
        <f t="shared" si="4"/>
        <v>0.73469387755102045</v>
      </c>
      <c r="V58" s="83">
        <f t="shared" si="4"/>
        <v>0.67346938775510201</v>
      </c>
      <c r="W58" s="83">
        <f t="shared" si="4"/>
        <v>0.46938775510204084</v>
      </c>
      <c r="X58" s="83">
        <f t="shared" si="4"/>
        <v>0.42857142857142855</v>
      </c>
      <c r="Y58" s="83">
        <f t="shared" si="4"/>
        <v>0.34693877551020408</v>
      </c>
      <c r="Z58" s="83">
        <f t="shared" si="4"/>
        <v>0.32653061224489793</v>
      </c>
      <c r="AA58" s="83">
        <f t="shared" si="4"/>
        <v>0.32653061224489793</v>
      </c>
      <c r="AB58" s="83">
        <f t="shared" si="4"/>
        <v>0.24489795918367346</v>
      </c>
      <c r="AC58" s="83">
        <f t="shared" si="4"/>
        <v>0.22448979591836735</v>
      </c>
      <c r="AD58" s="83">
        <f t="shared" si="4"/>
        <v>0.12244897959183673</v>
      </c>
      <c r="AE58" s="83">
        <f t="shared" si="4"/>
        <v>0.10204081632653061</v>
      </c>
      <c r="AF58" s="83">
        <f t="shared" si="4"/>
        <v>0.10204081632653061</v>
      </c>
      <c r="AG58" s="83">
        <f t="shared" si="4"/>
        <v>0.10204081632653061</v>
      </c>
      <c r="AH58" s="83">
        <f t="shared" si="4"/>
        <v>8.1632653061224497E-2</v>
      </c>
      <c r="AI58" s="83">
        <f t="shared" si="4"/>
        <v>8.1632653061224497E-2</v>
      </c>
      <c r="AJ58" s="83">
        <f t="shared" si="4"/>
        <v>6.1224489795918373E-2</v>
      </c>
      <c r="AK58" s="83">
        <f t="shared" si="4"/>
        <v>4.0816326530612249E-2</v>
      </c>
      <c r="AL58" s="83">
        <f t="shared" si="4"/>
        <v>4.0816326530612249E-2</v>
      </c>
      <c r="AM58" s="83">
        <f t="shared" si="4"/>
        <v>4.0816326530612249E-2</v>
      </c>
      <c r="AN58" s="83">
        <f t="shared" si="4"/>
        <v>4.0816326530612249E-2</v>
      </c>
      <c r="AO58" s="83">
        <f t="shared" si="4"/>
        <v>4.0816326530612249E-2</v>
      </c>
      <c r="AP58" s="83">
        <f t="shared" si="4"/>
        <v>4.0816326530612249E-2</v>
      </c>
      <c r="AQ58" s="83">
        <f t="shared" si="4"/>
        <v>4.0816326530612249E-2</v>
      </c>
      <c r="AR58" s="83">
        <f t="shared" si="4"/>
        <v>4.0816326530612249E-2</v>
      </c>
      <c r="AS58" s="83">
        <f t="shared" si="4"/>
        <v>4.0816326530612249E-2</v>
      </c>
      <c r="AT58" s="83">
        <f t="shared" si="4"/>
        <v>4.0816326530612249E-2</v>
      </c>
      <c r="AU58" s="83">
        <f t="shared" si="4"/>
        <v>2.0408163265306124E-2</v>
      </c>
      <c r="AV58" s="83">
        <f t="shared" si="4"/>
        <v>0</v>
      </c>
      <c r="AW58" s="83" t="e">
        <f t="shared" si="4"/>
        <v>#DIV/0!</v>
      </c>
      <c r="AX58" s="83" t="e">
        <f t="shared" si="4"/>
        <v>#DIV/0!</v>
      </c>
      <c r="AY58" s="83" t="e">
        <f t="shared" si="4"/>
        <v>#DIV/0!</v>
      </c>
      <c r="AZ58" s="3"/>
    </row>
    <row r="59" spans="1:52" ht="12.75" customHeight="1">
      <c r="A59" s="129"/>
      <c r="E59" s="104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</row>
    <row r="60" spans="1:52" ht="14.25" customHeight="1">
      <c r="A60" s="129"/>
      <c r="E60" s="134" t="str">
        <f>'PTX_DOSE Groups'!C6</f>
        <v>PBS Control</v>
      </c>
      <c r="H60" s="134" t="str">
        <f>E60</f>
        <v>PBS Control</v>
      </c>
      <c r="I60" s="216" t="s">
        <v>67</v>
      </c>
      <c r="J60" s="87">
        <f t="shared" ref="J60:AY60" si="5">COUNTIFS($E$5:$E$53,$E60,J$5:J$53,"Alive")</f>
        <v>4</v>
      </c>
      <c r="K60" s="87">
        <f t="shared" si="5"/>
        <v>4</v>
      </c>
      <c r="L60" s="87">
        <f t="shared" si="5"/>
        <v>4</v>
      </c>
      <c r="M60" s="87">
        <f t="shared" si="5"/>
        <v>4</v>
      </c>
      <c r="N60" s="87">
        <f t="shared" si="5"/>
        <v>4</v>
      </c>
      <c r="O60" s="87">
        <f t="shared" si="5"/>
        <v>4</v>
      </c>
      <c r="P60" s="87">
        <f t="shared" si="5"/>
        <v>4</v>
      </c>
      <c r="Q60" s="87">
        <f t="shared" si="5"/>
        <v>4</v>
      </c>
      <c r="R60" s="87">
        <f t="shared" si="5"/>
        <v>4</v>
      </c>
      <c r="S60" s="87">
        <f t="shared" si="5"/>
        <v>3</v>
      </c>
      <c r="T60" s="87">
        <f t="shared" si="5"/>
        <v>3</v>
      </c>
      <c r="U60" s="87">
        <f t="shared" si="5"/>
        <v>1</v>
      </c>
      <c r="V60" s="87">
        <f t="shared" si="5"/>
        <v>1</v>
      </c>
      <c r="W60" s="87">
        <f t="shared" si="5"/>
        <v>0</v>
      </c>
      <c r="X60" s="87">
        <f t="shared" si="5"/>
        <v>0</v>
      </c>
      <c r="Y60" s="87">
        <f t="shared" si="5"/>
        <v>0</v>
      </c>
      <c r="Z60" s="87">
        <f t="shared" si="5"/>
        <v>0</v>
      </c>
      <c r="AA60" s="87">
        <f t="shared" si="5"/>
        <v>0</v>
      </c>
      <c r="AB60" s="87">
        <f t="shared" si="5"/>
        <v>0</v>
      </c>
      <c r="AC60" s="87">
        <f t="shared" si="5"/>
        <v>0</v>
      </c>
      <c r="AD60" s="87">
        <f t="shared" si="5"/>
        <v>0</v>
      </c>
      <c r="AE60" s="87">
        <f t="shared" si="5"/>
        <v>0</v>
      </c>
      <c r="AF60" s="87">
        <f t="shared" si="5"/>
        <v>0</v>
      </c>
      <c r="AG60" s="87">
        <f t="shared" si="5"/>
        <v>0</v>
      </c>
      <c r="AH60" s="87">
        <f t="shared" si="5"/>
        <v>0</v>
      </c>
      <c r="AI60" s="87">
        <f t="shared" si="5"/>
        <v>0</v>
      </c>
      <c r="AJ60" s="87">
        <f t="shared" si="5"/>
        <v>0</v>
      </c>
      <c r="AK60" s="87">
        <f t="shared" si="5"/>
        <v>0</v>
      </c>
      <c r="AL60" s="87">
        <f t="shared" si="5"/>
        <v>0</v>
      </c>
      <c r="AM60" s="87">
        <f t="shared" si="5"/>
        <v>0</v>
      </c>
      <c r="AN60" s="87">
        <f t="shared" si="5"/>
        <v>0</v>
      </c>
      <c r="AO60" s="87">
        <f t="shared" si="5"/>
        <v>0</v>
      </c>
      <c r="AP60" s="87">
        <f t="shared" si="5"/>
        <v>0</v>
      </c>
      <c r="AQ60" s="87">
        <f t="shared" si="5"/>
        <v>0</v>
      </c>
      <c r="AR60" s="87">
        <f t="shared" si="5"/>
        <v>0</v>
      </c>
      <c r="AS60" s="87">
        <f t="shared" si="5"/>
        <v>0</v>
      </c>
      <c r="AT60" s="87">
        <f t="shared" si="5"/>
        <v>0</v>
      </c>
      <c r="AU60" s="87">
        <f t="shared" si="5"/>
        <v>0</v>
      </c>
      <c r="AV60" s="87">
        <f t="shared" si="5"/>
        <v>0</v>
      </c>
      <c r="AW60" s="87">
        <f t="shared" si="5"/>
        <v>0</v>
      </c>
      <c r="AX60" s="87">
        <f t="shared" si="5"/>
        <v>0</v>
      </c>
      <c r="AY60" s="87">
        <f t="shared" si="5"/>
        <v>0</v>
      </c>
      <c r="AZ60" s="85"/>
    </row>
    <row r="61" spans="1:52" ht="14.25" customHeight="1">
      <c r="A61" s="129"/>
      <c r="E61" s="104"/>
      <c r="H61" s="104"/>
      <c r="I61" s="216" t="s">
        <v>66</v>
      </c>
      <c r="J61" s="90">
        <f t="shared" ref="J61:AY61" si="6">COUNTIFS($E$5:$E$53,$E60,J$5:J$53,"Censored")</f>
        <v>0</v>
      </c>
      <c r="K61" s="90">
        <f t="shared" si="6"/>
        <v>0</v>
      </c>
      <c r="L61" s="90">
        <f t="shared" si="6"/>
        <v>0</v>
      </c>
      <c r="M61" s="90">
        <f t="shared" si="6"/>
        <v>0</v>
      </c>
      <c r="N61" s="90">
        <f t="shared" si="6"/>
        <v>0</v>
      </c>
      <c r="O61" s="90">
        <f t="shared" si="6"/>
        <v>0</v>
      </c>
      <c r="P61" s="90">
        <f t="shared" si="6"/>
        <v>0</v>
      </c>
      <c r="Q61" s="90">
        <f t="shared" si="6"/>
        <v>0</v>
      </c>
      <c r="R61" s="90">
        <f t="shared" si="6"/>
        <v>0</v>
      </c>
      <c r="S61" s="90">
        <f t="shared" si="6"/>
        <v>0</v>
      </c>
      <c r="T61" s="90">
        <f t="shared" si="6"/>
        <v>0</v>
      </c>
      <c r="U61" s="90">
        <f t="shared" si="6"/>
        <v>0</v>
      </c>
      <c r="V61" s="90">
        <f t="shared" si="6"/>
        <v>0</v>
      </c>
      <c r="W61" s="90">
        <f t="shared" si="6"/>
        <v>0</v>
      </c>
      <c r="X61" s="90">
        <f t="shared" si="6"/>
        <v>0</v>
      </c>
      <c r="Y61" s="90">
        <f t="shared" si="6"/>
        <v>0</v>
      </c>
      <c r="Z61" s="90">
        <f t="shared" si="6"/>
        <v>0</v>
      </c>
      <c r="AA61" s="90">
        <f t="shared" si="6"/>
        <v>0</v>
      </c>
      <c r="AB61" s="90">
        <f t="shared" si="6"/>
        <v>0</v>
      </c>
      <c r="AC61" s="90">
        <f t="shared" si="6"/>
        <v>0</v>
      </c>
      <c r="AD61" s="90">
        <f t="shared" si="6"/>
        <v>0</v>
      </c>
      <c r="AE61" s="90">
        <f t="shared" si="6"/>
        <v>0</v>
      </c>
      <c r="AF61" s="90">
        <f t="shared" si="6"/>
        <v>0</v>
      </c>
      <c r="AG61" s="90">
        <f t="shared" si="6"/>
        <v>0</v>
      </c>
      <c r="AH61" s="90">
        <f t="shared" si="6"/>
        <v>0</v>
      </c>
      <c r="AI61" s="90">
        <f t="shared" si="6"/>
        <v>0</v>
      </c>
      <c r="AJ61" s="90">
        <f t="shared" si="6"/>
        <v>0</v>
      </c>
      <c r="AK61" s="90">
        <f t="shared" si="6"/>
        <v>0</v>
      </c>
      <c r="AL61" s="90">
        <f t="shared" si="6"/>
        <v>0</v>
      </c>
      <c r="AM61" s="90">
        <f t="shared" si="6"/>
        <v>0</v>
      </c>
      <c r="AN61" s="90">
        <f t="shared" si="6"/>
        <v>0</v>
      </c>
      <c r="AO61" s="90">
        <f t="shared" si="6"/>
        <v>0</v>
      </c>
      <c r="AP61" s="90">
        <f t="shared" si="6"/>
        <v>0</v>
      </c>
      <c r="AQ61" s="90">
        <f t="shared" si="6"/>
        <v>0</v>
      </c>
      <c r="AR61" s="90">
        <f t="shared" si="6"/>
        <v>0</v>
      </c>
      <c r="AS61" s="90">
        <f t="shared" si="6"/>
        <v>0</v>
      </c>
      <c r="AT61" s="90">
        <f t="shared" si="6"/>
        <v>0</v>
      </c>
      <c r="AU61" s="90">
        <f t="shared" si="6"/>
        <v>0</v>
      </c>
      <c r="AV61" s="90">
        <f t="shared" si="6"/>
        <v>0</v>
      </c>
      <c r="AW61" s="90">
        <f t="shared" si="6"/>
        <v>0</v>
      </c>
      <c r="AX61" s="90">
        <f t="shared" si="6"/>
        <v>0</v>
      </c>
      <c r="AY61" s="90">
        <f t="shared" si="6"/>
        <v>0</v>
      </c>
      <c r="AZ61" s="85"/>
    </row>
    <row r="62" spans="1:52" ht="14.25" customHeight="1">
      <c r="E62" s="254"/>
      <c r="H62" s="104"/>
      <c r="I62" s="216" t="s">
        <v>68</v>
      </c>
      <c r="J62" s="83">
        <f>J60/(COUNTIFS($E$5:$E$53,$E60,J$5:J$53,"Alive")+COUNTIFS($E$5:$E$53,$E60,J$5:J$53,"Sacrificed")+COUNTIFS($E$5:$E$53,$E60,J$5:J$53,"Died"))</f>
        <v>1</v>
      </c>
      <c r="K62" s="83">
        <f t="shared" ref="K62:AY62" si="7">K60/(COUNTIFS($E$5:$E$53,$E60,K$5:K$53,"Alive")+COUNTIFS($E$5:$E$53,$E60,K$5:K$53,"Sacrificed")+COUNTIFS($E$5:$E$53,$E60,K$5:K$53,"Died"))*J62</f>
        <v>1</v>
      </c>
      <c r="L62" s="83">
        <f t="shared" si="7"/>
        <v>1</v>
      </c>
      <c r="M62" s="83">
        <f t="shared" si="7"/>
        <v>1</v>
      </c>
      <c r="N62" s="83">
        <f t="shared" si="7"/>
        <v>1</v>
      </c>
      <c r="O62" s="83">
        <f t="shared" si="7"/>
        <v>1</v>
      </c>
      <c r="P62" s="83">
        <f t="shared" si="7"/>
        <v>1</v>
      </c>
      <c r="Q62" s="83">
        <f t="shared" si="7"/>
        <v>1</v>
      </c>
      <c r="R62" s="83">
        <f t="shared" si="7"/>
        <v>1</v>
      </c>
      <c r="S62" s="83">
        <f t="shared" si="7"/>
        <v>0.75</v>
      </c>
      <c r="T62" s="83">
        <f t="shared" si="7"/>
        <v>0.75</v>
      </c>
      <c r="U62" s="83">
        <f t="shared" si="7"/>
        <v>0.25</v>
      </c>
      <c r="V62" s="83">
        <f t="shared" si="7"/>
        <v>0.25</v>
      </c>
      <c r="W62" s="83">
        <f t="shared" si="7"/>
        <v>0</v>
      </c>
      <c r="X62" s="83" t="e">
        <f t="shared" si="7"/>
        <v>#DIV/0!</v>
      </c>
      <c r="Y62" s="83" t="e">
        <f t="shared" si="7"/>
        <v>#DIV/0!</v>
      </c>
      <c r="Z62" s="83" t="e">
        <f t="shared" si="7"/>
        <v>#DIV/0!</v>
      </c>
      <c r="AA62" s="83" t="e">
        <f t="shared" si="7"/>
        <v>#DIV/0!</v>
      </c>
      <c r="AB62" s="83" t="e">
        <f t="shared" si="7"/>
        <v>#DIV/0!</v>
      </c>
      <c r="AC62" s="83" t="e">
        <f t="shared" si="7"/>
        <v>#DIV/0!</v>
      </c>
      <c r="AD62" s="83" t="e">
        <f t="shared" si="7"/>
        <v>#DIV/0!</v>
      </c>
      <c r="AE62" s="83" t="e">
        <f t="shared" si="7"/>
        <v>#DIV/0!</v>
      </c>
      <c r="AF62" s="83" t="e">
        <f t="shared" si="7"/>
        <v>#DIV/0!</v>
      </c>
      <c r="AG62" s="83" t="e">
        <f t="shared" si="7"/>
        <v>#DIV/0!</v>
      </c>
      <c r="AH62" s="83" t="e">
        <f t="shared" si="7"/>
        <v>#DIV/0!</v>
      </c>
      <c r="AI62" s="83" t="e">
        <f t="shared" si="7"/>
        <v>#DIV/0!</v>
      </c>
      <c r="AJ62" s="83" t="e">
        <f t="shared" si="7"/>
        <v>#DIV/0!</v>
      </c>
      <c r="AK62" s="83" t="e">
        <f t="shared" si="7"/>
        <v>#DIV/0!</v>
      </c>
      <c r="AL62" s="83" t="e">
        <f t="shared" si="7"/>
        <v>#DIV/0!</v>
      </c>
      <c r="AM62" s="83" t="e">
        <f t="shared" si="7"/>
        <v>#DIV/0!</v>
      </c>
      <c r="AN62" s="83" t="e">
        <f t="shared" si="7"/>
        <v>#DIV/0!</v>
      </c>
      <c r="AO62" s="83" t="e">
        <f t="shared" si="7"/>
        <v>#DIV/0!</v>
      </c>
      <c r="AP62" s="83" t="e">
        <f t="shared" si="7"/>
        <v>#DIV/0!</v>
      </c>
      <c r="AQ62" s="83" t="e">
        <f t="shared" si="7"/>
        <v>#DIV/0!</v>
      </c>
      <c r="AR62" s="83" t="e">
        <f t="shared" si="7"/>
        <v>#DIV/0!</v>
      </c>
      <c r="AS62" s="83" t="e">
        <f t="shared" si="7"/>
        <v>#DIV/0!</v>
      </c>
      <c r="AT62" s="83" t="e">
        <f t="shared" si="7"/>
        <v>#DIV/0!</v>
      </c>
      <c r="AU62" s="83" t="e">
        <f t="shared" si="7"/>
        <v>#DIV/0!</v>
      </c>
      <c r="AV62" s="83" t="e">
        <f t="shared" si="7"/>
        <v>#DIV/0!</v>
      </c>
      <c r="AW62" s="83" t="e">
        <f t="shared" si="7"/>
        <v>#DIV/0!</v>
      </c>
      <c r="AX62" s="83" t="e">
        <f t="shared" si="7"/>
        <v>#DIV/0!</v>
      </c>
      <c r="AY62" s="83" t="e">
        <f t="shared" si="7"/>
        <v>#DIV/0!</v>
      </c>
      <c r="AZ62" s="3"/>
    </row>
    <row r="63" spans="1:52" ht="15">
      <c r="A63" s="129"/>
      <c r="E63" s="58"/>
      <c r="H63" s="58"/>
    </row>
    <row r="64" spans="1:52" ht="14.25" customHeight="1">
      <c r="A64" s="129"/>
      <c r="E64" s="134" t="str">
        <f>'PTX_DOSE Groups'!C7</f>
        <v>3.3uCi Radiodepot</v>
      </c>
      <c r="H64" s="134" t="str">
        <f>E64</f>
        <v>3.3uCi Radiodepot</v>
      </c>
      <c r="I64" s="216" t="s">
        <v>67</v>
      </c>
      <c r="J64" s="87">
        <f t="shared" ref="J64:AY64" si="8">COUNTIFS($E$5:$E$53,$E64,J$5:J$53,"Alive")</f>
        <v>5</v>
      </c>
      <c r="K64" s="87">
        <f t="shared" si="8"/>
        <v>5</v>
      </c>
      <c r="L64" s="87">
        <f t="shared" si="8"/>
        <v>5</v>
      </c>
      <c r="M64" s="87">
        <f t="shared" si="8"/>
        <v>5</v>
      </c>
      <c r="N64" s="87">
        <f t="shared" si="8"/>
        <v>5</v>
      </c>
      <c r="O64" s="87">
        <f t="shared" si="8"/>
        <v>5</v>
      </c>
      <c r="P64" s="87">
        <f t="shared" si="8"/>
        <v>5</v>
      </c>
      <c r="Q64" s="87">
        <f t="shared" si="8"/>
        <v>5</v>
      </c>
      <c r="R64" s="87">
        <f t="shared" si="8"/>
        <v>5</v>
      </c>
      <c r="S64" s="87">
        <f t="shared" si="8"/>
        <v>4</v>
      </c>
      <c r="T64" s="87">
        <f t="shared" si="8"/>
        <v>4</v>
      </c>
      <c r="U64" s="87">
        <f t="shared" si="8"/>
        <v>4</v>
      </c>
      <c r="V64" s="87">
        <f t="shared" si="8"/>
        <v>4</v>
      </c>
      <c r="W64" s="87">
        <f t="shared" si="8"/>
        <v>3</v>
      </c>
      <c r="X64" s="87">
        <f t="shared" si="8"/>
        <v>3</v>
      </c>
      <c r="Y64" s="87">
        <f t="shared" si="8"/>
        <v>1</v>
      </c>
      <c r="Z64" s="87">
        <f t="shared" si="8"/>
        <v>1</v>
      </c>
      <c r="AA64" s="87">
        <f t="shared" si="8"/>
        <v>1</v>
      </c>
      <c r="AB64" s="87">
        <f t="shared" si="8"/>
        <v>0</v>
      </c>
      <c r="AC64" s="87">
        <f t="shared" si="8"/>
        <v>0</v>
      </c>
      <c r="AD64" s="87">
        <f t="shared" si="8"/>
        <v>0</v>
      </c>
      <c r="AE64" s="87">
        <f t="shared" si="8"/>
        <v>0</v>
      </c>
      <c r="AF64" s="87">
        <f t="shared" si="8"/>
        <v>0</v>
      </c>
      <c r="AG64" s="87">
        <f t="shared" si="8"/>
        <v>0</v>
      </c>
      <c r="AH64" s="87">
        <f t="shared" si="8"/>
        <v>0</v>
      </c>
      <c r="AI64" s="87">
        <f t="shared" si="8"/>
        <v>0</v>
      </c>
      <c r="AJ64" s="87">
        <f t="shared" si="8"/>
        <v>0</v>
      </c>
      <c r="AK64" s="87">
        <f t="shared" si="8"/>
        <v>0</v>
      </c>
      <c r="AL64" s="87">
        <f t="shared" si="8"/>
        <v>0</v>
      </c>
      <c r="AM64" s="87">
        <f t="shared" si="8"/>
        <v>0</v>
      </c>
      <c r="AN64" s="87">
        <f t="shared" si="8"/>
        <v>0</v>
      </c>
      <c r="AO64" s="87">
        <f t="shared" si="8"/>
        <v>0</v>
      </c>
      <c r="AP64" s="87">
        <f t="shared" si="8"/>
        <v>0</v>
      </c>
      <c r="AQ64" s="87">
        <f t="shared" si="8"/>
        <v>0</v>
      </c>
      <c r="AR64" s="87">
        <f t="shared" si="8"/>
        <v>0</v>
      </c>
      <c r="AS64" s="87">
        <f t="shared" si="8"/>
        <v>0</v>
      </c>
      <c r="AT64" s="87">
        <f t="shared" si="8"/>
        <v>0</v>
      </c>
      <c r="AU64" s="87">
        <f t="shared" si="8"/>
        <v>0</v>
      </c>
      <c r="AV64" s="87">
        <f t="shared" si="8"/>
        <v>0</v>
      </c>
      <c r="AW64" s="87">
        <f t="shared" si="8"/>
        <v>0</v>
      </c>
      <c r="AX64" s="87">
        <f t="shared" si="8"/>
        <v>0</v>
      </c>
      <c r="AY64" s="87">
        <f t="shared" si="8"/>
        <v>0</v>
      </c>
      <c r="AZ64" s="85"/>
    </row>
    <row r="65" spans="1:52" ht="14.25" customHeight="1">
      <c r="A65" s="129"/>
      <c r="E65" s="104"/>
      <c r="H65" s="104"/>
      <c r="I65" s="216" t="s">
        <v>66</v>
      </c>
      <c r="J65" s="90">
        <f t="shared" ref="J65:AY65" si="9">COUNTIFS($E$5:$E$53,$E64,J$5:J$53,"Censored")</f>
        <v>0</v>
      </c>
      <c r="K65" s="90">
        <f t="shared" si="9"/>
        <v>0</v>
      </c>
      <c r="L65" s="90">
        <f t="shared" si="9"/>
        <v>0</v>
      </c>
      <c r="M65" s="90">
        <f t="shared" si="9"/>
        <v>0</v>
      </c>
      <c r="N65" s="90">
        <f t="shared" si="9"/>
        <v>0</v>
      </c>
      <c r="O65" s="90">
        <f t="shared" si="9"/>
        <v>0</v>
      </c>
      <c r="P65" s="90">
        <f t="shared" si="9"/>
        <v>0</v>
      </c>
      <c r="Q65" s="90">
        <f t="shared" si="9"/>
        <v>0</v>
      </c>
      <c r="R65" s="90">
        <f t="shared" si="9"/>
        <v>0</v>
      </c>
      <c r="S65" s="90">
        <f t="shared" si="9"/>
        <v>0</v>
      </c>
      <c r="T65" s="90">
        <f t="shared" si="9"/>
        <v>0</v>
      </c>
      <c r="U65" s="90">
        <f t="shared" si="9"/>
        <v>0</v>
      </c>
      <c r="V65" s="90">
        <f t="shared" si="9"/>
        <v>0</v>
      </c>
      <c r="W65" s="90">
        <f t="shared" si="9"/>
        <v>0</v>
      </c>
      <c r="X65" s="90">
        <f t="shared" si="9"/>
        <v>0</v>
      </c>
      <c r="Y65" s="90">
        <f t="shared" si="9"/>
        <v>0</v>
      </c>
      <c r="Z65" s="90">
        <f t="shared" si="9"/>
        <v>0</v>
      </c>
      <c r="AA65" s="90">
        <f t="shared" si="9"/>
        <v>0</v>
      </c>
      <c r="AB65" s="90">
        <f t="shared" si="9"/>
        <v>0</v>
      </c>
      <c r="AC65" s="90">
        <f t="shared" si="9"/>
        <v>0</v>
      </c>
      <c r="AD65" s="90">
        <f t="shared" si="9"/>
        <v>0</v>
      </c>
      <c r="AE65" s="90">
        <f t="shared" si="9"/>
        <v>0</v>
      </c>
      <c r="AF65" s="90">
        <f t="shared" si="9"/>
        <v>0</v>
      </c>
      <c r="AG65" s="90">
        <f t="shared" si="9"/>
        <v>0</v>
      </c>
      <c r="AH65" s="90">
        <f t="shared" si="9"/>
        <v>0</v>
      </c>
      <c r="AI65" s="90">
        <f t="shared" si="9"/>
        <v>0</v>
      </c>
      <c r="AJ65" s="90">
        <f t="shared" si="9"/>
        <v>0</v>
      </c>
      <c r="AK65" s="90">
        <f t="shared" si="9"/>
        <v>0</v>
      </c>
      <c r="AL65" s="90">
        <f t="shared" si="9"/>
        <v>0</v>
      </c>
      <c r="AM65" s="90">
        <f t="shared" si="9"/>
        <v>0</v>
      </c>
      <c r="AN65" s="90">
        <f t="shared" si="9"/>
        <v>0</v>
      </c>
      <c r="AO65" s="90">
        <f t="shared" si="9"/>
        <v>0</v>
      </c>
      <c r="AP65" s="90">
        <f t="shared" si="9"/>
        <v>0</v>
      </c>
      <c r="AQ65" s="90">
        <f t="shared" si="9"/>
        <v>0</v>
      </c>
      <c r="AR65" s="90">
        <f t="shared" si="9"/>
        <v>0</v>
      </c>
      <c r="AS65" s="90">
        <f t="shared" si="9"/>
        <v>0</v>
      </c>
      <c r="AT65" s="90">
        <f t="shared" si="9"/>
        <v>0</v>
      </c>
      <c r="AU65" s="90">
        <f t="shared" si="9"/>
        <v>0</v>
      </c>
      <c r="AV65" s="90">
        <f t="shared" si="9"/>
        <v>0</v>
      </c>
      <c r="AW65" s="90">
        <f t="shared" si="9"/>
        <v>0</v>
      </c>
      <c r="AX65" s="90">
        <f t="shared" si="9"/>
        <v>0</v>
      </c>
      <c r="AY65" s="90">
        <f t="shared" si="9"/>
        <v>0</v>
      </c>
      <c r="AZ65" s="85"/>
    </row>
    <row r="66" spans="1:52" ht="14.25" customHeight="1">
      <c r="E66" s="254"/>
      <c r="H66" s="104"/>
      <c r="I66" s="216" t="s">
        <v>68</v>
      </c>
      <c r="J66" s="83">
        <f>J64/(COUNTIFS($E$5:$E$53,$E64,J$5:J$53,"Alive")+COUNTIFS($E$5:$E$53,$E64,J$5:J$53,"Sacrificed")+COUNTIFS($E$5:$E$53,$E64,J$5:J$53,"Died"))</f>
        <v>1</v>
      </c>
      <c r="K66" s="83">
        <f t="shared" ref="K66:AY66" si="10">K64/(COUNTIFS($E$5:$E$53,$E64,K$5:K$53,"Alive")+COUNTIFS($E$5:$E$53,$E64,K$5:K$53,"Sacrificed")+COUNTIFS($E$5:$E$53,$E64,K$5:K$53,"Died"))*J66</f>
        <v>1</v>
      </c>
      <c r="L66" s="83">
        <f t="shared" si="10"/>
        <v>1</v>
      </c>
      <c r="M66" s="83">
        <f t="shared" si="10"/>
        <v>1</v>
      </c>
      <c r="N66" s="83">
        <f t="shared" si="10"/>
        <v>1</v>
      </c>
      <c r="O66" s="83">
        <f t="shared" si="10"/>
        <v>1</v>
      </c>
      <c r="P66" s="83">
        <f t="shared" si="10"/>
        <v>1</v>
      </c>
      <c r="Q66" s="83">
        <f t="shared" si="10"/>
        <v>1</v>
      </c>
      <c r="R66" s="83">
        <f t="shared" si="10"/>
        <v>1</v>
      </c>
      <c r="S66" s="83">
        <f t="shared" si="10"/>
        <v>0.8</v>
      </c>
      <c r="T66" s="83">
        <f t="shared" si="10"/>
        <v>0.8</v>
      </c>
      <c r="U66" s="83">
        <f t="shared" si="10"/>
        <v>0.8</v>
      </c>
      <c r="V66" s="83">
        <f t="shared" si="10"/>
        <v>0.8</v>
      </c>
      <c r="W66" s="83">
        <f t="shared" si="10"/>
        <v>0.60000000000000009</v>
      </c>
      <c r="X66" s="83">
        <f t="shared" si="10"/>
        <v>0.60000000000000009</v>
      </c>
      <c r="Y66" s="83">
        <f t="shared" si="10"/>
        <v>0.2</v>
      </c>
      <c r="Z66" s="83">
        <f t="shared" si="10"/>
        <v>0.2</v>
      </c>
      <c r="AA66" s="83">
        <f t="shared" si="10"/>
        <v>0.2</v>
      </c>
      <c r="AB66" s="83">
        <f t="shared" si="10"/>
        <v>0</v>
      </c>
      <c r="AC66" s="83" t="e">
        <f t="shared" si="10"/>
        <v>#DIV/0!</v>
      </c>
      <c r="AD66" s="83" t="e">
        <f t="shared" si="10"/>
        <v>#DIV/0!</v>
      </c>
      <c r="AE66" s="83" t="e">
        <f t="shared" si="10"/>
        <v>#DIV/0!</v>
      </c>
      <c r="AF66" s="83" t="e">
        <f t="shared" si="10"/>
        <v>#DIV/0!</v>
      </c>
      <c r="AG66" s="83" t="e">
        <f t="shared" si="10"/>
        <v>#DIV/0!</v>
      </c>
      <c r="AH66" s="83" t="e">
        <f t="shared" si="10"/>
        <v>#DIV/0!</v>
      </c>
      <c r="AI66" s="83" t="e">
        <f t="shared" si="10"/>
        <v>#DIV/0!</v>
      </c>
      <c r="AJ66" s="83" t="e">
        <f t="shared" si="10"/>
        <v>#DIV/0!</v>
      </c>
      <c r="AK66" s="83" t="e">
        <f t="shared" si="10"/>
        <v>#DIV/0!</v>
      </c>
      <c r="AL66" s="83" t="e">
        <f t="shared" si="10"/>
        <v>#DIV/0!</v>
      </c>
      <c r="AM66" s="83" t="e">
        <f t="shared" si="10"/>
        <v>#DIV/0!</v>
      </c>
      <c r="AN66" s="83" t="e">
        <f t="shared" si="10"/>
        <v>#DIV/0!</v>
      </c>
      <c r="AO66" s="83" t="e">
        <f t="shared" si="10"/>
        <v>#DIV/0!</v>
      </c>
      <c r="AP66" s="83" t="e">
        <f t="shared" si="10"/>
        <v>#DIV/0!</v>
      </c>
      <c r="AQ66" s="83" t="e">
        <f t="shared" si="10"/>
        <v>#DIV/0!</v>
      </c>
      <c r="AR66" s="83" t="e">
        <f t="shared" si="10"/>
        <v>#DIV/0!</v>
      </c>
      <c r="AS66" s="83" t="e">
        <f t="shared" si="10"/>
        <v>#DIV/0!</v>
      </c>
      <c r="AT66" s="83" t="e">
        <f t="shared" si="10"/>
        <v>#DIV/0!</v>
      </c>
      <c r="AU66" s="83" t="e">
        <f t="shared" si="10"/>
        <v>#DIV/0!</v>
      </c>
      <c r="AV66" s="83" t="e">
        <f t="shared" si="10"/>
        <v>#DIV/0!</v>
      </c>
      <c r="AW66" s="83" t="e">
        <f t="shared" si="10"/>
        <v>#DIV/0!</v>
      </c>
      <c r="AX66" s="83" t="e">
        <f t="shared" si="10"/>
        <v>#DIV/0!</v>
      </c>
      <c r="AY66" s="83" t="e">
        <f t="shared" si="10"/>
        <v>#DIV/0!</v>
      </c>
      <c r="AZ66" s="3"/>
    </row>
    <row r="68" spans="1:52" ht="14.25" customHeight="1">
      <c r="A68" s="129"/>
      <c r="E68" s="134" t="str">
        <f>'PTX_DOSE Groups'!C8</f>
        <v>12.5mg CP-PTX</v>
      </c>
      <c r="H68" s="134" t="str">
        <f>E68</f>
        <v>12.5mg CP-PTX</v>
      </c>
      <c r="I68" s="216" t="s">
        <v>67</v>
      </c>
      <c r="J68" s="87">
        <f t="shared" ref="J68:AY68" si="11">COUNTIFS($E$5:$E$53,$E68,J$5:J$53,"Alive")</f>
        <v>6</v>
      </c>
      <c r="K68" s="87">
        <f t="shared" si="11"/>
        <v>6</v>
      </c>
      <c r="L68" s="87">
        <f t="shared" si="11"/>
        <v>6</v>
      </c>
      <c r="M68" s="87">
        <f t="shared" si="11"/>
        <v>6</v>
      </c>
      <c r="N68" s="87">
        <f t="shared" si="11"/>
        <v>6</v>
      </c>
      <c r="O68" s="87">
        <f t="shared" si="11"/>
        <v>6</v>
      </c>
      <c r="P68" s="87">
        <f t="shared" si="11"/>
        <v>6</v>
      </c>
      <c r="Q68" s="87">
        <f t="shared" si="11"/>
        <v>6</v>
      </c>
      <c r="R68" s="87">
        <f t="shared" si="11"/>
        <v>6</v>
      </c>
      <c r="S68" s="87">
        <f t="shared" si="11"/>
        <v>5</v>
      </c>
      <c r="T68" s="87">
        <f t="shared" si="11"/>
        <v>4</v>
      </c>
      <c r="U68" s="87">
        <f t="shared" si="11"/>
        <v>1</v>
      </c>
      <c r="V68" s="87">
        <f t="shared" si="11"/>
        <v>1</v>
      </c>
      <c r="W68" s="87">
        <f t="shared" si="11"/>
        <v>0</v>
      </c>
      <c r="X68" s="87">
        <f t="shared" si="11"/>
        <v>0</v>
      </c>
      <c r="Y68" s="87">
        <f t="shared" si="11"/>
        <v>0</v>
      </c>
      <c r="Z68" s="87">
        <f t="shared" si="11"/>
        <v>0</v>
      </c>
      <c r="AA68" s="87">
        <f t="shared" si="11"/>
        <v>0</v>
      </c>
      <c r="AB68" s="87">
        <f t="shared" si="11"/>
        <v>0</v>
      </c>
      <c r="AC68" s="87">
        <f t="shared" si="11"/>
        <v>0</v>
      </c>
      <c r="AD68" s="87">
        <f t="shared" si="11"/>
        <v>0</v>
      </c>
      <c r="AE68" s="87">
        <f t="shared" si="11"/>
        <v>0</v>
      </c>
      <c r="AF68" s="87">
        <f t="shared" si="11"/>
        <v>0</v>
      </c>
      <c r="AG68" s="87">
        <f t="shared" si="11"/>
        <v>0</v>
      </c>
      <c r="AH68" s="87">
        <f t="shared" si="11"/>
        <v>0</v>
      </c>
      <c r="AI68" s="87">
        <f t="shared" si="11"/>
        <v>0</v>
      </c>
      <c r="AJ68" s="87">
        <f t="shared" si="11"/>
        <v>0</v>
      </c>
      <c r="AK68" s="87">
        <f t="shared" si="11"/>
        <v>0</v>
      </c>
      <c r="AL68" s="87">
        <f t="shared" si="11"/>
        <v>0</v>
      </c>
      <c r="AM68" s="87">
        <f t="shared" si="11"/>
        <v>0</v>
      </c>
      <c r="AN68" s="87">
        <f t="shared" si="11"/>
        <v>0</v>
      </c>
      <c r="AO68" s="87">
        <f t="shared" si="11"/>
        <v>0</v>
      </c>
      <c r="AP68" s="87">
        <f t="shared" si="11"/>
        <v>0</v>
      </c>
      <c r="AQ68" s="87">
        <f t="shared" si="11"/>
        <v>0</v>
      </c>
      <c r="AR68" s="87">
        <f t="shared" si="11"/>
        <v>0</v>
      </c>
      <c r="AS68" s="87">
        <f t="shared" si="11"/>
        <v>0</v>
      </c>
      <c r="AT68" s="87">
        <f t="shared" si="11"/>
        <v>0</v>
      </c>
      <c r="AU68" s="87">
        <f t="shared" si="11"/>
        <v>0</v>
      </c>
      <c r="AV68" s="87">
        <f t="shared" si="11"/>
        <v>0</v>
      </c>
      <c r="AW68" s="87">
        <f t="shared" si="11"/>
        <v>0</v>
      </c>
      <c r="AX68" s="87">
        <f t="shared" si="11"/>
        <v>0</v>
      </c>
      <c r="AY68" s="87">
        <f t="shared" si="11"/>
        <v>0</v>
      </c>
      <c r="AZ68" s="85"/>
    </row>
    <row r="69" spans="1:52" ht="14.25" customHeight="1">
      <c r="A69" s="129"/>
      <c r="E69" s="104"/>
      <c r="H69" s="104"/>
      <c r="I69" s="216" t="s">
        <v>66</v>
      </c>
      <c r="J69" s="90">
        <f t="shared" ref="J69:AY69" si="12">COUNTIFS($E$5:$E$53,$E68,J$5:J$53,"Censored")</f>
        <v>0</v>
      </c>
      <c r="K69" s="90">
        <f t="shared" si="12"/>
        <v>0</v>
      </c>
      <c r="L69" s="90">
        <f t="shared" si="12"/>
        <v>0</v>
      </c>
      <c r="M69" s="90">
        <f t="shared" si="12"/>
        <v>0</v>
      </c>
      <c r="N69" s="90">
        <f t="shared" si="12"/>
        <v>0</v>
      </c>
      <c r="O69" s="90">
        <f t="shared" si="12"/>
        <v>0</v>
      </c>
      <c r="P69" s="90">
        <f t="shared" si="12"/>
        <v>0</v>
      </c>
      <c r="Q69" s="90">
        <f t="shared" si="12"/>
        <v>0</v>
      </c>
      <c r="R69" s="90">
        <f t="shared" si="12"/>
        <v>0</v>
      </c>
      <c r="S69" s="90">
        <f t="shared" si="12"/>
        <v>0</v>
      </c>
      <c r="T69" s="90">
        <f t="shared" si="12"/>
        <v>0</v>
      </c>
      <c r="U69" s="90">
        <f t="shared" si="12"/>
        <v>0</v>
      </c>
      <c r="V69" s="90">
        <f t="shared" si="12"/>
        <v>0</v>
      </c>
      <c r="W69" s="90">
        <f t="shared" si="12"/>
        <v>0</v>
      </c>
      <c r="X69" s="90">
        <f t="shared" si="12"/>
        <v>0</v>
      </c>
      <c r="Y69" s="90">
        <f t="shared" si="12"/>
        <v>0</v>
      </c>
      <c r="Z69" s="90">
        <f t="shared" si="12"/>
        <v>0</v>
      </c>
      <c r="AA69" s="90">
        <f t="shared" si="12"/>
        <v>0</v>
      </c>
      <c r="AB69" s="90">
        <f t="shared" si="12"/>
        <v>0</v>
      </c>
      <c r="AC69" s="90">
        <f t="shared" si="12"/>
        <v>0</v>
      </c>
      <c r="AD69" s="90">
        <f t="shared" si="12"/>
        <v>0</v>
      </c>
      <c r="AE69" s="90">
        <f t="shared" si="12"/>
        <v>0</v>
      </c>
      <c r="AF69" s="90">
        <f t="shared" si="12"/>
        <v>0</v>
      </c>
      <c r="AG69" s="90">
        <f t="shared" si="12"/>
        <v>0</v>
      </c>
      <c r="AH69" s="90">
        <f t="shared" si="12"/>
        <v>0</v>
      </c>
      <c r="AI69" s="90">
        <f t="shared" si="12"/>
        <v>0</v>
      </c>
      <c r="AJ69" s="90">
        <f t="shared" si="12"/>
        <v>0</v>
      </c>
      <c r="AK69" s="90">
        <f t="shared" si="12"/>
        <v>0</v>
      </c>
      <c r="AL69" s="90">
        <f t="shared" si="12"/>
        <v>0</v>
      </c>
      <c r="AM69" s="90">
        <f t="shared" si="12"/>
        <v>0</v>
      </c>
      <c r="AN69" s="90">
        <f t="shared" si="12"/>
        <v>0</v>
      </c>
      <c r="AO69" s="90">
        <f t="shared" si="12"/>
        <v>0</v>
      </c>
      <c r="AP69" s="90">
        <f t="shared" si="12"/>
        <v>0</v>
      </c>
      <c r="AQ69" s="90">
        <f t="shared" si="12"/>
        <v>0</v>
      </c>
      <c r="AR69" s="90">
        <f t="shared" si="12"/>
        <v>0</v>
      </c>
      <c r="AS69" s="90">
        <f t="shared" si="12"/>
        <v>0</v>
      </c>
      <c r="AT69" s="90">
        <f t="shared" si="12"/>
        <v>0</v>
      </c>
      <c r="AU69" s="90">
        <f t="shared" si="12"/>
        <v>0</v>
      </c>
      <c r="AV69" s="90">
        <f t="shared" si="12"/>
        <v>0</v>
      </c>
      <c r="AW69" s="90">
        <f t="shared" si="12"/>
        <v>0</v>
      </c>
      <c r="AX69" s="90">
        <f t="shared" si="12"/>
        <v>0</v>
      </c>
      <c r="AY69" s="90">
        <f t="shared" si="12"/>
        <v>0</v>
      </c>
      <c r="AZ69" s="85"/>
    </row>
    <row r="70" spans="1:52" ht="14.25" customHeight="1">
      <c r="E70" s="254"/>
      <c r="H70" s="104"/>
      <c r="I70" s="216" t="s">
        <v>68</v>
      </c>
      <c r="J70" s="83">
        <f>J68/(COUNTIFS($E$5:$E$53,$E68,J$5:J$53,"Alive")+COUNTIFS($E$5:$E$53,$E68,J$5:J$53,"Sacrificed")+COUNTIFS($E$5:$E$53,$E68,J$5:J$53,"Died"))</f>
        <v>1</v>
      </c>
      <c r="K70" s="83">
        <f t="shared" ref="K70:AY70" si="13">K68/(COUNTIFS($E$5:$E$53,$E68,K$5:K$53,"Alive")+COUNTIFS($E$5:$E$53,$E68,K$5:K$53,"Sacrificed")+COUNTIFS($E$5:$E$53,$E68,K$5:K$53,"Died"))*J70</f>
        <v>1</v>
      </c>
      <c r="L70" s="83">
        <f t="shared" si="13"/>
        <v>1</v>
      </c>
      <c r="M70" s="83">
        <f t="shared" si="13"/>
        <v>1</v>
      </c>
      <c r="N70" s="83">
        <f t="shared" si="13"/>
        <v>1</v>
      </c>
      <c r="O70" s="83">
        <f t="shared" si="13"/>
        <v>1</v>
      </c>
      <c r="P70" s="83">
        <f t="shared" si="13"/>
        <v>1</v>
      </c>
      <c r="Q70" s="83">
        <f t="shared" si="13"/>
        <v>1</v>
      </c>
      <c r="R70" s="83">
        <f t="shared" si="13"/>
        <v>1</v>
      </c>
      <c r="S70" s="83">
        <f t="shared" si="13"/>
        <v>0.83333333333333337</v>
      </c>
      <c r="T70" s="83">
        <f t="shared" si="13"/>
        <v>0.66666666666666674</v>
      </c>
      <c r="U70" s="83">
        <f t="shared" si="13"/>
        <v>0.16666666666666669</v>
      </c>
      <c r="V70" s="83">
        <f t="shared" si="13"/>
        <v>0.16666666666666669</v>
      </c>
      <c r="W70" s="83">
        <f t="shared" si="13"/>
        <v>0</v>
      </c>
      <c r="X70" s="83" t="e">
        <f t="shared" si="13"/>
        <v>#DIV/0!</v>
      </c>
      <c r="Y70" s="83" t="e">
        <f t="shared" si="13"/>
        <v>#DIV/0!</v>
      </c>
      <c r="Z70" s="83" t="e">
        <f t="shared" si="13"/>
        <v>#DIV/0!</v>
      </c>
      <c r="AA70" s="83" t="e">
        <f t="shared" si="13"/>
        <v>#DIV/0!</v>
      </c>
      <c r="AB70" s="83" t="e">
        <f t="shared" si="13"/>
        <v>#DIV/0!</v>
      </c>
      <c r="AC70" s="83" t="e">
        <f t="shared" si="13"/>
        <v>#DIV/0!</v>
      </c>
      <c r="AD70" s="83" t="e">
        <f t="shared" si="13"/>
        <v>#DIV/0!</v>
      </c>
      <c r="AE70" s="83" t="e">
        <f t="shared" si="13"/>
        <v>#DIV/0!</v>
      </c>
      <c r="AF70" s="83" t="e">
        <f t="shared" si="13"/>
        <v>#DIV/0!</v>
      </c>
      <c r="AG70" s="83" t="e">
        <f t="shared" si="13"/>
        <v>#DIV/0!</v>
      </c>
      <c r="AH70" s="83" t="e">
        <f t="shared" si="13"/>
        <v>#DIV/0!</v>
      </c>
      <c r="AI70" s="83" t="e">
        <f t="shared" si="13"/>
        <v>#DIV/0!</v>
      </c>
      <c r="AJ70" s="83" t="e">
        <f t="shared" si="13"/>
        <v>#DIV/0!</v>
      </c>
      <c r="AK70" s="83" t="e">
        <f t="shared" si="13"/>
        <v>#DIV/0!</v>
      </c>
      <c r="AL70" s="83" t="e">
        <f t="shared" si="13"/>
        <v>#DIV/0!</v>
      </c>
      <c r="AM70" s="83" t="e">
        <f t="shared" si="13"/>
        <v>#DIV/0!</v>
      </c>
      <c r="AN70" s="83" t="e">
        <f t="shared" si="13"/>
        <v>#DIV/0!</v>
      </c>
      <c r="AO70" s="83" t="e">
        <f t="shared" si="13"/>
        <v>#DIV/0!</v>
      </c>
      <c r="AP70" s="83" t="e">
        <f t="shared" si="13"/>
        <v>#DIV/0!</v>
      </c>
      <c r="AQ70" s="83" t="e">
        <f t="shared" si="13"/>
        <v>#DIV/0!</v>
      </c>
      <c r="AR70" s="83" t="e">
        <f t="shared" si="13"/>
        <v>#DIV/0!</v>
      </c>
      <c r="AS70" s="83" t="e">
        <f t="shared" si="13"/>
        <v>#DIV/0!</v>
      </c>
      <c r="AT70" s="83" t="e">
        <f t="shared" si="13"/>
        <v>#DIV/0!</v>
      </c>
      <c r="AU70" s="83" t="e">
        <f t="shared" si="13"/>
        <v>#DIV/0!</v>
      </c>
      <c r="AV70" s="83" t="e">
        <f t="shared" si="13"/>
        <v>#DIV/0!</v>
      </c>
      <c r="AW70" s="83" t="e">
        <f t="shared" si="13"/>
        <v>#DIV/0!</v>
      </c>
      <c r="AX70" s="83" t="e">
        <f t="shared" si="13"/>
        <v>#DIV/0!</v>
      </c>
      <c r="AY70" s="83" t="e">
        <f t="shared" si="13"/>
        <v>#DIV/0!</v>
      </c>
      <c r="AZ70" s="3"/>
    </row>
    <row r="72" spans="1:52" ht="14.25" customHeight="1">
      <c r="A72" s="129"/>
      <c r="E72" s="134" t="str">
        <f>'PTX_DOSE Groups'!C9</f>
        <v>12.5mg Combotherapy</v>
      </c>
      <c r="H72" s="134" t="str">
        <f>E72</f>
        <v>12.5mg Combotherapy</v>
      </c>
      <c r="I72" s="216" t="s">
        <v>67</v>
      </c>
      <c r="J72" s="87">
        <f t="shared" ref="J72:AY72" si="14">COUNTIFS($E$5:$E$53,$E72,J$5:J$53,"Alive")</f>
        <v>4</v>
      </c>
      <c r="K72" s="87">
        <f t="shared" si="14"/>
        <v>4</v>
      </c>
      <c r="L72" s="87">
        <f t="shared" si="14"/>
        <v>4</v>
      </c>
      <c r="M72" s="87">
        <f t="shared" si="14"/>
        <v>4</v>
      </c>
      <c r="N72" s="87">
        <f t="shared" si="14"/>
        <v>4</v>
      </c>
      <c r="O72" s="87">
        <f t="shared" si="14"/>
        <v>4</v>
      </c>
      <c r="P72" s="87">
        <f t="shared" si="14"/>
        <v>4</v>
      </c>
      <c r="Q72" s="87">
        <f t="shared" si="14"/>
        <v>4</v>
      </c>
      <c r="R72" s="87">
        <f t="shared" si="14"/>
        <v>4</v>
      </c>
      <c r="S72" s="87">
        <f t="shared" si="14"/>
        <v>4</v>
      </c>
      <c r="T72" s="87">
        <f t="shared" si="14"/>
        <v>4</v>
      </c>
      <c r="U72" s="87">
        <f t="shared" si="14"/>
        <v>4</v>
      </c>
      <c r="V72" s="87">
        <f t="shared" si="14"/>
        <v>4</v>
      </c>
      <c r="W72" s="87">
        <f t="shared" si="14"/>
        <v>4</v>
      </c>
      <c r="X72" s="87">
        <f t="shared" si="14"/>
        <v>4</v>
      </c>
      <c r="Y72" s="87">
        <f t="shared" si="14"/>
        <v>4</v>
      </c>
      <c r="Z72" s="87">
        <f t="shared" si="14"/>
        <v>4</v>
      </c>
      <c r="AA72" s="87">
        <f t="shared" si="14"/>
        <v>4</v>
      </c>
      <c r="AB72" s="87">
        <f t="shared" si="14"/>
        <v>3</v>
      </c>
      <c r="AC72" s="87">
        <f t="shared" si="14"/>
        <v>2</v>
      </c>
      <c r="AD72" s="87">
        <f t="shared" si="14"/>
        <v>2</v>
      </c>
      <c r="AE72" s="87">
        <f t="shared" si="14"/>
        <v>2</v>
      </c>
      <c r="AF72" s="87">
        <f t="shared" si="14"/>
        <v>2</v>
      </c>
      <c r="AG72" s="87">
        <f t="shared" si="14"/>
        <v>2</v>
      </c>
      <c r="AH72" s="87">
        <f t="shared" si="14"/>
        <v>2</v>
      </c>
      <c r="AI72" s="87">
        <f t="shared" si="14"/>
        <v>2</v>
      </c>
      <c r="AJ72" s="87">
        <f t="shared" si="14"/>
        <v>2</v>
      </c>
      <c r="AK72" s="87">
        <f t="shared" si="14"/>
        <v>2</v>
      </c>
      <c r="AL72" s="87">
        <f t="shared" si="14"/>
        <v>2</v>
      </c>
      <c r="AM72" s="87">
        <f t="shared" si="14"/>
        <v>2</v>
      </c>
      <c r="AN72" s="87">
        <f t="shared" si="14"/>
        <v>2</v>
      </c>
      <c r="AO72" s="87">
        <f t="shared" si="14"/>
        <v>2</v>
      </c>
      <c r="AP72" s="87">
        <f t="shared" si="14"/>
        <v>2</v>
      </c>
      <c r="AQ72" s="87">
        <f t="shared" si="14"/>
        <v>2</v>
      </c>
      <c r="AR72" s="87">
        <f t="shared" si="14"/>
        <v>2</v>
      </c>
      <c r="AS72" s="87">
        <f t="shared" si="14"/>
        <v>2</v>
      </c>
      <c r="AT72" s="87">
        <f t="shared" si="14"/>
        <v>2</v>
      </c>
      <c r="AU72" s="87">
        <f t="shared" si="14"/>
        <v>1</v>
      </c>
      <c r="AV72" s="87">
        <f t="shared" si="14"/>
        <v>0</v>
      </c>
      <c r="AW72" s="87">
        <f t="shared" si="14"/>
        <v>0</v>
      </c>
      <c r="AX72" s="87">
        <f t="shared" si="14"/>
        <v>0</v>
      </c>
      <c r="AY72" s="87">
        <f t="shared" si="14"/>
        <v>0</v>
      </c>
      <c r="AZ72" s="85"/>
    </row>
    <row r="73" spans="1:52" ht="14.25" customHeight="1">
      <c r="A73" s="129"/>
      <c r="E73" s="104"/>
      <c r="H73" s="104"/>
      <c r="I73" s="216" t="s">
        <v>66</v>
      </c>
      <c r="J73" s="90">
        <f t="shared" ref="J73:AY73" si="15">COUNTIFS($E$5:$E$53,$E72,J$5:J$53,"Censored")</f>
        <v>0</v>
      </c>
      <c r="K73" s="90">
        <f t="shared" si="15"/>
        <v>0</v>
      </c>
      <c r="L73" s="90">
        <f t="shared" si="15"/>
        <v>0</v>
      </c>
      <c r="M73" s="90">
        <f t="shared" si="15"/>
        <v>0</v>
      </c>
      <c r="N73" s="90">
        <f t="shared" si="15"/>
        <v>0</v>
      </c>
      <c r="O73" s="90">
        <f t="shared" si="15"/>
        <v>0</v>
      </c>
      <c r="P73" s="90">
        <f t="shared" si="15"/>
        <v>0</v>
      </c>
      <c r="Q73" s="90">
        <f t="shared" si="15"/>
        <v>0</v>
      </c>
      <c r="R73" s="90">
        <f t="shared" si="15"/>
        <v>0</v>
      </c>
      <c r="S73" s="90">
        <f t="shared" si="15"/>
        <v>0</v>
      </c>
      <c r="T73" s="90">
        <f t="shared" si="15"/>
        <v>0</v>
      </c>
      <c r="U73" s="90">
        <f t="shared" si="15"/>
        <v>0</v>
      </c>
      <c r="V73" s="90">
        <f t="shared" si="15"/>
        <v>0</v>
      </c>
      <c r="W73" s="90">
        <f t="shared" si="15"/>
        <v>0</v>
      </c>
      <c r="X73" s="90">
        <f t="shared" si="15"/>
        <v>0</v>
      </c>
      <c r="Y73" s="90">
        <f t="shared" si="15"/>
        <v>0</v>
      </c>
      <c r="Z73" s="90">
        <f t="shared" si="15"/>
        <v>0</v>
      </c>
      <c r="AA73" s="90">
        <f t="shared" si="15"/>
        <v>0</v>
      </c>
      <c r="AB73" s="90">
        <f t="shared" si="15"/>
        <v>0</v>
      </c>
      <c r="AC73" s="90">
        <f t="shared" si="15"/>
        <v>0</v>
      </c>
      <c r="AD73" s="90">
        <f t="shared" si="15"/>
        <v>0</v>
      </c>
      <c r="AE73" s="90">
        <f t="shared" si="15"/>
        <v>0</v>
      </c>
      <c r="AF73" s="90">
        <f t="shared" si="15"/>
        <v>0</v>
      </c>
      <c r="AG73" s="90">
        <f t="shared" si="15"/>
        <v>0</v>
      </c>
      <c r="AH73" s="90">
        <f t="shared" si="15"/>
        <v>0</v>
      </c>
      <c r="AI73" s="90">
        <f t="shared" si="15"/>
        <v>0</v>
      </c>
      <c r="AJ73" s="90">
        <f t="shared" si="15"/>
        <v>0</v>
      </c>
      <c r="AK73" s="90">
        <f t="shared" si="15"/>
        <v>0</v>
      </c>
      <c r="AL73" s="90">
        <f t="shared" si="15"/>
        <v>0</v>
      </c>
      <c r="AM73" s="90">
        <f t="shared" si="15"/>
        <v>0</v>
      </c>
      <c r="AN73" s="90">
        <f t="shared" si="15"/>
        <v>0</v>
      </c>
      <c r="AO73" s="90">
        <f t="shared" si="15"/>
        <v>0</v>
      </c>
      <c r="AP73" s="90">
        <f t="shared" si="15"/>
        <v>0</v>
      </c>
      <c r="AQ73" s="90">
        <f t="shared" si="15"/>
        <v>0</v>
      </c>
      <c r="AR73" s="90">
        <f t="shared" si="15"/>
        <v>0</v>
      </c>
      <c r="AS73" s="90">
        <f t="shared" si="15"/>
        <v>0</v>
      </c>
      <c r="AT73" s="90">
        <f t="shared" si="15"/>
        <v>0</v>
      </c>
      <c r="AU73" s="90">
        <f t="shared" si="15"/>
        <v>0</v>
      </c>
      <c r="AV73" s="90">
        <f t="shared" si="15"/>
        <v>0</v>
      </c>
      <c r="AW73" s="90">
        <f t="shared" si="15"/>
        <v>0</v>
      </c>
      <c r="AX73" s="90">
        <f t="shared" si="15"/>
        <v>0</v>
      </c>
      <c r="AY73" s="90">
        <f t="shared" si="15"/>
        <v>0</v>
      </c>
      <c r="AZ73" s="85"/>
    </row>
    <row r="74" spans="1:52" ht="14.25" customHeight="1">
      <c r="E74" s="254"/>
      <c r="H74" s="104"/>
      <c r="I74" s="216" t="s">
        <v>68</v>
      </c>
      <c r="J74" s="83">
        <f>J72/(COUNTIFS($E$5:$E$53,$E72,J$5:J$53,"Alive")+COUNTIFS($E$5:$E$53,$E72,J$5:J$53,"Sacrificed")+COUNTIFS($E$5:$E$53,$E72,J$5:J$53,"Died"))</f>
        <v>1</v>
      </c>
      <c r="K74" s="83">
        <f t="shared" ref="K74:AY74" si="16">K72/(COUNTIFS($E$5:$E$53,$E72,K$5:K$53,"Alive")+COUNTIFS($E$5:$E$53,$E72,K$5:K$53,"Sacrificed")+COUNTIFS($E$5:$E$53,$E72,K$5:K$53,"Died"))*J74</f>
        <v>1</v>
      </c>
      <c r="L74" s="83">
        <f t="shared" si="16"/>
        <v>1</v>
      </c>
      <c r="M74" s="83">
        <f t="shared" si="16"/>
        <v>1</v>
      </c>
      <c r="N74" s="83">
        <f t="shared" si="16"/>
        <v>1</v>
      </c>
      <c r="O74" s="83">
        <f t="shared" si="16"/>
        <v>1</v>
      </c>
      <c r="P74" s="83">
        <f t="shared" si="16"/>
        <v>1</v>
      </c>
      <c r="Q74" s="83">
        <f t="shared" si="16"/>
        <v>1</v>
      </c>
      <c r="R74" s="83">
        <f t="shared" si="16"/>
        <v>1</v>
      </c>
      <c r="S74" s="83">
        <f t="shared" si="16"/>
        <v>1</v>
      </c>
      <c r="T74" s="83">
        <f t="shared" si="16"/>
        <v>1</v>
      </c>
      <c r="U74" s="83">
        <f t="shared" si="16"/>
        <v>1</v>
      </c>
      <c r="V74" s="83">
        <f t="shared" si="16"/>
        <v>1</v>
      </c>
      <c r="W74" s="83">
        <f t="shared" si="16"/>
        <v>1</v>
      </c>
      <c r="X74" s="83">
        <f t="shared" si="16"/>
        <v>1</v>
      </c>
      <c r="Y74" s="83">
        <f t="shared" si="16"/>
        <v>1</v>
      </c>
      <c r="Z74" s="83">
        <f t="shared" si="16"/>
        <v>1</v>
      </c>
      <c r="AA74" s="83">
        <f t="shared" si="16"/>
        <v>1</v>
      </c>
      <c r="AB74" s="83">
        <f t="shared" si="16"/>
        <v>0.75</v>
      </c>
      <c r="AC74" s="83">
        <f t="shared" si="16"/>
        <v>0.5</v>
      </c>
      <c r="AD74" s="83">
        <f t="shared" si="16"/>
        <v>0.5</v>
      </c>
      <c r="AE74" s="83">
        <f t="shared" si="16"/>
        <v>0.5</v>
      </c>
      <c r="AF74" s="83">
        <f t="shared" si="16"/>
        <v>0.5</v>
      </c>
      <c r="AG74" s="83">
        <f t="shared" si="16"/>
        <v>0.5</v>
      </c>
      <c r="AH74" s="83">
        <f t="shared" si="16"/>
        <v>0.5</v>
      </c>
      <c r="AI74" s="83">
        <f t="shared" si="16"/>
        <v>0.5</v>
      </c>
      <c r="AJ74" s="83">
        <f t="shared" si="16"/>
        <v>0.5</v>
      </c>
      <c r="AK74" s="83">
        <f t="shared" si="16"/>
        <v>0.5</v>
      </c>
      <c r="AL74" s="83">
        <f t="shared" si="16"/>
        <v>0.5</v>
      </c>
      <c r="AM74" s="83">
        <f t="shared" si="16"/>
        <v>0.5</v>
      </c>
      <c r="AN74" s="83">
        <f t="shared" si="16"/>
        <v>0.5</v>
      </c>
      <c r="AO74" s="83">
        <f t="shared" si="16"/>
        <v>0.5</v>
      </c>
      <c r="AP74" s="83">
        <f t="shared" si="16"/>
        <v>0.5</v>
      </c>
      <c r="AQ74" s="83">
        <f t="shared" si="16"/>
        <v>0.5</v>
      </c>
      <c r="AR74" s="83">
        <f t="shared" si="16"/>
        <v>0.5</v>
      </c>
      <c r="AS74" s="83">
        <f t="shared" si="16"/>
        <v>0.5</v>
      </c>
      <c r="AT74" s="83">
        <f t="shared" si="16"/>
        <v>0.5</v>
      </c>
      <c r="AU74" s="83">
        <f t="shared" si="16"/>
        <v>0.25</v>
      </c>
      <c r="AV74" s="83">
        <f t="shared" si="16"/>
        <v>0</v>
      </c>
      <c r="AW74" s="83" t="e">
        <f t="shared" si="16"/>
        <v>#DIV/0!</v>
      </c>
      <c r="AX74" s="83" t="e">
        <f t="shared" si="16"/>
        <v>#DIV/0!</v>
      </c>
      <c r="AY74" s="83" t="e">
        <f t="shared" si="16"/>
        <v>#DIV/0!</v>
      </c>
      <c r="AZ74" s="3"/>
    </row>
    <row r="76" spans="1:52" ht="14.25" customHeight="1">
      <c r="A76" s="129"/>
      <c r="E76" s="134" t="str">
        <f>'PTX_DOSE Groups'!C10</f>
        <v>25mg CP-PTX</v>
      </c>
      <c r="H76" s="134" t="str">
        <f>E76</f>
        <v>25mg CP-PTX</v>
      </c>
      <c r="I76" s="216" t="s">
        <v>67</v>
      </c>
      <c r="J76" s="87">
        <f t="shared" ref="J76:AY76" si="17">COUNTIFS($E$5:$E$53,$E76,J$5:J$53,"Alive")</f>
        <v>4</v>
      </c>
      <c r="K76" s="87">
        <f t="shared" si="17"/>
        <v>4</v>
      </c>
      <c r="L76" s="87">
        <f t="shared" si="17"/>
        <v>4</v>
      </c>
      <c r="M76" s="87">
        <f t="shared" si="17"/>
        <v>4</v>
      </c>
      <c r="N76" s="87">
        <f t="shared" si="17"/>
        <v>4</v>
      </c>
      <c r="O76" s="87">
        <f t="shared" si="17"/>
        <v>4</v>
      </c>
      <c r="P76" s="87">
        <f t="shared" si="17"/>
        <v>4</v>
      </c>
      <c r="Q76" s="87">
        <f t="shared" si="17"/>
        <v>4</v>
      </c>
      <c r="R76" s="87">
        <f t="shared" si="17"/>
        <v>4</v>
      </c>
      <c r="S76" s="87">
        <f t="shared" si="17"/>
        <v>4</v>
      </c>
      <c r="T76" s="87">
        <f t="shared" si="17"/>
        <v>4</v>
      </c>
      <c r="U76" s="87">
        <f t="shared" si="17"/>
        <v>3</v>
      </c>
      <c r="V76" s="87">
        <f t="shared" si="17"/>
        <v>3</v>
      </c>
      <c r="W76" s="87">
        <f t="shared" si="17"/>
        <v>1</v>
      </c>
      <c r="X76" s="87">
        <f t="shared" si="17"/>
        <v>1</v>
      </c>
      <c r="Y76" s="87">
        <f t="shared" si="17"/>
        <v>0</v>
      </c>
      <c r="Z76" s="87">
        <f t="shared" si="17"/>
        <v>0</v>
      </c>
      <c r="AA76" s="87">
        <f t="shared" si="17"/>
        <v>0</v>
      </c>
      <c r="AB76" s="87">
        <f t="shared" si="17"/>
        <v>0</v>
      </c>
      <c r="AC76" s="87">
        <f t="shared" si="17"/>
        <v>0</v>
      </c>
      <c r="AD76" s="87">
        <f t="shared" si="17"/>
        <v>0</v>
      </c>
      <c r="AE76" s="87">
        <f t="shared" si="17"/>
        <v>0</v>
      </c>
      <c r="AF76" s="87">
        <f t="shared" si="17"/>
        <v>0</v>
      </c>
      <c r="AG76" s="87">
        <f t="shared" si="17"/>
        <v>0</v>
      </c>
      <c r="AH76" s="87">
        <f t="shared" si="17"/>
        <v>0</v>
      </c>
      <c r="AI76" s="87">
        <f t="shared" si="17"/>
        <v>0</v>
      </c>
      <c r="AJ76" s="87">
        <f t="shared" si="17"/>
        <v>0</v>
      </c>
      <c r="AK76" s="87">
        <f t="shared" si="17"/>
        <v>0</v>
      </c>
      <c r="AL76" s="87">
        <f t="shared" si="17"/>
        <v>0</v>
      </c>
      <c r="AM76" s="87">
        <f t="shared" si="17"/>
        <v>0</v>
      </c>
      <c r="AN76" s="87">
        <f t="shared" si="17"/>
        <v>0</v>
      </c>
      <c r="AO76" s="87">
        <f t="shared" si="17"/>
        <v>0</v>
      </c>
      <c r="AP76" s="87">
        <f t="shared" si="17"/>
        <v>0</v>
      </c>
      <c r="AQ76" s="87">
        <f t="shared" si="17"/>
        <v>0</v>
      </c>
      <c r="AR76" s="87">
        <f t="shared" si="17"/>
        <v>0</v>
      </c>
      <c r="AS76" s="87">
        <f t="shared" si="17"/>
        <v>0</v>
      </c>
      <c r="AT76" s="87">
        <f t="shared" si="17"/>
        <v>0</v>
      </c>
      <c r="AU76" s="87">
        <f t="shared" si="17"/>
        <v>0</v>
      </c>
      <c r="AV76" s="87">
        <f t="shared" si="17"/>
        <v>0</v>
      </c>
      <c r="AW76" s="87">
        <f t="shared" si="17"/>
        <v>0</v>
      </c>
      <c r="AX76" s="87">
        <f t="shared" si="17"/>
        <v>0</v>
      </c>
      <c r="AY76" s="87">
        <f t="shared" si="17"/>
        <v>0</v>
      </c>
      <c r="AZ76" s="85"/>
    </row>
    <row r="77" spans="1:52" ht="14.25" customHeight="1">
      <c r="A77" s="129"/>
      <c r="E77" s="104"/>
      <c r="H77" s="104"/>
      <c r="I77" s="216" t="s">
        <v>66</v>
      </c>
      <c r="J77" s="90">
        <f t="shared" ref="J77:AY77" si="18">COUNTIFS($E$5:$E$53,$E76,J$5:J$53,"Censored")</f>
        <v>0</v>
      </c>
      <c r="K77" s="90">
        <f t="shared" si="18"/>
        <v>0</v>
      </c>
      <c r="L77" s="90">
        <f t="shared" si="18"/>
        <v>0</v>
      </c>
      <c r="M77" s="90">
        <f t="shared" si="18"/>
        <v>0</v>
      </c>
      <c r="N77" s="90">
        <f t="shared" si="18"/>
        <v>0</v>
      </c>
      <c r="O77" s="90">
        <f t="shared" si="18"/>
        <v>0</v>
      </c>
      <c r="P77" s="90">
        <f t="shared" si="18"/>
        <v>0</v>
      </c>
      <c r="Q77" s="90">
        <f t="shared" si="18"/>
        <v>0</v>
      </c>
      <c r="R77" s="90">
        <f t="shared" si="18"/>
        <v>0</v>
      </c>
      <c r="S77" s="90">
        <f t="shared" si="18"/>
        <v>0</v>
      </c>
      <c r="T77" s="90">
        <f t="shared" si="18"/>
        <v>0</v>
      </c>
      <c r="U77" s="90">
        <f t="shared" si="18"/>
        <v>0</v>
      </c>
      <c r="V77" s="90">
        <f t="shared" si="18"/>
        <v>0</v>
      </c>
      <c r="W77" s="90">
        <f t="shared" si="18"/>
        <v>0</v>
      </c>
      <c r="X77" s="90">
        <f t="shared" si="18"/>
        <v>0</v>
      </c>
      <c r="Y77" s="90">
        <f t="shared" si="18"/>
        <v>0</v>
      </c>
      <c r="Z77" s="90">
        <f t="shared" si="18"/>
        <v>0</v>
      </c>
      <c r="AA77" s="90">
        <f t="shared" si="18"/>
        <v>0</v>
      </c>
      <c r="AB77" s="90">
        <f t="shared" si="18"/>
        <v>0</v>
      </c>
      <c r="AC77" s="90">
        <f t="shared" si="18"/>
        <v>0</v>
      </c>
      <c r="AD77" s="90">
        <f t="shared" si="18"/>
        <v>0</v>
      </c>
      <c r="AE77" s="90">
        <f t="shared" si="18"/>
        <v>0</v>
      </c>
      <c r="AF77" s="90">
        <f t="shared" si="18"/>
        <v>0</v>
      </c>
      <c r="AG77" s="90">
        <f t="shared" si="18"/>
        <v>0</v>
      </c>
      <c r="AH77" s="90">
        <f t="shared" si="18"/>
        <v>0</v>
      </c>
      <c r="AI77" s="90">
        <f t="shared" si="18"/>
        <v>0</v>
      </c>
      <c r="AJ77" s="90">
        <f t="shared" si="18"/>
        <v>0</v>
      </c>
      <c r="AK77" s="90">
        <f t="shared" si="18"/>
        <v>0</v>
      </c>
      <c r="AL77" s="90">
        <f t="shared" si="18"/>
        <v>0</v>
      </c>
      <c r="AM77" s="90">
        <f t="shared" si="18"/>
        <v>0</v>
      </c>
      <c r="AN77" s="90">
        <f t="shared" si="18"/>
        <v>0</v>
      </c>
      <c r="AO77" s="90">
        <f t="shared" si="18"/>
        <v>0</v>
      </c>
      <c r="AP77" s="90">
        <f t="shared" si="18"/>
        <v>0</v>
      </c>
      <c r="AQ77" s="90">
        <f t="shared" si="18"/>
        <v>0</v>
      </c>
      <c r="AR77" s="90">
        <f t="shared" si="18"/>
        <v>0</v>
      </c>
      <c r="AS77" s="90">
        <f t="shared" si="18"/>
        <v>0</v>
      </c>
      <c r="AT77" s="90">
        <f t="shared" si="18"/>
        <v>0</v>
      </c>
      <c r="AU77" s="90">
        <f t="shared" si="18"/>
        <v>0</v>
      </c>
      <c r="AV77" s="90">
        <f t="shared" si="18"/>
        <v>0</v>
      </c>
      <c r="AW77" s="90">
        <f t="shared" si="18"/>
        <v>0</v>
      </c>
      <c r="AX77" s="90">
        <f t="shared" si="18"/>
        <v>0</v>
      </c>
      <c r="AY77" s="90">
        <f t="shared" si="18"/>
        <v>0</v>
      </c>
      <c r="AZ77" s="85"/>
    </row>
    <row r="78" spans="1:52" ht="14.25" customHeight="1">
      <c r="E78" s="254"/>
      <c r="H78" s="104"/>
      <c r="I78" s="216" t="s">
        <v>68</v>
      </c>
      <c r="J78" s="83">
        <f>J76/(COUNTIFS($E$5:$E$53,$E76,J$5:J$53,"Alive")+COUNTIFS($E$5:$E$53,$E76,J$5:J$53,"Sacrificed")+COUNTIFS($E$5:$E$53,$E76,J$5:J$53,"Died"))</f>
        <v>1</v>
      </c>
      <c r="K78" s="83">
        <f t="shared" ref="K78:AY78" si="19">K76/(COUNTIFS($E$5:$E$53,$E76,K$5:K$53,"Alive")+COUNTIFS($E$5:$E$53,$E76,K$5:K$53,"Sacrificed")+COUNTIFS($E$5:$E$53,$E76,K$5:K$53,"Died"))*J78</f>
        <v>1</v>
      </c>
      <c r="L78" s="83">
        <f t="shared" si="19"/>
        <v>1</v>
      </c>
      <c r="M78" s="83">
        <f t="shared" si="19"/>
        <v>1</v>
      </c>
      <c r="N78" s="83">
        <f t="shared" si="19"/>
        <v>1</v>
      </c>
      <c r="O78" s="83">
        <f t="shared" si="19"/>
        <v>1</v>
      </c>
      <c r="P78" s="83">
        <f t="shared" si="19"/>
        <v>1</v>
      </c>
      <c r="Q78" s="83">
        <f t="shared" si="19"/>
        <v>1</v>
      </c>
      <c r="R78" s="83">
        <f t="shared" si="19"/>
        <v>1</v>
      </c>
      <c r="S78" s="83">
        <f t="shared" si="19"/>
        <v>1</v>
      </c>
      <c r="T78" s="83">
        <f t="shared" si="19"/>
        <v>1</v>
      </c>
      <c r="U78" s="83">
        <f t="shared" si="19"/>
        <v>0.75</v>
      </c>
      <c r="V78" s="83">
        <f t="shared" si="19"/>
        <v>0.75</v>
      </c>
      <c r="W78" s="83">
        <f t="shared" si="19"/>
        <v>0.25</v>
      </c>
      <c r="X78" s="83">
        <f t="shared" si="19"/>
        <v>0.25</v>
      </c>
      <c r="Y78" s="83">
        <f t="shared" si="19"/>
        <v>0</v>
      </c>
      <c r="Z78" s="83" t="e">
        <f t="shared" si="19"/>
        <v>#DIV/0!</v>
      </c>
      <c r="AA78" s="83" t="e">
        <f t="shared" si="19"/>
        <v>#DIV/0!</v>
      </c>
      <c r="AB78" s="83" t="e">
        <f t="shared" si="19"/>
        <v>#DIV/0!</v>
      </c>
      <c r="AC78" s="83" t="e">
        <f t="shared" si="19"/>
        <v>#DIV/0!</v>
      </c>
      <c r="AD78" s="83" t="e">
        <f t="shared" si="19"/>
        <v>#DIV/0!</v>
      </c>
      <c r="AE78" s="83" t="e">
        <f t="shared" si="19"/>
        <v>#DIV/0!</v>
      </c>
      <c r="AF78" s="83" t="e">
        <f t="shared" si="19"/>
        <v>#DIV/0!</v>
      </c>
      <c r="AG78" s="83" t="e">
        <f t="shared" si="19"/>
        <v>#DIV/0!</v>
      </c>
      <c r="AH78" s="83" t="e">
        <f t="shared" si="19"/>
        <v>#DIV/0!</v>
      </c>
      <c r="AI78" s="83" t="e">
        <f t="shared" si="19"/>
        <v>#DIV/0!</v>
      </c>
      <c r="AJ78" s="83" t="e">
        <f t="shared" si="19"/>
        <v>#DIV/0!</v>
      </c>
      <c r="AK78" s="83" t="e">
        <f t="shared" si="19"/>
        <v>#DIV/0!</v>
      </c>
      <c r="AL78" s="83" t="e">
        <f t="shared" si="19"/>
        <v>#DIV/0!</v>
      </c>
      <c r="AM78" s="83" t="e">
        <f t="shared" si="19"/>
        <v>#DIV/0!</v>
      </c>
      <c r="AN78" s="83" t="e">
        <f t="shared" si="19"/>
        <v>#DIV/0!</v>
      </c>
      <c r="AO78" s="83" t="e">
        <f t="shared" si="19"/>
        <v>#DIV/0!</v>
      </c>
      <c r="AP78" s="83" t="e">
        <f t="shared" si="19"/>
        <v>#DIV/0!</v>
      </c>
      <c r="AQ78" s="83" t="e">
        <f t="shared" si="19"/>
        <v>#DIV/0!</v>
      </c>
      <c r="AR78" s="83" t="e">
        <f t="shared" si="19"/>
        <v>#DIV/0!</v>
      </c>
      <c r="AS78" s="83" t="e">
        <f t="shared" si="19"/>
        <v>#DIV/0!</v>
      </c>
      <c r="AT78" s="83" t="e">
        <f t="shared" si="19"/>
        <v>#DIV/0!</v>
      </c>
      <c r="AU78" s="83" t="e">
        <f t="shared" si="19"/>
        <v>#DIV/0!</v>
      </c>
      <c r="AV78" s="83" t="e">
        <f t="shared" si="19"/>
        <v>#DIV/0!</v>
      </c>
      <c r="AW78" s="83" t="e">
        <f t="shared" si="19"/>
        <v>#DIV/0!</v>
      </c>
      <c r="AX78" s="83" t="e">
        <f t="shared" si="19"/>
        <v>#DIV/0!</v>
      </c>
      <c r="AY78" s="83" t="e">
        <f t="shared" si="19"/>
        <v>#DIV/0!</v>
      </c>
      <c r="AZ78" s="3"/>
    </row>
    <row r="80" spans="1:52" ht="14.25" customHeight="1">
      <c r="A80" s="129"/>
      <c r="E80" s="134" t="str">
        <f>'PTX_DOSE Groups'!C11</f>
        <v>25mg Combotherapy</v>
      </c>
      <c r="H80" s="134" t="str">
        <f>E80</f>
        <v>25mg Combotherapy</v>
      </c>
      <c r="I80" s="216" t="s">
        <v>67</v>
      </c>
      <c r="J80" s="87">
        <f t="shared" ref="J80:AY80" si="20">COUNTIFS($E$5:$E$53,$E80,J$5:J$53,"Alive")</f>
        <v>5</v>
      </c>
      <c r="K80" s="87">
        <f t="shared" si="20"/>
        <v>5</v>
      </c>
      <c r="L80" s="87">
        <f t="shared" si="20"/>
        <v>5</v>
      </c>
      <c r="M80" s="87">
        <f t="shared" si="20"/>
        <v>5</v>
      </c>
      <c r="N80" s="87">
        <f t="shared" si="20"/>
        <v>5</v>
      </c>
      <c r="O80" s="87">
        <f t="shared" si="20"/>
        <v>5</v>
      </c>
      <c r="P80" s="87">
        <f t="shared" si="20"/>
        <v>5</v>
      </c>
      <c r="Q80" s="87">
        <f t="shared" si="20"/>
        <v>5</v>
      </c>
      <c r="R80" s="87">
        <f t="shared" si="20"/>
        <v>5</v>
      </c>
      <c r="S80" s="87">
        <f t="shared" si="20"/>
        <v>5</v>
      </c>
      <c r="T80" s="87">
        <f t="shared" si="20"/>
        <v>5</v>
      </c>
      <c r="U80" s="87">
        <f t="shared" si="20"/>
        <v>4</v>
      </c>
      <c r="V80" s="87">
        <f t="shared" si="20"/>
        <v>4</v>
      </c>
      <c r="W80" s="87">
        <f t="shared" si="20"/>
        <v>4</v>
      </c>
      <c r="X80" s="87">
        <f t="shared" si="20"/>
        <v>3</v>
      </c>
      <c r="Y80" s="87">
        <f t="shared" si="20"/>
        <v>2</v>
      </c>
      <c r="Z80" s="87">
        <f t="shared" si="20"/>
        <v>2</v>
      </c>
      <c r="AA80" s="87">
        <f t="shared" si="20"/>
        <v>2</v>
      </c>
      <c r="AB80" s="87">
        <f t="shared" si="20"/>
        <v>1</v>
      </c>
      <c r="AC80" s="87">
        <f t="shared" si="20"/>
        <v>1</v>
      </c>
      <c r="AD80" s="87">
        <f t="shared" si="20"/>
        <v>0</v>
      </c>
      <c r="AE80" s="87">
        <f t="shared" si="20"/>
        <v>0</v>
      </c>
      <c r="AF80" s="87">
        <f t="shared" si="20"/>
        <v>0</v>
      </c>
      <c r="AG80" s="87">
        <f t="shared" si="20"/>
        <v>0</v>
      </c>
      <c r="AH80" s="87">
        <f t="shared" si="20"/>
        <v>0</v>
      </c>
      <c r="AI80" s="87">
        <f t="shared" si="20"/>
        <v>0</v>
      </c>
      <c r="AJ80" s="87">
        <f t="shared" si="20"/>
        <v>0</v>
      </c>
      <c r="AK80" s="87">
        <f t="shared" si="20"/>
        <v>0</v>
      </c>
      <c r="AL80" s="87">
        <f t="shared" si="20"/>
        <v>0</v>
      </c>
      <c r="AM80" s="87">
        <f t="shared" si="20"/>
        <v>0</v>
      </c>
      <c r="AN80" s="87">
        <f t="shared" si="20"/>
        <v>0</v>
      </c>
      <c r="AO80" s="87">
        <f t="shared" si="20"/>
        <v>0</v>
      </c>
      <c r="AP80" s="87">
        <f t="shared" si="20"/>
        <v>0</v>
      </c>
      <c r="AQ80" s="87">
        <f t="shared" si="20"/>
        <v>0</v>
      </c>
      <c r="AR80" s="87">
        <f t="shared" si="20"/>
        <v>0</v>
      </c>
      <c r="AS80" s="87">
        <f t="shared" si="20"/>
        <v>0</v>
      </c>
      <c r="AT80" s="87">
        <f t="shared" si="20"/>
        <v>0</v>
      </c>
      <c r="AU80" s="87">
        <f t="shared" si="20"/>
        <v>0</v>
      </c>
      <c r="AV80" s="87">
        <f t="shared" si="20"/>
        <v>0</v>
      </c>
      <c r="AW80" s="87">
        <f t="shared" si="20"/>
        <v>0</v>
      </c>
      <c r="AX80" s="87">
        <f t="shared" si="20"/>
        <v>0</v>
      </c>
      <c r="AY80" s="87">
        <f t="shared" si="20"/>
        <v>0</v>
      </c>
      <c r="AZ80" s="85"/>
    </row>
    <row r="81" spans="1:52" ht="14.25" customHeight="1">
      <c r="A81" s="129"/>
      <c r="E81" s="104"/>
      <c r="H81" s="104"/>
      <c r="I81" s="216" t="s">
        <v>66</v>
      </c>
      <c r="J81" s="90">
        <f t="shared" ref="J81:AY81" si="21">COUNTIFS($E$5:$E$53,$E80,J$5:J$53,"Censored")</f>
        <v>0</v>
      </c>
      <c r="K81" s="90">
        <f t="shared" si="21"/>
        <v>0</v>
      </c>
      <c r="L81" s="90">
        <f t="shared" si="21"/>
        <v>0</v>
      </c>
      <c r="M81" s="90">
        <f t="shared" si="21"/>
        <v>0</v>
      </c>
      <c r="N81" s="90">
        <f t="shared" si="21"/>
        <v>0</v>
      </c>
      <c r="O81" s="90">
        <f t="shared" si="21"/>
        <v>0</v>
      </c>
      <c r="P81" s="90">
        <f t="shared" si="21"/>
        <v>0</v>
      </c>
      <c r="Q81" s="90">
        <f t="shared" si="21"/>
        <v>0</v>
      </c>
      <c r="R81" s="90">
        <f t="shared" si="21"/>
        <v>0</v>
      </c>
      <c r="S81" s="90">
        <f t="shared" si="21"/>
        <v>0</v>
      </c>
      <c r="T81" s="90">
        <f t="shared" si="21"/>
        <v>0</v>
      </c>
      <c r="U81" s="90">
        <f t="shared" si="21"/>
        <v>0</v>
      </c>
      <c r="V81" s="90">
        <f t="shared" si="21"/>
        <v>0</v>
      </c>
      <c r="W81" s="90">
        <f t="shared" si="21"/>
        <v>0</v>
      </c>
      <c r="X81" s="90">
        <f t="shared" si="21"/>
        <v>0</v>
      </c>
      <c r="Y81" s="90">
        <f t="shared" si="21"/>
        <v>0</v>
      </c>
      <c r="Z81" s="90">
        <f t="shared" si="21"/>
        <v>0</v>
      </c>
      <c r="AA81" s="90">
        <f t="shared" si="21"/>
        <v>0</v>
      </c>
      <c r="AB81" s="90">
        <f t="shared" si="21"/>
        <v>0</v>
      </c>
      <c r="AC81" s="90">
        <f t="shared" si="21"/>
        <v>0</v>
      </c>
      <c r="AD81" s="90">
        <f t="shared" si="21"/>
        <v>0</v>
      </c>
      <c r="AE81" s="90">
        <f t="shared" si="21"/>
        <v>0</v>
      </c>
      <c r="AF81" s="90">
        <f t="shared" si="21"/>
        <v>0</v>
      </c>
      <c r="AG81" s="90">
        <f t="shared" si="21"/>
        <v>0</v>
      </c>
      <c r="AH81" s="90">
        <f t="shared" si="21"/>
        <v>0</v>
      </c>
      <c r="AI81" s="90">
        <f t="shared" si="21"/>
        <v>0</v>
      </c>
      <c r="AJ81" s="90">
        <f t="shared" si="21"/>
        <v>0</v>
      </c>
      <c r="AK81" s="90">
        <f t="shared" si="21"/>
        <v>0</v>
      </c>
      <c r="AL81" s="90">
        <f t="shared" si="21"/>
        <v>0</v>
      </c>
      <c r="AM81" s="90">
        <f t="shared" si="21"/>
        <v>0</v>
      </c>
      <c r="AN81" s="90">
        <f t="shared" si="21"/>
        <v>0</v>
      </c>
      <c r="AO81" s="90">
        <f t="shared" si="21"/>
        <v>0</v>
      </c>
      <c r="AP81" s="90">
        <f t="shared" si="21"/>
        <v>0</v>
      </c>
      <c r="AQ81" s="90">
        <f t="shared" si="21"/>
        <v>0</v>
      </c>
      <c r="AR81" s="90">
        <f t="shared" si="21"/>
        <v>0</v>
      </c>
      <c r="AS81" s="90">
        <f t="shared" si="21"/>
        <v>0</v>
      </c>
      <c r="AT81" s="90">
        <f t="shared" si="21"/>
        <v>0</v>
      </c>
      <c r="AU81" s="90">
        <f t="shared" si="21"/>
        <v>0</v>
      </c>
      <c r="AV81" s="90">
        <f t="shared" si="21"/>
        <v>0</v>
      </c>
      <c r="AW81" s="90">
        <f t="shared" si="21"/>
        <v>0</v>
      </c>
      <c r="AX81" s="90">
        <f t="shared" si="21"/>
        <v>0</v>
      </c>
      <c r="AY81" s="90">
        <f t="shared" si="21"/>
        <v>0</v>
      </c>
      <c r="AZ81" s="85"/>
    </row>
    <row r="82" spans="1:52" ht="14.25" customHeight="1">
      <c r="E82" s="254"/>
      <c r="H82" s="104"/>
      <c r="I82" s="216" t="s">
        <v>68</v>
      </c>
      <c r="J82" s="83">
        <f>J80/(COUNTIFS($E$5:$E$53,$E80,J$5:J$53,"Alive")+COUNTIFS($E$5:$E$53,$E80,J$5:J$53,"Sacrificed")+COUNTIFS($E$5:$E$53,$E80,J$5:J$53,"Died"))</f>
        <v>1</v>
      </c>
      <c r="K82" s="83">
        <f t="shared" ref="K82:AY82" si="22">K80/(COUNTIFS($E$5:$E$53,$E80,K$5:K$53,"Alive")+COUNTIFS($E$5:$E$53,$E80,K$5:K$53,"Sacrificed")+COUNTIFS($E$5:$E$53,$E80,K$5:K$53,"Died"))*J82</f>
        <v>1</v>
      </c>
      <c r="L82" s="83">
        <f t="shared" si="22"/>
        <v>1</v>
      </c>
      <c r="M82" s="83">
        <f t="shared" si="22"/>
        <v>1</v>
      </c>
      <c r="N82" s="83">
        <f t="shared" si="22"/>
        <v>1</v>
      </c>
      <c r="O82" s="83">
        <f t="shared" si="22"/>
        <v>1</v>
      </c>
      <c r="P82" s="83">
        <f t="shared" si="22"/>
        <v>1</v>
      </c>
      <c r="Q82" s="83">
        <f t="shared" si="22"/>
        <v>1</v>
      </c>
      <c r="R82" s="83">
        <f t="shared" si="22"/>
        <v>1</v>
      </c>
      <c r="S82" s="83">
        <f t="shared" si="22"/>
        <v>1</v>
      </c>
      <c r="T82" s="83">
        <f t="shared" si="22"/>
        <v>1</v>
      </c>
      <c r="U82" s="83">
        <f t="shared" si="22"/>
        <v>0.8</v>
      </c>
      <c r="V82" s="83">
        <f t="shared" si="22"/>
        <v>0.8</v>
      </c>
      <c r="W82" s="83">
        <f t="shared" si="22"/>
        <v>0.8</v>
      </c>
      <c r="X82" s="83">
        <f t="shared" si="22"/>
        <v>0.60000000000000009</v>
      </c>
      <c r="Y82" s="83">
        <f t="shared" si="22"/>
        <v>0.4</v>
      </c>
      <c r="Z82" s="83">
        <f t="shared" si="22"/>
        <v>0.4</v>
      </c>
      <c r="AA82" s="83">
        <f t="shared" si="22"/>
        <v>0.4</v>
      </c>
      <c r="AB82" s="83">
        <f t="shared" si="22"/>
        <v>0.2</v>
      </c>
      <c r="AC82" s="83">
        <f t="shared" si="22"/>
        <v>0.2</v>
      </c>
      <c r="AD82" s="83">
        <f t="shared" si="22"/>
        <v>0</v>
      </c>
      <c r="AE82" s="83" t="e">
        <f t="shared" si="22"/>
        <v>#DIV/0!</v>
      </c>
      <c r="AF82" s="83" t="e">
        <f t="shared" si="22"/>
        <v>#DIV/0!</v>
      </c>
      <c r="AG82" s="83" t="e">
        <f t="shared" si="22"/>
        <v>#DIV/0!</v>
      </c>
      <c r="AH82" s="83" t="e">
        <f t="shared" si="22"/>
        <v>#DIV/0!</v>
      </c>
      <c r="AI82" s="83" t="e">
        <f t="shared" si="22"/>
        <v>#DIV/0!</v>
      </c>
      <c r="AJ82" s="83" t="e">
        <f t="shared" si="22"/>
        <v>#DIV/0!</v>
      </c>
      <c r="AK82" s="83" t="e">
        <f t="shared" si="22"/>
        <v>#DIV/0!</v>
      </c>
      <c r="AL82" s="83" t="e">
        <f t="shared" si="22"/>
        <v>#DIV/0!</v>
      </c>
      <c r="AM82" s="83" t="e">
        <f t="shared" si="22"/>
        <v>#DIV/0!</v>
      </c>
      <c r="AN82" s="83" t="e">
        <f t="shared" si="22"/>
        <v>#DIV/0!</v>
      </c>
      <c r="AO82" s="83" t="e">
        <f t="shared" si="22"/>
        <v>#DIV/0!</v>
      </c>
      <c r="AP82" s="83" t="e">
        <f t="shared" si="22"/>
        <v>#DIV/0!</v>
      </c>
      <c r="AQ82" s="83" t="e">
        <f t="shared" si="22"/>
        <v>#DIV/0!</v>
      </c>
      <c r="AR82" s="83" t="e">
        <f t="shared" si="22"/>
        <v>#DIV/0!</v>
      </c>
      <c r="AS82" s="83" t="e">
        <f t="shared" si="22"/>
        <v>#DIV/0!</v>
      </c>
      <c r="AT82" s="83" t="e">
        <f t="shared" si="22"/>
        <v>#DIV/0!</v>
      </c>
      <c r="AU82" s="83" t="e">
        <f t="shared" si="22"/>
        <v>#DIV/0!</v>
      </c>
      <c r="AV82" s="83" t="e">
        <f t="shared" si="22"/>
        <v>#DIV/0!</v>
      </c>
      <c r="AW82" s="83" t="e">
        <f t="shared" si="22"/>
        <v>#DIV/0!</v>
      </c>
      <c r="AX82" s="83" t="e">
        <f t="shared" si="22"/>
        <v>#DIV/0!</v>
      </c>
      <c r="AY82" s="83" t="e">
        <f t="shared" si="22"/>
        <v>#DIV/0!</v>
      </c>
      <c r="AZ82" s="3"/>
    </row>
    <row r="84" spans="1:52" ht="14.25" customHeight="1">
      <c r="A84" s="129"/>
      <c r="E84" s="134" t="str">
        <f>'PTX_DOSE Groups'!C12</f>
        <v>50mg CP-PTX</v>
      </c>
      <c r="H84" s="134" t="str">
        <f>E84</f>
        <v>50mg CP-PTX</v>
      </c>
      <c r="I84" s="216" t="s">
        <v>67</v>
      </c>
      <c r="J84" s="87">
        <f t="shared" ref="J84:AY84" si="23">COUNTIFS($E$5:$E$53,$E84,J$5:J$53,"Alive")</f>
        <v>5</v>
      </c>
      <c r="K84" s="87">
        <f t="shared" si="23"/>
        <v>5</v>
      </c>
      <c r="L84" s="87">
        <f t="shared" si="23"/>
        <v>5</v>
      </c>
      <c r="M84" s="87">
        <f t="shared" si="23"/>
        <v>5</v>
      </c>
      <c r="N84" s="87">
        <f t="shared" si="23"/>
        <v>5</v>
      </c>
      <c r="O84" s="87">
        <f t="shared" si="23"/>
        <v>5</v>
      </c>
      <c r="P84" s="87">
        <f t="shared" si="23"/>
        <v>4</v>
      </c>
      <c r="Q84" s="87">
        <f t="shared" si="23"/>
        <v>4</v>
      </c>
      <c r="R84" s="87">
        <f t="shared" si="23"/>
        <v>4</v>
      </c>
      <c r="S84" s="87">
        <f t="shared" si="23"/>
        <v>4</v>
      </c>
      <c r="T84" s="87">
        <f t="shared" si="23"/>
        <v>4</v>
      </c>
      <c r="U84" s="87">
        <f t="shared" si="23"/>
        <v>4</v>
      </c>
      <c r="V84" s="87">
        <f t="shared" si="23"/>
        <v>3</v>
      </c>
      <c r="W84" s="87">
        <f t="shared" si="23"/>
        <v>0</v>
      </c>
      <c r="X84" s="87">
        <f t="shared" si="23"/>
        <v>0</v>
      </c>
      <c r="Y84" s="87">
        <f t="shared" si="23"/>
        <v>0</v>
      </c>
      <c r="Z84" s="87">
        <f t="shared" si="23"/>
        <v>0</v>
      </c>
      <c r="AA84" s="87">
        <f t="shared" si="23"/>
        <v>0</v>
      </c>
      <c r="AB84" s="87">
        <f t="shared" si="23"/>
        <v>0</v>
      </c>
      <c r="AC84" s="87">
        <f t="shared" si="23"/>
        <v>0</v>
      </c>
      <c r="AD84" s="87">
        <f t="shared" si="23"/>
        <v>0</v>
      </c>
      <c r="AE84" s="87">
        <f t="shared" si="23"/>
        <v>0</v>
      </c>
      <c r="AF84" s="87">
        <f t="shared" si="23"/>
        <v>0</v>
      </c>
      <c r="AG84" s="87">
        <f t="shared" si="23"/>
        <v>0</v>
      </c>
      <c r="AH84" s="87">
        <f t="shared" si="23"/>
        <v>0</v>
      </c>
      <c r="AI84" s="87">
        <f t="shared" si="23"/>
        <v>0</v>
      </c>
      <c r="AJ84" s="87">
        <f t="shared" si="23"/>
        <v>0</v>
      </c>
      <c r="AK84" s="87">
        <f t="shared" si="23"/>
        <v>0</v>
      </c>
      <c r="AL84" s="87">
        <f t="shared" si="23"/>
        <v>0</v>
      </c>
      <c r="AM84" s="87">
        <f t="shared" si="23"/>
        <v>0</v>
      </c>
      <c r="AN84" s="87">
        <f t="shared" si="23"/>
        <v>0</v>
      </c>
      <c r="AO84" s="87">
        <f t="shared" si="23"/>
        <v>0</v>
      </c>
      <c r="AP84" s="87">
        <f t="shared" si="23"/>
        <v>0</v>
      </c>
      <c r="AQ84" s="87">
        <f t="shared" si="23"/>
        <v>0</v>
      </c>
      <c r="AR84" s="87">
        <f t="shared" si="23"/>
        <v>0</v>
      </c>
      <c r="AS84" s="87">
        <f t="shared" si="23"/>
        <v>0</v>
      </c>
      <c r="AT84" s="87">
        <f t="shared" si="23"/>
        <v>0</v>
      </c>
      <c r="AU84" s="87">
        <f t="shared" si="23"/>
        <v>0</v>
      </c>
      <c r="AV84" s="87">
        <f t="shared" si="23"/>
        <v>0</v>
      </c>
      <c r="AW84" s="87">
        <f t="shared" si="23"/>
        <v>0</v>
      </c>
      <c r="AX84" s="87">
        <f t="shared" si="23"/>
        <v>0</v>
      </c>
      <c r="AY84" s="87">
        <f t="shared" si="23"/>
        <v>0</v>
      </c>
      <c r="AZ84" s="85"/>
    </row>
    <row r="85" spans="1:52" ht="14.25" customHeight="1">
      <c r="A85" s="129"/>
      <c r="E85" s="104"/>
      <c r="H85" s="104"/>
      <c r="I85" s="216" t="s">
        <v>66</v>
      </c>
      <c r="J85" s="90">
        <f t="shared" ref="J85:AY85" si="24">COUNTIFS($E$5:$E$53,$E84,J$5:J$53,"Censored")</f>
        <v>0</v>
      </c>
      <c r="K85" s="90">
        <f t="shared" si="24"/>
        <v>0</v>
      </c>
      <c r="L85" s="90">
        <f t="shared" si="24"/>
        <v>0</v>
      </c>
      <c r="M85" s="90">
        <f t="shared" si="24"/>
        <v>0</v>
      </c>
      <c r="N85" s="90">
        <f t="shared" si="24"/>
        <v>0</v>
      </c>
      <c r="O85" s="90">
        <f t="shared" si="24"/>
        <v>0</v>
      </c>
      <c r="P85" s="90">
        <f t="shared" si="24"/>
        <v>0</v>
      </c>
      <c r="Q85" s="90">
        <f t="shared" si="24"/>
        <v>0</v>
      </c>
      <c r="R85" s="90">
        <f t="shared" si="24"/>
        <v>0</v>
      </c>
      <c r="S85" s="90">
        <f t="shared" si="24"/>
        <v>0</v>
      </c>
      <c r="T85" s="90">
        <f t="shared" si="24"/>
        <v>0</v>
      </c>
      <c r="U85" s="90">
        <f t="shared" si="24"/>
        <v>0</v>
      </c>
      <c r="V85" s="90">
        <f t="shared" si="24"/>
        <v>0</v>
      </c>
      <c r="W85" s="90">
        <f t="shared" si="24"/>
        <v>0</v>
      </c>
      <c r="X85" s="90">
        <f t="shared" si="24"/>
        <v>0</v>
      </c>
      <c r="Y85" s="90">
        <f t="shared" si="24"/>
        <v>0</v>
      </c>
      <c r="Z85" s="90">
        <f t="shared" si="24"/>
        <v>0</v>
      </c>
      <c r="AA85" s="90">
        <f t="shared" si="24"/>
        <v>0</v>
      </c>
      <c r="AB85" s="90">
        <f t="shared" si="24"/>
        <v>0</v>
      </c>
      <c r="AC85" s="90">
        <f t="shared" si="24"/>
        <v>0</v>
      </c>
      <c r="AD85" s="90">
        <f t="shared" si="24"/>
        <v>0</v>
      </c>
      <c r="AE85" s="90">
        <f t="shared" si="24"/>
        <v>0</v>
      </c>
      <c r="AF85" s="90">
        <f t="shared" si="24"/>
        <v>0</v>
      </c>
      <c r="AG85" s="90">
        <f t="shared" si="24"/>
        <v>0</v>
      </c>
      <c r="AH85" s="90">
        <f t="shared" si="24"/>
        <v>0</v>
      </c>
      <c r="AI85" s="90">
        <f t="shared" si="24"/>
        <v>0</v>
      </c>
      <c r="AJ85" s="90">
        <f t="shared" si="24"/>
        <v>0</v>
      </c>
      <c r="AK85" s="90">
        <f t="shared" si="24"/>
        <v>0</v>
      </c>
      <c r="AL85" s="90">
        <f t="shared" si="24"/>
        <v>0</v>
      </c>
      <c r="AM85" s="90">
        <f t="shared" si="24"/>
        <v>0</v>
      </c>
      <c r="AN85" s="90">
        <f t="shared" si="24"/>
        <v>0</v>
      </c>
      <c r="AO85" s="90">
        <f t="shared" si="24"/>
        <v>0</v>
      </c>
      <c r="AP85" s="90">
        <f t="shared" si="24"/>
        <v>0</v>
      </c>
      <c r="AQ85" s="90">
        <f t="shared" si="24"/>
        <v>0</v>
      </c>
      <c r="AR85" s="90">
        <f t="shared" si="24"/>
        <v>0</v>
      </c>
      <c r="AS85" s="90">
        <f t="shared" si="24"/>
        <v>0</v>
      </c>
      <c r="AT85" s="90">
        <f t="shared" si="24"/>
        <v>0</v>
      </c>
      <c r="AU85" s="90">
        <f t="shared" si="24"/>
        <v>0</v>
      </c>
      <c r="AV85" s="90">
        <f t="shared" si="24"/>
        <v>0</v>
      </c>
      <c r="AW85" s="90">
        <f t="shared" si="24"/>
        <v>0</v>
      </c>
      <c r="AX85" s="90">
        <f t="shared" si="24"/>
        <v>0</v>
      </c>
      <c r="AY85" s="90">
        <f t="shared" si="24"/>
        <v>0</v>
      </c>
      <c r="AZ85" s="85"/>
    </row>
    <row r="86" spans="1:52" ht="14.25" customHeight="1">
      <c r="E86" s="254"/>
      <c r="H86" s="104"/>
      <c r="I86" s="216" t="s">
        <v>68</v>
      </c>
      <c r="J86" s="83">
        <f>J84/(COUNTIFS($E$5:$E$53,$E84,J$5:J$53,"Alive")+COUNTIFS($E$5:$E$53,$E84,J$5:J$53,"Sacrificed")+COUNTIFS($E$5:$E$53,$E84,J$5:J$53,"Died"))</f>
        <v>1</v>
      </c>
      <c r="K86" s="83">
        <f t="shared" ref="K86:AY86" si="25">K84/(COUNTIFS($E$5:$E$53,$E84,K$5:K$53,"Alive")+COUNTIFS($E$5:$E$53,$E84,K$5:K$53,"Sacrificed")+COUNTIFS($E$5:$E$53,$E84,K$5:K$53,"Died"))*J86</f>
        <v>1</v>
      </c>
      <c r="L86" s="83">
        <f t="shared" si="25"/>
        <v>1</v>
      </c>
      <c r="M86" s="83">
        <f t="shared" si="25"/>
        <v>1</v>
      </c>
      <c r="N86" s="83">
        <f t="shared" si="25"/>
        <v>1</v>
      </c>
      <c r="O86" s="83">
        <f t="shared" si="25"/>
        <v>1</v>
      </c>
      <c r="P86" s="83">
        <f t="shared" si="25"/>
        <v>0.8</v>
      </c>
      <c r="Q86" s="83">
        <f t="shared" si="25"/>
        <v>0.8</v>
      </c>
      <c r="R86" s="83">
        <f t="shared" si="25"/>
        <v>0.8</v>
      </c>
      <c r="S86" s="83">
        <f t="shared" si="25"/>
        <v>0.8</v>
      </c>
      <c r="T86" s="83">
        <f t="shared" si="25"/>
        <v>0.8</v>
      </c>
      <c r="U86" s="83">
        <f t="shared" si="25"/>
        <v>0.8</v>
      </c>
      <c r="V86" s="83">
        <f t="shared" si="25"/>
        <v>0.60000000000000009</v>
      </c>
      <c r="W86" s="83">
        <f t="shared" si="25"/>
        <v>0</v>
      </c>
      <c r="X86" s="83" t="e">
        <f t="shared" si="25"/>
        <v>#DIV/0!</v>
      </c>
      <c r="Y86" s="83" t="e">
        <f t="shared" si="25"/>
        <v>#DIV/0!</v>
      </c>
      <c r="Z86" s="83" t="e">
        <f t="shared" si="25"/>
        <v>#DIV/0!</v>
      </c>
      <c r="AA86" s="83" t="e">
        <f t="shared" si="25"/>
        <v>#DIV/0!</v>
      </c>
      <c r="AB86" s="83" t="e">
        <f t="shared" si="25"/>
        <v>#DIV/0!</v>
      </c>
      <c r="AC86" s="83" t="e">
        <f t="shared" si="25"/>
        <v>#DIV/0!</v>
      </c>
      <c r="AD86" s="83" t="e">
        <f t="shared" si="25"/>
        <v>#DIV/0!</v>
      </c>
      <c r="AE86" s="83" t="e">
        <f t="shared" si="25"/>
        <v>#DIV/0!</v>
      </c>
      <c r="AF86" s="83" t="e">
        <f t="shared" si="25"/>
        <v>#DIV/0!</v>
      </c>
      <c r="AG86" s="83" t="e">
        <f t="shared" si="25"/>
        <v>#DIV/0!</v>
      </c>
      <c r="AH86" s="83" t="e">
        <f t="shared" si="25"/>
        <v>#DIV/0!</v>
      </c>
      <c r="AI86" s="83" t="e">
        <f t="shared" si="25"/>
        <v>#DIV/0!</v>
      </c>
      <c r="AJ86" s="83" t="e">
        <f t="shared" si="25"/>
        <v>#DIV/0!</v>
      </c>
      <c r="AK86" s="83" t="e">
        <f t="shared" si="25"/>
        <v>#DIV/0!</v>
      </c>
      <c r="AL86" s="83" t="e">
        <f t="shared" si="25"/>
        <v>#DIV/0!</v>
      </c>
      <c r="AM86" s="83" t="e">
        <f t="shared" si="25"/>
        <v>#DIV/0!</v>
      </c>
      <c r="AN86" s="83" t="e">
        <f t="shared" si="25"/>
        <v>#DIV/0!</v>
      </c>
      <c r="AO86" s="83" t="e">
        <f t="shared" si="25"/>
        <v>#DIV/0!</v>
      </c>
      <c r="AP86" s="83" t="e">
        <f t="shared" si="25"/>
        <v>#DIV/0!</v>
      </c>
      <c r="AQ86" s="83" t="e">
        <f t="shared" si="25"/>
        <v>#DIV/0!</v>
      </c>
      <c r="AR86" s="83" t="e">
        <f t="shared" si="25"/>
        <v>#DIV/0!</v>
      </c>
      <c r="AS86" s="83" t="e">
        <f t="shared" si="25"/>
        <v>#DIV/0!</v>
      </c>
      <c r="AT86" s="83" t="e">
        <f t="shared" si="25"/>
        <v>#DIV/0!</v>
      </c>
      <c r="AU86" s="83" t="e">
        <f t="shared" si="25"/>
        <v>#DIV/0!</v>
      </c>
      <c r="AV86" s="83" t="e">
        <f t="shared" si="25"/>
        <v>#DIV/0!</v>
      </c>
      <c r="AW86" s="83" t="e">
        <f t="shared" si="25"/>
        <v>#DIV/0!</v>
      </c>
      <c r="AX86" s="83" t="e">
        <f t="shared" si="25"/>
        <v>#DIV/0!</v>
      </c>
      <c r="AY86" s="83" t="e">
        <f t="shared" si="25"/>
        <v>#DIV/0!</v>
      </c>
      <c r="AZ86" s="3"/>
    </row>
    <row r="88" spans="1:52" ht="14.25" customHeight="1">
      <c r="A88" s="129"/>
      <c r="E88" s="134" t="str">
        <f>'PTX_DOSE Groups'!C13</f>
        <v>50mg Combotherapy</v>
      </c>
      <c r="H88" s="134" t="str">
        <f>E88</f>
        <v>50mg Combotherapy</v>
      </c>
      <c r="I88" s="216" t="s">
        <v>67</v>
      </c>
      <c r="J88" s="87">
        <f t="shared" ref="J88:AY88" si="26">COUNTIFS($E$5:$E$53,$E88,J$5:J$53,"Alive")</f>
        <v>5</v>
      </c>
      <c r="K88" s="87">
        <f t="shared" si="26"/>
        <v>5</v>
      </c>
      <c r="L88" s="87">
        <f t="shared" si="26"/>
        <v>5</v>
      </c>
      <c r="M88" s="87">
        <f t="shared" si="26"/>
        <v>5</v>
      </c>
      <c r="N88" s="87">
        <f t="shared" si="26"/>
        <v>5</v>
      </c>
      <c r="O88" s="87">
        <f t="shared" si="26"/>
        <v>5</v>
      </c>
      <c r="P88" s="87">
        <f t="shared" si="26"/>
        <v>5</v>
      </c>
      <c r="Q88" s="87">
        <f t="shared" si="26"/>
        <v>5</v>
      </c>
      <c r="R88" s="87">
        <f t="shared" si="26"/>
        <v>5</v>
      </c>
      <c r="S88" s="87">
        <f t="shared" si="26"/>
        <v>5</v>
      </c>
      <c r="T88" s="87">
        <f t="shared" si="26"/>
        <v>5</v>
      </c>
      <c r="U88" s="87">
        <f t="shared" si="26"/>
        <v>5</v>
      </c>
      <c r="V88" s="87">
        <f t="shared" si="26"/>
        <v>5</v>
      </c>
      <c r="W88" s="87">
        <f t="shared" si="26"/>
        <v>5</v>
      </c>
      <c r="X88" s="87">
        <f t="shared" si="26"/>
        <v>4</v>
      </c>
      <c r="Y88" s="87">
        <f t="shared" si="26"/>
        <v>4</v>
      </c>
      <c r="Z88" s="87">
        <f t="shared" si="26"/>
        <v>3</v>
      </c>
      <c r="AA88" s="87">
        <f t="shared" si="26"/>
        <v>3</v>
      </c>
      <c r="AB88" s="87">
        <f t="shared" si="26"/>
        <v>3</v>
      </c>
      <c r="AC88" s="87">
        <f t="shared" si="26"/>
        <v>3</v>
      </c>
      <c r="AD88" s="87">
        <f t="shared" si="26"/>
        <v>2</v>
      </c>
      <c r="AE88" s="87">
        <f t="shared" si="26"/>
        <v>2</v>
      </c>
      <c r="AF88" s="87">
        <f t="shared" si="26"/>
        <v>2</v>
      </c>
      <c r="AG88" s="87">
        <f t="shared" si="26"/>
        <v>2</v>
      </c>
      <c r="AH88" s="87">
        <f t="shared" si="26"/>
        <v>2</v>
      </c>
      <c r="AI88" s="87">
        <f t="shared" si="26"/>
        <v>2</v>
      </c>
      <c r="AJ88" s="87">
        <f t="shared" si="26"/>
        <v>1</v>
      </c>
      <c r="AK88" s="87">
        <f t="shared" si="26"/>
        <v>0</v>
      </c>
      <c r="AL88" s="87">
        <f t="shared" si="26"/>
        <v>0</v>
      </c>
      <c r="AM88" s="87">
        <f t="shared" si="26"/>
        <v>0</v>
      </c>
      <c r="AN88" s="87">
        <f t="shared" si="26"/>
        <v>0</v>
      </c>
      <c r="AO88" s="87">
        <f t="shared" si="26"/>
        <v>0</v>
      </c>
      <c r="AP88" s="87">
        <f t="shared" si="26"/>
        <v>0</v>
      </c>
      <c r="AQ88" s="87">
        <f t="shared" si="26"/>
        <v>0</v>
      </c>
      <c r="AR88" s="87">
        <f t="shared" si="26"/>
        <v>0</v>
      </c>
      <c r="AS88" s="87">
        <f t="shared" si="26"/>
        <v>0</v>
      </c>
      <c r="AT88" s="87">
        <f t="shared" si="26"/>
        <v>0</v>
      </c>
      <c r="AU88" s="87">
        <f t="shared" si="26"/>
        <v>0</v>
      </c>
      <c r="AV88" s="87">
        <f t="shared" si="26"/>
        <v>0</v>
      </c>
      <c r="AW88" s="87">
        <f t="shared" si="26"/>
        <v>0</v>
      </c>
      <c r="AX88" s="87">
        <f t="shared" si="26"/>
        <v>0</v>
      </c>
      <c r="AY88" s="87">
        <f t="shared" si="26"/>
        <v>0</v>
      </c>
      <c r="AZ88" s="85"/>
    </row>
    <row r="89" spans="1:52" ht="14.25" customHeight="1">
      <c r="A89" s="129"/>
      <c r="E89" s="104"/>
      <c r="H89" s="104"/>
      <c r="I89" s="216" t="s">
        <v>66</v>
      </c>
      <c r="J89" s="90">
        <f t="shared" ref="J89:AY89" si="27">COUNTIFS($E$5:$E$53,$E88,J$5:J$53,"Censored")</f>
        <v>0</v>
      </c>
      <c r="K89" s="90">
        <f t="shared" si="27"/>
        <v>0</v>
      </c>
      <c r="L89" s="90">
        <f t="shared" si="27"/>
        <v>0</v>
      </c>
      <c r="M89" s="90">
        <f t="shared" si="27"/>
        <v>0</v>
      </c>
      <c r="N89" s="90">
        <f t="shared" si="27"/>
        <v>0</v>
      </c>
      <c r="O89" s="90">
        <f t="shared" si="27"/>
        <v>0</v>
      </c>
      <c r="P89" s="90">
        <f t="shared" si="27"/>
        <v>0</v>
      </c>
      <c r="Q89" s="90">
        <f t="shared" si="27"/>
        <v>0</v>
      </c>
      <c r="R89" s="90">
        <f t="shared" si="27"/>
        <v>0</v>
      </c>
      <c r="S89" s="90">
        <f t="shared" si="27"/>
        <v>0</v>
      </c>
      <c r="T89" s="90">
        <f t="shared" si="27"/>
        <v>0</v>
      </c>
      <c r="U89" s="90">
        <f t="shared" si="27"/>
        <v>0</v>
      </c>
      <c r="V89" s="90">
        <f t="shared" si="27"/>
        <v>0</v>
      </c>
      <c r="W89" s="90">
        <f t="shared" si="27"/>
        <v>0</v>
      </c>
      <c r="X89" s="90">
        <f t="shared" si="27"/>
        <v>0</v>
      </c>
      <c r="Y89" s="90">
        <f t="shared" si="27"/>
        <v>0</v>
      </c>
      <c r="Z89" s="90">
        <f t="shared" si="27"/>
        <v>0</v>
      </c>
      <c r="AA89" s="90">
        <f t="shared" si="27"/>
        <v>0</v>
      </c>
      <c r="AB89" s="90">
        <f t="shared" si="27"/>
        <v>0</v>
      </c>
      <c r="AC89" s="90">
        <f t="shared" si="27"/>
        <v>0</v>
      </c>
      <c r="AD89" s="90">
        <f t="shared" si="27"/>
        <v>0</v>
      </c>
      <c r="AE89" s="90">
        <f t="shared" si="27"/>
        <v>0</v>
      </c>
      <c r="AF89" s="90">
        <f t="shared" si="27"/>
        <v>0</v>
      </c>
      <c r="AG89" s="90">
        <f t="shared" si="27"/>
        <v>0</v>
      </c>
      <c r="AH89" s="90">
        <f t="shared" si="27"/>
        <v>0</v>
      </c>
      <c r="AI89" s="90">
        <f t="shared" si="27"/>
        <v>0</v>
      </c>
      <c r="AJ89" s="90">
        <f t="shared" si="27"/>
        <v>0</v>
      </c>
      <c r="AK89" s="90">
        <f t="shared" si="27"/>
        <v>0</v>
      </c>
      <c r="AL89" s="90">
        <f t="shared" si="27"/>
        <v>0</v>
      </c>
      <c r="AM89" s="90">
        <f t="shared" si="27"/>
        <v>0</v>
      </c>
      <c r="AN89" s="90">
        <f t="shared" si="27"/>
        <v>0</v>
      </c>
      <c r="AO89" s="90">
        <f t="shared" si="27"/>
        <v>0</v>
      </c>
      <c r="AP89" s="90">
        <f t="shared" si="27"/>
        <v>0</v>
      </c>
      <c r="AQ89" s="90">
        <f t="shared" si="27"/>
        <v>0</v>
      </c>
      <c r="AR89" s="90">
        <f t="shared" si="27"/>
        <v>0</v>
      </c>
      <c r="AS89" s="90">
        <f t="shared" si="27"/>
        <v>0</v>
      </c>
      <c r="AT89" s="90">
        <f t="shared" si="27"/>
        <v>0</v>
      </c>
      <c r="AU89" s="90">
        <f t="shared" si="27"/>
        <v>0</v>
      </c>
      <c r="AV89" s="90">
        <f t="shared" si="27"/>
        <v>0</v>
      </c>
      <c r="AW89" s="90">
        <f t="shared" si="27"/>
        <v>0</v>
      </c>
      <c r="AX89" s="90">
        <f t="shared" si="27"/>
        <v>0</v>
      </c>
      <c r="AY89" s="90">
        <f t="shared" si="27"/>
        <v>0</v>
      </c>
      <c r="AZ89" s="85"/>
    </row>
    <row r="90" spans="1:52" ht="14.25" customHeight="1">
      <c r="E90" s="254"/>
      <c r="H90" s="104"/>
      <c r="I90" s="216" t="s">
        <v>68</v>
      </c>
      <c r="J90" s="83">
        <f>J88/(COUNTIFS($E$5:$E$53,$E88,J$5:J$53,"Alive")+COUNTIFS($E$5:$E$53,$E88,J$5:J$53,"Sacrificed")+COUNTIFS($E$5:$E$53,$E88,J$5:J$53,"Died"))</f>
        <v>1</v>
      </c>
      <c r="K90" s="83">
        <f t="shared" ref="K90:AY90" si="28">K88/(COUNTIFS($E$5:$E$53,$E88,K$5:K$53,"Alive")+COUNTIFS($E$5:$E$53,$E88,K$5:K$53,"Sacrificed")+COUNTIFS($E$5:$E$53,$E88,K$5:K$53,"Died"))*J90</f>
        <v>1</v>
      </c>
      <c r="L90" s="83">
        <f t="shared" si="28"/>
        <v>1</v>
      </c>
      <c r="M90" s="83">
        <f t="shared" si="28"/>
        <v>1</v>
      </c>
      <c r="N90" s="83">
        <f t="shared" si="28"/>
        <v>1</v>
      </c>
      <c r="O90" s="83">
        <f t="shared" si="28"/>
        <v>1</v>
      </c>
      <c r="P90" s="83">
        <f t="shared" si="28"/>
        <v>1</v>
      </c>
      <c r="Q90" s="83">
        <f t="shared" si="28"/>
        <v>1</v>
      </c>
      <c r="R90" s="83">
        <f t="shared" si="28"/>
        <v>1</v>
      </c>
      <c r="S90" s="83">
        <f t="shared" si="28"/>
        <v>1</v>
      </c>
      <c r="T90" s="83">
        <f t="shared" si="28"/>
        <v>1</v>
      </c>
      <c r="U90" s="83">
        <f t="shared" si="28"/>
        <v>1</v>
      </c>
      <c r="V90" s="83">
        <f t="shared" si="28"/>
        <v>1</v>
      </c>
      <c r="W90" s="83">
        <f t="shared" si="28"/>
        <v>1</v>
      </c>
      <c r="X90" s="83">
        <f t="shared" si="28"/>
        <v>0.8</v>
      </c>
      <c r="Y90" s="83">
        <f t="shared" si="28"/>
        <v>0.8</v>
      </c>
      <c r="Z90" s="83">
        <f t="shared" si="28"/>
        <v>0.60000000000000009</v>
      </c>
      <c r="AA90" s="83">
        <f t="shared" si="28"/>
        <v>0.60000000000000009</v>
      </c>
      <c r="AB90" s="83">
        <f t="shared" si="28"/>
        <v>0.60000000000000009</v>
      </c>
      <c r="AC90" s="83">
        <f t="shared" si="28"/>
        <v>0.60000000000000009</v>
      </c>
      <c r="AD90" s="83">
        <f t="shared" si="28"/>
        <v>0.4</v>
      </c>
      <c r="AE90" s="83">
        <f t="shared" si="28"/>
        <v>0.4</v>
      </c>
      <c r="AF90" s="83">
        <f t="shared" si="28"/>
        <v>0.4</v>
      </c>
      <c r="AG90" s="83">
        <f t="shared" si="28"/>
        <v>0.4</v>
      </c>
      <c r="AH90" s="83">
        <f t="shared" si="28"/>
        <v>0.4</v>
      </c>
      <c r="AI90" s="83">
        <f t="shared" si="28"/>
        <v>0.4</v>
      </c>
      <c r="AJ90" s="83">
        <f t="shared" si="28"/>
        <v>0.2</v>
      </c>
      <c r="AK90" s="83">
        <f t="shared" si="28"/>
        <v>0</v>
      </c>
      <c r="AL90" s="83" t="e">
        <f t="shared" si="28"/>
        <v>#DIV/0!</v>
      </c>
      <c r="AM90" s="83" t="e">
        <f t="shared" si="28"/>
        <v>#DIV/0!</v>
      </c>
      <c r="AN90" s="83" t="e">
        <f t="shared" si="28"/>
        <v>#DIV/0!</v>
      </c>
      <c r="AO90" s="83" t="e">
        <f t="shared" si="28"/>
        <v>#DIV/0!</v>
      </c>
      <c r="AP90" s="83" t="e">
        <f t="shared" si="28"/>
        <v>#DIV/0!</v>
      </c>
      <c r="AQ90" s="83" t="e">
        <f t="shared" si="28"/>
        <v>#DIV/0!</v>
      </c>
      <c r="AR90" s="83" t="e">
        <f t="shared" si="28"/>
        <v>#DIV/0!</v>
      </c>
      <c r="AS90" s="83" t="e">
        <f t="shared" si="28"/>
        <v>#DIV/0!</v>
      </c>
      <c r="AT90" s="83" t="e">
        <f t="shared" si="28"/>
        <v>#DIV/0!</v>
      </c>
      <c r="AU90" s="83" t="e">
        <f t="shared" si="28"/>
        <v>#DIV/0!</v>
      </c>
      <c r="AV90" s="83" t="e">
        <f t="shared" si="28"/>
        <v>#DIV/0!</v>
      </c>
      <c r="AW90" s="83" t="e">
        <f t="shared" si="28"/>
        <v>#DIV/0!</v>
      </c>
      <c r="AX90" s="83" t="e">
        <f t="shared" si="28"/>
        <v>#DIV/0!</v>
      </c>
      <c r="AY90" s="83" t="e">
        <f t="shared" si="28"/>
        <v>#DIV/0!</v>
      </c>
      <c r="AZ90" s="3"/>
    </row>
    <row r="92" spans="1:52" ht="14.25" customHeight="1">
      <c r="A92" s="129"/>
      <c r="E92" s="134" t="str">
        <f>'PTX_DOSE Groups'!C14</f>
        <v>Metronomic CP-PTX</v>
      </c>
      <c r="H92" s="134" t="str">
        <f>E92</f>
        <v>Metronomic CP-PTX</v>
      </c>
      <c r="I92" s="216" t="s">
        <v>67</v>
      </c>
      <c r="J92" s="87">
        <f t="shared" ref="J92:AY92" si="29">COUNTIFS($E$5:$E$53,$E92,J$5:J$53,"Alive")</f>
        <v>5</v>
      </c>
      <c r="K92" s="87">
        <f t="shared" si="29"/>
        <v>5</v>
      </c>
      <c r="L92" s="87">
        <f t="shared" si="29"/>
        <v>5</v>
      </c>
      <c r="M92" s="87">
        <f t="shared" si="29"/>
        <v>5</v>
      </c>
      <c r="N92" s="87">
        <f t="shared" si="29"/>
        <v>5</v>
      </c>
      <c r="O92" s="87">
        <f t="shared" si="29"/>
        <v>5</v>
      </c>
      <c r="P92" s="87">
        <f t="shared" si="29"/>
        <v>5</v>
      </c>
      <c r="Q92" s="87">
        <f t="shared" si="29"/>
        <v>5</v>
      </c>
      <c r="R92" s="87">
        <f t="shared" si="29"/>
        <v>5</v>
      </c>
      <c r="S92" s="87">
        <f t="shared" si="29"/>
        <v>5</v>
      </c>
      <c r="T92" s="87">
        <f t="shared" si="29"/>
        <v>5</v>
      </c>
      <c r="U92" s="87">
        <f t="shared" si="29"/>
        <v>4</v>
      </c>
      <c r="V92" s="87">
        <f t="shared" si="29"/>
        <v>2</v>
      </c>
      <c r="W92" s="87">
        <f t="shared" si="29"/>
        <v>0</v>
      </c>
      <c r="X92" s="87">
        <f t="shared" si="29"/>
        <v>0</v>
      </c>
      <c r="Y92" s="87">
        <f t="shared" si="29"/>
        <v>0</v>
      </c>
      <c r="Z92" s="87">
        <f t="shared" si="29"/>
        <v>0</v>
      </c>
      <c r="AA92" s="87">
        <f t="shared" si="29"/>
        <v>0</v>
      </c>
      <c r="AB92" s="87">
        <f t="shared" si="29"/>
        <v>0</v>
      </c>
      <c r="AC92" s="87">
        <f t="shared" si="29"/>
        <v>0</v>
      </c>
      <c r="AD92" s="87">
        <f t="shared" si="29"/>
        <v>0</v>
      </c>
      <c r="AE92" s="87">
        <f t="shared" si="29"/>
        <v>0</v>
      </c>
      <c r="AF92" s="87">
        <f t="shared" si="29"/>
        <v>0</v>
      </c>
      <c r="AG92" s="87">
        <f t="shared" si="29"/>
        <v>0</v>
      </c>
      <c r="AH92" s="87">
        <f t="shared" si="29"/>
        <v>0</v>
      </c>
      <c r="AI92" s="87">
        <f t="shared" si="29"/>
        <v>0</v>
      </c>
      <c r="AJ92" s="87">
        <f t="shared" si="29"/>
        <v>0</v>
      </c>
      <c r="AK92" s="87">
        <f t="shared" si="29"/>
        <v>0</v>
      </c>
      <c r="AL92" s="87">
        <f t="shared" si="29"/>
        <v>0</v>
      </c>
      <c r="AM92" s="87">
        <f t="shared" si="29"/>
        <v>0</v>
      </c>
      <c r="AN92" s="87">
        <f t="shared" si="29"/>
        <v>0</v>
      </c>
      <c r="AO92" s="87">
        <f t="shared" si="29"/>
        <v>0</v>
      </c>
      <c r="AP92" s="87">
        <f t="shared" si="29"/>
        <v>0</v>
      </c>
      <c r="AQ92" s="87">
        <f t="shared" si="29"/>
        <v>0</v>
      </c>
      <c r="AR92" s="87">
        <f t="shared" si="29"/>
        <v>0</v>
      </c>
      <c r="AS92" s="87">
        <f t="shared" si="29"/>
        <v>0</v>
      </c>
      <c r="AT92" s="87">
        <f t="shared" si="29"/>
        <v>0</v>
      </c>
      <c r="AU92" s="87">
        <f t="shared" si="29"/>
        <v>0</v>
      </c>
      <c r="AV92" s="87">
        <f t="shared" si="29"/>
        <v>0</v>
      </c>
      <c r="AW92" s="87">
        <f t="shared" si="29"/>
        <v>0</v>
      </c>
      <c r="AX92" s="87">
        <f t="shared" si="29"/>
        <v>0</v>
      </c>
      <c r="AY92" s="87">
        <f t="shared" si="29"/>
        <v>0</v>
      </c>
      <c r="AZ92" s="85"/>
    </row>
    <row r="93" spans="1:52" ht="14.25" customHeight="1">
      <c r="A93" s="129"/>
      <c r="E93" s="104"/>
      <c r="H93" s="104"/>
      <c r="I93" s="216" t="s">
        <v>66</v>
      </c>
      <c r="J93" s="90">
        <f t="shared" ref="J93:AY93" si="30">COUNTIFS($E$5:$E$53,$E92,J$5:J$53,"Censored")</f>
        <v>0</v>
      </c>
      <c r="K93" s="90">
        <f t="shared" si="30"/>
        <v>0</v>
      </c>
      <c r="L93" s="90">
        <f t="shared" si="30"/>
        <v>0</v>
      </c>
      <c r="M93" s="90">
        <f t="shared" si="30"/>
        <v>0</v>
      </c>
      <c r="N93" s="90">
        <f t="shared" si="30"/>
        <v>0</v>
      </c>
      <c r="O93" s="90">
        <f t="shared" si="30"/>
        <v>0</v>
      </c>
      <c r="P93" s="90">
        <f t="shared" si="30"/>
        <v>0</v>
      </c>
      <c r="Q93" s="90">
        <f t="shared" si="30"/>
        <v>0</v>
      </c>
      <c r="R93" s="90">
        <f t="shared" si="30"/>
        <v>0</v>
      </c>
      <c r="S93" s="90">
        <f t="shared" si="30"/>
        <v>0</v>
      </c>
      <c r="T93" s="90">
        <f t="shared" si="30"/>
        <v>0</v>
      </c>
      <c r="U93" s="90">
        <f t="shared" si="30"/>
        <v>0</v>
      </c>
      <c r="V93" s="90">
        <f t="shared" si="30"/>
        <v>0</v>
      </c>
      <c r="W93" s="90">
        <f t="shared" si="30"/>
        <v>0</v>
      </c>
      <c r="X93" s="90">
        <f t="shared" si="30"/>
        <v>0</v>
      </c>
      <c r="Y93" s="90">
        <f t="shared" si="30"/>
        <v>0</v>
      </c>
      <c r="Z93" s="90">
        <f t="shared" si="30"/>
        <v>0</v>
      </c>
      <c r="AA93" s="90">
        <f t="shared" si="30"/>
        <v>0</v>
      </c>
      <c r="AB93" s="90">
        <f t="shared" si="30"/>
        <v>0</v>
      </c>
      <c r="AC93" s="90">
        <f t="shared" si="30"/>
        <v>0</v>
      </c>
      <c r="AD93" s="90">
        <f t="shared" si="30"/>
        <v>0</v>
      </c>
      <c r="AE93" s="90">
        <f t="shared" si="30"/>
        <v>0</v>
      </c>
      <c r="AF93" s="90">
        <f t="shared" si="30"/>
        <v>0</v>
      </c>
      <c r="AG93" s="90">
        <f t="shared" si="30"/>
        <v>0</v>
      </c>
      <c r="AH93" s="90">
        <f t="shared" si="30"/>
        <v>0</v>
      </c>
      <c r="AI93" s="90">
        <f t="shared" si="30"/>
        <v>0</v>
      </c>
      <c r="AJ93" s="90">
        <f t="shared" si="30"/>
        <v>0</v>
      </c>
      <c r="AK93" s="90">
        <f t="shared" si="30"/>
        <v>0</v>
      </c>
      <c r="AL93" s="90">
        <f t="shared" si="30"/>
        <v>0</v>
      </c>
      <c r="AM93" s="90">
        <f t="shared" si="30"/>
        <v>0</v>
      </c>
      <c r="AN93" s="90">
        <f t="shared" si="30"/>
        <v>0</v>
      </c>
      <c r="AO93" s="90">
        <f t="shared" si="30"/>
        <v>0</v>
      </c>
      <c r="AP93" s="90">
        <f t="shared" si="30"/>
        <v>0</v>
      </c>
      <c r="AQ93" s="90">
        <f t="shared" si="30"/>
        <v>0</v>
      </c>
      <c r="AR93" s="90">
        <f t="shared" si="30"/>
        <v>0</v>
      </c>
      <c r="AS93" s="90">
        <f t="shared" si="30"/>
        <v>0</v>
      </c>
      <c r="AT93" s="90">
        <f t="shared" si="30"/>
        <v>0</v>
      </c>
      <c r="AU93" s="90">
        <f t="shared" si="30"/>
        <v>0</v>
      </c>
      <c r="AV93" s="90">
        <f t="shared" si="30"/>
        <v>0</v>
      </c>
      <c r="AW93" s="90">
        <f t="shared" si="30"/>
        <v>0</v>
      </c>
      <c r="AX93" s="90">
        <f t="shared" si="30"/>
        <v>0</v>
      </c>
      <c r="AY93" s="90">
        <f t="shared" si="30"/>
        <v>0</v>
      </c>
      <c r="AZ93" s="85"/>
    </row>
    <row r="94" spans="1:52" ht="14.25" customHeight="1">
      <c r="E94" s="254"/>
      <c r="H94" s="104"/>
      <c r="I94" s="216" t="s">
        <v>68</v>
      </c>
      <c r="J94" s="83">
        <f>J92/(COUNTIFS($E$5:$E$53,$E92,J$5:J$53,"Alive")+COUNTIFS($E$5:$E$53,$E92,J$5:J$53,"Sacrificed")+COUNTIFS($E$5:$E$53,$E92,J$5:J$53,"Died"))</f>
        <v>1</v>
      </c>
      <c r="K94" s="83">
        <f t="shared" ref="K94:AY94" si="31">K92/(COUNTIFS($E$5:$E$53,$E92,K$5:K$53,"Alive")+COUNTIFS($E$5:$E$53,$E92,K$5:K$53,"Sacrificed")+COUNTIFS($E$5:$E$53,$E92,K$5:K$53,"Died"))*J94</f>
        <v>1</v>
      </c>
      <c r="L94" s="83">
        <f t="shared" si="31"/>
        <v>1</v>
      </c>
      <c r="M94" s="83">
        <f t="shared" si="31"/>
        <v>1</v>
      </c>
      <c r="N94" s="83">
        <f t="shared" si="31"/>
        <v>1</v>
      </c>
      <c r="O94" s="83">
        <f t="shared" si="31"/>
        <v>1</v>
      </c>
      <c r="P94" s="83">
        <f t="shared" si="31"/>
        <v>1</v>
      </c>
      <c r="Q94" s="83">
        <f t="shared" si="31"/>
        <v>1</v>
      </c>
      <c r="R94" s="83">
        <f t="shared" si="31"/>
        <v>1</v>
      </c>
      <c r="S94" s="83">
        <f t="shared" si="31"/>
        <v>1</v>
      </c>
      <c r="T94" s="83">
        <f t="shared" si="31"/>
        <v>1</v>
      </c>
      <c r="U94" s="83">
        <f t="shared" si="31"/>
        <v>0.8</v>
      </c>
      <c r="V94" s="83">
        <f t="shared" si="31"/>
        <v>0.4</v>
      </c>
      <c r="W94" s="83">
        <f t="shared" si="31"/>
        <v>0</v>
      </c>
      <c r="X94" s="83" t="e">
        <f t="shared" si="31"/>
        <v>#DIV/0!</v>
      </c>
      <c r="Y94" s="83" t="e">
        <f t="shared" si="31"/>
        <v>#DIV/0!</v>
      </c>
      <c r="Z94" s="83" t="e">
        <f t="shared" si="31"/>
        <v>#DIV/0!</v>
      </c>
      <c r="AA94" s="83" t="e">
        <f t="shared" si="31"/>
        <v>#DIV/0!</v>
      </c>
      <c r="AB94" s="83" t="e">
        <f t="shared" si="31"/>
        <v>#DIV/0!</v>
      </c>
      <c r="AC94" s="83" t="e">
        <f t="shared" si="31"/>
        <v>#DIV/0!</v>
      </c>
      <c r="AD94" s="83" t="e">
        <f t="shared" si="31"/>
        <v>#DIV/0!</v>
      </c>
      <c r="AE94" s="83" t="e">
        <f t="shared" si="31"/>
        <v>#DIV/0!</v>
      </c>
      <c r="AF94" s="83" t="e">
        <f t="shared" si="31"/>
        <v>#DIV/0!</v>
      </c>
      <c r="AG94" s="83" t="e">
        <f t="shared" si="31"/>
        <v>#DIV/0!</v>
      </c>
      <c r="AH94" s="83" t="e">
        <f t="shared" si="31"/>
        <v>#DIV/0!</v>
      </c>
      <c r="AI94" s="83" t="e">
        <f t="shared" si="31"/>
        <v>#DIV/0!</v>
      </c>
      <c r="AJ94" s="83" t="e">
        <f t="shared" si="31"/>
        <v>#DIV/0!</v>
      </c>
      <c r="AK94" s="83" t="e">
        <f t="shared" si="31"/>
        <v>#DIV/0!</v>
      </c>
      <c r="AL94" s="83" t="e">
        <f t="shared" si="31"/>
        <v>#DIV/0!</v>
      </c>
      <c r="AM94" s="83" t="e">
        <f t="shared" si="31"/>
        <v>#DIV/0!</v>
      </c>
      <c r="AN94" s="83" t="e">
        <f t="shared" si="31"/>
        <v>#DIV/0!</v>
      </c>
      <c r="AO94" s="83" t="e">
        <f t="shared" si="31"/>
        <v>#DIV/0!</v>
      </c>
      <c r="AP94" s="83" t="e">
        <f t="shared" si="31"/>
        <v>#DIV/0!</v>
      </c>
      <c r="AQ94" s="83" t="e">
        <f t="shared" si="31"/>
        <v>#DIV/0!</v>
      </c>
      <c r="AR94" s="83" t="e">
        <f t="shared" si="31"/>
        <v>#DIV/0!</v>
      </c>
      <c r="AS94" s="83" t="e">
        <f t="shared" si="31"/>
        <v>#DIV/0!</v>
      </c>
      <c r="AT94" s="83" t="e">
        <f t="shared" si="31"/>
        <v>#DIV/0!</v>
      </c>
      <c r="AU94" s="83" t="e">
        <f t="shared" si="31"/>
        <v>#DIV/0!</v>
      </c>
      <c r="AV94" s="83" t="e">
        <f t="shared" si="31"/>
        <v>#DIV/0!</v>
      </c>
      <c r="AW94" s="83" t="e">
        <f t="shared" si="31"/>
        <v>#DIV/0!</v>
      </c>
      <c r="AX94" s="83" t="e">
        <f t="shared" si="31"/>
        <v>#DIV/0!</v>
      </c>
      <c r="AY94" s="83" t="e">
        <f t="shared" si="31"/>
        <v>#DIV/0!</v>
      </c>
      <c r="AZ94" s="3"/>
    </row>
    <row r="96" spans="1:52" ht="14.25" customHeight="1">
      <c r="A96" s="129"/>
      <c r="E96" s="134" t="str">
        <f>'PTX_DOSE Groups'!C15</f>
        <v>Metronomic Combotherapy</v>
      </c>
      <c r="H96" s="134" t="str">
        <f>E96</f>
        <v>Metronomic Combotherapy</v>
      </c>
      <c r="I96" s="216" t="s">
        <v>67</v>
      </c>
      <c r="J96" s="87">
        <f t="shared" ref="J96:AY96" si="32">COUNTIFS($E$5:$E$53,$E96,J$5:J$53,"Alive")</f>
        <v>5</v>
      </c>
      <c r="K96" s="87">
        <f t="shared" si="32"/>
        <v>5</v>
      </c>
      <c r="L96" s="87">
        <f t="shared" si="32"/>
        <v>5</v>
      </c>
      <c r="M96" s="87">
        <f t="shared" si="32"/>
        <v>5</v>
      </c>
      <c r="N96" s="87">
        <f t="shared" si="32"/>
        <v>5</v>
      </c>
      <c r="O96" s="87">
        <f t="shared" si="32"/>
        <v>5</v>
      </c>
      <c r="P96" s="87">
        <f t="shared" si="32"/>
        <v>5</v>
      </c>
      <c r="Q96" s="87">
        <f t="shared" si="32"/>
        <v>5</v>
      </c>
      <c r="R96" s="87">
        <f t="shared" si="32"/>
        <v>5</v>
      </c>
      <c r="S96" s="87">
        <f t="shared" si="32"/>
        <v>5</v>
      </c>
      <c r="T96" s="87">
        <f t="shared" si="32"/>
        <v>5</v>
      </c>
      <c r="U96" s="87">
        <f t="shared" si="32"/>
        <v>5</v>
      </c>
      <c r="V96" s="87">
        <f t="shared" si="32"/>
        <v>5</v>
      </c>
      <c r="W96" s="87">
        <f t="shared" si="32"/>
        <v>5</v>
      </c>
      <c r="X96" s="87">
        <f t="shared" si="32"/>
        <v>5</v>
      </c>
      <c r="Y96" s="87">
        <f t="shared" si="32"/>
        <v>5</v>
      </c>
      <c r="Z96" s="87">
        <f t="shared" si="32"/>
        <v>5</v>
      </c>
      <c r="AA96" s="87">
        <f t="shared" si="32"/>
        <v>5</v>
      </c>
      <c r="AB96" s="87">
        <f t="shared" si="32"/>
        <v>5</v>
      </c>
      <c r="AC96" s="87">
        <f t="shared" si="32"/>
        <v>5</v>
      </c>
      <c r="AD96" s="87">
        <f t="shared" si="32"/>
        <v>2</v>
      </c>
      <c r="AE96" s="87">
        <f t="shared" si="32"/>
        <v>1</v>
      </c>
      <c r="AF96" s="87">
        <f t="shared" si="32"/>
        <v>1</v>
      </c>
      <c r="AG96" s="87">
        <f t="shared" si="32"/>
        <v>1</v>
      </c>
      <c r="AH96" s="87">
        <f t="shared" si="32"/>
        <v>0</v>
      </c>
      <c r="AI96" s="87">
        <f t="shared" si="32"/>
        <v>0</v>
      </c>
      <c r="AJ96" s="87">
        <f t="shared" si="32"/>
        <v>0</v>
      </c>
      <c r="AK96" s="87">
        <f t="shared" si="32"/>
        <v>0</v>
      </c>
      <c r="AL96" s="87">
        <f t="shared" si="32"/>
        <v>0</v>
      </c>
      <c r="AM96" s="87">
        <f t="shared" si="32"/>
        <v>0</v>
      </c>
      <c r="AN96" s="87">
        <f t="shared" si="32"/>
        <v>0</v>
      </c>
      <c r="AO96" s="87">
        <f t="shared" si="32"/>
        <v>0</v>
      </c>
      <c r="AP96" s="87">
        <f t="shared" si="32"/>
        <v>0</v>
      </c>
      <c r="AQ96" s="87">
        <f t="shared" si="32"/>
        <v>0</v>
      </c>
      <c r="AR96" s="87">
        <f t="shared" si="32"/>
        <v>0</v>
      </c>
      <c r="AS96" s="87">
        <f t="shared" si="32"/>
        <v>0</v>
      </c>
      <c r="AT96" s="87">
        <f t="shared" si="32"/>
        <v>0</v>
      </c>
      <c r="AU96" s="87">
        <f t="shared" si="32"/>
        <v>0</v>
      </c>
      <c r="AV96" s="87">
        <f t="shared" si="32"/>
        <v>0</v>
      </c>
      <c r="AW96" s="87">
        <f t="shared" si="32"/>
        <v>0</v>
      </c>
      <c r="AX96" s="87">
        <f t="shared" si="32"/>
        <v>0</v>
      </c>
      <c r="AY96" s="87">
        <f t="shared" si="32"/>
        <v>0</v>
      </c>
      <c r="AZ96" s="85"/>
    </row>
    <row r="97" spans="1:52" ht="14.25" customHeight="1">
      <c r="A97" s="129"/>
      <c r="E97" s="104"/>
      <c r="H97" s="104"/>
      <c r="I97" s="216" t="s">
        <v>66</v>
      </c>
      <c r="J97" s="90">
        <f t="shared" ref="J97:AY97" si="33">COUNTIFS($E$5:$E$53,$E96,J$5:J$53,"Censored")</f>
        <v>0</v>
      </c>
      <c r="K97" s="90">
        <f t="shared" si="33"/>
        <v>0</v>
      </c>
      <c r="L97" s="90">
        <f t="shared" si="33"/>
        <v>0</v>
      </c>
      <c r="M97" s="90">
        <f t="shared" si="33"/>
        <v>0</v>
      </c>
      <c r="N97" s="90">
        <f t="shared" si="33"/>
        <v>0</v>
      </c>
      <c r="O97" s="90">
        <f t="shared" si="33"/>
        <v>0</v>
      </c>
      <c r="P97" s="90">
        <f t="shared" si="33"/>
        <v>0</v>
      </c>
      <c r="Q97" s="90">
        <f t="shared" si="33"/>
        <v>0</v>
      </c>
      <c r="R97" s="90">
        <f t="shared" si="33"/>
        <v>0</v>
      </c>
      <c r="S97" s="90">
        <f t="shared" si="33"/>
        <v>0</v>
      </c>
      <c r="T97" s="90">
        <f t="shared" si="33"/>
        <v>0</v>
      </c>
      <c r="U97" s="90">
        <f t="shared" si="33"/>
        <v>0</v>
      </c>
      <c r="V97" s="90">
        <f t="shared" si="33"/>
        <v>0</v>
      </c>
      <c r="W97" s="90">
        <f t="shared" si="33"/>
        <v>0</v>
      </c>
      <c r="X97" s="90">
        <f t="shared" si="33"/>
        <v>0</v>
      </c>
      <c r="Y97" s="90">
        <f t="shared" si="33"/>
        <v>0</v>
      </c>
      <c r="Z97" s="90">
        <f t="shared" si="33"/>
        <v>0</v>
      </c>
      <c r="AA97" s="90">
        <f t="shared" si="33"/>
        <v>0</v>
      </c>
      <c r="AB97" s="90">
        <f t="shared" si="33"/>
        <v>0</v>
      </c>
      <c r="AC97" s="90">
        <f t="shared" si="33"/>
        <v>0</v>
      </c>
      <c r="AD97" s="90">
        <f t="shared" si="33"/>
        <v>0</v>
      </c>
      <c r="AE97" s="90">
        <f t="shared" si="33"/>
        <v>0</v>
      </c>
      <c r="AF97" s="90">
        <f t="shared" si="33"/>
        <v>0</v>
      </c>
      <c r="AG97" s="90">
        <f t="shared" si="33"/>
        <v>0</v>
      </c>
      <c r="AH97" s="90">
        <f t="shared" si="33"/>
        <v>0</v>
      </c>
      <c r="AI97" s="90">
        <f t="shared" si="33"/>
        <v>0</v>
      </c>
      <c r="AJ97" s="90">
        <f t="shared" si="33"/>
        <v>0</v>
      </c>
      <c r="AK97" s="90">
        <f t="shared" si="33"/>
        <v>0</v>
      </c>
      <c r="AL97" s="90">
        <f t="shared" si="33"/>
        <v>0</v>
      </c>
      <c r="AM97" s="90">
        <f t="shared" si="33"/>
        <v>0</v>
      </c>
      <c r="AN97" s="90">
        <f t="shared" si="33"/>
        <v>0</v>
      </c>
      <c r="AO97" s="90">
        <f t="shared" si="33"/>
        <v>0</v>
      </c>
      <c r="AP97" s="90">
        <f t="shared" si="33"/>
        <v>0</v>
      </c>
      <c r="AQ97" s="90">
        <f t="shared" si="33"/>
        <v>0</v>
      </c>
      <c r="AR97" s="90">
        <f t="shared" si="33"/>
        <v>0</v>
      </c>
      <c r="AS97" s="90">
        <f t="shared" si="33"/>
        <v>0</v>
      </c>
      <c r="AT97" s="90">
        <f t="shared" si="33"/>
        <v>0</v>
      </c>
      <c r="AU97" s="90">
        <f t="shared" si="33"/>
        <v>0</v>
      </c>
      <c r="AV97" s="90">
        <f t="shared" si="33"/>
        <v>0</v>
      </c>
      <c r="AW97" s="90">
        <f t="shared" si="33"/>
        <v>0</v>
      </c>
      <c r="AX97" s="90">
        <f t="shared" si="33"/>
        <v>0</v>
      </c>
      <c r="AY97" s="90">
        <f t="shared" si="33"/>
        <v>0</v>
      </c>
      <c r="AZ97" s="85"/>
    </row>
    <row r="98" spans="1:52" ht="14.25" customHeight="1">
      <c r="E98" s="254"/>
      <c r="H98" s="104"/>
      <c r="I98" s="216" t="s">
        <v>68</v>
      </c>
      <c r="J98" s="83">
        <f>J96/(COUNTIFS($E$5:$E$53,$E96,J$5:J$53,"Alive")+COUNTIFS($E$5:$E$53,$E96,J$5:J$53,"Sacrificed")+COUNTIFS($E$5:$E$53,$E96,J$5:J$53,"Died"))</f>
        <v>1</v>
      </c>
      <c r="K98" s="83">
        <f t="shared" ref="K98:AY98" si="34">K96/(COUNTIFS($E$5:$E$53,$E96,K$5:K$53,"Alive")+COUNTIFS($E$5:$E$53,$E96,K$5:K$53,"Sacrificed")+COUNTIFS($E$5:$E$53,$E96,K$5:K$53,"Died"))*J98</f>
        <v>1</v>
      </c>
      <c r="L98" s="83">
        <f t="shared" si="34"/>
        <v>1</v>
      </c>
      <c r="M98" s="83">
        <f t="shared" si="34"/>
        <v>1</v>
      </c>
      <c r="N98" s="83">
        <f t="shared" si="34"/>
        <v>1</v>
      </c>
      <c r="O98" s="83">
        <f t="shared" si="34"/>
        <v>1</v>
      </c>
      <c r="P98" s="83">
        <f t="shared" si="34"/>
        <v>1</v>
      </c>
      <c r="Q98" s="83">
        <f t="shared" si="34"/>
        <v>1</v>
      </c>
      <c r="R98" s="83">
        <f t="shared" si="34"/>
        <v>1</v>
      </c>
      <c r="S98" s="83">
        <f t="shared" si="34"/>
        <v>1</v>
      </c>
      <c r="T98" s="83">
        <f t="shared" si="34"/>
        <v>1</v>
      </c>
      <c r="U98" s="83">
        <f t="shared" si="34"/>
        <v>1</v>
      </c>
      <c r="V98" s="83">
        <f t="shared" si="34"/>
        <v>1</v>
      </c>
      <c r="W98" s="83">
        <f t="shared" si="34"/>
        <v>1</v>
      </c>
      <c r="X98" s="83">
        <f t="shared" si="34"/>
        <v>1</v>
      </c>
      <c r="Y98" s="83">
        <f t="shared" si="34"/>
        <v>1</v>
      </c>
      <c r="Z98" s="83">
        <f t="shared" si="34"/>
        <v>1</v>
      </c>
      <c r="AA98" s="83">
        <f t="shared" si="34"/>
        <v>1</v>
      </c>
      <c r="AB98" s="83">
        <f t="shared" si="34"/>
        <v>1</v>
      </c>
      <c r="AC98" s="83">
        <f t="shared" si="34"/>
        <v>1</v>
      </c>
      <c r="AD98" s="83">
        <f t="shared" si="34"/>
        <v>0.4</v>
      </c>
      <c r="AE98" s="83">
        <f t="shared" si="34"/>
        <v>0.2</v>
      </c>
      <c r="AF98" s="83">
        <f t="shared" si="34"/>
        <v>0.2</v>
      </c>
      <c r="AG98" s="83">
        <f t="shared" si="34"/>
        <v>0.2</v>
      </c>
      <c r="AH98" s="83">
        <f t="shared" si="34"/>
        <v>0</v>
      </c>
      <c r="AI98" s="83" t="e">
        <f t="shared" si="34"/>
        <v>#DIV/0!</v>
      </c>
      <c r="AJ98" s="83" t="e">
        <f t="shared" si="34"/>
        <v>#DIV/0!</v>
      </c>
      <c r="AK98" s="83" t="e">
        <f t="shared" si="34"/>
        <v>#DIV/0!</v>
      </c>
      <c r="AL98" s="83" t="e">
        <f t="shared" si="34"/>
        <v>#DIV/0!</v>
      </c>
      <c r="AM98" s="83" t="e">
        <f t="shared" si="34"/>
        <v>#DIV/0!</v>
      </c>
      <c r="AN98" s="83" t="e">
        <f t="shared" si="34"/>
        <v>#DIV/0!</v>
      </c>
      <c r="AO98" s="83" t="e">
        <f t="shared" si="34"/>
        <v>#DIV/0!</v>
      </c>
      <c r="AP98" s="83" t="e">
        <f t="shared" si="34"/>
        <v>#DIV/0!</v>
      </c>
      <c r="AQ98" s="83" t="e">
        <f t="shared" si="34"/>
        <v>#DIV/0!</v>
      </c>
      <c r="AR98" s="83" t="e">
        <f t="shared" si="34"/>
        <v>#DIV/0!</v>
      </c>
      <c r="AS98" s="83" t="e">
        <f t="shared" si="34"/>
        <v>#DIV/0!</v>
      </c>
      <c r="AT98" s="83" t="e">
        <f t="shared" si="34"/>
        <v>#DIV/0!</v>
      </c>
      <c r="AU98" s="83" t="e">
        <f t="shared" si="34"/>
        <v>#DIV/0!</v>
      </c>
      <c r="AV98" s="83" t="e">
        <f t="shared" si="34"/>
        <v>#DIV/0!</v>
      </c>
      <c r="AW98" s="83" t="e">
        <f t="shared" si="34"/>
        <v>#DIV/0!</v>
      </c>
      <c r="AX98" s="83" t="e">
        <f t="shared" si="34"/>
        <v>#DIV/0!</v>
      </c>
      <c r="AY98" s="83" t="e">
        <f t="shared" si="34"/>
        <v>#DIV/0!</v>
      </c>
      <c r="AZ98" s="3"/>
    </row>
    <row r="100" spans="1:52" ht="14.25" customHeight="1">
      <c r="A100" s="129"/>
      <c r="E100" s="134" t="str">
        <f>'PTX_DOSE Groups'!C16</f>
        <v>Excluded</v>
      </c>
      <c r="H100" s="134" t="str">
        <f>E100</f>
        <v>Excluded</v>
      </c>
      <c r="I100" s="216" t="s">
        <v>67</v>
      </c>
      <c r="J100" s="87">
        <f t="shared" ref="J100:AY100" si="35">COUNTIFS($E$5:$E$53,$E100,J$5:J$53,"Alive")</f>
        <v>1</v>
      </c>
      <c r="K100" s="87">
        <f t="shared" si="35"/>
        <v>1</v>
      </c>
      <c r="L100" s="87">
        <f t="shared" si="35"/>
        <v>1</v>
      </c>
      <c r="M100" s="87">
        <f t="shared" si="35"/>
        <v>1</v>
      </c>
      <c r="N100" s="87">
        <f t="shared" si="35"/>
        <v>1</v>
      </c>
      <c r="O100" s="87">
        <f t="shared" si="35"/>
        <v>1</v>
      </c>
      <c r="P100" s="87">
        <f t="shared" si="35"/>
        <v>1</v>
      </c>
      <c r="Q100" s="87">
        <f t="shared" si="35"/>
        <v>1</v>
      </c>
      <c r="R100" s="87">
        <f t="shared" si="35"/>
        <v>1</v>
      </c>
      <c r="S100" s="87">
        <f t="shared" si="35"/>
        <v>1</v>
      </c>
      <c r="T100" s="87">
        <f t="shared" si="35"/>
        <v>1</v>
      </c>
      <c r="U100" s="87">
        <f t="shared" si="35"/>
        <v>1</v>
      </c>
      <c r="V100" s="87">
        <f t="shared" si="35"/>
        <v>1</v>
      </c>
      <c r="W100" s="87">
        <f t="shared" si="35"/>
        <v>1</v>
      </c>
      <c r="X100" s="87">
        <f t="shared" si="35"/>
        <v>1</v>
      </c>
      <c r="Y100" s="87">
        <f t="shared" si="35"/>
        <v>1</v>
      </c>
      <c r="Z100" s="87">
        <f t="shared" si="35"/>
        <v>1</v>
      </c>
      <c r="AA100" s="87">
        <f t="shared" si="35"/>
        <v>1</v>
      </c>
      <c r="AB100" s="87">
        <f t="shared" si="35"/>
        <v>0</v>
      </c>
      <c r="AC100" s="87">
        <f t="shared" si="35"/>
        <v>0</v>
      </c>
      <c r="AD100" s="87">
        <f t="shared" si="35"/>
        <v>0</v>
      </c>
      <c r="AE100" s="87">
        <f t="shared" si="35"/>
        <v>0</v>
      </c>
      <c r="AF100" s="87">
        <f t="shared" si="35"/>
        <v>0</v>
      </c>
      <c r="AG100" s="87">
        <f t="shared" si="35"/>
        <v>0</v>
      </c>
      <c r="AH100" s="87">
        <f t="shared" si="35"/>
        <v>0</v>
      </c>
      <c r="AI100" s="87">
        <f t="shared" si="35"/>
        <v>0</v>
      </c>
      <c r="AJ100" s="87">
        <f t="shared" si="35"/>
        <v>0</v>
      </c>
      <c r="AK100" s="87">
        <f t="shared" si="35"/>
        <v>0</v>
      </c>
      <c r="AL100" s="87">
        <f t="shared" si="35"/>
        <v>0</v>
      </c>
      <c r="AM100" s="87">
        <f t="shared" si="35"/>
        <v>0</v>
      </c>
      <c r="AN100" s="87">
        <f t="shared" si="35"/>
        <v>0</v>
      </c>
      <c r="AO100" s="87">
        <f t="shared" si="35"/>
        <v>0</v>
      </c>
      <c r="AP100" s="87">
        <f t="shared" si="35"/>
        <v>0</v>
      </c>
      <c r="AQ100" s="87">
        <f t="shared" si="35"/>
        <v>0</v>
      </c>
      <c r="AR100" s="87">
        <f t="shared" si="35"/>
        <v>0</v>
      </c>
      <c r="AS100" s="87">
        <f t="shared" si="35"/>
        <v>0</v>
      </c>
      <c r="AT100" s="87">
        <f t="shared" si="35"/>
        <v>0</v>
      </c>
      <c r="AU100" s="87">
        <f t="shared" si="35"/>
        <v>0</v>
      </c>
      <c r="AV100" s="87">
        <f t="shared" si="35"/>
        <v>0</v>
      </c>
      <c r="AW100" s="87">
        <f t="shared" si="35"/>
        <v>0</v>
      </c>
      <c r="AX100" s="87">
        <f t="shared" si="35"/>
        <v>0</v>
      </c>
      <c r="AY100" s="87">
        <f t="shared" si="35"/>
        <v>0</v>
      </c>
      <c r="AZ100" s="85"/>
    </row>
    <row r="101" spans="1:52" ht="14.25" customHeight="1">
      <c r="A101" s="129"/>
      <c r="E101" s="104"/>
      <c r="H101" s="104"/>
      <c r="I101" s="216" t="s">
        <v>66</v>
      </c>
      <c r="J101" s="90">
        <f t="shared" ref="J101:AY101" si="36">COUNTIFS($E$5:$E$53,$E100,J$5:J$53,"Censored")</f>
        <v>0</v>
      </c>
      <c r="K101" s="90">
        <f t="shared" si="36"/>
        <v>0</v>
      </c>
      <c r="L101" s="90">
        <f t="shared" si="36"/>
        <v>0</v>
      </c>
      <c r="M101" s="90">
        <f t="shared" si="36"/>
        <v>0</v>
      </c>
      <c r="N101" s="90">
        <f t="shared" si="36"/>
        <v>0</v>
      </c>
      <c r="O101" s="90">
        <f t="shared" si="36"/>
        <v>0</v>
      </c>
      <c r="P101" s="90">
        <f t="shared" si="36"/>
        <v>0</v>
      </c>
      <c r="Q101" s="90">
        <f t="shared" si="36"/>
        <v>0</v>
      </c>
      <c r="R101" s="90">
        <f t="shared" si="36"/>
        <v>0</v>
      </c>
      <c r="S101" s="90">
        <f t="shared" si="36"/>
        <v>0</v>
      </c>
      <c r="T101" s="90">
        <f t="shared" si="36"/>
        <v>0</v>
      </c>
      <c r="U101" s="90">
        <f t="shared" si="36"/>
        <v>0</v>
      </c>
      <c r="V101" s="90">
        <f t="shared" si="36"/>
        <v>0</v>
      </c>
      <c r="W101" s="90">
        <f t="shared" si="36"/>
        <v>0</v>
      </c>
      <c r="X101" s="90">
        <f t="shared" si="36"/>
        <v>0</v>
      </c>
      <c r="Y101" s="90">
        <f t="shared" si="36"/>
        <v>0</v>
      </c>
      <c r="Z101" s="90">
        <f t="shared" si="36"/>
        <v>0</v>
      </c>
      <c r="AA101" s="90">
        <f t="shared" si="36"/>
        <v>0</v>
      </c>
      <c r="AB101" s="90">
        <f t="shared" si="36"/>
        <v>0</v>
      </c>
      <c r="AC101" s="90">
        <f t="shared" si="36"/>
        <v>0</v>
      </c>
      <c r="AD101" s="90">
        <f t="shared" si="36"/>
        <v>0</v>
      </c>
      <c r="AE101" s="90">
        <f t="shared" si="36"/>
        <v>0</v>
      </c>
      <c r="AF101" s="90">
        <f t="shared" si="36"/>
        <v>0</v>
      </c>
      <c r="AG101" s="90">
        <f t="shared" si="36"/>
        <v>0</v>
      </c>
      <c r="AH101" s="90">
        <f t="shared" si="36"/>
        <v>0</v>
      </c>
      <c r="AI101" s="90">
        <f t="shared" si="36"/>
        <v>0</v>
      </c>
      <c r="AJ101" s="90">
        <f t="shared" si="36"/>
        <v>0</v>
      </c>
      <c r="AK101" s="90">
        <f t="shared" si="36"/>
        <v>0</v>
      </c>
      <c r="AL101" s="90">
        <f t="shared" si="36"/>
        <v>0</v>
      </c>
      <c r="AM101" s="90">
        <f t="shared" si="36"/>
        <v>0</v>
      </c>
      <c r="AN101" s="90">
        <f t="shared" si="36"/>
        <v>0</v>
      </c>
      <c r="AO101" s="90">
        <f t="shared" si="36"/>
        <v>0</v>
      </c>
      <c r="AP101" s="90">
        <f t="shared" si="36"/>
        <v>0</v>
      </c>
      <c r="AQ101" s="90">
        <f t="shared" si="36"/>
        <v>0</v>
      </c>
      <c r="AR101" s="90">
        <f t="shared" si="36"/>
        <v>0</v>
      </c>
      <c r="AS101" s="90">
        <f t="shared" si="36"/>
        <v>0</v>
      </c>
      <c r="AT101" s="90">
        <f t="shared" si="36"/>
        <v>0</v>
      </c>
      <c r="AU101" s="90">
        <f t="shared" si="36"/>
        <v>0</v>
      </c>
      <c r="AV101" s="90">
        <f t="shared" si="36"/>
        <v>0</v>
      </c>
      <c r="AW101" s="90">
        <f t="shared" si="36"/>
        <v>0</v>
      </c>
      <c r="AX101" s="90">
        <f t="shared" si="36"/>
        <v>0</v>
      </c>
      <c r="AY101" s="90">
        <f t="shared" si="36"/>
        <v>0</v>
      </c>
      <c r="AZ101" s="85"/>
    </row>
    <row r="102" spans="1:52" ht="14.25" customHeight="1">
      <c r="E102" s="254"/>
      <c r="H102" s="104"/>
      <c r="I102" s="216" t="s">
        <v>68</v>
      </c>
      <c r="J102" s="83">
        <f>J100/(COUNTIFS($E$5:$E$53,$E100,J$5:J$53,"Alive")+COUNTIFS($E$5:$E$53,$E100,J$5:J$53,"Sacrificed")+COUNTIFS($E$5:$E$53,$E100,J$5:J$53,"Died"))</f>
        <v>1</v>
      </c>
      <c r="K102" s="83">
        <f t="shared" ref="K102:AY102" si="37">K100/(COUNTIFS($E$5:$E$53,$E100,K$5:K$53,"Alive")+COUNTIFS($E$5:$E$53,$E100,K$5:K$53,"Sacrificed")+COUNTIFS($E$5:$E$53,$E100,K$5:K$53,"Died"))*J102</f>
        <v>1</v>
      </c>
      <c r="L102" s="83">
        <f t="shared" si="37"/>
        <v>1</v>
      </c>
      <c r="M102" s="83">
        <f t="shared" si="37"/>
        <v>1</v>
      </c>
      <c r="N102" s="83">
        <f t="shared" si="37"/>
        <v>1</v>
      </c>
      <c r="O102" s="83">
        <f t="shared" si="37"/>
        <v>1</v>
      </c>
      <c r="P102" s="83">
        <f t="shared" si="37"/>
        <v>1</v>
      </c>
      <c r="Q102" s="83">
        <f t="shared" si="37"/>
        <v>1</v>
      </c>
      <c r="R102" s="83">
        <f t="shared" si="37"/>
        <v>1</v>
      </c>
      <c r="S102" s="83">
        <f t="shared" si="37"/>
        <v>1</v>
      </c>
      <c r="T102" s="83">
        <f t="shared" si="37"/>
        <v>1</v>
      </c>
      <c r="U102" s="83">
        <f t="shared" si="37"/>
        <v>1</v>
      </c>
      <c r="V102" s="83">
        <f t="shared" si="37"/>
        <v>1</v>
      </c>
      <c r="W102" s="83">
        <f t="shared" si="37"/>
        <v>1</v>
      </c>
      <c r="X102" s="83">
        <f t="shared" si="37"/>
        <v>1</v>
      </c>
      <c r="Y102" s="83">
        <f t="shared" si="37"/>
        <v>1</v>
      </c>
      <c r="Z102" s="83">
        <f t="shared" si="37"/>
        <v>1</v>
      </c>
      <c r="AA102" s="83">
        <f t="shared" si="37"/>
        <v>1</v>
      </c>
      <c r="AB102" s="83">
        <f t="shared" si="37"/>
        <v>0</v>
      </c>
      <c r="AC102" s="83" t="e">
        <f t="shared" si="37"/>
        <v>#DIV/0!</v>
      </c>
      <c r="AD102" s="83" t="e">
        <f t="shared" si="37"/>
        <v>#DIV/0!</v>
      </c>
      <c r="AE102" s="83" t="e">
        <f t="shared" si="37"/>
        <v>#DIV/0!</v>
      </c>
      <c r="AF102" s="83" t="e">
        <f t="shared" si="37"/>
        <v>#DIV/0!</v>
      </c>
      <c r="AG102" s="83" t="e">
        <f t="shared" si="37"/>
        <v>#DIV/0!</v>
      </c>
      <c r="AH102" s="83" t="e">
        <f t="shared" si="37"/>
        <v>#DIV/0!</v>
      </c>
      <c r="AI102" s="83" t="e">
        <f t="shared" si="37"/>
        <v>#DIV/0!</v>
      </c>
      <c r="AJ102" s="83" t="e">
        <f t="shared" si="37"/>
        <v>#DIV/0!</v>
      </c>
      <c r="AK102" s="83" t="e">
        <f t="shared" si="37"/>
        <v>#DIV/0!</v>
      </c>
      <c r="AL102" s="83" t="e">
        <f t="shared" si="37"/>
        <v>#DIV/0!</v>
      </c>
      <c r="AM102" s="83" t="e">
        <f t="shared" si="37"/>
        <v>#DIV/0!</v>
      </c>
      <c r="AN102" s="83" t="e">
        <f t="shared" si="37"/>
        <v>#DIV/0!</v>
      </c>
      <c r="AO102" s="83" t="e">
        <f t="shared" si="37"/>
        <v>#DIV/0!</v>
      </c>
      <c r="AP102" s="83" t="e">
        <f t="shared" si="37"/>
        <v>#DIV/0!</v>
      </c>
      <c r="AQ102" s="83" t="e">
        <f t="shared" si="37"/>
        <v>#DIV/0!</v>
      </c>
      <c r="AR102" s="83" t="e">
        <f t="shared" si="37"/>
        <v>#DIV/0!</v>
      </c>
      <c r="AS102" s="83" t="e">
        <f t="shared" si="37"/>
        <v>#DIV/0!</v>
      </c>
      <c r="AT102" s="83" t="e">
        <f t="shared" si="37"/>
        <v>#DIV/0!</v>
      </c>
      <c r="AU102" s="83" t="e">
        <f t="shared" si="37"/>
        <v>#DIV/0!</v>
      </c>
      <c r="AV102" s="83" t="e">
        <f t="shared" si="37"/>
        <v>#DIV/0!</v>
      </c>
      <c r="AW102" s="83" t="e">
        <f t="shared" si="37"/>
        <v>#DIV/0!</v>
      </c>
      <c r="AX102" s="83" t="e">
        <f t="shared" si="37"/>
        <v>#DIV/0!</v>
      </c>
      <c r="AY102" s="83" t="e">
        <f t="shared" si="37"/>
        <v>#DIV/0!</v>
      </c>
      <c r="AZ102" s="3"/>
    </row>
    <row r="104" spans="1:52" ht="14.25" customHeight="1">
      <c r="A104" s="129"/>
      <c r="E104" s="134" t="str">
        <f>'PTX_DOSE Groups'!C17</f>
        <v>Group 12</v>
      </c>
      <c r="H104" s="134" t="str">
        <f>E104</f>
        <v>Group 12</v>
      </c>
      <c r="I104" s="216" t="s">
        <v>67</v>
      </c>
      <c r="J104" s="87">
        <f t="shared" ref="J104:AY104" si="38">COUNTIFS($E$5:$E$53,$E104,J$5:J$53,"Alive")</f>
        <v>0</v>
      </c>
      <c r="K104" s="87">
        <f t="shared" si="38"/>
        <v>0</v>
      </c>
      <c r="L104" s="87">
        <f t="shared" si="38"/>
        <v>0</v>
      </c>
      <c r="M104" s="87">
        <f t="shared" si="38"/>
        <v>0</v>
      </c>
      <c r="N104" s="87">
        <f t="shared" si="38"/>
        <v>0</v>
      </c>
      <c r="O104" s="87">
        <f t="shared" si="38"/>
        <v>0</v>
      </c>
      <c r="P104" s="87">
        <f t="shared" si="38"/>
        <v>0</v>
      </c>
      <c r="Q104" s="87">
        <f t="shared" si="38"/>
        <v>0</v>
      </c>
      <c r="R104" s="87">
        <f t="shared" si="38"/>
        <v>0</v>
      </c>
      <c r="S104" s="87">
        <f t="shared" si="38"/>
        <v>0</v>
      </c>
      <c r="T104" s="87">
        <f t="shared" si="38"/>
        <v>0</v>
      </c>
      <c r="U104" s="87">
        <f t="shared" si="38"/>
        <v>0</v>
      </c>
      <c r="V104" s="87">
        <f t="shared" si="38"/>
        <v>0</v>
      </c>
      <c r="W104" s="87">
        <f t="shared" si="38"/>
        <v>0</v>
      </c>
      <c r="X104" s="87">
        <f t="shared" si="38"/>
        <v>0</v>
      </c>
      <c r="Y104" s="87">
        <f t="shared" si="38"/>
        <v>0</v>
      </c>
      <c r="Z104" s="87">
        <f t="shared" si="38"/>
        <v>0</v>
      </c>
      <c r="AA104" s="87">
        <f t="shared" si="38"/>
        <v>0</v>
      </c>
      <c r="AB104" s="87">
        <f t="shared" si="38"/>
        <v>0</v>
      </c>
      <c r="AC104" s="87">
        <f t="shared" si="38"/>
        <v>0</v>
      </c>
      <c r="AD104" s="87">
        <f t="shared" si="38"/>
        <v>0</v>
      </c>
      <c r="AE104" s="87">
        <f t="shared" si="38"/>
        <v>0</v>
      </c>
      <c r="AF104" s="87">
        <f t="shared" si="38"/>
        <v>0</v>
      </c>
      <c r="AG104" s="87">
        <f t="shared" si="38"/>
        <v>0</v>
      </c>
      <c r="AH104" s="87">
        <f t="shared" si="38"/>
        <v>0</v>
      </c>
      <c r="AI104" s="87">
        <f t="shared" si="38"/>
        <v>0</v>
      </c>
      <c r="AJ104" s="87">
        <f t="shared" si="38"/>
        <v>0</v>
      </c>
      <c r="AK104" s="87">
        <f t="shared" si="38"/>
        <v>0</v>
      </c>
      <c r="AL104" s="87">
        <f t="shared" si="38"/>
        <v>0</v>
      </c>
      <c r="AM104" s="87">
        <f t="shared" si="38"/>
        <v>0</v>
      </c>
      <c r="AN104" s="87">
        <f t="shared" si="38"/>
        <v>0</v>
      </c>
      <c r="AO104" s="87">
        <f t="shared" si="38"/>
        <v>0</v>
      </c>
      <c r="AP104" s="87">
        <f t="shared" si="38"/>
        <v>0</v>
      </c>
      <c r="AQ104" s="87">
        <f t="shared" si="38"/>
        <v>0</v>
      </c>
      <c r="AR104" s="87">
        <f t="shared" si="38"/>
        <v>0</v>
      </c>
      <c r="AS104" s="87">
        <f t="shared" si="38"/>
        <v>0</v>
      </c>
      <c r="AT104" s="87">
        <f t="shared" si="38"/>
        <v>0</v>
      </c>
      <c r="AU104" s="87">
        <f t="shared" si="38"/>
        <v>0</v>
      </c>
      <c r="AV104" s="87">
        <f t="shared" si="38"/>
        <v>0</v>
      </c>
      <c r="AW104" s="87">
        <f t="shared" si="38"/>
        <v>0</v>
      </c>
      <c r="AX104" s="87">
        <f t="shared" si="38"/>
        <v>0</v>
      </c>
      <c r="AY104" s="87">
        <f t="shared" si="38"/>
        <v>0</v>
      </c>
      <c r="AZ104" s="85"/>
    </row>
    <row r="105" spans="1:52" ht="14.25" customHeight="1">
      <c r="A105" s="129"/>
      <c r="E105" s="104"/>
      <c r="H105" s="104"/>
      <c r="I105" s="216" t="s">
        <v>66</v>
      </c>
      <c r="J105" s="90">
        <f t="shared" ref="J105:AY105" si="39">COUNTIFS($E$5:$E$53,$E104,J$5:J$53,"Censored")</f>
        <v>0</v>
      </c>
      <c r="K105" s="90">
        <f t="shared" si="39"/>
        <v>0</v>
      </c>
      <c r="L105" s="90">
        <f t="shared" si="39"/>
        <v>0</v>
      </c>
      <c r="M105" s="90">
        <f t="shared" si="39"/>
        <v>0</v>
      </c>
      <c r="N105" s="90">
        <f t="shared" si="39"/>
        <v>0</v>
      </c>
      <c r="O105" s="90">
        <f t="shared" si="39"/>
        <v>0</v>
      </c>
      <c r="P105" s="90">
        <f t="shared" si="39"/>
        <v>0</v>
      </c>
      <c r="Q105" s="90">
        <f t="shared" si="39"/>
        <v>0</v>
      </c>
      <c r="R105" s="90">
        <f t="shared" si="39"/>
        <v>0</v>
      </c>
      <c r="S105" s="90">
        <f t="shared" si="39"/>
        <v>0</v>
      </c>
      <c r="T105" s="90">
        <f t="shared" si="39"/>
        <v>0</v>
      </c>
      <c r="U105" s="90">
        <f t="shared" si="39"/>
        <v>0</v>
      </c>
      <c r="V105" s="90">
        <f t="shared" si="39"/>
        <v>0</v>
      </c>
      <c r="W105" s="90">
        <f t="shared" si="39"/>
        <v>0</v>
      </c>
      <c r="X105" s="90">
        <f t="shared" si="39"/>
        <v>0</v>
      </c>
      <c r="Y105" s="90">
        <f t="shared" si="39"/>
        <v>0</v>
      </c>
      <c r="Z105" s="90">
        <f t="shared" si="39"/>
        <v>0</v>
      </c>
      <c r="AA105" s="90">
        <f t="shared" si="39"/>
        <v>0</v>
      </c>
      <c r="AB105" s="90">
        <f t="shared" si="39"/>
        <v>0</v>
      </c>
      <c r="AC105" s="90">
        <f t="shared" si="39"/>
        <v>0</v>
      </c>
      <c r="AD105" s="90">
        <f t="shared" si="39"/>
        <v>0</v>
      </c>
      <c r="AE105" s="90">
        <f t="shared" si="39"/>
        <v>0</v>
      </c>
      <c r="AF105" s="90">
        <f t="shared" si="39"/>
        <v>0</v>
      </c>
      <c r="AG105" s="90">
        <f t="shared" si="39"/>
        <v>0</v>
      </c>
      <c r="AH105" s="90">
        <f t="shared" si="39"/>
        <v>0</v>
      </c>
      <c r="AI105" s="90">
        <f t="shared" si="39"/>
        <v>0</v>
      </c>
      <c r="AJ105" s="90">
        <f t="shared" si="39"/>
        <v>0</v>
      </c>
      <c r="AK105" s="90">
        <f t="shared" si="39"/>
        <v>0</v>
      </c>
      <c r="AL105" s="90">
        <f t="shared" si="39"/>
        <v>0</v>
      </c>
      <c r="AM105" s="90">
        <f t="shared" si="39"/>
        <v>0</v>
      </c>
      <c r="AN105" s="90">
        <f t="shared" si="39"/>
        <v>0</v>
      </c>
      <c r="AO105" s="90">
        <f t="shared" si="39"/>
        <v>0</v>
      </c>
      <c r="AP105" s="90">
        <f t="shared" si="39"/>
        <v>0</v>
      </c>
      <c r="AQ105" s="90">
        <f t="shared" si="39"/>
        <v>0</v>
      </c>
      <c r="AR105" s="90">
        <f t="shared" si="39"/>
        <v>0</v>
      </c>
      <c r="AS105" s="90">
        <f t="shared" si="39"/>
        <v>0</v>
      </c>
      <c r="AT105" s="90">
        <f t="shared" si="39"/>
        <v>0</v>
      </c>
      <c r="AU105" s="90">
        <f t="shared" si="39"/>
        <v>0</v>
      </c>
      <c r="AV105" s="90">
        <f t="shared" si="39"/>
        <v>0</v>
      </c>
      <c r="AW105" s="90">
        <f t="shared" si="39"/>
        <v>0</v>
      </c>
      <c r="AX105" s="90">
        <f t="shared" si="39"/>
        <v>0</v>
      </c>
      <c r="AY105" s="90">
        <f t="shared" si="39"/>
        <v>0</v>
      </c>
      <c r="AZ105" s="85"/>
    </row>
    <row r="106" spans="1:52" ht="14.25" customHeight="1">
      <c r="E106" s="254"/>
      <c r="H106" s="104"/>
      <c r="I106" s="216" t="s">
        <v>68</v>
      </c>
      <c r="J106" s="83" t="e">
        <f>J104/(COUNTIFS($E$5:$E$53,$E104,J$5:J$53,"Alive")+COUNTIFS($E$5:$E$53,$E104,J$5:J$53,"Sacrificed")+COUNTIFS($E$5:$E$53,$E104,J$5:J$53,"Died"))</f>
        <v>#DIV/0!</v>
      </c>
      <c r="K106" s="83" t="e">
        <f t="shared" ref="K106:AY106" si="40">K104/(COUNTIFS($E$5:$E$53,$E104,K$5:K$53,"Alive")+COUNTIFS($E$5:$E$53,$E104,K$5:K$53,"Sacrificed")+COUNTIFS($E$5:$E$53,$E104,K$5:K$53,"Died"))*J106</f>
        <v>#DIV/0!</v>
      </c>
      <c r="L106" s="83" t="e">
        <f t="shared" si="40"/>
        <v>#DIV/0!</v>
      </c>
      <c r="M106" s="83" t="e">
        <f t="shared" si="40"/>
        <v>#DIV/0!</v>
      </c>
      <c r="N106" s="83" t="e">
        <f t="shared" si="40"/>
        <v>#DIV/0!</v>
      </c>
      <c r="O106" s="83" t="e">
        <f t="shared" si="40"/>
        <v>#DIV/0!</v>
      </c>
      <c r="P106" s="83" t="e">
        <f t="shared" si="40"/>
        <v>#DIV/0!</v>
      </c>
      <c r="Q106" s="83" t="e">
        <f t="shared" si="40"/>
        <v>#DIV/0!</v>
      </c>
      <c r="R106" s="83" t="e">
        <f t="shared" si="40"/>
        <v>#DIV/0!</v>
      </c>
      <c r="S106" s="83" t="e">
        <f t="shared" si="40"/>
        <v>#DIV/0!</v>
      </c>
      <c r="T106" s="83" t="e">
        <f t="shared" si="40"/>
        <v>#DIV/0!</v>
      </c>
      <c r="U106" s="83" t="e">
        <f t="shared" si="40"/>
        <v>#DIV/0!</v>
      </c>
      <c r="V106" s="83" t="e">
        <f t="shared" si="40"/>
        <v>#DIV/0!</v>
      </c>
      <c r="W106" s="83" t="e">
        <f t="shared" si="40"/>
        <v>#DIV/0!</v>
      </c>
      <c r="X106" s="83" t="e">
        <f t="shared" si="40"/>
        <v>#DIV/0!</v>
      </c>
      <c r="Y106" s="83" t="e">
        <f t="shared" si="40"/>
        <v>#DIV/0!</v>
      </c>
      <c r="Z106" s="83" t="e">
        <f t="shared" si="40"/>
        <v>#DIV/0!</v>
      </c>
      <c r="AA106" s="83" t="e">
        <f t="shared" si="40"/>
        <v>#DIV/0!</v>
      </c>
      <c r="AB106" s="83" t="e">
        <f t="shared" si="40"/>
        <v>#DIV/0!</v>
      </c>
      <c r="AC106" s="83" t="e">
        <f t="shared" si="40"/>
        <v>#DIV/0!</v>
      </c>
      <c r="AD106" s="83" t="e">
        <f t="shared" si="40"/>
        <v>#DIV/0!</v>
      </c>
      <c r="AE106" s="83" t="e">
        <f t="shared" si="40"/>
        <v>#DIV/0!</v>
      </c>
      <c r="AF106" s="83" t="e">
        <f t="shared" si="40"/>
        <v>#DIV/0!</v>
      </c>
      <c r="AG106" s="83" t="e">
        <f t="shared" si="40"/>
        <v>#DIV/0!</v>
      </c>
      <c r="AH106" s="83" t="e">
        <f t="shared" si="40"/>
        <v>#DIV/0!</v>
      </c>
      <c r="AI106" s="83" t="e">
        <f t="shared" si="40"/>
        <v>#DIV/0!</v>
      </c>
      <c r="AJ106" s="83" t="e">
        <f t="shared" si="40"/>
        <v>#DIV/0!</v>
      </c>
      <c r="AK106" s="83" t="e">
        <f t="shared" si="40"/>
        <v>#DIV/0!</v>
      </c>
      <c r="AL106" s="83" t="e">
        <f t="shared" si="40"/>
        <v>#DIV/0!</v>
      </c>
      <c r="AM106" s="83" t="e">
        <f t="shared" si="40"/>
        <v>#DIV/0!</v>
      </c>
      <c r="AN106" s="83" t="e">
        <f t="shared" si="40"/>
        <v>#DIV/0!</v>
      </c>
      <c r="AO106" s="83" t="e">
        <f t="shared" si="40"/>
        <v>#DIV/0!</v>
      </c>
      <c r="AP106" s="83" t="e">
        <f t="shared" si="40"/>
        <v>#DIV/0!</v>
      </c>
      <c r="AQ106" s="83" t="e">
        <f t="shared" si="40"/>
        <v>#DIV/0!</v>
      </c>
      <c r="AR106" s="83" t="e">
        <f t="shared" si="40"/>
        <v>#DIV/0!</v>
      </c>
      <c r="AS106" s="83" t="e">
        <f t="shared" si="40"/>
        <v>#DIV/0!</v>
      </c>
      <c r="AT106" s="83" t="e">
        <f t="shared" si="40"/>
        <v>#DIV/0!</v>
      </c>
      <c r="AU106" s="83" t="e">
        <f t="shared" si="40"/>
        <v>#DIV/0!</v>
      </c>
      <c r="AV106" s="83" t="e">
        <f t="shared" si="40"/>
        <v>#DIV/0!</v>
      </c>
      <c r="AW106" s="83" t="e">
        <f t="shared" si="40"/>
        <v>#DIV/0!</v>
      </c>
      <c r="AX106" s="83" t="e">
        <f t="shared" si="40"/>
        <v>#DIV/0!</v>
      </c>
      <c r="AY106" s="83" t="e">
        <f t="shared" si="40"/>
        <v>#DIV/0!</v>
      </c>
      <c r="AZ106" s="3"/>
    </row>
    <row r="108" spans="1:52" ht="14.25" customHeight="1">
      <c r="A108" s="129"/>
      <c r="E108" s="134" t="str">
        <f>'PTX_DOSE Groups'!C18</f>
        <v>Group 13</v>
      </c>
      <c r="H108" s="134" t="str">
        <f>E108</f>
        <v>Group 13</v>
      </c>
      <c r="I108" s="216" t="s">
        <v>67</v>
      </c>
      <c r="J108" s="87">
        <f t="shared" ref="J108:AY108" si="41">COUNTIFS($E$5:$E$53,$E108,J$5:J$53,"Alive")</f>
        <v>0</v>
      </c>
      <c r="K108" s="87">
        <f t="shared" si="41"/>
        <v>0</v>
      </c>
      <c r="L108" s="87">
        <f t="shared" si="41"/>
        <v>0</v>
      </c>
      <c r="M108" s="87">
        <f t="shared" si="41"/>
        <v>0</v>
      </c>
      <c r="N108" s="87">
        <f t="shared" si="41"/>
        <v>0</v>
      </c>
      <c r="O108" s="87">
        <f t="shared" si="41"/>
        <v>0</v>
      </c>
      <c r="P108" s="87">
        <f t="shared" si="41"/>
        <v>0</v>
      </c>
      <c r="Q108" s="87">
        <f t="shared" si="41"/>
        <v>0</v>
      </c>
      <c r="R108" s="87">
        <f t="shared" si="41"/>
        <v>0</v>
      </c>
      <c r="S108" s="87">
        <f t="shared" si="41"/>
        <v>0</v>
      </c>
      <c r="T108" s="87">
        <f t="shared" si="41"/>
        <v>0</v>
      </c>
      <c r="U108" s="87">
        <f t="shared" si="41"/>
        <v>0</v>
      </c>
      <c r="V108" s="87">
        <f t="shared" si="41"/>
        <v>0</v>
      </c>
      <c r="W108" s="87">
        <f t="shared" si="41"/>
        <v>0</v>
      </c>
      <c r="X108" s="87">
        <f t="shared" si="41"/>
        <v>0</v>
      </c>
      <c r="Y108" s="87">
        <f t="shared" si="41"/>
        <v>0</v>
      </c>
      <c r="Z108" s="87">
        <f t="shared" si="41"/>
        <v>0</v>
      </c>
      <c r="AA108" s="87">
        <f t="shared" si="41"/>
        <v>0</v>
      </c>
      <c r="AB108" s="87">
        <f t="shared" si="41"/>
        <v>0</v>
      </c>
      <c r="AC108" s="87">
        <f t="shared" si="41"/>
        <v>0</v>
      </c>
      <c r="AD108" s="87">
        <f t="shared" si="41"/>
        <v>0</v>
      </c>
      <c r="AE108" s="87">
        <f t="shared" si="41"/>
        <v>0</v>
      </c>
      <c r="AF108" s="87">
        <f t="shared" si="41"/>
        <v>0</v>
      </c>
      <c r="AG108" s="87">
        <f t="shared" si="41"/>
        <v>0</v>
      </c>
      <c r="AH108" s="87">
        <f t="shared" si="41"/>
        <v>0</v>
      </c>
      <c r="AI108" s="87">
        <f t="shared" si="41"/>
        <v>0</v>
      </c>
      <c r="AJ108" s="87">
        <f t="shared" si="41"/>
        <v>0</v>
      </c>
      <c r="AK108" s="87">
        <f t="shared" si="41"/>
        <v>0</v>
      </c>
      <c r="AL108" s="87">
        <f t="shared" si="41"/>
        <v>0</v>
      </c>
      <c r="AM108" s="87">
        <f t="shared" si="41"/>
        <v>0</v>
      </c>
      <c r="AN108" s="87">
        <f t="shared" si="41"/>
        <v>0</v>
      </c>
      <c r="AO108" s="87">
        <f t="shared" si="41"/>
        <v>0</v>
      </c>
      <c r="AP108" s="87">
        <f t="shared" si="41"/>
        <v>0</v>
      </c>
      <c r="AQ108" s="87">
        <f t="shared" si="41"/>
        <v>0</v>
      </c>
      <c r="AR108" s="87">
        <f t="shared" si="41"/>
        <v>0</v>
      </c>
      <c r="AS108" s="87">
        <f t="shared" si="41"/>
        <v>0</v>
      </c>
      <c r="AT108" s="87">
        <f t="shared" si="41"/>
        <v>0</v>
      </c>
      <c r="AU108" s="87">
        <f t="shared" si="41"/>
        <v>0</v>
      </c>
      <c r="AV108" s="87">
        <f t="shared" si="41"/>
        <v>0</v>
      </c>
      <c r="AW108" s="87">
        <f t="shared" si="41"/>
        <v>0</v>
      </c>
      <c r="AX108" s="87">
        <f t="shared" si="41"/>
        <v>0</v>
      </c>
      <c r="AY108" s="87">
        <f t="shared" si="41"/>
        <v>0</v>
      </c>
      <c r="AZ108" s="85"/>
    </row>
    <row r="109" spans="1:52" ht="14.25" customHeight="1">
      <c r="A109" s="129"/>
      <c r="E109" s="104"/>
      <c r="H109" s="104"/>
      <c r="I109" s="216" t="s">
        <v>66</v>
      </c>
      <c r="J109" s="90">
        <f t="shared" ref="J109:AY109" si="42">COUNTIFS($E$5:$E$53,$E108,J$5:J$53,"Censored")</f>
        <v>0</v>
      </c>
      <c r="K109" s="90">
        <f t="shared" si="42"/>
        <v>0</v>
      </c>
      <c r="L109" s="90">
        <f t="shared" si="42"/>
        <v>0</v>
      </c>
      <c r="M109" s="90">
        <f t="shared" si="42"/>
        <v>0</v>
      </c>
      <c r="N109" s="90">
        <f t="shared" si="42"/>
        <v>0</v>
      </c>
      <c r="O109" s="90">
        <f t="shared" si="42"/>
        <v>0</v>
      </c>
      <c r="P109" s="90">
        <f t="shared" si="42"/>
        <v>0</v>
      </c>
      <c r="Q109" s="90">
        <f t="shared" si="42"/>
        <v>0</v>
      </c>
      <c r="R109" s="90">
        <f t="shared" si="42"/>
        <v>0</v>
      </c>
      <c r="S109" s="90">
        <f t="shared" si="42"/>
        <v>0</v>
      </c>
      <c r="T109" s="90">
        <f t="shared" si="42"/>
        <v>0</v>
      </c>
      <c r="U109" s="90">
        <f t="shared" si="42"/>
        <v>0</v>
      </c>
      <c r="V109" s="90">
        <f t="shared" si="42"/>
        <v>0</v>
      </c>
      <c r="W109" s="90">
        <f t="shared" si="42"/>
        <v>0</v>
      </c>
      <c r="X109" s="90">
        <f t="shared" si="42"/>
        <v>0</v>
      </c>
      <c r="Y109" s="90">
        <f t="shared" si="42"/>
        <v>0</v>
      </c>
      <c r="Z109" s="90">
        <f t="shared" si="42"/>
        <v>0</v>
      </c>
      <c r="AA109" s="90">
        <f t="shared" si="42"/>
        <v>0</v>
      </c>
      <c r="AB109" s="90">
        <f t="shared" si="42"/>
        <v>0</v>
      </c>
      <c r="AC109" s="90">
        <f t="shared" si="42"/>
        <v>0</v>
      </c>
      <c r="AD109" s="90">
        <f t="shared" si="42"/>
        <v>0</v>
      </c>
      <c r="AE109" s="90">
        <f t="shared" si="42"/>
        <v>0</v>
      </c>
      <c r="AF109" s="90">
        <f t="shared" si="42"/>
        <v>0</v>
      </c>
      <c r="AG109" s="90">
        <f t="shared" si="42"/>
        <v>0</v>
      </c>
      <c r="AH109" s="90">
        <f t="shared" si="42"/>
        <v>0</v>
      </c>
      <c r="AI109" s="90">
        <f t="shared" si="42"/>
        <v>0</v>
      </c>
      <c r="AJ109" s="90">
        <f t="shared" si="42"/>
        <v>0</v>
      </c>
      <c r="AK109" s="90">
        <f t="shared" si="42"/>
        <v>0</v>
      </c>
      <c r="AL109" s="90">
        <f t="shared" si="42"/>
        <v>0</v>
      </c>
      <c r="AM109" s="90">
        <f t="shared" si="42"/>
        <v>0</v>
      </c>
      <c r="AN109" s="90">
        <f t="shared" si="42"/>
        <v>0</v>
      </c>
      <c r="AO109" s="90">
        <f t="shared" si="42"/>
        <v>0</v>
      </c>
      <c r="AP109" s="90">
        <f t="shared" si="42"/>
        <v>0</v>
      </c>
      <c r="AQ109" s="90">
        <f t="shared" si="42"/>
        <v>0</v>
      </c>
      <c r="AR109" s="90">
        <f t="shared" si="42"/>
        <v>0</v>
      </c>
      <c r="AS109" s="90">
        <f t="shared" si="42"/>
        <v>0</v>
      </c>
      <c r="AT109" s="90">
        <f t="shared" si="42"/>
        <v>0</v>
      </c>
      <c r="AU109" s="90">
        <f t="shared" si="42"/>
        <v>0</v>
      </c>
      <c r="AV109" s="90">
        <f t="shared" si="42"/>
        <v>0</v>
      </c>
      <c r="AW109" s="90">
        <f t="shared" si="42"/>
        <v>0</v>
      </c>
      <c r="AX109" s="90">
        <f t="shared" si="42"/>
        <v>0</v>
      </c>
      <c r="AY109" s="90">
        <f t="shared" si="42"/>
        <v>0</v>
      </c>
      <c r="AZ109" s="85"/>
    </row>
    <row r="110" spans="1:52" ht="14.25" customHeight="1">
      <c r="E110" s="254"/>
      <c r="H110" s="104"/>
      <c r="I110" s="216" t="s">
        <v>68</v>
      </c>
      <c r="J110" s="83" t="e">
        <f>J108/(COUNTIFS($E$5:$E$53,$E108,J$5:J$53,"Alive")+COUNTIFS($E$5:$E$53,$E108,J$5:J$53,"Sacrificed")+COUNTIFS($E$5:$E$53,$E108,J$5:J$53,"Died"))</f>
        <v>#DIV/0!</v>
      </c>
      <c r="K110" s="83" t="e">
        <f t="shared" ref="K110:AY110" si="43">K108/(COUNTIFS($E$5:$E$53,$E108,K$5:K$53,"Alive")+COUNTIFS($E$5:$E$53,$E108,K$5:K$53,"Sacrificed")+COUNTIFS($E$5:$E$53,$E108,K$5:K$53,"Died"))*J110</f>
        <v>#DIV/0!</v>
      </c>
      <c r="L110" s="83" t="e">
        <f t="shared" si="43"/>
        <v>#DIV/0!</v>
      </c>
      <c r="M110" s="83" t="e">
        <f t="shared" si="43"/>
        <v>#DIV/0!</v>
      </c>
      <c r="N110" s="83" t="e">
        <f t="shared" si="43"/>
        <v>#DIV/0!</v>
      </c>
      <c r="O110" s="83" t="e">
        <f t="shared" si="43"/>
        <v>#DIV/0!</v>
      </c>
      <c r="P110" s="83" t="e">
        <f t="shared" si="43"/>
        <v>#DIV/0!</v>
      </c>
      <c r="Q110" s="83" t="e">
        <f t="shared" si="43"/>
        <v>#DIV/0!</v>
      </c>
      <c r="R110" s="83" t="e">
        <f t="shared" si="43"/>
        <v>#DIV/0!</v>
      </c>
      <c r="S110" s="83" t="e">
        <f t="shared" si="43"/>
        <v>#DIV/0!</v>
      </c>
      <c r="T110" s="83" t="e">
        <f t="shared" si="43"/>
        <v>#DIV/0!</v>
      </c>
      <c r="U110" s="83" t="e">
        <f t="shared" si="43"/>
        <v>#DIV/0!</v>
      </c>
      <c r="V110" s="83" t="e">
        <f t="shared" si="43"/>
        <v>#DIV/0!</v>
      </c>
      <c r="W110" s="83" t="e">
        <f t="shared" si="43"/>
        <v>#DIV/0!</v>
      </c>
      <c r="X110" s="83" t="e">
        <f t="shared" si="43"/>
        <v>#DIV/0!</v>
      </c>
      <c r="Y110" s="83" t="e">
        <f t="shared" si="43"/>
        <v>#DIV/0!</v>
      </c>
      <c r="Z110" s="83" t="e">
        <f t="shared" si="43"/>
        <v>#DIV/0!</v>
      </c>
      <c r="AA110" s="83" t="e">
        <f t="shared" si="43"/>
        <v>#DIV/0!</v>
      </c>
      <c r="AB110" s="83" t="e">
        <f t="shared" si="43"/>
        <v>#DIV/0!</v>
      </c>
      <c r="AC110" s="83" t="e">
        <f t="shared" si="43"/>
        <v>#DIV/0!</v>
      </c>
      <c r="AD110" s="83" t="e">
        <f t="shared" si="43"/>
        <v>#DIV/0!</v>
      </c>
      <c r="AE110" s="83" t="e">
        <f t="shared" si="43"/>
        <v>#DIV/0!</v>
      </c>
      <c r="AF110" s="83" t="e">
        <f t="shared" si="43"/>
        <v>#DIV/0!</v>
      </c>
      <c r="AG110" s="83" t="e">
        <f t="shared" si="43"/>
        <v>#DIV/0!</v>
      </c>
      <c r="AH110" s="83" t="e">
        <f t="shared" si="43"/>
        <v>#DIV/0!</v>
      </c>
      <c r="AI110" s="83" t="e">
        <f t="shared" si="43"/>
        <v>#DIV/0!</v>
      </c>
      <c r="AJ110" s="83" t="e">
        <f t="shared" si="43"/>
        <v>#DIV/0!</v>
      </c>
      <c r="AK110" s="83" t="e">
        <f t="shared" si="43"/>
        <v>#DIV/0!</v>
      </c>
      <c r="AL110" s="83" t="e">
        <f t="shared" si="43"/>
        <v>#DIV/0!</v>
      </c>
      <c r="AM110" s="83" t="e">
        <f t="shared" si="43"/>
        <v>#DIV/0!</v>
      </c>
      <c r="AN110" s="83" t="e">
        <f t="shared" si="43"/>
        <v>#DIV/0!</v>
      </c>
      <c r="AO110" s="83" t="e">
        <f t="shared" si="43"/>
        <v>#DIV/0!</v>
      </c>
      <c r="AP110" s="83" t="e">
        <f t="shared" si="43"/>
        <v>#DIV/0!</v>
      </c>
      <c r="AQ110" s="83" t="e">
        <f t="shared" si="43"/>
        <v>#DIV/0!</v>
      </c>
      <c r="AR110" s="83" t="e">
        <f t="shared" si="43"/>
        <v>#DIV/0!</v>
      </c>
      <c r="AS110" s="83" t="e">
        <f t="shared" si="43"/>
        <v>#DIV/0!</v>
      </c>
      <c r="AT110" s="83" t="e">
        <f t="shared" si="43"/>
        <v>#DIV/0!</v>
      </c>
      <c r="AU110" s="83" t="e">
        <f t="shared" si="43"/>
        <v>#DIV/0!</v>
      </c>
      <c r="AV110" s="83" t="e">
        <f t="shared" si="43"/>
        <v>#DIV/0!</v>
      </c>
      <c r="AW110" s="83" t="e">
        <f t="shared" si="43"/>
        <v>#DIV/0!</v>
      </c>
      <c r="AX110" s="83" t="e">
        <f t="shared" si="43"/>
        <v>#DIV/0!</v>
      </c>
      <c r="AY110" s="83" t="e">
        <f t="shared" si="43"/>
        <v>#DIV/0!</v>
      </c>
      <c r="AZ110" s="3"/>
    </row>
    <row r="112" spans="1:52" ht="14.25" customHeight="1">
      <c r="A112" s="129"/>
      <c r="E112" s="134" t="str">
        <f>'PTX_DOSE Groups'!C19</f>
        <v>Group 14</v>
      </c>
      <c r="H112" s="134" t="str">
        <f>E112</f>
        <v>Group 14</v>
      </c>
      <c r="I112" s="216" t="s">
        <v>67</v>
      </c>
      <c r="J112" s="87">
        <f t="shared" ref="J112:AY112" si="44">COUNTIFS($E$5:$E$53,$E112,J$5:J$53,"Alive")</f>
        <v>0</v>
      </c>
      <c r="K112" s="87">
        <f t="shared" si="44"/>
        <v>0</v>
      </c>
      <c r="L112" s="87">
        <f t="shared" si="44"/>
        <v>0</v>
      </c>
      <c r="M112" s="87">
        <f t="shared" si="44"/>
        <v>0</v>
      </c>
      <c r="N112" s="87">
        <f t="shared" si="44"/>
        <v>0</v>
      </c>
      <c r="O112" s="87">
        <f t="shared" si="44"/>
        <v>0</v>
      </c>
      <c r="P112" s="87">
        <f t="shared" si="44"/>
        <v>0</v>
      </c>
      <c r="Q112" s="87">
        <f t="shared" si="44"/>
        <v>0</v>
      </c>
      <c r="R112" s="87">
        <f t="shared" si="44"/>
        <v>0</v>
      </c>
      <c r="S112" s="87">
        <f t="shared" si="44"/>
        <v>0</v>
      </c>
      <c r="T112" s="87">
        <f t="shared" si="44"/>
        <v>0</v>
      </c>
      <c r="U112" s="87">
        <f t="shared" si="44"/>
        <v>0</v>
      </c>
      <c r="V112" s="87">
        <f t="shared" si="44"/>
        <v>0</v>
      </c>
      <c r="W112" s="87">
        <f t="shared" si="44"/>
        <v>0</v>
      </c>
      <c r="X112" s="87">
        <f t="shared" si="44"/>
        <v>0</v>
      </c>
      <c r="Y112" s="87">
        <f t="shared" si="44"/>
        <v>0</v>
      </c>
      <c r="Z112" s="87">
        <f t="shared" si="44"/>
        <v>0</v>
      </c>
      <c r="AA112" s="87">
        <f t="shared" si="44"/>
        <v>0</v>
      </c>
      <c r="AB112" s="87">
        <f t="shared" si="44"/>
        <v>0</v>
      </c>
      <c r="AC112" s="87">
        <f t="shared" si="44"/>
        <v>0</v>
      </c>
      <c r="AD112" s="87">
        <f t="shared" si="44"/>
        <v>0</v>
      </c>
      <c r="AE112" s="87">
        <f t="shared" si="44"/>
        <v>0</v>
      </c>
      <c r="AF112" s="87">
        <f t="shared" si="44"/>
        <v>0</v>
      </c>
      <c r="AG112" s="87">
        <f t="shared" si="44"/>
        <v>0</v>
      </c>
      <c r="AH112" s="87">
        <f t="shared" si="44"/>
        <v>0</v>
      </c>
      <c r="AI112" s="87">
        <f t="shared" si="44"/>
        <v>0</v>
      </c>
      <c r="AJ112" s="87">
        <f t="shared" si="44"/>
        <v>0</v>
      </c>
      <c r="AK112" s="87">
        <f t="shared" si="44"/>
        <v>0</v>
      </c>
      <c r="AL112" s="87">
        <f t="shared" si="44"/>
        <v>0</v>
      </c>
      <c r="AM112" s="87">
        <f t="shared" si="44"/>
        <v>0</v>
      </c>
      <c r="AN112" s="87">
        <f t="shared" si="44"/>
        <v>0</v>
      </c>
      <c r="AO112" s="87">
        <f t="shared" si="44"/>
        <v>0</v>
      </c>
      <c r="AP112" s="87">
        <f t="shared" si="44"/>
        <v>0</v>
      </c>
      <c r="AQ112" s="87">
        <f t="shared" si="44"/>
        <v>0</v>
      </c>
      <c r="AR112" s="87">
        <f t="shared" si="44"/>
        <v>0</v>
      </c>
      <c r="AS112" s="87">
        <f t="shared" si="44"/>
        <v>0</v>
      </c>
      <c r="AT112" s="87">
        <f t="shared" si="44"/>
        <v>0</v>
      </c>
      <c r="AU112" s="87">
        <f t="shared" si="44"/>
        <v>0</v>
      </c>
      <c r="AV112" s="87">
        <f t="shared" si="44"/>
        <v>0</v>
      </c>
      <c r="AW112" s="87">
        <f t="shared" si="44"/>
        <v>0</v>
      </c>
      <c r="AX112" s="87">
        <f t="shared" si="44"/>
        <v>0</v>
      </c>
      <c r="AY112" s="87">
        <f t="shared" si="44"/>
        <v>0</v>
      </c>
      <c r="AZ112" s="85"/>
    </row>
    <row r="113" spans="1:52" ht="14.25" customHeight="1">
      <c r="A113" s="129"/>
      <c r="E113" s="104"/>
      <c r="H113" s="104"/>
      <c r="I113" s="216" t="s">
        <v>66</v>
      </c>
      <c r="J113" s="90">
        <f t="shared" ref="J113:AY113" si="45">COUNTIFS($E$5:$E$53,$E112,J$5:J$53,"Censored")</f>
        <v>0</v>
      </c>
      <c r="K113" s="90">
        <f t="shared" si="45"/>
        <v>0</v>
      </c>
      <c r="L113" s="90">
        <f t="shared" si="45"/>
        <v>0</v>
      </c>
      <c r="M113" s="90">
        <f t="shared" si="45"/>
        <v>0</v>
      </c>
      <c r="N113" s="90">
        <f t="shared" si="45"/>
        <v>0</v>
      </c>
      <c r="O113" s="90">
        <f t="shared" si="45"/>
        <v>0</v>
      </c>
      <c r="P113" s="90">
        <f t="shared" si="45"/>
        <v>0</v>
      </c>
      <c r="Q113" s="90">
        <f t="shared" si="45"/>
        <v>0</v>
      </c>
      <c r="R113" s="90">
        <f t="shared" si="45"/>
        <v>0</v>
      </c>
      <c r="S113" s="90">
        <f t="shared" si="45"/>
        <v>0</v>
      </c>
      <c r="T113" s="90">
        <f t="shared" si="45"/>
        <v>0</v>
      </c>
      <c r="U113" s="90">
        <f t="shared" si="45"/>
        <v>0</v>
      </c>
      <c r="V113" s="90">
        <f t="shared" si="45"/>
        <v>0</v>
      </c>
      <c r="W113" s="90">
        <f t="shared" si="45"/>
        <v>0</v>
      </c>
      <c r="X113" s="90">
        <f t="shared" si="45"/>
        <v>0</v>
      </c>
      <c r="Y113" s="90">
        <f t="shared" si="45"/>
        <v>0</v>
      </c>
      <c r="Z113" s="90">
        <f t="shared" si="45"/>
        <v>0</v>
      </c>
      <c r="AA113" s="90">
        <f t="shared" si="45"/>
        <v>0</v>
      </c>
      <c r="AB113" s="90">
        <f t="shared" si="45"/>
        <v>0</v>
      </c>
      <c r="AC113" s="90">
        <f t="shared" si="45"/>
        <v>0</v>
      </c>
      <c r="AD113" s="90">
        <f t="shared" si="45"/>
        <v>0</v>
      </c>
      <c r="AE113" s="90">
        <f t="shared" si="45"/>
        <v>0</v>
      </c>
      <c r="AF113" s="90">
        <f t="shared" si="45"/>
        <v>0</v>
      </c>
      <c r="AG113" s="90">
        <f t="shared" si="45"/>
        <v>0</v>
      </c>
      <c r="AH113" s="90">
        <f t="shared" si="45"/>
        <v>0</v>
      </c>
      <c r="AI113" s="90">
        <f t="shared" si="45"/>
        <v>0</v>
      </c>
      <c r="AJ113" s="90">
        <f t="shared" si="45"/>
        <v>0</v>
      </c>
      <c r="AK113" s="90">
        <f t="shared" si="45"/>
        <v>0</v>
      </c>
      <c r="AL113" s="90">
        <f t="shared" si="45"/>
        <v>0</v>
      </c>
      <c r="AM113" s="90">
        <f t="shared" si="45"/>
        <v>0</v>
      </c>
      <c r="AN113" s="90">
        <f t="shared" si="45"/>
        <v>0</v>
      </c>
      <c r="AO113" s="90">
        <f t="shared" si="45"/>
        <v>0</v>
      </c>
      <c r="AP113" s="90">
        <f t="shared" si="45"/>
        <v>0</v>
      </c>
      <c r="AQ113" s="90">
        <f t="shared" si="45"/>
        <v>0</v>
      </c>
      <c r="AR113" s="90">
        <f t="shared" si="45"/>
        <v>0</v>
      </c>
      <c r="AS113" s="90">
        <f t="shared" si="45"/>
        <v>0</v>
      </c>
      <c r="AT113" s="90">
        <f t="shared" si="45"/>
        <v>0</v>
      </c>
      <c r="AU113" s="90">
        <f t="shared" si="45"/>
        <v>0</v>
      </c>
      <c r="AV113" s="90">
        <f t="shared" si="45"/>
        <v>0</v>
      </c>
      <c r="AW113" s="90">
        <f t="shared" si="45"/>
        <v>0</v>
      </c>
      <c r="AX113" s="90">
        <f t="shared" si="45"/>
        <v>0</v>
      </c>
      <c r="AY113" s="90">
        <f t="shared" si="45"/>
        <v>0</v>
      </c>
      <c r="AZ113" s="85"/>
    </row>
    <row r="114" spans="1:52" ht="14.25" customHeight="1">
      <c r="E114" s="254"/>
      <c r="H114" s="104"/>
      <c r="I114" s="216" t="s">
        <v>68</v>
      </c>
      <c r="J114" s="83" t="e">
        <f>J112/(COUNTIFS($E$5:$E$53,$E112,J$5:J$53,"Alive")+COUNTIFS($E$5:$E$53,$E112,J$5:J$53,"Sacrificed")+COUNTIFS($E$5:$E$53,$E112,J$5:J$53,"Died"))</f>
        <v>#DIV/0!</v>
      </c>
      <c r="K114" s="83" t="e">
        <f t="shared" ref="K114:AY114" si="46">K112/(COUNTIFS($E$5:$E$53,$E112,K$5:K$53,"Alive")+COUNTIFS($E$5:$E$53,$E112,K$5:K$53,"Sacrificed")+COUNTIFS($E$5:$E$53,$E112,K$5:K$53,"Died"))*J114</f>
        <v>#DIV/0!</v>
      </c>
      <c r="L114" s="83" t="e">
        <f t="shared" si="46"/>
        <v>#DIV/0!</v>
      </c>
      <c r="M114" s="83" t="e">
        <f t="shared" si="46"/>
        <v>#DIV/0!</v>
      </c>
      <c r="N114" s="83" t="e">
        <f t="shared" si="46"/>
        <v>#DIV/0!</v>
      </c>
      <c r="O114" s="83" t="e">
        <f t="shared" si="46"/>
        <v>#DIV/0!</v>
      </c>
      <c r="P114" s="83" t="e">
        <f t="shared" si="46"/>
        <v>#DIV/0!</v>
      </c>
      <c r="Q114" s="83" t="e">
        <f t="shared" si="46"/>
        <v>#DIV/0!</v>
      </c>
      <c r="R114" s="83" t="e">
        <f t="shared" si="46"/>
        <v>#DIV/0!</v>
      </c>
      <c r="S114" s="83" t="e">
        <f t="shared" si="46"/>
        <v>#DIV/0!</v>
      </c>
      <c r="T114" s="83" t="e">
        <f t="shared" si="46"/>
        <v>#DIV/0!</v>
      </c>
      <c r="U114" s="83" t="e">
        <f t="shared" si="46"/>
        <v>#DIV/0!</v>
      </c>
      <c r="V114" s="83" t="e">
        <f t="shared" si="46"/>
        <v>#DIV/0!</v>
      </c>
      <c r="W114" s="83" t="e">
        <f t="shared" si="46"/>
        <v>#DIV/0!</v>
      </c>
      <c r="X114" s="83" t="e">
        <f t="shared" si="46"/>
        <v>#DIV/0!</v>
      </c>
      <c r="Y114" s="83" t="e">
        <f t="shared" si="46"/>
        <v>#DIV/0!</v>
      </c>
      <c r="Z114" s="83" t="e">
        <f t="shared" si="46"/>
        <v>#DIV/0!</v>
      </c>
      <c r="AA114" s="83" t="e">
        <f t="shared" si="46"/>
        <v>#DIV/0!</v>
      </c>
      <c r="AB114" s="83" t="e">
        <f t="shared" si="46"/>
        <v>#DIV/0!</v>
      </c>
      <c r="AC114" s="83" t="e">
        <f t="shared" si="46"/>
        <v>#DIV/0!</v>
      </c>
      <c r="AD114" s="83" t="e">
        <f t="shared" si="46"/>
        <v>#DIV/0!</v>
      </c>
      <c r="AE114" s="83" t="e">
        <f t="shared" si="46"/>
        <v>#DIV/0!</v>
      </c>
      <c r="AF114" s="83" t="e">
        <f t="shared" si="46"/>
        <v>#DIV/0!</v>
      </c>
      <c r="AG114" s="83" t="e">
        <f t="shared" si="46"/>
        <v>#DIV/0!</v>
      </c>
      <c r="AH114" s="83" t="e">
        <f t="shared" si="46"/>
        <v>#DIV/0!</v>
      </c>
      <c r="AI114" s="83" t="e">
        <f t="shared" si="46"/>
        <v>#DIV/0!</v>
      </c>
      <c r="AJ114" s="83" t="e">
        <f t="shared" si="46"/>
        <v>#DIV/0!</v>
      </c>
      <c r="AK114" s="83" t="e">
        <f t="shared" si="46"/>
        <v>#DIV/0!</v>
      </c>
      <c r="AL114" s="83" t="e">
        <f t="shared" si="46"/>
        <v>#DIV/0!</v>
      </c>
      <c r="AM114" s="83" t="e">
        <f t="shared" si="46"/>
        <v>#DIV/0!</v>
      </c>
      <c r="AN114" s="83" t="e">
        <f t="shared" si="46"/>
        <v>#DIV/0!</v>
      </c>
      <c r="AO114" s="83" t="e">
        <f t="shared" si="46"/>
        <v>#DIV/0!</v>
      </c>
      <c r="AP114" s="83" t="e">
        <f t="shared" si="46"/>
        <v>#DIV/0!</v>
      </c>
      <c r="AQ114" s="83" t="e">
        <f t="shared" si="46"/>
        <v>#DIV/0!</v>
      </c>
      <c r="AR114" s="83" t="e">
        <f t="shared" si="46"/>
        <v>#DIV/0!</v>
      </c>
      <c r="AS114" s="83" t="e">
        <f t="shared" si="46"/>
        <v>#DIV/0!</v>
      </c>
      <c r="AT114" s="83" t="e">
        <f t="shared" si="46"/>
        <v>#DIV/0!</v>
      </c>
      <c r="AU114" s="83" t="e">
        <f t="shared" si="46"/>
        <v>#DIV/0!</v>
      </c>
      <c r="AV114" s="83" t="e">
        <f t="shared" si="46"/>
        <v>#DIV/0!</v>
      </c>
      <c r="AW114" s="83" t="e">
        <f t="shared" si="46"/>
        <v>#DIV/0!</v>
      </c>
      <c r="AX114" s="83" t="e">
        <f t="shared" si="46"/>
        <v>#DIV/0!</v>
      </c>
      <c r="AY114" s="83" t="e">
        <f t="shared" si="46"/>
        <v>#DIV/0!</v>
      </c>
      <c r="AZ114" s="3"/>
    </row>
    <row r="116" spans="1:52" ht="14.25" customHeight="1">
      <c r="A116" s="129"/>
      <c r="E116" s="134" t="str">
        <f>'PTX_DOSE Groups'!C20</f>
        <v>Group 15</v>
      </c>
      <c r="H116" s="134" t="str">
        <f>E116</f>
        <v>Group 15</v>
      </c>
      <c r="I116" s="216" t="s">
        <v>67</v>
      </c>
      <c r="J116" s="87">
        <f t="shared" ref="J116:AY116" si="47">COUNTIFS($E$5:$E$53,$E116,J$5:J$53,"Alive")</f>
        <v>0</v>
      </c>
      <c r="K116" s="87">
        <f t="shared" si="47"/>
        <v>0</v>
      </c>
      <c r="L116" s="87">
        <f t="shared" si="47"/>
        <v>0</v>
      </c>
      <c r="M116" s="87">
        <f t="shared" si="47"/>
        <v>0</v>
      </c>
      <c r="N116" s="87">
        <f t="shared" si="47"/>
        <v>0</v>
      </c>
      <c r="O116" s="87">
        <f t="shared" si="47"/>
        <v>0</v>
      </c>
      <c r="P116" s="87">
        <f t="shared" si="47"/>
        <v>0</v>
      </c>
      <c r="Q116" s="87">
        <f t="shared" si="47"/>
        <v>0</v>
      </c>
      <c r="R116" s="87">
        <f t="shared" si="47"/>
        <v>0</v>
      </c>
      <c r="S116" s="87">
        <f t="shared" si="47"/>
        <v>0</v>
      </c>
      <c r="T116" s="87">
        <f t="shared" si="47"/>
        <v>0</v>
      </c>
      <c r="U116" s="87">
        <f t="shared" si="47"/>
        <v>0</v>
      </c>
      <c r="V116" s="87">
        <f t="shared" si="47"/>
        <v>0</v>
      </c>
      <c r="W116" s="87">
        <f t="shared" si="47"/>
        <v>0</v>
      </c>
      <c r="X116" s="87">
        <f t="shared" si="47"/>
        <v>0</v>
      </c>
      <c r="Y116" s="87">
        <f t="shared" si="47"/>
        <v>0</v>
      </c>
      <c r="Z116" s="87">
        <f t="shared" si="47"/>
        <v>0</v>
      </c>
      <c r="AA116" s="87">
        <f t="shared" si="47"/>
        <v>0</v>
      </c>
      <c r="AB116" s="87">
        <f t="shared" si="47"/>
        <v>0</v>
      </c>
      <c r="AC116" s="87">
        <f t="shared" si="47"/>
        <v>0</v>
      </c>
      <c r="AD116" s="87">
        <f t="shared" si="47"/>
        <v>0</v>
      </c>
      <c r="AE116" s="87">
        <f t="shared" si="47"/>
        <v>0</v>
      </c>
      <c r="AF116" s="87">
        <f t="shared" si="47"/>
        <v>0</v>
      </c>
      <c r="AG116" s="87">
        <f t="shared" si="47"/>
        <v>0</v>
      </c>
      <c r="AH116" s="87">
        <f t="shared" si="47"/>
        <v>0</v>
      </c>
      <c r="AI116" s="87">
        <f t="shared" si="47"/>
        <v>0</v>
      </c>
      <c r="AJ116" s="87">
        <f t="shared" si="47"/>
        <v>0</v>
      </c>
      <c r="AK116" s="87">
        <f t="shared" si="47"/>
        <v>0</v>
      </c>
      <c r="AL116" s="87">
        <f t="shared" si="47"/>
        <v>0</v>
      </c>
      <c r="AM116" s="87">
        <f t="shared" si="47"/>
        <v>0</v>
      </c>
      <c r="AN116" s="87">
        <f t="shared" si="47"/>
        <v>0</v>
      </c>
      <c r="AO116" s="87">
        <f t="shared" si="47"/>
        <v>0</v>
      </c>
      <c r="AP116" s="87">
        <f t="shared" si="47"/>
        <v>0</v>
      </c>
      <c r="AQ116" s="87">
        <f t="shared" si="47"/>
        <v>0</v>
      </c>
      <c r="AR116" s="87">
        <f t="shared" si="47"/>
        <v>0</v>
      </c>
      <c r="AS116" s="87">
        <f t="shared" si="47"/>
        <v>0</v>
      </c>
      <c r="AT116" s="87">
        <f t="shared" si="47"/>
        <v>0</v>
      </c>
      <c r="AU116" s="87">
        <f t="shared" si="47"/>
        <v>0</v>
      </c>
      <c r="AV116" s="87">
        <f t="shared" si="47"/>
        <v>0</v>
      </c>
      <c r="AW116" s="87">
        <f t="shared" si="47"/>
        <v>0</v>
      </c>
      <c r="AX116" s="87">
        <f t="shared" si="47"/>
        <v>0</v>
      </c>
      <c r="AY116" s="87">
        <f t="shared" si="47"/>
        <v>0</v>
      </c>
      <c r="AZ116" s="85"/>
    </row>
    <row r="117" spans="1:52" ht="14.25" customHeight="1">
      <c r="A117" s="129"/>
      <c r="E117" s="104"/>
      <c r="H117" s="104"/>
      <c r="I117" s="216" t="s">
        <v>66</v>
      </c>
      <c r="J117" s="90">
        <f t="shared" ref="J117:AY117" si="48">COUNTIFS($E$5:$E$53,$E116,J$5:J$53,"Censored")</f>
        <v>0</v>
      </c>
      <c r="K117" s="90">
        <f t="shared" si="48"/>
        <v>0</v>
      </c>
      <c r="L117" s="90">
        <f t="shared" si="48"/>
        <v>0</v>
      </c>
      <c r="M117" s="90">
        <f t="shared" si="48"/>
        <v>0</v>
      </c>
      <c r="N117" s="90">
        <f t="shared" si="48"/>
        <v>0</v>
      </c>
      <c r="O117" s="90">
        <f t="shared" si="48"/>
        <v>0</v>
      </c>
      <c r="P117" s="90">
        <f t="shared" si="48"/>
        <v>0</v>
      </c>
      <c r="Q117" s="90">
        <f t="shared" si="48"/>
        <v>0</v>
      </c>
      <c r="R117" s="90">
        <f t="shared" si="48"/>
        <v>0</v>
      </c>
      <c r="S117" s="90">
        <f t="shared" si="48"/>
        <v>0</v>
      </c>
      <c r="T117" s="90">
        <f t="shared" si="48"/>
        <v>0</v>
      </c>
      <c r="U117" s="90">
        <f t="shared" si="48"/>
        <v>0</v>
      </c>
      <c r="V117" s="90">
        <f t="shared" si="48"/>
        <v>0</v>
      </c>
      <c r="W117" s="90">
        <f t="shared" si="48"/>
        <v>0</v>
      </c>
      <c r="X117" s="90">
        <f t="shared" si="48"/>
        <v>0</v>
      </c>
      <c r="Y117" s="90">
        <f t="shared" si="48"/>
        <v>0</v>
      </c>
      <c r="Z117" s="90">
        <f t="shared" si="48"/>
        <v>0</v>
      </c>
      <c r="AA117" s="90">
        <f t="shared" si="48"/>
        <v>0</v>
      </c>
      <c r="AB117" s="90">
        <f t="shared" si="48"/>
        <v>0</v>
      </c>
      <c r="AC117" s="90">
        <f t="shared" si="48"/>
        <v>0</v>
      </c>
      <c r="AD117" s="90">
        <f t="shared" si="48"/>
        <v>0</v>
      </c>
      <c r="AE117" s="90">
        <f t="shared" si="48"/>
        <v>0</v>
      </c>
      <c r="AF117" s="90">
        <f t="shared" si="48"/>
        <v>0</v>
      </c>
      <c r="AG117" s="90">
        <f t="shared" si="48"/>
        <v>0</v>
      </c>
      <c r="AH117" s="90">
        <f t="shared" si="48"/>
        <v>0</v>
      </c>
      <c r="AI117" s="90">
        <f t="shared" si="48"/>
        <v>0</v>
      </c>
      <c r="AJ117" s="90">
        <f t="shared" si="48"/>
        <v>0</v>
      </c>
      <c r="AK117" s="90">
        <f t="shared" si="48"/>
        <v>0</v>
      </c>
      <c r="AL117" s="90">
        <f t="shared" si="48"/>
        <v>0</v>
      </c>
      <c r="AM117" s="90">
        <f t="shared" si="48"/>
        <v>0</v>
      </c>
      <c r="AN117" s="90">
        <f t="shared" si="48"/>
        <v>0</v>
      </c>
      <c r="AO117" s="90">
        <f t="shared" si="48"/>
        <v>0</v>
      </c>
      <c r="AP117" s="90">
        <f t="shared" si="48"/>
        <v>0</v>
      </c>
      <c r="AQ117" s="90">
        <f t="shared" si="48"/>
        <v>0</v>
      </c>
      <c r="AR117" s="90">
        <f t="shared" si="48"/>
        <v>0</v>
      </c>
      <c r="AS117" s="90">
        <f t="shared" si="48"/>
        <v>0</v>
      </c>
      <c r="AT117" s="90">
        <f t="shared" si="48"/>
        <v>0</v>
      </c>
      <c r="AU117" s="90">
        <f t="shared" si="48"/>
        <v>0</v>
      </c>
      <c r="AV117" s="90">
        <f t="shared" si="48"/>
        <v>0</v>
      </c>
      <c r="AW117" s="90">
        <f t="shared" si="48"/>
        <v>0</v>
      </c>
      <c r="AX117" s="90">
        <f t="shared" si="48"/>
        <v>0</v>
      </c>
      <c r="AY117" s="90">
        <f t="shared" si="48"/>
        <v>0</v>
      </c>
      <c r="AZ117" s="85"/>
    </row>
    <row r="118" spans="1:52" ht="14.25" customHeight="1">
      <c r="E118" s="254"/>
      <c r="H118" s="104"/>
      <c r="I118" s="216" t="s">
        <v>68</v>
      </c>
      <c r="J118" s="83" t="e">
        <f>J116/(COUNTIFS($E$5:$E$53,$E116,J$5:J$53,"Alive")+COUNTIFS($E$5:$E$53,$E116,J$5:J$53,"Sacrificed")+COUNTIFS($E$5:$E$53,$E116,J$5:J$53,"Died"))</f>
        <v>#DIV/0!</v>
      </c>
      <c r="K118" s="83" t="e">
        <f t="shared" ref="K118:AY118" si="49">K116/(COUNTIFS($E$5:$E$53,$E116,K$5:K$53,"Alive")+COUNTIFS($E$5:$E$53,$E116,K$5:K$53,"Sacrificed")+COUNTIFS($E$5:$E$53,$E116,K$5:K$53,"Died"))*J118</f>
        <v>#DIV/0!</v>
      </c>
      <c r="L118" s="83" t="e">
        <f t="shared" si="49"/>
        <v>#DIV/0!</v>
      </c>
      <c r="M118" s="83" t="e">
        <f t="shared" si="49"/>
        <v>#DIV/0!</v>
      </c>
      <c r="N118" s="83" t="e">
        <f t="shared" si="49"/>
        <v>#DIV/0!</v>
      </c>
      <c r="O118" s="83" t="e">
        <f t="shared" si="49"/>
        <v>#DIV/0!</v>
      </c>
      <c r="P118" s="83" t="e">
        <f t="shared" si="49"/>
        <v>#DIV/0!</v>
      </c>
      <c r="Q118" s="83" t="e">
        <f t="shared" si="49"/>
        <v>#DIV/0!</v>
      </c>
      <c r="R118" s="83" t="e">
        <f t="shared" si="49"/>
        <v>#DIV/0!</v>
      </c>
      <c r="S118" s="83" t="e">
        <f t="shared" si="49"/>
        <v>#DIV/0!</v>
      </c>
      <c r="T118" s="83" t="e">
        <f t="shared" si="49"/>
        <v>#DIV/0!</v>
      </c>
      <c r="U118" s="83" t="e">
        <f t="shared" si="49"/>
        <v>#DIV/0!</v>
      </c>
      <c r="V118" s="83" t="e">
        <f t="shared" si="49"/>
        <v>#DIV/0!</v>
      </c>
      <c r="W118" s="83" t="e">
        <f t="shared" si="49"/>
        <v>#DIV/0!</v>
      </c>
      <c r="X118" s="83" t="e">
        <f t="shared" si="49"/>
        <v>#DIV/0!</v>
      </c>
      <c r="Y118" s="83" t="e">
        <f t="shared" si="49"/>
        <v>#DIV/0!</v>
      </c>
      <c r="Z118" s="83" t="e">
        <f t="shared" si="49"/>
        <v>#DIV/0!</v>
      </c>
      <c r="AA118" s="83" t="e">
        <f t="shared" si="49"/>
        <v>#DIV/0!</v>
      </c>
      <c r="AB118" s="83" t="e">
        <f t="shared" si="49"/>
        <v>#DIV/0!</v>
      </c>
      <c r="AC118" s="83" t="e">
        <f t="shared" si="49"/>
        <v>#DIV/0!</v>
      </c>
      <c r="AD118" s="83" t="e">
        <f t="shared" si="49"/>
        <v>#DIV/0!</v>
      </c>
      <c r="AE118" s="83" t="e">
        <f t="shared" si="49"/>
        <v>#DIV/0!</v>
      </c>
      <c r="AF118" s="83" t="e">
        <f t="shared" si="49"/>
        <v>#DIV/0!</v>
      </c>
      <c r="AG118" s="83" t="e">
        <f t="shared" si="49"/>
        <v>#DIV/0!</v>
      </c>
      <c r="AH118" s="83" t="e">
        <f t="shared" si="49"/>
        <v>#DIV/0!</v>
      </c>
      <c r="AI118" s="83" t="e">
        <f t="shared" si="49"/>
        <v>#DIV/0!</v>
      </c>
      <c r="AJ118" s="83" t="e">
        <f t="shared" si="49"/>
        <v>#DIV/0!</v>
      </c>
      <c r="AK118" s="83" t="e">
        <f t="shared" si="49"/>
        <v>#DIV/0!</v>
      </c>
      <c r="AL118" s="83" t="e">
        <f t="shared" si="49"/>
        <v>#DIV/0!</v>
      </c>
      <c r="AM118" s="83" t="e">
        <f t="shared" si="49"/>
        <v>#DIV/0!</v>
      </c>
      <c r="AN118" s="83" t="e">
        <f t="shared" si="49"/>
        <v>#DIV/0!</v>
      </c>
      <c r="AO118" s="83" t="e">
        <f t="shared" si="49"/>
        <v>#DIV/0!</v>
      </c>
      <c r="AP118" s="83" t="e">
        <f t="shared" si="49"/>
        <v>#DIV/0!</v>
      </c>
      <c r="AQ118" s="83" t="e">
        <f t="shared" si="49"/>
        <v>#DIV/0!</v>
      </c>
      <c r="AR118" s="83" t="e">
        <f t="shared" si="49"/>
        <v>#DIV/0!</v>
      </c>
      <c r="AS118" s="83" t="e">
        <f t="shared" si="49"/>
        <v>#DIV/0!</v>
      </c>
      <c r="AT118" s="83" t="e">
        <f t="shared" si="49"/>
        <v>#DIV/0!</v>
      </c>
      <c r="AU118" s="83" t="e">
        <f t="shared" si="49"/>
        <v>#DIV/0!</v>
      </c>
      <c r="AV118" s="83" t="e">
        <f t="shared" si="49"/>
        <v>#DIV/0!</v>
      </c>
      <c r="AW118" s="83" t="e">
        <f t="shared" si="49"/>
        <v>#DIV/0!</v>
      </c>
      <c r="AX118" s="83" t="e">
        <f t="shared" si="49"/>
        <v>#DIV/0!</v>
      </c>
      <c r="AY118" s="83" t="e">
        <f t="shared" si="49"/>
        <v>#DIV/0!</v>
      </c>
      <c r="AZ118" s="3"/>
    </row>
    <row r="120" spans="1:52" ht="14.25" customHeight="1">
      <c r="A120" s="129"/>
      <c r="E120" s="134" t="str">
        <f>'PTX_DOSE Groups'!C21</f>
        <v>Group 16</v>
      </c>
      <c r="H120" s="134" t="str">
        <f>E120</f>
        <v>Group 16</v>
      </c>
      <c r="I120" s="216" t="s">
        <v>67</v>
      </c>
      <c r="J120" s="87">
        <f t="shared" ref="J120:AY120" si="50">COUNTIFS($E$5:$E$53,$E120,J$5:J$53,"Alive")</f>
        <v>0</v>
      </c>
      <c r="K120" s="87">
        <f t="shared" si="50"/>
        <v>0</v>
      </c>
      <c r="L120" s="87">
        <f t="shared" si="50"/>
        <v>0</v>
      </c>
      <c r="M120" s="87">
        <f t="shared" si="50"/>
        <v>0</v>
      </c>
      <c r="N120" s="87">
        <f t="shared" si="50"/>
        <v>0</v>
      </c>
      <c r="O120" s="87">
        <f t="shared" si="50"/>
        <v>0</v>
      </c>
      <c r="P120" s="87">
        <f t="shared" si="50"/>
        <v>0</v>
      </c>
      <c r="Q120" s="87">
        <f t="shared" si="50"/>
        <v>0</v>
      </c>
      <c r="R120" s="87">
        <f t="shared" si="50"/>
        <v>0</v>
      </c>
      <c r="S120" s="87">
        <f t="shared" si="50"/>
        <v>0</v>
      </c>
      <c r="T120" s="87">
        <f t="shared" si="50"/>
        <v>0</v>
      </c>
      <c r="U120" s="87">
        <f t="shared" si="50"/>
        <v>0</v>
      </c>
      <c r="V120" s="87">
        <f t="shared" si="50"/>
        <v>0</v>
      </c>
      <c r="W120" s="87">
        <f t="shared" si="50"/>
        <v>0</v>
      </c>
      <c r="X120" s="87">
        <f t="shared" si="50"/>
        <v>0</v>
      </c>
      <c r="Y120" s="87">
        <f t="shared" si="50"/>
        <v>0</v>
      </c>
      <c r="Z120" s="87">
        <f t="shared" si="50"/>
        <v>0</v>
      </c>
      <c r="AA120" s="87">
        <f t="shared" si="50"/>
        <v>0</v>
      </c>
      <c r="AB120" s="87">
        <f t="shared" si="50"/>
        <v>0</v>
      </c>
      <c r="AC120" s="87">
        <f t="shared" si="50"/>
        <v>0</v>
      </c>
      <c r="AD120" s="87">
        <f t="shared" si="50"/>
        <v>0</v>
      </c>
      <c r="AE120" s="87">
        <f t="shared" si="50"/>
        <v>0</v>
      </c>
      <c r="AF120" s="87">
        <f t="shared" si="50"/>
        <v>0</v>
      </c>
      <c r="AG120" s="87">
        <f t="shared" si="50"/>
        <v>0</v>
      </c>
      <c r="AH120" s="87">
        <f t="shared" si="50"/>
        <v>0</v>
      </c>
      <c r="AI120" s="87">
        <f t="shared" si="50"/>
        <v>0</v>
      </c>
      <c r="AJ120" s="87">
        <f t="shared" si="50"/>
        <v>0</v>
      </c>
      <c r="AK120" s="87">
        <f t="shared" si="50"/>
        <v>0</v>
      </c>
      <c r="AL120" s="87">
        <f t="shared" si="50"/>
        <v>0</v>
      </c>
      <c r="AM120" s="87">
        <f t="shared" si="50"/>
        <v>0</v>
      </c>
      <c r="AN120" s="87">
        <f t="shared" si="50"/>
        <v>0</v>
      </c>
      <c r="AO120" s="87">
        <f t="shared" si="50"/>
        <v>0</v>
      </c>
      <c r="AP120" s="87">
        <f t="shared" si="50"/>
        <v>0</v>
      </c>
      <c r="AQ120" s="87">
        <f t="shared" si="50"/>
        <v>0</v>
      </c>
      <c r="AR120" s="87">
        <f t="shared" si="50"/>
        <v>0</v>
      </c>
      <c r="AS120" s="87">
        <f t="shared" si="50"/>
        <v>0</v>
      </c>
      <c r="AT120" s="87">
        <f t="shared" si="50"/>
        <v>0</v>
      </c>
      <c r="AU120" s="87">
        <f t="shared" si="50"/>
        <v>0</v>
      </c>
      <c r="AV120" s="87">
        <f t="shared" si="50"/>
        <v>0</v>
      </c>
      <c r="AW120" s="87">
        <f t="shared" si="50"/>
        <v>0</v>
      </c>
      <c r="AX120" s="87">
        <f t="shared" si="50"/>
        <v>0</v>
      </c>
      <c r="AY120" s="87">
        <f t="shared" si="50"/>
        <v>0</v>
      </c>
      <c r="AZ120" s="85"/>
    </row>
    <row r="121" spans="1:52" ht="14.25" customHeight="1">
      <c r="A121" s="129"/>
      <c r="E121" s="104"/>
      <c r="H121" s="104"/>
      <c r="I121" s="216" t="s">
        <v>66</v>
      </c>
      <c r="J121" s="90">
        <f t="shared" ref="J121:AY121" si="51">COUNTIFS($E$5:$E$53,$E120,J$5:J$53,"Censored")</f>
        <v>0</v>
      </c>
      <c r="K121" s="90">
        <f t="shared" si="51"/>
        <v>0</v>
      </c>
      <c r="L121" s="90">
        <f t="shared" si="51"/>
        <v>0</v>
      </c>
      <c r="M121" s="90">
        <f t="shared" si="51"/>
        <v>0</v>
      </c>
      <c r="N121" s="90">
        <f t="shared" si="51"/>
        <v>0</v>
      </c>
      <c r="O121" s="90">
        <f t="shared" si="51"/>
        <v>0</v>
      </c>
      <c r="P121" s="90">
        <f t="shared" si="51"/>
        <v>0</v>
      </c>
      <c r="Q121" s="90">
        <f t="shared" si="51"/>
        <v>0</v>
      </c>
      <c r="R121" s="90">
        <f t="shared" si="51"/>
        <v>0</v>
      </c>
      <c r="S121" s="90">
        <f t="shared" si="51"/>
        <v>0</v>
      </c>
      <c r="T121" s="90">
        <f t="shared" si="51"/>
        <v>0</v>
      </c>
      <c r="U121" s="90">
        <f t="shared" si="51"/>
        <v>0</v>
      </c>
      <c r="V121" s="90">
        <f t="shared" si="51"/>
        <v>0</v>
      </c>
      <c r="W121" s="90">
        <f t="shared" si="51"/>
        <v>0</v>
      </c>
      <c r="X121" s="90">
        <f t="shared" si="51"/>
        <v>0</v>
      </c>
      <c r="Y121" s="90">
        <f t="shared" si="51"/>
        <v>0</v>
      </c>
      <c r="Z121" s="90">
        <f t="shared" si="51"/>
        <v>0</v>
      </c>
      <c r="AA121" s="90">
        <f t="shared" si="51"/>
        <v>0</v>
      </c>
      <c r="AB121" s="90">
        <f t="shared" si="51"/>
        <v>0</v>
      </c>
      <c r="AC121" s="90">
        <f t="shared" si="51"/>
        <v>0</v>
      </c>
      <c r="AD121" s="90">
        <f t="shared" si="51"/>
        <v>0</v>
      </c>
      <c r="AE121" s="90">
        <f t="shared" si="51"/>
        <v>0</v>
      </c>
      <c r="AF121" s="90">
        <f t="shared" si="51"/>
        <v>0</v>
      </c>
      <c r="AG121" s="90">
        <f t="shared" si="51"/>
        <v>0</v>
      </c>
      <c r="AH121" s="90">
        <f t="shared" si="51"/>
        <v>0</v>
      </c>
      <c r="AI121" s="90">
        <f t="shared" si="51"/>
        <v>0</v>
      </c>
      <c r="AJ121" s="90">
        <f t="shared" si="51"/>
        <v>0</v>
      </c>
      <c r="AK121" s="90">
        <f t="shared" si="51"/>
        <v>0</v>
      </c>
      <c r="AL121" s="90">
        <f t="shared" si="51"/>
        <v>0</v>
      </c>
      <c r="AM121" s="90">
        <f t="shared" si="51"/>
        <v>0</v>
      </c>
      <c r="AN121" s="90">
        <f t="shared" si="51"/>
        <v>0</v>
      </c>
      <c r="AO121" s="90">
        <f t="shared" si="51"/>
        <v>0</v>
      </c>
      <c r="AP121" s="90">
        <f t="shared" si="51"/>
        <v>0</v>
      </c>
      <c r="AQ121" s="90">
        <f t="shared" si="51"/>
        <v>0</v>
      </c>
      <c r="AR121" s="90">
        <f t="shared" si="51"/>
        <v>0</v>
      </c>
      <c r="AS121" s="90">
        <f t="shared" si="51"/>
        <v>0</v>
      </c>
      <c r="AT121" s="90">
        <f t="shared" si="51"/>
        <v>0</v>
      </c>
      <c r="AU121" s="90">
        <f t="shared" si="51"/>
        <v>0</v>
      </c>
      <c r="AV121" s="90">
        <f t="shared" si="51"/>
        <v>0</v>
      </c>
      <c r="AW121" s="90">
        <f t="shared" si="51"/>
        <v>0</v>
      </c>
      <c r="AX121" s="90">
        <f t="shared" si="51"/>
        <v>0</v>
      </c>
      <c r="AY121" s="90">
        <f t="shared" si="51"/>
        <v>0</v>
      </c>
      <c r="AZ121" s="85"/>
    </row>
    <row r="122" spans="1:52" ht="14.25" customHeight="1">
      <c r="E122" s="254"/>
      <c r="H122" s="104"/>
      <c r="I122" s="216" t="s">
        <v>68</v>
      </c>
      <c r="J122" s="83" t="e">
        <f>J120/(COUNTIFS($E$5:$E$53,$E120,J$5:J$53,"Alive")+COUNTIFS($E$5:$E$53,$E120,J$5:J$53,"Sacrificed")+COUNTIFS($E$5:$E$53,$E120,J$5:J$53,"Died"))</f>
        <v>#DIV/0!</v>
      </c>
      <c r="K122" s="83" t="e">
        <f t="shared" ref="K122:AY122" si="52">K120/(COUNTIFS($E$5:$E$53,$E120,K$5:K$53,"Alive")+COUNTIFS($E$5:$E$53,$E120,K$5:K$53,"Sacrificed")+COUNTIFS($E$5:$E$53,$E120,K$5:K$53,"Died"))*J122</f>
        <v>#DIV/0!</v>
      </c>
      <c r="L122" s="83" t="e">
        <f t="shared" si="52"/>
        <v>#DIV/0!</v>
      </c>
      <c r="M122" s="83" t="e">
        <f t="shared" si="52"/>
        <v>#DIV/0!</v>
      </c>
      <c r="N122" s="83" t="e">
        <f t="shared" si="52"/>
        <v>#DIV/0!</v>
      </c>
      <c r="O122" s="83" t="e">
        <f t="shared" si="52"/>
        <v>#DIV/0!</v>
      </c>
      <c r="P122" s="83" t="e">
        <f t="shared" si="52"/>
        <v>#DIV/0!</v>
      </c>
      <c r="Q122" s="83" t="e">
        <f t="shared" si="52"/>
        <v>#DIV/0!</v>
      </c>
      <c r="R122" s="83" t="e">
        <f t="shared" si="52"/>
        <v>#DIV/0!</v>
      </c>
      <c r="S122" s="83" t="e">
        <f t="shared" si="52"/>
        <v>#DIV/0!</v>
      </c>
      <c r="T122" s="83" t="e">
        <f t="shared" si="52"/>
        <v>#DIV/0!</v>
      </c>
      <c r="U122" s="83" t="e">
        <f t="shared" si="52"/>
        <v>#DIV/0!</v>
      </c>
      <c r="V122" s="83" t="e">
        <f t="shared" si="52"/>
        <v>#DIV/0!</v>
      </c>
      <c r="W122" s="83" t="e">
        <f t="shared" si="52"/>
        <v>#DIV/0!</v>
      </c>
      <c r="X122" s="83" t="e">
        <f t="shared" si="52"/>
        <v>#DIV/0!</v>
      </c>
      <c r="Y122" s="83" t="e">
        <f t="shared" si="52"/>
        <v>#DIV/0!</v>
      </c>
      <c r="Z122" s="83" t="e">
        <f t="shared" si="52"/>
        <v>#DIV/0!</v>
      </c>
      <c r="AA122" s="83" t="e">
        <f t="shared" si="52"/>
        <v>#DIV/0!</v>
      </c>
      <c r="AB122" s="83" t="e">
        <f t="shared" si="52"/>
        <v>#DIV/0!</v>
      </c>
      <c r="AC122" s="83" t="e">
        <f t="shared" si="52"/>
        <v>#DIV/0!</v>
      </c>
      <c r="AD122" s="83" t="e">
        <f t="shared" si="52"/>
        <v>#DIV/0!</v>
      </c>
      <c r="AE122" s="83" t="e">
        <f t="shared" si="52"/>
        <v>#DIV/0!</v>
      </c>
      <c r="AF122" s="83" t="e">
        <f t="shared" si="52"/>
        <v>#DIV/0!</v>
      </c>
      <c r="AG122" s="83" t="e">
        <f t="shared" si="52"/>
        <v>#DIV/0!</v>
      </c>
      <c r="AH122" s="83" t="e">
        <f t="shared" si="52"/>
        <v>#DIV/0!</v>
      </c>
      <c r="AI122" s="83" t="e">
        <f t="shared" si="52"/>
        <v>#DIV/0!</v>
      </c>
      <c r="AJ122" s="83" t="e">
        <f t="shared" si="52"/>
        <v>#DIV/0!</v>
      </c>
      <c r="AK122" s="83" t="e">
        <f t="shared" si="52"/>
        <v>#DIV/0!</v>
      </c>
      <c r="AL122" s="83" t="e">
        <f t="shared" si="52"/>
        <v>#DIV/0!</v>
      </c>
      <c r="AM122" s="83" t="e">
        <f t="shared" si="52"/>
        <v>#DIV/0!</v>
      </c>
      <c r="AN122" s="83" t="e">
        <f t="shared" si="52"/>
        <v>#DIV/0!</v>
      </c>
      <c r="AO122" s="83" t="e">
        <f t="shared" si="52"/>
        <v>#DIV/0!</v>
      </c>
      <c r="AP122" s="83" t="e">
        <f t="shared" si="52"/>
        <v>#DIV/0!</v>
      </c>
      <c r="AQ122" s="83" t="e">
        <f t="shared" si="52"/>
        <v>#DIV/0!</v>
      </c>
      <c r="AR122" s="83" t="e">
        <f t="shared" si="52"/>
        <v>#DIV/0!</v>
      </c>
      <c r="AS122" s="83" t="e">
        <f t="shared" si="52"/>
        <v>#DIV/0!</v>
      </c>
      <c r="AT122" s="83" t="e">
        <f t="shared" si="52"/>
        <v>#DIV/0!</v>
      </c>
      <c r="AU122" s="83" t="e">
        <f t="shared" si="52"/>
        <v>#DIV/0!</v>
      </c>
      <c r="AV122" s="83" t="e">
        <f t="shared" si="52"/>
        <v>#DIV/0!</v>
      </c>
      <c r="AW122" s="83" t="e">
        <f t="shared" si="52"/>
        <v>#DIV/0!</v>
      </c>
      <c r="AX122" s="83" t="e">
        <f t="shared" si="52"/>
        <v>#DIV/0!</v>
      </c>
      <c r="AY122" s="83" t="e">
        <f t="shared" si="52"/>
        <v>#DIV/0!</v>
      </c>
      <c r="AZ122" s="3"/>
    </row>
  </sheetData>
  <autoFilter ref="A4:AY53" xr:uid="{00000000-0009-0000-0000-000003000000}">
    <sortState xmlns:xlrd2="http://schemas.microsoft.com/office/spreadsheetml/2017/richdata2" ref="A5:AQ54">
      <sortCondition ref="B4:B54"/>
    </sortState>
  </autoFilter>
  <mergeCells count="3">
    <mergeCell ref="F2:G3"/>
    <mergeCell ref="H2:H3"/>
    <mergeCell ref="H56:H58"/>
  </mergeCells>
  <dataValidations count="2">
    <dataValidation type="list" allowBlank="1" showInputMessage="1" showErrorMessage="1" sqref="J5:AY53" xr:uid="{7696A30B-08C7-4A87-8B6F-7DBEB5E399C6}">
      <formula1>"Alive,Sacrificed,Censored,Died"</formula1>
    </dataValidation>
    <dataValidation type="list" allowBlank="1" showInputMessage="1" showErrorMessage="1" sqref="E60:E1048576 E5:E53" xr:uid="{44748953-21C3-42AB-A740-0CD70740F368}">
      <formula1>PTX_DOSE_Groups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RAD_DOSE Tumor Size</vt:lpstr>
      <vt:lpstr>RAD_DOSE Body Weight</vt:lpstr>
      <vt:lpstr>RAD_DOSE Radioactivity</vt:lpstr>
      <vt:lpstr>RAD_DOSE Survival</vt:lpstr>
      <vt:lpstr>RAD_DOSE Groups</vt:lpstr>
      <vt:lpstr>PTX_DOSE Tumor Size</vt:lpstr>
      <vt:lpstr>PTX_DOSE Body Weight</vt:lpstr>
      <vt:lpstr>PTX_DOSE Radioactivity</vt:lpstr>
      <vt:lpstr>PTX_DOSE Survival</vt:lpstr>
      <vt:lpstr>PTX_DOSE Groups</vt:lpstr>
      <vt:lpstr>Groups</vt:lpstr>
      <vt:lpstr>PTX_DOSE_Groups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</dc:creator>
  <cp:lastModifiedBy>Jeff Schaal</cp:lastModifiedBy>
  <cp:lastPrinted>2013-02-06T15:47:58Z</cp:lastPrinted>
  <dcterms:created xsi:type="dcterms:W3CDTF">2013-01-08T23:27:33Z</dcterms:created>
  <dcterms:modified xsi:type="dcterms:W3CDTF">2022-07-11T19:52:23Z</dcterms:modified>
</cp:coreProperties>
</file>