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lsch\OneDrive\Desktop\"/>
    </mc:Choice>
  </mc:AlternateContent>
  <xr:revisionPtr revIDLastSave="0" documentId="13_ncr:1_{D4859EAF-39EA-44E9-A14D-7083F6FE3485}" xr6:coauthVersionLast="47" xr6:coauthVersionMax="47" xr10:uidLastSave="{00000000-0000-0000-0000-000000000000}"/>
  <bookViews>
    <workbookView xWindow="30630" yWindow="795" windowWidth="26250" windowHeight="14670" xr2:uid="{00000000-000D-0000-FFFF-FFFF00000000}"/>
  </bookViews>
  <sheets>
    <sheet name="FIG5F Fluor Uptake" sheetId="1" r:id="rId1"/>
    <sheet name="FIG5G - AUC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T71" i="1" l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70" i="1"/>
  <c r="CE71" i="1"/>
  <c r="CE72" i="1"/>
  <c r="CE73" i="1"/>
  <c r="CE74" i="1"/>
  <c r="CE75" i="1"/>
  <c r="CE76" i="1"/>
  <c r="CE77" i="1"/>
  <c r="CE78" i="1"/>
  <c r="CE79" i="1"/>
  <c r="CE80" i="1"/>
  <c r="CE81" i="1"/>
  <c r="CE82" i="1"/>
  <c r="CE83" i="1"/>
  <c r="CE84" i="1"/>
  <c r="CE85" i="1"/>
  <c r="CE86" i="1"/>
  <c r="CE87" i="1"/>
  <c r="CE88" i="1"/>
  <c r="CE89" i="1"/>
  <c r="CE90" i="1"/>
  <c r="CE91" i="1"/>
  <c r="CE70" i="1"/>
  <c r="BP71" i="1"/>
  <c r="BP72" i="1"/>
  <c r="BP73" i="1"/>
  <c r="BP74" i="1"/>
  <c r="BP75" i="1"/>
  <c r="BP76" i="1"/>
  <c r="BP77" i="1"/>
  <c r="BP78" i="1"/>
  <c r="BP79" i="1"/>
  <c r="BP80" i="1"/>
  <c r="BP81" i="1"/>
  <c r="BP82" i="1"/>
  <c r="BP83" i="1"/>
  <c r="BP84" i="1"/>
  <c r="BP85" i="1"/>
  <c r="BP86" i="1"/>
  <c r="BP87" i="1"/>
  <c r="BP88" i="1"/>
  <c r="BP89" i="1"/>
  <c r="BP90" i="1"/>
  <c r="BP91" i="1"/>
  <c r="BP70" i="1"/>
  <c r="BA71" i="1"/>
  <c r="BA72" i="1"/>
  <c r="BA73" i="1"/>
  <c r="BA74" i="1"/>
  <c r="BA75" i="1"/>
  <c r="BA76" i="1"/>
  <c r="BA77" i="1"/>
  <c r="BA78" i="1"/>
  <c r="BA79" i="1"/>
  <c r="BA80" i="1"/>
  <c r="BA81" i="1"/>
  <c r="BA82" i="1"/>
  <c r="BA83" i="1"/>
  <c r="BA84" i="1"/>
  <c r="BA85" i="1"/>
  <c r="BA86" i="1"/>
  <c r="BA87" i="1"/>
  <c r="BA88" i="1"/>
  <c r="BA89" i="1"/>
  <c r="BA90" i="1"/>
  <c r="BA91" i="1"/>
  <c r="BA70" i="1"/>
  <c r="CV91" i="1"/>
  <c r="DB91" i="1" s="1"/>
  <c r="CG91" i="1"/>
  <c r="CM91" i="1" s="1"/>
  <c r="BR91" i="1"/>
  <c r="BX91" i="1" s="1"/>
  <c r="BC91" i="1"/>
  <c r="BI91" i="1" s="1"/>
  <c r="CV90" i="1"/>
  <c r="DB90" i="1" s="1"/>
  <c r="CM90" i="1"/>
  <c r="CL90" i="1"/>
  <c r="CG90" i="1"/>
  <c r="BR90" i="1"/>
  <c r="BX90" i="1" s="1"/>
  <c r="BC90" i="1"/>
  <c r="BI90" i="1" s="1"/>
  <c r="CV89" i="1"/>
  <c r="DB89" i="1" s="1"/>
  <c r="CM89" i="1"/>
  <c r="CL89" i="1"/>
  <c r="CG89" i="1"/>
  <c r="BR89" i="1"/>
  <c r="BX89" i="1" s="1"/>
  <c r="BC89" i="1"/>
  <c r="BI89" i="1" s="1"/>
  <c r="CV88" i="1"/>
  <c r="DB88" i="1" s="1"/>
  <c r="CM88" i="1"/>
  <c r="CL88" i="1"/>
  <c r="CG88" i="1"/>
  <c r="BR88" i="1"/>
  <c r="BX88" i="1" s="1"/>
  <c r="BQ88" i="1"/>
  <c r="BC88" i="1"/>
  <c r="BH88" i="1" s="1"/>
  <c r="CV87" i="1"/>
  <c r="DB87" i="1" s="1"/>
  <c r="CG87" i="1"/>
  <c r="CL87" i="1" s="1"/>
  <c r="BR87" i="1"/>
  <c r="BX87" i="1" s="1"/>
  <c r="BQ87" i="1"/>
  <c r="BC87" i="1"/>
  <c r="BI87" i="1" s="1"/>
  <c r="CV86" i="1"/>
  <c r="DB86" i="1" s="1"/>
  <c r="CG86" i="1"/>
  <c r="CM86" i="1" s="1"/>
  <c r="BR86" i="1"/>
  <c r="BW86" i="1" s="1"/>
  <c r="BQ86" i="1"/>
  <c r="BC86" i="1"/>
  <c r="BI86" i="1" s="1"/>
  <c r="CV85" i="1"/>
  <c r="DB85" i="1" s="1"/>
  <c r="CG85" i="1"/>
  <c r="CM85" i="1" s="1"/>
  <c r="BR85" i="1"/>
  <c r="BX85" i="1" s="1"/>
  <c r="BQ85" i="1"/>
  <c r="BC85" i="1"/>
  <c r="BH85" i="1" s="1"/>
  <c r="DB84" i="1"/>
  <c r="CV84" i="1"/>
  <c r="DA84" i="1" s="1"/>
  <c r="CM84" i="1"/>
  <c r="CG84" i="1"/>
  <c r="CL84" i="1" s="1"/>
  <c r="BR84" i="1"/>
  <c r="BX84" i="1" s="1"/>
  <c r="BQ84" i="1"/>
  <c r="BC84" i="1"/>
  <c r="BI84" i="1" s="1"/>
  <c r="CV83" i="1"/>
  <c r="DA83" i="1" s="1"/>
  <c r="CG83" i="1"/>
  <c r="CM83" i="1" s="1"/>
  <c r="BR83" i="1"/>
  <c r="BW83" i="1" s="1"/>
  <c r="BQ83" i="1"/>
  <c r="BC83" i="1"/>
  <c r="BH83" i="1" s="1"/>
  <c r="DB82" i="1"/>
  <c r="DA82" i="1"/>
  <c r="CM82" i="1"/>
  <c r="CL82" i="1"/>
  <c r="BX82" i="1"/>
  <c r="BW82" i="1"/>
  <c r="BI82" i="1"/>
  <c r="BH82" i="1"/>
  <c r="CV81" i="1"/>
  <c r="DB81" i="1" s="1"/>
  <c r="CG81" i="1"/>
  <c r="CL81" i="1" s="1"/>
  <c r="BR81" i="1"/>
  <c r="BX81" i="1" s="1"/>
  <c r="BQ81" i="1"/>
  <c r="BC81" i="1"/>
  <c r="BI81" i="1" s="1"/>
  <c r="DB80" i="1"/>
  <c r="CV80" i="1"/>
  <c r="DA80" i="1" s="1"/>
  <c r="CG80" i="1"/>
  <c r="CM80" i="1" s="1"/>
  <c r="BR80" i="1"/>
  <c r="BX80" i="1" s="1"/>
  <c r="BC80" i="1"/>
  <c r="BI80" i="1" s="1"/>
  <c r="DB79" i="1"/>
  <c r="CV79" i="1"/>
  <c r="DA79" i="1" s="1"/>
  <c r="CG79" i="1"/>
  <c r="CL79" i="1" s="1"/>
  <c r="BR79" i="1"/>
  <c r="BX79" i="1" s="1"/>
  <c r="BQ79" i="1"/>
  <c r="BI79" i="1"/>
  <c r="BC79" i="1"/>
  <c r="BH79" i="1" s="1"/>
  <c r="DB78" i="1"/>
  <c r="CV78" i="1"/>
  <c r="DA78" i="1" s="1"/>
  <c r="CL78" i="1"/>
  <c r="CG78" i="1"/>
  <c r="CM78" i="1" s="1"/>
  <c r="BX78" i="1"/>
  <c r="BR78" i="1"/>
  <c r="BW78" i="1" s="1"/>
  <c r="BC78" i="1"/>
  <c r="BI78" i="1" s="1"/>
  <c r="CV77" i="1"/>
  <c r="DA77" i="1" s="1"/>
  <c r="CL77" i="1"/>
  <c r="CG77" i="1"/>
  <c r="CM77" i="1" s="1"/>
  <c r="BR77" i="1"/>
  <c r="BW77" i="1" s="1"/>
  <c r="BC77" i="1"/>
  <c r="BI77" i="1" s="1"/>
  <c r="CV76" i="1"/>
  <c r="DA76" i="1" s="1"/>
  <c r="CG76" i="1"/>
  <c r="CM76" i="1" s="1"/>
  <c r="BX76" i="1"/>
  <c r="BR76" i="1"/>
  <c r="BW76" i="1" s="1"/>
  <c r="BC76" i="1"/>
  <c r="BI76" i="1" s="1"/>
  <c r="DB75" i="1"/>
  <c r="CV75" i="1"/>
  <c r="DA75" i="1" s="1"/>
  <c r="CM75" i="1"/>
  <c r="CL75" i="1"/>
  <c r="CG75" i="1"/>
  <c r="BX75" i="1"/>
  <c r="BR75" i="1"/>
  <c r="BW75" i="1" s="1"/>
  <c r="BI75" i="1"/>
  <c r="BC75" i="1"/>
  <c r="BH75" i="1" s="1"/>
  <c r="CV74" i="1"/>
  <c r="DA74" i="1" s="1"/>
  <c r="CL74" i="1"/>
  <c r="CG74" i="1"/>
  <c r="CM74" i="1" s="1"/>
  <c r="BX74" i="1"/>
  <c r="BR74" i="1"/>
  <c r="BW74" i="1" s="1"/>
  <c r="BC74" i="1"/>
  <c r="BI74" i="1" s="1"/>
  <c r="CV73" i="1"/>
  <c r="DA73" i="1" s="1"/>
  <c r="CL73" i="1"/>
  <c r="CG73" i="1"/>
  <c r="CM73" i="1" s="1"/>
  <c r="BR73" i="1"/>
  <c r="BW73" i="1" s="1"/>
  <c r="BC73" i="1"/>
  <c r="BI73" i="1" s="1"/>
  <c r="CV72" i="1"/>
  <c r="DA72" i="1" s="1"/>
  <c r="CM72" i="1"/>
  <c r="CG72" i="1"/>
  <c r="CL72" i="1" s="1"/>
  <c r="BX72" i="1"/>
  <c r="BR72" i="1"/>
  <c r="BW72" i="1" s="1"/>
  <c r="BC72" i="1"/>
  <c r="BI72" i="1" s="1"/>
  <c r="DB71" i="1"/>
  <c r="CV71" i="1"/>
  <c r="DA71" i="1" s="1"/>
  <c r="CM71" i="1"/>
  <c r="CL71" i="1"/>
  <c r="CG71" i="1"/>
  <c r="BX71" i="1"/>
  <c r="BR71" i="1"/>
  <c r="BW71" i="1" s="1"/>
  <c r="BI71" i="1"/>
  <c r="BH71" i="1"/>
  <c r="BC71" i="1"/>
  <c r="CV70" i="1"/>
  <c r="DA70" i="1" s="1"/>
  <c r="CL70" i="1"/>
  <c r="CG70" i="1"/>
  <c r="CM70" i="1" s="1"/>
  <c r="BX70" i="1"/>
  <c r="BR70" i="1"/>
  <c r="BW70" i="1" s="1"/>
  <c r="BC70" i="1"/>
  <c r="BI70" i="1" s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70" i="1"/>
  <c r="BP40" i="1"/>
  <c r="BP41" i="1"/>
  <c r="BP42" i="1"/>
  <c r="BP43" i="1"/>
  <c r="BP44" i="1"/>
  <c r="BP45" i="1"/>
  <c r="BP46" i="1"/>
  <c r="BP47" i="1"/>
  <c r="BP48" i="1"/>
  <c r="BP49" i="1"/>
  <c r="BP50" i="1"/>
  <c r="BP51" i="1"/>
  <c r="BP52" i="1"/>
  <c r="BP53" i="1"/>
  <c r="BP54" i="1"/>
  <c r="BP55" i="1"/>
  <c r="BP56" i="1"/>
  <c r="BP57" i="1"/>
  <c r="BP58" i="1"/>
  <c r="BP59" i="1"/>
  <c r="BP60" i="1"/>
  <c r="BP39" i="1"/>
  <c r="BA40" i="1"/>
  <c r="BA41" i="1"/>
  <c r="BA42" i="1"/>
  <c r="BA43" i="1"/>
  <c r="BA44" i="1"/>
  <c r="BA45" i="1"/>
  <c r="BA46" i="1"/>
  <c r="BA47" i="1"/>
  <c r="BA48" i="1"/>
  <c r="BA49" i="1"/>
  <c r="BA50" i="1"/>
  <c r="BA51" i="1"/>
  <c r="BA52" i="1"/>
  <c r="BA53" i="1"/>
  <c r="BA54" i="1"/>
  <c r="BA55" i="1"/>
  <c r="BA56" i="1"/>
  <c r="BA57" i="1"/>
  <c r="BA58" i="1"/>
  <c r="BA59" i="1"/>
  <c r="BA60" i="1"/>
  <c r="BA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39" i="1"/>
  <c r="H39" i="1"/>
  <c r="J39" i="1"/>
  <c r="O39" i="1" s="1"/>
  <c r="Y39" i="1"/>
  <c r="AE39" i="1" s="1"/>
  <c r="AD39" i="1"/>
  <c r="AN39" i="1"/>
  <c r="AS39" i="1" s="1"/>
  <c r="AT39" i="1"/>
  <c r="BC39" i="1"/>
  <c r="BI39" i="1" s="1"/>
  <c r="BH39" i="1"/>
  <c r="BR39" i="1"/>
  <c r="BX39" i="1" s="1"/>
  <c r="H40" i="1"/>
  <c r="J40" i="1"/>
  <c r="P40" i="1" s="1"/>
  <c r="Y40" i="1"/>
  <c r="AD40" i="1" s="1"/>
  <c r="AN40" i="1"/>
  <c r="AT40" i="1" s="1"/>
  <c r="BC40" i="1"/>
  <c r="BI40" i="1" s="1"/>
  <c r="BR40" i="1"/>
  <c r="BX40" i="1" s="1"/>
  <c r="H41" i="1"/>
  <c r="J41" i="1"/>
  <c r="O41" i="1" s="1"/>
  <c r="P41" i="1"/>
  <c r="Y41" i="1"/>
  <c r="AE41" i="1" s="1"/>
  <c r="AN41" i="1"/>
  <c r="AS41" i="1" s="1"/>
  <c r="BC41" i="1"/>
  <c r="BI41" i="1" s="1"/>
  <c r="BR41" i="1"/>
  <c r="BW41" i="1" s="1"/>
  <c r="H42" i="1"/>
  <c r="J42" i="1"/>
  <c r="P42" i="1" s="1"/>
  <c r="Y42" i="1"/>
  <c r="AE42" i="1" s="1"/>
  <c r="AN42" i="1"/>
  <c r="AT42" i="1" s="1"/>
  <c r="BC42" i="1"/>
  <c r="BH42" i="1" s="1"/>
  <c r="BR42" i="1"/>
  <c r="BW42" i="1"/>
  <c r="BX42" i="1"/>
  <c r="H43" i="1"/>
  <c r="J43" i="1"/>
  <c r="O43" i="1" s="1"/>
  <c r="Y43" i="1"/>
  <c r="AD43" i="1" s="1"/>
  <c r="AN43" i="1"/>
  <c r="AT43" i="1" s="1"/>
  <c r="AS43" i="1"/>
  <c r="BC43" i="1"/>
  <c r="BI43" i="1" s="1"/>
  <c r="BH43" i="1"/>
  <c r="BR43" i="1"/>
  <c r="BW43" i="1" s="1"/>
  <c r="H44" i="1"/>
  <c r="J44" i="1"/>
  <c r="O44" i="1"/>
  <c r="P44" i="1"/>
  <c r="Y44" i="1"/>
  <c r="AE44" i="1" s="1"/>
  <c r="AD44" i="1"/>
  <c r="AN44" i="1"/>
  <c r="AT44" i="1" s="1"/>
  <c r="AS44" i="1"/>
  <c r="BC44" i="1"/>
  <c r="BH44" i="1"/>
  <c r="BI44" i="1"/>
  <c r="BR44" i="1"/>
  <c r="BX44" i="1" s="1"/>
  <c r="BW44" i="1"/>
  <c r="H45" i="1"/>
  <c r="J45" i="1"/>
  <c r="O45" i="1" s="1"/>
  <c r="Y45" i="1"/>
  <c r="AD45" i="1" s="1"/>
  <c r="AE45" i="1"/>
  <c r="AN45" i="1"/>
  <c r="AT45" i="1" s="1"/>
  <c r="AS45" i="1"/>
  <c r="BC45" i="1"/>
  <c r="BH45" i="1" s="1"/>
  <c r="BR45" i="1"/>
  <c r="BW45" i="1" s="1"/>
  <c r="BX45" i="1"/>
  <c r="H46" i="1"/>
  <c r="J46" i="1"/>
  <c r="O46" i="1"/>
  <c r="P46" i="1"/>
  <c r="Y46" i="1"/>
  <c r="AE46" i="1" s="1"/>
  <c r="AD46" i="1"/>
  <c r="AN46" i="1"/>
  <c r="AT46" i="1" s="1"/>
  <c r="BC46" i="1"/>
  <c r="BH46" i="1"/>
  <c r="BI46" i="1"/>
  <c r="BR46" i="1"/>
  <c r="BX46" i="1" s="1"/>
  <c r="BW46" i="1"/>
  <c r="H47" i="1"/>
  <c r="J47" i="1"/>
  <c r="O47" i="1" s="1"/>
  <c r="P47" i="1"/>
  <c r="Y47" i="1"/>
  <c r="AD47" i="1"/>
  <c r="AE47" i="1"/>
  <c r="AN47" i="1"/>
  <c r="AT47" i="1" s="1"/>
  <c r="AS47" i="1"/>
  <c r="BC47" i="1"/>
  <c r="BH47" i="1" s="1"/>
  <c r="BI47" i="1"/>
  <c r="BR47" i="1"/>
  <c r="BW47" i="1" s="1"/>
  <c r="BX47" i="1"/>
  <c r="H48" i="1"/>
  <c r="J48" i="1"/>
  <c r="O48" i="1" s="1"/>
  <c r="Y48" i="1"/>
  <c r="AD48" i="1"/>
  <c r="AE48" i="1"/>
  <c r="AN48" i="1"/>
  <c r="AT48" i="1" s="1"/>
  <c r="BC48" i="1"/>
  <c r="BH48" i="1" s="1"/>
  <c r="BR48" i="1"/>
  <c r="BW48" i="1"/>
  <c r="BX48" i="1"/>
  <c r="H49" i="1"/>
  <c r="J49" i="1"/>
  <c r="O49" i="1"/>
  <c r="P49" i="1"/>
  <c r="Y49" i="1"/>
  <c r="AD49" i="1" s="1"/>
  <c r="AE49" i="1"/>
  <c r="AN49" i="1"/>
  <c r="AT49" i="1" s="1"/>
  <c r="AS49" i="1"/>
  <c r="BC49" i="1"/>
  <c r="BH49" i="1"/>
  <c r="BI49" i="1"/>
  <c r="BR49" i="1"/>
  <c r="BW49" i="1" s="1"/>
  <c r="BX49" i="1"/>
  <c r="H50" i="1"/>
  <c r="J50" i="1"/>
  <c r="O50" i="1" s="1"/>
  <c r="Y50" i="1"/>
  <c r="AE50" i="1" s="1"/>
  <c r="AN50" i="1"/>
  <c r="AS50" i="1" s="1"/>
  <c r="AT50" i="1"/>
  <c r="BC50" i="1"/>
  <c r="BI50" i="1" s="1"/>
  <c r="BR50" i="1"/>
  <c r="BW50" i="1" s="1"/>
  <c r="H51" i="1"/>
  <c r="O51" i="1"/>
  <c r="P51" i="1"/>
  <c r="AD51" i="1"/>
  <c r="AE51" i="1"/>
  <c r="AS51" i="1"/>
  <c r="AT51" i="1"/>
  <c r="BH51" i="1"/>
  <c r="BI51" i="1"/>
  <c r="BW51" i="1"/>
  <c r="BX51" i="1"/>
  <c r="H52" i="1"/>
  <c r="J52" i="1"/>
  <c r="O52" i="1" s="1"/>
  <c r="Y52" i="1"/>
  <c r="AD52" i="1" s="1"/>
  <c r="AN52" i="1"/>
  <c r="AS52" i="1"/>
  <c r="AT52" i="1"/>
  <c r="BC52" i="1"/>
  <c r="BH52" i="1" s="1"/>
  <c r="BI52" i="1"/>
  <c r="BR52" i="1"/>
  <c r="BW52" i="1"/>
  <c r="BX52" i="1"/>
  <c r="H53" i="1"/>
  <c r="J53" i="1"/>
  <c r="O53" i="1" s="1"/>
  <c r="P53" i="1"/>
  <c r="Y53" i="1"/>
  <c r="AE53" i="1" s="1"/>
  <c r="AN53" i="1"/>
  <c r="AS53" i="1" s="1"/>
  <c r="BC53" i="1"/>
  <c r="BH53" i="1" s="1"/>
  <c r="BR53" i="1"/>
  <c r="BW53" i="1" s="1"/>
  <c r="H54" i="1"/>
  <c r="J54" i="1"/>
  <c r="P54" i="1" s="1"/>
  <c r="Y54" i="1"/>
  <c r="AD54" i="1" s="1"/>
  <c r="AN54" i="1"/>
  <c r="AT54" i="1" s="1"/>
  <c r="AS54" i="1"/>
  <c r="BC54" i="1"/>
  <c r="BH54" i="1" s="1"/>
  <c r="BR54" i="1"/>
  <c r="BW54" i="1" s="1"/>
  <c r="H55" i="1"/>
  <c r="J55" i="1"/>
  <c r="O55" i="1" s="1"/>
  <c r="Y55" i="1"/>
  <c r="AD55" i="1" s="1"/>
  <c r="AN55" i="1"/>
  <c r="AS55" i="1" s="1"/>
  <c r="BC55" i="1"/>
  <c r="BH55" i="1" s="1"/>
  <c r="BR55" i="1"/>
  <c r="BW55" i="1" s="1"/>
  <c r="H56" i="1"/>
  <c r="J56" i="1"/>
  <c r="P56" i="1" s="1"/>
  <c r="O56" i="1"/>
  <c r="Y56" i="1"/>
  <c r="AD56" i="1" s="1"/>
  <c r="AN56" i="1"/>
  <c r="AT56" i="1" s="1"/>
  <c r="BC56" i="1"/>
  <c r="BH56" i="1" s="1"/>
  <c r="BR56" i="1"/>
  <c r="BW56" i="1" s="1"/>
  <c r="H57" i="1"/>
  <c r="J57" i="1"/>
  <c r="O57" i="1" s="1"/>
  <c r="Y57" i="1"/>
  <c r="AE57" i="1" s="1"/>
  <c r="AD57" i="1"/>
  <c r="AN57" i="1"/>
  <c r="AS57" i="1" s="1"/>
  <c r="AT57" i="1"/>
  <c r="BC57" i="1"/>
  <c r="BH57" i="1"/>
  <c r="BI57" i="1"/>
  <c r="BR57" i="1"/>
  <c r="BW57" i="1" s="1"/>
  <c r="H58" i="1"/>
  <c r="J58" i="1"/>
  <c r="O58" i="1" s="1"/>
  <c r="P58" i="1"/>
  <c r="Y58" i="1"/>
  <c r="AD58" i="1" s="1"/>
  <c r="AN58" i="1"/>
  <c r="AS58" i="1" s="1"/>
  <c r="BC58" i="1"/>
  <c r="BH58" i="1" s="1"/>
  <c r="BQ58" i="1"/>
  <c r="BR58" i="1"/>
  <c r="BW58" i="1" s="1"/>
  <c r="H59" i="1"/>
  <c r="J59" i="1"/>
  <c r="O59" i="1" s="1"/>
  <c r="Y59" i="1"/>
  <c r="AD59" i="1" s="1"/>
  <c r="AN59" i="1"/>
  <c r="AS59" i="1" s="1"/>
  <c r="BC59" i="1"/>
  <c r="BI59" i="1" s="1"/>
  <c r="BH59" i="1"/>
  <c r="BR59" i="1"/>
  <c r="BW59" i="1" s="1"/>
  <c r="H60" i="1"/>
  <c r="J60" i="1"/>
  <c r="O60" i="1" s="1"/>
  <c r="Y60" i="1"/>
  <c r="AD60" i="1" s="1"/>
  <c r="AN60" i="1"/>
  <c r="AT60" i="1" s="1"/>
  <c r="BC60" i="1"/>
  <c r="BH60" i="1" s="1"/>
  <c r="BR60" i="1"/>
  <c r="BW60" i="1" s="1"/>
  <c r="BX57" i="1" l="1"/>
  <c r="AS48" i="1"/>
  <c r="P43" i="1"/>
  <c r="AS42" i="1"/>
  <c r="AT41" i="1"/>
  <c r="BW40" i="1"/>
  <c r="BH72" i="1"/>
  <c r="DB72" i="1"/>
  <c r="BH76" i="1"/>
  <c r="DB76" i="1"/>
  <c r="BI88" i="1"/>
  <c r="BH89" i="1"/>
  <c r="BH90" i="1"/>
  <c r="BH91" i="1"/>
  <c r="BW84" i="1"/>
  <c r="BI85" i="1"/>
  <c r="BH86" i="1"/>
  <c r="BH87" i="1"/>
  <c r="BI45" i="1"/>
  <c r="P45" i="1"/>
  <c r="AD42" i="1"/>
  <c r="AD41" i="1"/>
  <c r="BH73" i="1"/>
  <c r="DB73" i="1"/>
  <c r="BH77" i="1"/>
  <c r="DB77" i="1"/>
  <c r="BW79" i="1"/>
  <c r="BW80" i="1"/>
  <c r="BX83" i="1"/>
  <c r="BW81" i="1"/>
  <c r="BX54" i="1"/>
  <c r="O54" i="1"/>
  <c r="BX50" i="1"/>
  <c r="BH70" i="1"/>
  <c r="DB70" i="1"/>
  <c r="BH74" i="1"/>
  <c r="DB74" i="1"/>
  <c r="BH78" i="1"/>
  <c r="CL91" i="1"/>
  <c r="BI55" i="1"/>
  <c r="BI48" i="1"/>
  <c r="P48" i="1"/>
  <c r="BX43" i="1"/>
  <c r="AE43" i="1"/>
  <c r="O40" i="1"/>
  <c r="BX73" i="1"/>
  <c r="CL76" i="1"/>
  <c r="BX77" i="1"/>
  <c r="DB83" i="1"/>
  <c r="CL85" i="1"/>
  <c r="CM87" i="1"/>
  <c r="AE56" i="1"/>
  <c r="BI54" i="1"/>
  <c r="AS46" i="1"/>
  <c r="BI42" i="1"/>
  <c r="DA81" i="1"/>
  <c r="CL86" i="1"/>
  <c r="CM79" i="1"/>
  <c r="DA86" i="1"/>
  <c r="CL80" i="1"/>
  <c r="BW85" i="1"/>
  <c r="CM81" i="1"/>
  <c r="BI83" i="1"/>
  <c r="CL83" i="1"/>
  <c r="BH84" i="1"/>
  <c r="BX86" i="1"/>
  <c r="BW87" i="1"/>
  <c r="DA87" i="1"/>
  <c r="BH81" i="1"/>
  <c r="BW88" i="1"/>
  <c r="DA88" i="1"/>
  <c r="BW89" i="1"/>
  <c r="DA89" i="1"/>
  <c r="BW90" i="1"/>
  <c r="DA90" i="1"/>
  <c r="BW91" i="1"/>
  <c r="DA91" i="1"/>
  <c r="BH80" i="1"/>
  <c r="DA85" i="1"/>
  <c r="BH40" i="1"/>
  <c r="AS60" i="1"/>
  <c r="BX55" i="1"/>
  <c r="AE54" i="1"/>
  <c r="P50" i="1"/>
  <c r="BI60" i="1"/>
  <c r="AE60" i="1"/>
  <c r="BX59" i="1"/>
  <c r="AT59" i="1"/>
  <c r="P59" i="1"/>
  <c r="AE58" i="1"/>
  <c r="BX56" i="1"/>
  <c r="AS56" i="1"/>
  <c r="P55" i="1"/>
  <c r="BI53" i="1"/>
  <c r="AD53" i="1"/>
  <c r="BH50" i="1"/>
  <c r="AD50" i="1"/>
  <c r="BH41" i="1"/>
  <c r="AE40" i="1"/>
  <c r="BW39" i="1"/>
  <c r="BI58" i="1"/>
  <c r="AT55" i="1"/>
  <c r="AE52" i="1"/>
  <c r="O42" i="1"/>
  <c r="BX60" i="1"/>
  <c r="P60" i="1"/>
  <c r="AE59" i="1"/>
  <c r="BX58" i="1"/>
  <c r="AT58" i="1"/>
  <c r="BI56" i="1"/>
  <c r="AE55" i="1"/>
  <c r="AT53" i="1"/>
  <c r="P52" i="1"/>
  <c r="BX41" i="1"/>
  <c r="P57" i="1"/>
  <c r="BX53" i="1"/>
  <c r="AS40" i="1"/>
  <c r="P39" i="1"/>
  <c r="AN91" i="1" l="1"/>
  <c r="AT91" i="1" s="1"/>
  <c r="Y91" i="1"/>
  <c r="AE91" i="1" s="1"/>
  <c r="J91" i="1"/>
  <c r="P91" i="1" s="1"/>
  <c r="AN90" i="1"/>
  <c r="AT90" i="1" s="1"/>
  <c r="Y90" i="1"/>
  <c r="AE90" i="1" s="1"/>
  <c r="J90" i="1"/>
  <c r="P90" i="1" s="1"/>
  <c r="AN89" i="1"/>
  <c r="AT89" i="1" s="1"/>
  <c r="Y89" i="1"/>
  <c r="AE89" i="1" s="1"/>
  <c r="J89" i="1"/>
  <c r="P89" i="1" s="1"/>
  <c r="AN88" i="1"/>
  <c r="AT88" i="1" s="1"/>
  <c r="Y88" i="1"/>
  <c r="AE88" i="1" s="1"/>
  <c r="J88" i="1"/>
  <c r="P88" i="1" s="1"/>
  <c r="AN87" i="1"/>
  <c r="AT87" i="1" s="1"/>
  <c r="Y87" i="1"/>
  <c r="AE87" i="1" s="1"/>
  <c r="J87" i="1"/>
  <c r="P87" i="1" s="1"/>
  <c r="AN86" i="1"/>
  <c r="AT86" i="1" s="1"/>
  <c r="Y86" i="1"/>
  <c r="AE86" i="1" s="1"/>
  <c r="J86" i="1"/>
  <c r="P86" i="1" s="1"/>
  <c r="AN85" i="1"/>
  <c r="AT85" i="1" s="1"/>
  <c r="Y85" i="1"/>
  <c r="AE85" i="1" s="1"/>
  <c r="J85" i="1"/>
  <c r="P85" i="1" s="1"/>
  <c r="AN84" i="1"/>
  <c r="AT84" i="1" s="1"/>
  <c r="Y84" i="1"/>
  <c r="AE84" i="1" s="1"/>
  <c r="J84" i="1"/>
  <c r="P84" i="1" s="1"/>
  <c r="AN83" i="1"/>
  <c r="AT83" i="1" s="1"/>
  <c r="Y83" i="1"/>
  <c r="AE83" i="1" s="1"/>
  <c r="J83" i="1"/>
  <c r="P83" i="1" s="1"/>
  <c r="AT82" i="1"/>
  <c r="AS82" i="1"/>
  <c r="AE82" i="1"/>
  <c r="AD82" i="1"/>
  <c r="P82" i="1"/>
  <c r="O82" i="1"/>
  <c r="AN81" i="1"/>
  <c r="AT81" i="1" s="1"/>
  <c r="Y81" i="1"/>
  <c r="AE81" i="1" s="1"/>
  <c r="J81" i="1"/>
  <c r="P81" i="1" s="1"/>
  <c r="AN80" i="1"/>
  <c r="AT80" i="1" s="1"/>
  <c r="Y80" i="1"/>
  <c r="AE80" i="1" s="1"/>
  <c r="J80" i="1"/>
  <c r="P80" i="1" s="1"/>
  <c r="AN79" i="1"/>
  <c r="AT79" i="1" s="1"/>
  <c r="Y79" i="1"/>
  <c r="AE79" i="1" s="1"/>
  <c r="J79" i="1"/>
  <c r="P79" i="1" s="1"/>
  <c r="AN78" i="1"/>
  <c r="AT78" i="1" s="1"/>
  <c r="Y78" i="1"/>
  <c r="AE78" i="1" s="1"/>
  <c r="J78" i="1"/>
  <c r="P78" i="1" s="1"/>
  <c r="AN77" i="1"/>
  <c r="AT77" i="1" s="1"/>
  <c r="Y77" i="1"/>
  <c r="AE77" i="1" s="1"/>
  <c r="J77" i="1"/>
  <c r="P77" i="1" s="1"/>
  <c r="AN76" i="1"/>
  <c r="AT76" i="1" s="1"/>
  <c r="Y76" i="1"/>
  <c r="AE76" i="1" s="1"/>
  <c r="J76" i="1"/>
  <c r="P76" i="1" s="1"/>
  <c r="AN75" i="1"/>
  <c r="AT75" i="1" s="1"/>
  <c r="Y75" i="1"/>
  <c r="AE75" i="1" s="1"/>
  <c r="J75" i="1"/>
  <c r="P75" i="1" s="1"/>
  <c r="AN74" i="1"/>
  <c r="AT74" i="1" s="1"/>
  <c r="Y74" i="1"/>
  <c r="AD74" i="1" s="1"/>
  <c r="J74" i="1"/>
  <c r="P74" i="1" s="1"/>
  <c r="AN73" i="1"/>
  <c r="AT73" i="1" s="1"/>
  <c r="Y73" i="1"/>
  <c r="AE73" i="1" s="1"/>
  <c r="J73" i="1"/>
  <c r="P73" i="1" s="1"/>
  <c r="AN72" i="1"/>
  <c r="AT72" i="1" s="1"/>
  <c r="Y72" i="1"/>
  <c r="AE72" i="1" s="1"/>
  <c r="J72" i="1"/>
  <c r="P72" i="1" s="1"/>
  <c r="AN71" i="1"/>
  <c r="AT71" i="1" s="1"/>
  <c r="Y71" i="1"/>
  <c r="AE71" i="1" s="1"/>
  <c r="J71" i="1"/>
  <c r="P71" i="1" s="1"/>
  <c r="AN70" i="1"/>
  <c r="AT70" i="1" s="1"/>
  <c r="Y70" i="1"/>
  <c r="AE70" i="1" s="1"/>
  <c r="J70" i="1"/>
  <c r="P70" i="1" s="1"/>
  <c r="BR31" i="1"/>
  <c r="BC31" i="1"/>
  <c r="AN31" i="1"/>
  <c r="Y31" i="1"/>
  <c r="J31" i="1"/>
  <c r="AD89" i="1" l="1"/>
  <c r="AD87" i="1"/>
  <c r="AD79" i="1"/>
  <c r="AD73" i="1"/>
  <c r="AS90" i="1"/>
  <c r="AD85" i="1"/>
  <c r="O84" i="1"/>
  <c r="O90" i="1"/>
  <c r="O78" i="1"/>
  <c r="AD83" i="1"/>
  <c r="AS88" i="1"/>
  <c r="AS86" i="1"/>
  <c r="AS72" i="1"/>
  <c r="AS78" i="1"/>
  <c r="AS84" i="1"/>
  <c r="O88" i="1"/>
  <c r="O74" i="1"/>
  <c r="O86" i="1"/>
  <c r="AD91" i="1"/>
  <c r="AS76" i="1"/>
  <c r="AD71" i="1"/>
  <c r="AS74" i="1"/>
  <c r="O80" i="1"/>
  <c r="AS70" i="1"/>
  <c r="O76" i="1"/>
  <c r="AD81" i="1"/>
  <c r="O72" i="1"/>
  <c r="AD77" i="1"/>
  <c r="O70" i="1"/>
  <c r="AD75" i="1"/>
  <c r="AS80" i="1"/>
  <c r="O83" i="1"/>
  <c r="AS83" i="1"/>
  <c r="AD84" i="1"/>
  <c r="O85" i="1"/>
  <c r="AS85" i="1"/>
  <c r="AD86" i="1"/>
  <c r="O87" i="1"/>
  <c r="AS87" i="1"/>
  <c r="AD88" i="1"/>
  <c r="O89" i="1"/>
  <c r="AS89" i="1"/>
  <c r="AD90" i="1"/>
  <c r="O91" i="1"/>
  <c r="AS91" i="1"/>
  <c r="AD70" i="1"/>
  <c r="AS71" i="1"/>
  <c r="AD72" i="1"/>
  <c r="O73" i="1"/>
  <c r="O75" i="1"/>
  <c r="AS77" i="1"/>
  <c r="AS81" i="1"/>
  <c r="O71" i="1"/>
  <c r="AS73" i="1"/>
  <c r="AS75" i="1"/>
  <c r="AD76" i="1"/>
  <c r="O77" i="1"/>
  <c r="AD78" i="1"/>
  <c r="O79" i="1"/>
  <c r="AS79" i="1"/>
  <c r="AD80" i="1"/>
  <c r="O81" i="1"/>
  <c r="AE74" i="1"/>
  <c r="BR30" i="1"/>
  <c r="BR29" i="1"/>
  <c r="BC30" i="1"/>
  <c r="BC29" i="1"/>
  <c r="AN30" i="1"/>
  <c r="AN29" i="1"/>
  <c r="Y30" i="1"/>
  <c r="Y29" i="1"/>
  <c r="J30" i="1"/>
  <c r="J29" i="1"/>
  <c r="BR23" i="1"/>
  <c r="BR24" i="1"/>
  <c r="BR25" i="1"/>
  <c r="BR26" i="1"/>
  <c r="BR27" i="1"/>
  <c r="BR28" i="1"/>
  <c r="BR21" i="1"/>
  <c r="BC23" i="1"/>
  <c r="BC24" i="1"/>
  <c r="BC25" i="1"/>
  <c r="BC26" i="1"/>
  <c r="BC27" i="1"/>
  <c r="BC28" i="1"/>
  <c r="BC21" i="1"/>
  <c r="AN23" i="1"/>
  <c r="AN24" i="1"/>
  <c r="AN25" i="1"/>
  <c r="AN26" i="1"/>
  <c r="AN27" i="1"/>
  <c r="AN28" i="1"/>
  <c r="AN21" i="1"/>
  <c r="X23" i="1"/>
  <c r="Y23" i="1"/>
  <c r="X24" i="1"/>
  <c r="Y24" i="1"/>
  <c r="X25" i="1"/>
  <c r="Y25" i="1"/>
  <c r="X26" i="1"/>
  <c r="Y26" i="1"/>
  <c r="X27" i="1"/>
  <c r="Y27" i="1"/>
  <c r="X28" i="1"/>
  <c r="Y28" i="1"/>
  <c r="Y21" i="1"/>
  <c r="X21" i="1"/>
  <c r="J23" i="1"/>
  <c r="J24" i="1"/>
  <c r="J25" i="1"/>
  <c r="J26" i="1"/>
  <c r="J27" i="1"/>
  <c r="J28" i="1"/>
  <c r="J21" i="1"/>
  <c r="BR20" i="1" l="1"/>
  <c r="BR19" i="1"/>
  <c r="BC20" i="1"/>
  <c r="BC19" i="1"/>
  <c r="AN20" i="1"/>
  <c r="AN19" i="1"/>
  <c r="Y20" i="1"/>
  <c r="Y19" i="1"/>
  <c r="J20" i="1"/>
  <c r="J19" i="1"/>
  <c r="BR18" i="1" l="1"/>
  <c r="BC18" i="1"/>
  <c r="AN18" i="1"/>
  <c r="Y18" i="1"/>
  <c r="J18" i="1"/>
  <c r="BR17" i="1" l="1"/>
  <c r="BR12" i="1"/>
  <c r="BR13" i="1"/>
  <c r="BR14" i="1"/>
  <c r="BR15" i="1"/>
  <c r="BR16" i="1"/>
  <c r="BR11" i="1"/>
  <c r="BR10" i="1"/>
  <c r="BC17" i="1"/>
  <c r="BC12" i="1"/>
  <c r="BC13" i="1"/>
  <c r="BC14" i="1"/>
  <c r="BC15" i="1"/>
  <c r="BC16" i="1"/>
  <c r="BC11" i="1"/>
  <c r="BC10" i="1"/>
  <c r="AN17" i="1"/>
  <c r="AN12" i="1"/>
  <c r="AN13" i="1"/>
  <c r="AN14" i="1"/>
  <c r="AN15" i="1"/>
  <c r="AN16" i="1"/>
  <c r="AN11" i="1"/>
  <c r="AN10" i="1"/>
  <c r="Y17" i="1"/>
  <c r="Y12" i="1"/>
  <c r="Y13" i="1"/>
  <c r="Y14" i="1"/>
  <c r="Y15" i="1"/>
  <c r="Y16" i="1"/>
  <c r="Y11" i="1"/>
  <c r="Y10" i="1"/>
  <c r="J17" i="1"/>
  <c r="J11" i="1"/>
  <c r="J12" i="1"/>
  <c r="J13" i="1"/>
  <c r="J14" i="1"/>
  <c r="J15" i="1"/>
  <c r="J16" i="1"/>
  <c r="J10" i="1"/>
  <c r="H11" i="1"/>
  <c r="H10" i="1"/>
  <c r="BX11" i="1" l="1"/>
  <c r="BX31" i="1"/>
  <c r="BW31" i="1"/>
  <c r="BX30" i="1"/>
  <c r="BW30" i="1"/>
  <c r="BX29" i="1"/>
  <c r="BW29" i="1"/>
  <c r="BX28" i="1"/>
  <c r="BW28" i="1"/>
  <c r="BX27" i="1"/>
  <c r="BW27" i="1"/>
  <c r="BX26" i="1"/>
  <c r="BW26" i="1"/>
  <c r="BX25" i="1"/>
  <c r="BW25" i="1"/>
  <c r="BX24" i="1"/>
  <c r="BW24" i="1"/>
  <c r="BX23" i="1"/>
  <c r="BW23" i="1"/>
  <c r="BX22" i="1"/>
  <c r="BW22" i="1"/>
  <c r="BX21" i="1"/>
  <c r="BW21" i="1"/>
  <c r="BX20" i="1"/>
  <c r="BW20" i="1"/>
  <c r="BX19" i="1"/>
  <c r="BW19" i="1"/>
  <c r="BX18" i="1"/>
  <c r="BW18" i="1"/>
  <c r="BX17" i="1"/>
  <c r="BW17" i="1"/>
  <c r="BX16" i="1"/>
  <c r="BW16" i="1"/>
  <c r="BX15" i="1"/>
  <c r="BW15" i="1"/>
  <c r="BX14" i="1"/>
  <c r="BW14" i="1"/>
  <c r="BX13" i="1"/>
  <c r="BW13" i="1"/>
  <c r="BX12" i="1"/>
  <c r="BW12" i="1"/>
  <c r="BW11" i="1"/>
  <c r="BX10" i="1"/>
  <c r="BW10" i="1"/>
  <c r="BI31" i="1"/>
  <c r="BH31" i="1"/>
  <c r="BI30" i="1"/>
  <c r="BH30" i="1"/>
  <c r="BI29" i="1"/>
  <c r="BH29" i="1"/>
  <c r="BI28" i="1"/>
  <c r="BH28" i="1"/>
  <c r="BI27" i="1"/>
  <c r="BH27" i="1"/>
  <c r="BI26" i="1"/>
  <c r="BH26" i="1"/>
  <c r="BI25" i="1"/>
  <c r="BH25" i="1"/>
  <c r="BI24" i="1"/>
  <c r="BH24" i="1"/>
  <c r="BI23" i="1"/>
  <c r="BH23" i="1"/>
  <c r="BI22" i="1"/>
  <c r="BH22" i="1"/>
  <c r="BI21" i="1"/>
  <c r="BH21" i="1"/>
  <c r="BI20" i="1"/>
  <c r="BH20" i="1"/>
  <c r="BI19" i="1"/>
  <c r="BH19" i="1"/>
  <c r="BI18" i="1"/>
  <c r="BH18" i="1"/>
  <c r="BI17" i="1"/>
  <c r="BH17" i="1"/>
  <c r="BI16" i="1"/>
  <c r="BH16" i="1"/>
  <c r="BI15" i="1"/>
  <c r="BH15" i="1"/>
  <c r="BI14" i="1"/>
  <c r="BH14" i="1"/>
  <c r="BI13" i="1"/>
  <c r="BH13" i="1"/>
  <c r="BI12" i="1"/>
  <c r="BH12" i="1"/>
  <c r="BI11" i="1"/>
  <c r="BH11" i="1"/>
  <c r="BI10" i="1"/>
  <c r="BH10" i="1"/>
  <c r="AT31" i="1"/>
  <c r="AS31" i="1"/>
  <c r="AT30" i="1"/>
  <c r="AS30" i="1"/>
  <c r="AT29" i="1"/>
  <c r="AS29" i="1"/>
  <c r="AT28" i="1"/>
  <c r="AS28" i="1"/>
  <c r="AT27" i="1"/>
  <c r="AS27" i="1"/>
  <c r="AT26" i="1"/>
  <c r="AS26" i="1"/>
  <c r="AT25" i="1"/>
  <c r="AS25" i="1"/>
  <c r="AT24" i="1"/>
  <c r="AS24" i="1"/>
  <c r="AT23" i="1"/>
  <c r="AS23" i="1"/>
  <c r="AT22" i="1"/>
  <c r="AS22" i="1"/>
  <c r="AT21" i="1"/>
  <c r="AS21" i="1"/>
  <c r="AT20" i="1"/>
  <c r="AS20" i="1"/>
  <c r="AT19" i="1"/>
  <c r="AS19" i="1"/>
  <c r="AT18" i="1"/>
  <c r="AS18" i="1"/>
  <c r="AT17" i="1"/>
  <c r="AS17" i="1"/>
  <c r="AT16" i="1"/>
  <c r="AS16" i="1"/>
  <c r="AT15" i="1"/>
  <c r="AS15" i="1"/>
  <c r="AT14" i="1"/>
  <c r="AS14" i="1"/>
  <c r="AT13" i="1"/>
  <c r="AS13" i="1"/>
  <c r="AT12" i="1"/>
  <c r="AS12" i="1"/>
  <c r="AT11" i="1"/>
  <c r="AS11" i="1"/>
  <c r="AT10" i="1"/>
  <c r="AS10" i="1"/>
  <c r="AE12" i="1"/>
  <c r="AD12" i="1"/>
  <c r="AD11" i="1"/>
  <c r="AD10" i="1"/>
  <c r="AE31" i="1"/>
  <c r="AD31" i="1"/>
  <c r="AE30" i="1"/>
  <c r="AD30" i="1"/>
  <c r="AE29" i="1"/>
  <c r="AD29" i="1"/>
  <c r="AE28" i="1"/>
  <c r="AD28" i="1"/>
  <c r="AE27" i="1"/>
  <c r="AD27" i="1"/>
  <c r="AE26" i="1"/>
  <c r="AD26" i="1"/>
  <c r="AE25" i="1"/>
  <c r="AD25" i="1"/>
  <c r="AE24" i="1"/>
  <c r="AD24" i="1"/>
  <c r="AE23" i="1"/>
  <c r="AD23" i="1"/>
  <c r="AE22" i="1"/>
  <c r="AD22" i="1"/>
  <c r="AE21" i="1"/>
  <c r="AD21" i="1"/>
  <c r="AE20" i="1"/>
  <c r="AD20" i="1"/>
  <c r="AE19" i="1"/>
  <c r="AD19" i="1"/>
  <c r="AE18" i="1"/>
  <c r="AD18" i="1"/>
  <c r="AE17" i="1"/>
  <c r="AD17" i="1"/>
  <c r="AE16" i="1"/>
  <c r="AD16" i="1"/>
  <c r="AE15" i="1"/>
  <c r="AD15" i="1"/>
  <c r="AE14" i="1"/>
  <c r="AD14" i="1"/>
  <c r="AE13" i="1"/>
  <c r="AD13" i="1"/>
  <c r="AE11" i="1"/>
  <c r="AE10" i="1"/>
  <c r="P21" i="1"/>
  <c r="P11" i="1"/>
  <c r="P12" i="1"/>
  <c r="P13" i="1"/>
  <c r="P14" i="1"/>
  <c r="P15" i="1"/>
  <c r="P16" i="1"/>
  <c r="P17" i="1"/>
  <c r="P18" i="1"/>
  <c r="P19" i="1"/>
  <c r="P20" i="1"/>
  <c r="P22" i="1"/>
  <c r="P23" i="1"/>
  <c r="P24" i="1"/>
  <c r="P25" i="1"/>
  <c r="P26" i="1"/>
  <c r="P27" i="1"/>
  <c r="P28" i="1"/>
  <c r="P29" i="1"/>
  <c r="P30" i="1"/>
  <c r="P31" i="1"/>
  <c r="P10" i="1"/>
  <c r="O10" i="1"/>
  <c r="O15" i="1"/>
  <c r="O11" i="1"/>
  <c r="O12" i="1"/>
  <c r="O13" i="1"/>
  <c r="O14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H31" i="1" l="1"/>
  <c r="BP14" i="1" l="1"/>
  <c r="BP11" i="1"/>
  <c r="BP12" i="1"/>
  <c r="BP13" i="1"/>
  <c r="BP15" i="1"/>
  <c r="BP16" i="1"/>
  <c r="BP17" i="1"/>
  <c r="BP18" i="1"/>
  <c r="BP19" i="1"/>
  <c r="BP20" i="1"/>
  <c r="BP21" i="1"/>
  <c r="BP23" i="1"/>
  <c r="BP24" i="1"/>
  <c r="BP25" i="1"/>
  <c r="BP26" i="1"/>
  <c r="BP27" i="1"/>
  <c r="BP28" i="1"/>
  <c r="BP29" i="1"/>
  <c r="BP30" i="1"/>
  <c r="BP31" i="1"/>
  <c r="BP10" i="1"/>
  <c r="BA17" i="1"/>
  <c r="BA11" i="1"/>
  <c r="BA12" i="1"/>
  <c r="BA13" i="1"/>
  <c r="BA14" i="1"/>
  <c r="BA15" i="1"/>
  <c r="BA16" i="1"/>
  <c r="BA18" i="1"/>
  <c r="BA19" i="1"/>
  <c r="BA20" i="1"/>
  <c r="BA21" i="1"/>
  <c r="BA23" i="1"/>
  <c r="BA24" i="1"/>
  <c r="BA25" i="1"/>
  <c r="BA26" i="1"/>
  <c r="BA27" i="1"/>
  <c r="BA28" i="1"/>
  <c r="BA29" i="1"/>
  <c r="BA30" i="1"/>
  <c r="BA31" i="1"/>
  <c r="BA10" i="1"/>
  <c r="AL29" i="1"/>
  <c r="AL28" i="1"/>
  <c r="AL27" i="1"/>
  <c r="AL26" i="1"/>
  <c r="AL25" i="1"/>
  <c r="AL24" i="1"/>
  <c r="AL23" i="1"/>
  <c r="AL21" i="1"/>
  <c r="AL20" i="1"/>
  <c r="AL19" i="1"/>
  <c r="AL18" i="1"/>
  <c r="AL17" i="1"/>
  <c r="AL16" i="1"/>
  <c r="AL15" i="1"/>
  <c r="AL14" i="1"/>
  <c r="AL13" i="1"/>
  <c r="AL12" i="1"/>
  <c r="AL11" i="1"/>
  <c r="AL10" i="1"/>
  <c r="AL31" i="1"/>
  <c r="AL30" i="1"/>
  <c r="W31" i="1"/>
  <c r="W12" i="1"/>
  <c r="W11" i="1"/>
  <c r="W13" i="1"/>
  <c r="W14" i="1"/>
  <c r="W15" i="1"/>
  <c r="W16" i="1"/>
  <c r="W17" i="1"/>
  <c r="W18" i="1"/>
  <c r="W19" i="1"/>
  <c r="W20" i="1"/>
  <c r="W21" i="1"/>
  <c r="W23" i="1"/>
  <c r="W24" i="1"/>
  <c r="W25" i="1"/>
  <c r="W26" i="1"/>
  <c r="W27" i="1"/>
  <c r="W28" i="1"/>
  <c r="W29" i="1"/>
  <c r="W30" i="1"/>
  <c r="W10" i="1"/>
  <c r="H29" i="1"/>
  <c r="H30" i="1"/>
  <c r="H28" i="1"/>
  <c r="H24" i="1"/>
  <c r="H25" i="1"/>
  <c r="H26" i="1"/>
  <c r="H27" i="1"/>
  <c r="H23" i="1"/>
  <c r="H21" i="1"/>
  <c r="H20" i="1"/>
  <c r="H19" i="1"/>
  <c r="H18" i="1"/>
  <c r="H12" i="1"/>
  <c r="H13" i="1"/>
  <c r="H14" i="1"/>
  <c r="H15" i="1"/>
  <c r="H16" i="1"/>
  <c r="H17" i="1"/>
</calcChain>
</file>

<file path=xl/sharedStrings.xml><?xml version="1.0" encoding="utf-8"?>
<sst xmlns="http://schemas.openxmlformats.org/spreadsheetml/2006/main" count="1486" uniqueCount="73">
  <si>
    <t>BW</t>
  </si>
  <si>
    <t xml:space="preserve">Mouse: </t>
  </si>
  <si>
    <t>M11</t>
  </si>
  <si>
    <t>CP-PTX</t>
  </si>
  <si>
    <t>Conc.</t>
  </si>
  <si>
    <t>Vol.</t>
  </si>
  <si>
    <t>Total Flux
(photons/sec)</t>
  </si>
  <si>
    <t>Radiant
 Efficency</t>
  </si>
  <si>
    <t>Timepoint</t>
  </si>
  <si>
    <t>0.2s Exposure</t>
  </si>
  <si>
    <t xml:space="preserve">Group: </t>
  </si>
  <si>
    <t xml:space="preserve">Cage: </t>
  </si>
  <si>
    <t>Date</t>
  </si>
  <si>
    <t>Time</t>
  </si>
  <si>
    <t>TBD</t>
  </si>
  <si>
    <t>-</t>
  </si>
  <si>
    <t>Tumor
Vol.</t>
  </si>
  <si>
    <t>M12</t>
  </si>
  <si>
    <t>M13</t>
  </si>
  <si>
    <t>M14</t>
  </si>
  <si>
    <t xml:space="preserve">Location: </t>
  </si>
  <si>
    <t>M21</t>
  </si>
  <si>
    <t>M22</t>
  </si>
  <si>
    <t>M23</t>
  </si>
  <si>
    <t>M24</t>
  </si>
  <si>
    <t/>
  </si>
  <si>
    <t>0.25s Exposure</t>
  </si>
  <si>
    <t>0.20s Exposure</t>
  </si>
  <si>
    <t>Flux per Tumor</t>
  </si>
  <si>
    <t>Rad Eff per Tumor</t>
  </si>
  <si>
    <t>Normalized Tumor</t>
  </si>
  <si>
    <t>Normalized Tumor (0.2s)</t>
  </si>
  <si>
    <t>Radiation Activity</t>
  </si>
  <si>
    <r>
      <rPr>
        <b/>
        <vertAlign val="superscript"/>
        <sz val="14"/>
        <color theme="1"/>
        <rFont val="Calibri"/>
        <family val="2"/>
        <scheme val="minor"/>
      </rPr>
      <t>131</t>
    </r>
    <r>
      <rPr>
        <b/>
        <sz val="14"/>
        <color theme="1"/>
        <rFont val="Calibri"/>
        <family val="2"/>
        <scheme val="minor"/>
      </rPr>
      <t>I-ELP + sCy5.5-CP-PTX</t>
    </r>
  </si>
  <si>
    <t>CCIF 1EA</t>
  </si>
  <si>
    <t>Mouse</t>
  </si>
  <si>
    <t>Radiant
Efficency</t>
  </si>
  <si>
    <t>BG Threshold Data</t>
  </si>
  <si>
    <t>0.20s Exp</t>
  </si>
  <si>
    <t>Normalized Total Flux</t>
  </si>
  <si>
    <t>Normalized
 Rad Eff</t>
  </si>
  <si>
    <r>
      <rPr>
        <b/>
        <vertAlign val="superscript"/>
        <sz val="24"/>
        <color theme="1"/>
        <rFont val="Calibri"/>
        <family val="2"/>
        <scheme val="minor"/>
      </rPr>
      <t>131</t>
    </r>
    <r>
      <rPr>
        <b/>
        <sz val="24"/>
        <color theme="1"/>
        <rFont val="Calibri"/>
        <family val="2"/>
        <scheme val="minor"/>
      </rPr>
      <t>I-ELP Group</t>
    </r>
  </si>
  <si>
    <t>sCy5.5-CP-PTX w/ sham ELP injection</t>
  </si>
  <si>
    <t>sCy5.5-CP-PTX only</t>
  </si>
  <si>
    <t>sCy5.5 - CP-PTX only</t>
  </si>
  <si>
    <t>EBRT + sCy5.5-CP-PTX</t>
  </si>
  <si>
    <t>GSRB II</t>
  </si>
  <si>
    <t>Radiation
Dose</t>
  </si>
  <si>
    <t>5 Gy</t>
  </si>
  <si>
    <t>EBRT Group</t>
  </si>
  <si>
    <t>M31</t>
  </si>
  <si>
    <t>M32</t>
  </si>
  <si>
    <t>M33</t>
  </si>
  <si>
    <t>M34</t>
  </si>
  <si>
    <t>M35</t>
  </si>
  <si>
    <t>M41</t>
  </si>
  <si>
    <t>M42</t>
  </si>
  <si>
    <t>M43</t>
  </si>
  <si>
    <t>M44</t>
  </si>
  <si>
    <t>CCIF Facilities</t>
  </si>
  <si>
    <t>0.25s Exp</t>
  </si>
  <si>
    <t>Normalized
Total Flux</t>
  </si>
  <si>
    <t>Normalized
Rad Eff</t>
  </si>
  <si>
    <t>M45</t>
  </si>
  <si>
    <t xml:space="preserve"> --&gt; Mouse died prior to treatment. Causes unknown, but no procedures had been performed on this mouse prior to death.</t>
  </si>
  <si>
    <t>GSRBII Facilities</t>
  </si>
  <si>
    <t>Figure 5F - Radiation mediated uptake of fluorescently labeled CP-PTX</t>
  </si>
  <si>
    <t>EBRT</t>
  </si>
  <si>
    <t>Control (GSRBII)</t>
  </si>
  <si>
    <t>Brachytherapy</t>
  </si>
  <si>
    <t>Control (CCIF)</t>
  </si>
  <si>
    <t>AUC - Fluorescent Flux</t>
  </si>
  <si>
    <t>Figure 5G - Cumulative fluoroscent CP-PTX uptake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</si>
</sst>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h:mm;@"/>
    <numFmt numFmtId="166" formatCode="0.000E+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vertAlign val="superscript"/>
      <sz val="24"/>
      <color theme="1"/>
      <name val="Calibri"/>
      <family val="2"/>
      <scheme val="minor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164" fontId="0" fillId="0" borderId="0" xfId="0" applyNumberFormat="1"/>
    <xf numFmtId="0" fontId="3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165" fontId="6" fillId="0" borderId="0" xfId="0" applyNumberFormat="1" applyFont="1" applyAlignment="1">
      <alignment horizontal="center"/>
    </xf>
    <xf numFmtId="0" fontId="0" fillId="0" borderId="0" xfId="0" applyFont="1"/>
    <xf numFmtId="14" fontId="6" fillId="0" borderId="4" xfId="0" applyNumberFormat="1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0" fillId="0" borderId="8" xfId="0" applyBorder="1"/>
    <xf numFmtId="164" fontId="0" fillId="0" borderId="8" xfId="0" applyNumberFormat="1" applyBorder="1"/>
    <xf numFmtId="164" fontId="6" fillId="0" borderId="7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6" fontId="6" fillId="0" borderId="6" xfId="0" applyNumberFormat="1" applyFont="1" applyBorder="1" applyAlignment="1">
      <alignment horizontal="center"/>
    </xf>
    <xf numFmtId="166" fontId="6" fillId="0" borderId="0" xfId="0" applyNumberFormat="1" applyFont="1" applyAlignment="1">
      <alignment horizontal="center"/>
    </xf>
    <xf numFmtId="166" fontId="6" fillId="0" borderId="3" xfId="0" applyNumberFormat="1" applyFont="1" applyBorder="1" applyAlignment="1">
      <alignment horizontal="center"/>
    </xf>
    <xf numFmtId="166" fontId="6" fillId="0" borderId="0" xfId="0" applyNumberFormat="1" applyFont="1" applyFill="1" applyBorder="1" applyAlignment="1">
      <alignment horizontal="center"/>
    </xf>
    <xf numFmtId="166" fontId="6" fillId="0" borderId="0" xfId="0" applyNumberFormat="1" applyFont="1" applyBorder="1" applyAlignment="1">
      <alignment horizontal="center"/>
    </xf>
    <xf numFmtId="166" fontId="1" fillId="0" borderId="1" xfId="0" applyNumberFormat="1" applyFont="1" applyBorder="1" applyAlignment="1">
      <alignment horizontal="center" wrapText="1"/>
    </xf>
    <xf numFmtId="0" fontId="0" fillId="0" borderId="3" xfId="0" applyBorder="1"/>
    <xf numFmtId="166" fontId="0" fillId="0" borderId="0" xfId="0" applyNumberFormat="1"/>
    <xf numFmtId="0" fontId="8" fillId="0" borderId="0" xfId="0" applyFont="1"/>
    <xf numFmtId="166" fontId="1" fillId="0" borderId="5" xfId="0" applyNumberFormat="1" applyFont="1" applyBorder="1" applyAlignment="1">
      <alignment horizontal="center" wrapText="1"/>
    </xf>
    <xf numFmtId="166" fontId="1" fillId="0" borderId="2" xfId="0" applyNumberFormat="1" applyFont="1" applyBorder="1" applyAlignment="1">
      <alignment horizontal="center" wrapText="1"/>
    </xf>
    <xf numFmtId="166" fontId="0" fillId="0" borderId="4" xfId="0" applyNumberFormat="1" applyBorder="1"/>
    <xf numFmtId="166" fontId="0" fillId="0" borderId="3" xfId="0" applyNumberFormat="1" applyBorder="1"/>
    <xf numFmtId="0" fontId="4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8" xfId="0" applyFont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6" fillId="0" borderId="0" xfId="0" applyFont="1" applyBorder="1" applyAlignment="1">
      <alignment horizontal="center"/>
    </xf>
    <xf numFmtId="165" fontId="6" fillId="0" borderId="0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14" fontId="6" fillId="0" borderId="10" xfId="0" applyNumberFormat="1" applyFont="1" applyBorder="1" applyAlignment="1">
      <alignment horizontal="center"/>
    </xf>
    <xf numFmtId="165" fontId="6" fillId="0" borderId="8" xfId="0" applyNumberFormat="1" applyFont="1" applyBorder="1" applyAlignment="1">
      <alignment horizontal="center"/>
    </xf>
    <xf numFmtId="2" fontId="6" fillId="0" borderId="8" xfId="0" applyNumberFormat="1" applyFont="1" applyBorder="1" applyAlignment="1">
      <alignment horizontal="center"/>
    </xf>
    <xf numFmtId="164" fontId="6" fillId="0" borderId="8" xfId="0" applyNumberFormat="1" applyFont="1" applyBorder="1" applyAlignment="1">
      <alignment horizontal="center"/>
    </xf>
    <xf numFmtId="164" fontId="6" fillId="0" borderId="11" xfId="0" applyNumberFormat="1" applyFont="1" applyBorder="1" applyAlignment="1">
      <alignment horizontal="center"/>
    </xf>
    <xf numFmtId="166" fontId="6" fillId="0" borderId="8" xfId="0" applyNumberFormat="1" applyFont="1" applyBorder="1" applyAlignment="1">
      <alignment horizontal="center"/>
    </xf>
    <xf numFmtId="166" fontId="6" fillId="0" borderId="11" xfId="0" applyNumberFormat="1" applyFont="1" applyBorder="1" applyAlignment="1">
      <alignment horizontal="center"/>
    </xf>
    <xf numFmtId="0" fontId="10" fillId="0" borderId="0" xfId="0" applyFont="1" applyBorder="1" applyAlignment="1">
      <alignment horizontal="center" vertical="center" textRotation="90"/>
    </xf>
    <xf numFmtId="14" fontId="6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10" fillId="0" borderId="15" xfId="0" applyFont="1" applyBorder="1" applyAlignment="1">
      <alignment horizontal="center" vertical="center" textRotation="90"/>
    </xf>
    <xf numFmtId="0" fontId="6" fillId="0" borderId="15" xfId="0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16" xfId="0" applyFont="1" applyBorder="1" applyAlignment="1">
      <alignment horizontal="center"/>
    </xf>
    <xf numFmtId="0" fontId="0" fillId="0" borderId="8" xfId="0" quotePrefix="1" applyBorder="1"/>
    <xf numFmtId="0" fontId="4" fillId="0" borderId="0" xfId="0" applyFont="1"/>
    <xf numFmtId="166" fontId="4" fillId="0" borderId="0" xfId="0" applyNumberFormat="1" applyFont="1"/>
    <xf numFmtId="164" fontId="4" fillId="0" borderId="0" xfId="0" applyNumberFormat="1" applyFont="1"/>
    <xf numFmtId="0" fontId="9" fillId="0" borderId="0" xfId="0" applyFont="1"/>
    <xf numFmtId="0" fontId="12" fillId="0" borderId="0" xfId="0" applyFont="1"/>
    <xf numFmtId="0" fontId="13" fillId="0" borderId="1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164" fontId="1" fillId="0" borderId="4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0" fillId="0" borderId="12" xfId="0" applyFont="1" applyBorder="1" applyAlignment="1">
      <alignment horizontal="center" vertical="center" textRotation="90"/>
    </xf>
    <xf numFmtId="0" fontId="10" fillId="0" borderId="13" xfId="0" applyFont="1" applyBorder="1" applyAlignment="1">
      <alignment horizontal="center" vertical="center" textRotation="90"/>
    </xf>
    <xf numFmtId="0" fontId="5" fillId="0" borderId="9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166" fontId="1" fillId="0" borderId="4" xfId="0" applyNumberFormat="1" applyFont="1" applyBorder="1" applyAlignment="1">
      <alignment horizontal="center"/>
    </xf>
    <xf numFmtId="166" fontId="1" fillId="0" borderId="3" xfId="0" applyNumberFormat="1" applyFont="1" applyBorder="1" applyAlignment="1">
      <alignment horizontal="center"/>
    </xf>
    <xf numFmtId="166" fontId="1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166" fontId="1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B110"/>
  <sheetViews>
    <sheetView tabSelected="1" zoomScaleNormal="100" workbookViewId="0">
      <selection activeCell="E23" sqref="E23"/>
    </sheetView>
  </sheetViews>
  <sheetFormatPr defaultRowHeight="15" x14ac:dyDescent="0.25"/>
  <cols>
    <col min="3" max="3" width="11" customWidth="1"/>
    <col min="4" max="4" width="9.5703125" bestFit="1" customWidth="1"/>
    <col min="5" max="5" width="10.5703125" customWidth="1"/>
    <col min="6" max="6" width="11.5703125" customWidth="1"/>
    <col min="7" max="7" width="10" customWidth="1"/>
    <col min="8" max="8" width="11.140625" style="1" customWidth="1"/>
    <col min="9" max="9" width="8.7109375" style="1" customWidth="1"/>
    <col min="10" max="10" width="9.7109375" customWidth="1"/>
    <col min="11" max="11" width="13.85546875" customWidth="1"/>
    <col min="12" max="12" width="12.140625" customWidth="1"/>
    <col min="13" max="13" width="13.85546875" customWidth="1"/>
    <col min="14" max="16" width="12.140625" customWidth="1"/>
    <col min="18" max="18" width="11" customWidth="1"/>
    <col min="20" max="20" width="11.140625" customWidth="1"/>
    <col min="21" max="21" width="11.5703125" customWidth="1"/>
    <col min="22" max="22" width="7.28515625" customWidth="1"/>
    <col min="23" max="23" width="11.140625" style="1" customWidth="1"/>
    <col min="24" max="24" width="8.7109375" style="1" customWidth="1"/>
    <col min="25" max="25" width="9.7109375" customWidth="1"/>
    <col min="26" max="26" width="13.85546875" customWidth="1"/>
    <col min="27" max="27" width="12.140625" customWidth="1"/>
    <col min="28" max="28" width="13.85546875" customWidth="1"/>
    <col min="29" max="31" width="12.140625" customWidth="1"/>
    <col min="33" max="33" width="11" customWidth="1"/>
    <col min="36" max="36" width="11.5703125" customWidth="1"/>
    <col min="37" max="37" width="7.28515625" customWidth="1"/>
    <col min="38" max="38" width="11.140625" style="1" customWidth="1"/>
    <col min="39" max="39" width="8.7109375" style="1" customWidth="1"/>
    <col min="40" max="40" width="9.7109375" customWidth="1"/>
    <col min="41" max="41" width="13.85546875" customWidth="1"/>
    <col min="42" max="42" width="12.140625" customWidth="1"/>
    <col min="43" max="43" width="13.85546875" customWidth="1"/>
    <col min="44" max="46" width="12.140625" customWidth="1"/>
    <col min="48" max="48" width="11" customWidth="1"/>
    <col min="51" max="51" width="11.5703125" customWidth="1"/>
    <col min="52" max="52" width="7.28515625" customWidth="1"/>
    <col min="53" max="53" width="11.140625" style="1" customWidth="1"/>
    <col min="54" max="54" width="8.7109375" style="1" customWidth="1"/>
    <col min="55" max="55" width="9.7109375" customWidth="1"/>
    <col min="56" max="56" width="13.85546875" customWidth="1"/>
    <col min="57" max="57" width="12.140625" customWidth="1"/>
    <col min="58" max="58" width="13.85546875" customWidth="1"/>
    <col min="59" max="61" width="12.140625" customWidth="1"/>
    <col min="63" max="63" width="11" customWidth="1"/>
    <col min="66" max="66" width="11.5703125" customWidth="1"/>
    <col min="67" max="67" width="7.28515625" customWidth="1"/>
    <col min="68" max="68" width="11.140625" style="1" customWidth="1"/>
    <col min="69" max="69" width="8.7109375" style="1" customWidth="1"/>
    <col min="70" max="70" width="9.7109375" customWidth="1"/>
    <col min="71" max="71" width="13.85546875" customWidth="1"/>
    <col min="72" max="72" width="12.140625" customWidth="1"/>
    <col min="73" max="73" width="13.85546875" customWidth="1"/>
    <col min="74" max="76" width="12.140625" customWidth="1"/>
    <col min="81" max="81" width="10.42578125" bestFit="1" customWidth="1"/>
    <col min="83" max="83" width="10.42578125" bestFit="1" customWidth="1"/>
    <col min="96" max="96" width="10.42578125" bestFit="1" customWidth="1"/>
  </cols>
  <sheetData>
    <row r="1" spans="1:76" ht="23.25" x14ac:dyDescent="0.35">
      <c r="A1" s="61" t="s">
        <v>66</v>
      </c>
    </row>
    <row r="3" spans="1:76" ht="15.75" thickBot="1" x14ac:dyDescent="0.3">
      <c r="B3" s="13"/>
      <c r="C3" s="13"/>
      <c r="D3" s="13"/>
      <c r="E3" s="13"/>
      <c r="F3" s="13"/>
      <c r="G3" s="13"/>
      <c r="H3" s="14"/>
      <c r="I3" s="14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4"/>
      <c r="X3" s="14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4"/>
      <c r="AM3" s="14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4"/>
      <c r="BB3" s="14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4"/>
      <c r="BQ3" s="14"/>
      <c r="BR3" s="13"/>
      <c r="BS3" s="13"/>
      <c r="BT3" s="13"/>
      <c r="BU3" s="13"/>
      <c r="BV3" s="13"/>
      <c r="BW3" s="13"/>
      <c r="BX3" s="13"/>
    </row>
    <row r="4" spans="1:76" ht="26.25" x14ac:dyDescent="0.4">
      <c r="B4" s="83" t="s">
        <v>41</v>
      </c>
      <c r="C4" s="11" t="s">
        <v>1</v>
      </c>
      <c r="D4" s="69" t="s">
        <v>2</v>
      </c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35"/>
      <c r="R4" s="11" t="s">
        <v>1</v>
      </c>
      <c r="S4" s="69" t="s">
        <v>17</v>
      </c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35"/>
      <c r="AG4" s="11" t="s">
        <v>1</v>
      </c>
      <c r="AH4" s="69" t="s">
        <v>18</v>
      </c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35"/>
      <c r="AV4" s="11" t="s">
        <v>1</v>
      </c>
      <c r="AW4" s="69" t="s">
        <v>19</v>
      </c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35"/>
      <c r="BK4" s="11" t="s">
        <v>1</v>
      </c>
      <c r="BL4" s="69" t="s">
        <v>21</v>
      </c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</row>
    <row r="5" spans="1:76" ht="18.75" x14ac:dyDescent="0.3">
      <c r="B5" s="83"/>
      <c r="C5" s="11" t="s">
        <v>11</v>
      </c>
      <c r="D5" s="70">
        <v>1090951</v>
      </c>
      <c r="E5" s="70"/>
      <c r="F5" s="70"/>
      <c r="G5" s="70"/>
      <c r="H5" s="70"/>
      <c r="I5" s="70"/>
      <c r="J5" s="70"/>
      <c r="K5" s="70"/>
      <c r="L5" s="70"/>
      <c r="M5" s="70"/>
      <c r="N5" s="70"/>
      <c r="O5" s="30"/>
      <c r="P5" s="30"/>
      <c r="Q5" s="35"/>
      <c r="R5" s="11" t="s">
        <v>11</v>
      </c>
      <c r="S5" s="70">
        <v>1090951</v>
      </c>
      <c r="T5" s="70"/>
      <c r="U5" s="70"/>
      <c r="V5" s="70"/>
      <c r="W5" s="70"/>
      <c r="X5" s="70"/>
      <c r="Y5" s="70"/>
      <c r="Z5" s="70"/>
      <c r="AA5" s="70"/>
      <c r="AB5" s="70"/>
      <c r="AC5" s="70"/>
      <c r="AD5" s="30"/>
      <c r="AE5" s="30"/>
      <c r="AF5" s="35"/>
      <c r="AG5" s="11" t="s">
        <v>11</v>
      </c>
      <c r="AH5" s="70">
        <v>1090951</v>
      </c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30"/>
      <c r="AT5" s="30"/>
      <c r="AU5" s="35"/>
      <c r="AV5" s="11" t="s">
        <v>11</v>
      </c>
      <c r="AW5" s="70">
        <v>1090952</v>
      </c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30"/>
      <c r="BI5" s="30"/>
      <c r="BJ5" s="35"/>
      <c r="BK5" s="11" t="s">
        <v>11</v>
      </c>
      <c r="BL5" s="70">
        <v>1090951</v>
      </c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30"/>
      <c r="BX5" s="30"/>
    </row>
    <row r="6" spans="1:76" ht="21.75" thickBot="1" x14ac:dyDescent="0.35">
      <c r="B6" s="83"/>
      <c r="C6" s="32" t="s">
        <v>10</v>
      </c>
      <c r="D6" s="74" t="s">
        <v>33</v>
      </c>
      <c r="E6" s="74"/>
      <c r="F6" s="74"/>
      <c r="G6" s="74"/>
      <c r="H6" s="74"/>
      <c r="I6" s="74"/>
      <c r="J6" s="74"/>
      <c r="K6" s="73" t="s">
        <v>20</v>
      </c>
      <c r="L6" s="73"/>
      <c r="M6" s="74" t="s">
        <v>34</v>
      </c>
      <c r="N6" s="74"/>
      <c r="O6" s="33"/>
      <c r="P6" s="33"/>
      <c r="Q6" s="35"/>
      <c r="R6" s="32" t="s">
        <v>10</v>
      </c>
      <c r="S6" s="74" t="s">
        <v>33</v>
      </c>
      <c r="T6" s="74"/>
      <c r="U6" s="74"/>
      <c r="V6" s="74"/>
      <c r="W6" s="74"/>
      <c r="X6" s="74"/>
      <c r="Y6" s="74"/>
      <c r="Z6" s="73" t="s">
        <v>20</v>
      </c>
      <c r="AA6" s="73"/>
      <c r="AB6" s="74" t="s">
        <v>34</v>
      </c>
      <c r="AC6" s="74"/>
      <c r="AD6" s="33"/>
      <c r="AE6" s="33"/>
      <c r="AF6" s="35"/>
      <c r="AG6" s="32" t="s">
        <v>10</v>
      </c>
      <c r="AH6" s="74" t="s">
        <v>33</v>
      </c>
      <c r="AI6" s="74"/>
      <c r="AJ6" s="74"/>
      <c r="AK6" s="74"/>
      <c r="AL6" s="74"/>
      <c r="AM6" s="74"/>
      <c r="AN6" s="74"/>
      <c r="AO6" s="73" t="s">
        <v>20</v>
      </c>
      <c r="AP6" s="73"/>
      <c r="AQ6" s="74" t="s">
        <v>34</v>
      </c>
      <c r="AR6" s="74"/>
      <c r="AS6" s="33"/>
      <c r="AT6" s="33"/>
      <c r="AU6" s="35"/>
      <c r="AV6" s="32" t="s">
        <v>10</v>
      </c>
      <c r="AW6" s="74" t="s">
        <v>33</v>
      </c>
      <c r="AX6" s="74"/>
      <c r="AY6" s="74"/>
      <c r="AZ6" s="74"/>
      <c r="BA6" s="74"/>
      <c r="BB6" s="74"/>
      <c r="BC6" s="74"/>
      <c r="BD6" s="73" t="s">
        <v>20</v>
      </c>
      <c r="BE6" s="73"/>
      <c r="BF6" s="74" t="s">
        <v>34</v>
      </c>
      <c r="BG6" s="74"/>
      <c r="BH6" s="33"/>
      <c r="BI6" s="33"/>
      <c r="BJ6" s="35"/>
      <c r="BK6" s="32" t="s">
        <v>10</v>
      </c>
      <c r="BL6" s="74" t="s">
        <v>33</v>
      </c>
      <c r="BM6" s="74"/>
      <c r="BN6" s="74"/>
      <c r="BO6" s="74"/>
      <c r="BP6" s="74"/>
      <c r="BQ6" s="74"/>
      <c r="BR6" s="74"/>
      <c r="BS6" s="73" t="s">
        <v>20</v>
      </c>
      <c r="BT6" s="73"/>
      <c r="BU6" s="74" t="s">
        <v>34</v>
      </c>
      <c r="BV6" s="74"/>
      <c r="BW6" s="33"/>
      <c r="BX6" s="33"/>
    </row>
    <row r="7" spans="1:76" ht="18.75" x14ac:dyDescent="0.3">
      <c r="B7" s="83"/>
      <c r="C7" s="11"/>
      <c r="D7" s="12"/>
      <c r="E7" s="12"/>
      <c r="F7" s="12"/>
      <c r="G7" s="12"/>
      <c r="H7" s="12"/>
      <c r="I7" s="12"/>
      <c r="J7" s="12"/>
      <c r="K7" s="64" t="s">
        <v>27</v>
      </c>
      <c r="L7" s="64"/>
      <c r="M7" s="64" t="s">
        <v>26</v>
      </c>
      <c r="N7" s="64"/>
      <c r="O7" s="64" t="s">
        <v>30</v>
      </c>
      <c r="P7" s="64"/>
      <c r="Q7" s="35"/>
      <c r="R7" s="11"/>
      <c r="S7" s="12"/>
      <c r="T7" s="12"/>
      <c r="U7" s="12"/>
      <c r="V7" s="12"/>
      <c r="W7" s="12"/>
      <c r="X7" s="12"/>
      <c r="Y7" s="12"/>
      <c r="Z7" s="64" t="s">
        <v>27</v>
      </c>
      <c r="AA7" s="64"/>
      <c r="AB7" s="64" t="s">
        <v>26</v>
      </c>
      <c r="AC7" s="64"/>
      <c r="AD7" s="64" t="s">
        <v>30</v>
      </c>
      <c r="AE7" s="64"/>
      <c r="AF7" s="35"/>
      <c r="AG7" s="11"/>
      <c r="AH7" s="12"/>
      <c r="AI7" s="12"/>
      <c r="AJ7" s="12"/>
      <c r="AK7" s="12"/>
      <c r="AL7" s="12"/>
      <c r="AM7" s="12"/>
      <c r="AN7" s="12"/>
      <c r="AO7" s="64" t="s">
        <v>27</v>
      </c>
      <c r="AP7" s="64"/>
      <c r="AQ7" s="64" t="s">
        <v>26</v>
      </c>
      <c r="AR7" s="64"/>
      <c r="AS7" s="64" t="s">
        <v>30</v>
      </c>
      <c r="AT7" s="64"/>
      <c r="AU7" s="35"/>
      <c r="AV7" s="11"/>
      <c r="AW7" s="12"/>
      <c r="AX7" s="12"/>
      <c r="AY7" s="12"/>
      <c r="AZ7" s="12"/>
      <c r="BA7" s="12"/>
      <c r="BB7" s="12"/>
      <c r="BC7" s="12"/>
      <c r="BD7" s="64" t="s">
        <v>27</v>
      </c>
      <c r="BE7" s="64"/>
      <c r="BF7" s="64" t="s">
        <v>26</v>
      </c>
      <c r="BG7" s="64"/>
      <c r="BH7" s="64" t="s">
        <v>30</v>
      </c>
      <c r="BI7" s="64"/>
      <c r="BJ7" s="35"/>
      <c r="BK7" s="11"/>
      <c r="BL7" s="12"/>
      <c r="BM7" s="12"/>
      <c r="BN7" s="12"/>
      <c r="BO7" s="12"/>
      <c r="BP7" s="12"/>
      <c r="BQ7" s="12"/>
      <c r="BR7" s="12"/>
      <c r="BS7" s="64" t="s">
        <v>27</v>
      </c>
      <c r="BT7" s="64"/>
      <c r="BU7" s="64" t="s">
        <v>26</v>
      </c>
      <c r="BV7" s="64"/>
      <c r="BW7" s="64" t="s">
        <v>31</v>
      </c>
      <c r="BX7" s="64"/>
    </row>
    <row r="8" spans="1:76" s="5" customFormat="1" ht="15" customHeight="1" x14ac:dyDescent="0.25">
      <c r="B8" s="83"/>
      <c r="C8" s="75" t="s">
        <v>32</v>
      </c>
      <c r="D8" s="82" t="s">
        <v>3</v>
      </c>
      <c r="E8" s="82"/>
      <c r="F8" s="76" t="s">
        <v>12</v>
      </c>
      <c r="G8" s="78" t="s">
        <v>13</v>
      </c>
      <c r="H8" s="80" t="s">
        <v>8</v>
      </c>
      <c r="I8" s="80" t="s">
        <v>0</v>
      </c>
      <c r="J8" s="71" t="s">
        <v>16</v>
      </c>
      <c r="K8" s="65" t="s">
        <v>6</v>
      </c>
      <c r="L8" s="67" t="s">
        <v>7</v>
      </c>
      <c r="M8" s="65" t="s">
        <v>6</v>
      </c>
      <c r="N8" s="67" t="s">
        <v>7</v>
      </c>
      <c r="O8" s="65" t="s">
        <v>28</v>
      </c>
      <c r="P8" s="67" t="s">
        <v>29</v>
      </c>
      <c r="Q8" s="36"/>
      <c r="R8" s="75" t="s">
        <v>32</v>
      </c>
      <c r="S8" s="82" t="s">
        <v>3</v>
      </c>
      <c r="T8" s="82"/>
      <c r="U8" s="76" t="s">
        <v>12</v>
      </c>
      <c r="V8" s="78" t="s">
        <v>13</v>
      </c>
      <c r="W8" s="80" t="s">
        <v>8</v>
      </c>
      <c r="X8" s="80" t="s">
        <v>0</v>
      </c>
      <c r="Y8" s="71" t="s">
        <v>16</v>
      </c>
      <c r="Z8" s="65" t="s">
        <v>6</v>
      </c>
      <c r="AA8" s="67" t="s">
        <v>7</v>
      </c>
      <c r="AB8" s="65" t="s">
        <v>6</v>
      </c>
      <c r="AC8" s="67" t="s">
        <v>7</v>
      </c>
      <c r="AD8" s="65" t="s">
        <v>28</v>
      </c>
      <c r="AE8" s="67" t="s">
        <v>29</v>
      </c>
      <c r="AF8" s="36"/>
      <c r="AG8" s="75" t="s">
        <v>32</v>
      </c>
      <c r="AH8" s="82" t="s">
        <v>3</v>
      </c>
      <c r="AI8" s="82"/>
      <c r="AJ8" s="76" t="s">
        <v>12</v>
      </c>
      <c r="AK8" s="78" t="s">
        <v>13</v>
      </c>
      <c r="AL8" s="80" t="s">
        <v>8</v>
      </c>
      <c r="AM8" s="80" t="s">
        <v>0</v>
      </c>
      <c r="AN8" s="71" t="s">
        <v>16</v>
      </c>
      <c r="AO8" s="65" t="s">
        <v>6</v>
      </c>
      <c r="AP8" s="67" t="s">
        <v>7</v>
      </c>
      <c r="AQ8" s="65" t="s">
        <v>6</v>
      </c>
      <c r="AR8" s="67" t="s">
        <v>7</v>
      </c>
      <c r="AS8" s="65" t="s">
        <v>28</v>
      </c>
      <c r="AT8" s="67" t="s">
        <v>29</v>
      </c>
      <c r="AU8" s="36"/>
      <c r="AV8" s="75" t="s">
        <v>32</v>
      </c>
      <c r="AW8" s="82" t="s">
        <v>3</v>
      </c>
      <c r="AX8" s="82"/>
      <c r="AY8" s="76" t="s">
        <v>12</v>
      </c>
      <c r="AZ8" s="78" t="s">
        <v>13</v>
      </c>
      <c r="BA8" s="80" t="s">
        <v>8</v>
      </c>
      <c r="BB8" s="80" t="s">
        <v>0</v>
      </c>
      <c r="BC8" s="71" t="s">
        <v>16</v>
      </c>
      <c r="BD8" s="65" t="s">
        <v>6</v>
      </c>
      <c r="BE8" s="67" t="s">
        <v>7</v>
      </c>
      <c r="BF8" s="65" t="s">
        <v>6</v>
      </c>
      <c r="BG8" s="67" t="s">
        <v>7</v>
      </c>
      <c r="BH8" s="65" t="s">
        <v>28</v>
      </c>
      <c r="BI8" s="67" t="s">
        <v>29</v>
      </c>
      <c r="BJ8" s="36"/>
      <c r="BK8" s="75" t="s">
        <v>32</v>
      </c>
      <c r="BL8" s="82" t="s">
        <v>3</v>
      </c>
      <c r="BM8" s="82"/>
      <c r="BN8" s="76" t="s">
        <v>12</v>
      </c>
      <c r="BO8" s="78" t="s">
        <v>13</v>
      </c>
      <c r="BP8" s="80" t="s">
        <v>8</v>
      </c>
      <c r="BQ8" s="80" t="s">
        <v>0</v>
      </c>
      <c r="BR8" s="71" t="s">
        <v>16</v>
      </c>
      <c r="BS8" s="65" t="s">
        <v>6</v>
      </c>
      <c r="BT8" s="67" t="s">
        <v>7</v>
      </c>
      <c r="BU8" s="65" t="s">
        <v>6</v>
      </c>
      <c r="BV8" s="67" t="s">
        <v>7</v>
      </c>
      <c r="BW8" s="65" t="s">
        <v>28</v>
      </c>
      <c r="BX8" s="67" t="s">
        <v>29</v>
      </c>
    </row>
    <row r="9" spans="1:76" s="5" customFormat="1" x14ac:dyDescent="0.25">
      <c r="B9" s="83"/>
      <c r="C9" s="66"/>
      <c r="D9" s="31" t="s">
        <v>4</v>
      </c>
      <c r="E9" s="31" t="s">
        <v>5</v>
      </c>
      <c r="F9" s="77"/>
      <c r="G9" s="79"/>
      <c r="H9" s="81"/>
      <c r="I9" s="81"/>
      <c r="J9" s="72"/>
      <c r="K9" s="66"/>
      <c r="L9" s="68"/>
      <c r="M9" s="66"/>
      <c r="N9" s="68"/>
      <c r="O9" s="66"/>
      <c r="P9" s="68"/>
      <c r="Q9" s="36"/>
      <c r="R9" s="66"/>
      <c r="S9" s="31" t="s">
        <v>4</v>
      </c>
      <c r="T9" s="31" t="s">
        <v>5</v>
      </c>
      <c r="U9" s="77"/>
      <c r="V9" s="79"/>
      <c r="W9" s="81"/>
      <c r="X9" s="81"/>
      <c r="Y9" s="72"/>
      <c r="Z9" s="66"/>
      <c r="AA9" s="68"/>
      <c r="AB9" s="66"/>
      <c r="AC9" s="68"/>
      <c r="AD9" s="66"/>
      <c r="AE9" s="68"/>
      <c r="AF9" s="36"/>
      <c r="AG9" s="66"/>
      <c r="AH9" s="31" t="s">
        <v>4</v>
      </c>
      <c r="AI9" s="31" t="s">
        <v>5</v>
      </c>
      <c r="AJ9" s="77"/>
      <c r="AK9" s="79"/>
      <c r="AL9" s="81"/>
      <c r="AM9" s="81"/>
      <c r="AN9" s="72"/>
      <c r="AO9" s="66"/>
      <c r="AP9" s="68"/>
      <c r="AQ9" s="66"/>
      <c r="AR9" s="68"/>
      <c r="AS9" s="66"/>
      <c r="AT9" s="68"/>
      <c r="AU9" s="36"/>
      <c r="AV9" s="66"/>
      <c r="AW9" s="31" t="s">
        <v>4</v>
      </c>
      <c r="AX9" s="31" t="s">
        <v>5</v>
      </c>
      <c r="AY9" s="77"/>
      <c r="AZ9" s="79"/>
      <c r="BA9" s="81"/>
      <c r="BB9" s="81"/>
      <c r="BC9" s="72"/>
      <c r="BD9" s="66"/>
      <c r="BE9" s="68"/>
      <c r="BF9" s="66"/>
      <c r="BG9" s="68"/>
      <c r="BH9" s="66"/>
      <c r="BI9" s="68"/>
      <c r="BJ9" s="36"/>
      <c r="BK9" s="66"/>
      <c r="BL9" s="31" t="s">
        <v>4</v>
      </c>
      <c r="BM9" s="31" t="s">
        <v>5</v>
      </c>
      <c r="BN9" s="77"/>
      <c r="BO9" s="79"/>
      <c r="BP9" s="81"/>
      <c r="BQ9" s="81"/>
      <c r="BR9" s="72"/>
      <c r="BS9" s="66"/>
      <c r="BT9" s="68"/>
      <c r="BU9" s="66"/>
      <c r="BV9" s="68"/>
      <c r="BW9" s="66"/>
      <c r="BX9" s="68"/>
    </row>
    <row r="10" spans="1:76" x14ac:dyDescent="0.25">
      <c r="B10" s="83"/>
      <c r="C10" s="37">
        <v>1207</v>
      </c>
      <c r="D10" s="37" t="s">
        <v>14</v>
      </c>
      <c r="E10" s="37">
        <v>120</v>
      </c>
      <c r="F10" s="6">
        <v>43054</v>
      </c>
      <c r="G10" s="38">
        <v>0.40833333333333338</v>
      </c>
      <c r="H10" s="7">
        <f>(F10-$F$10)*24 +(G10-$G$10)*24</f>
        <v>0</v>
      </c>
      <c r="I10" s="15">
        <v>28.9</v>
      </c>
      <c r="J10" s="8">
        <f>7.5*6*6*0.52</f>
        <v>140.4</v>
      </c>
      <c r="K10" s="21">
        <v>7976000000</v>
      </c>
      <c r="L10" s="17">
        <v>2438000000</v>
      </c>
      <c r="M10" s="21"/>
      <c r="N10" s="17"/>
      <c r="O10" s="21">
        <f>K10/J10</f>
        <v>56809116.809116803</v>
      </c>
      <c r="P10" s="19">
        <f>L10/J10</f>
        <v>17364672.364672363</v>
      </c>
      <c r="Q10" s="35"/>
      <c r="R10" s="37">
        <v>1346</v>
      </c>
      <c r="S10" s="37" t="s">
        <v>14</v>
      </c>
      <c r="T10" s="37">
        <v>120</v>
      </c>
      <c r="U10" s="6">
        <v>43054</v>
      </c>
      <c r="V10" s="38">
        <v>0.40972222222222227</v>
      </c>
      <c r="W10" s="7">
        <f>(U10-$U$10)*24 +(V10-$V$10)*24</f>
        <v>0</v>
      </c>
      <c r="X10" s="15">
        <v>27.5</v>
      </c>
      <c r="Y10" s="8">
        <f>7.6*6.6*6.6*0.52</f>
        <v>172.14912000000001</v>
      </c>
      <c r="Z10" s="21">
        <v>6126000000</v>
      </c>
      <c r="AA10" s="17">
        <v>2180000000</v>
      </c>
      <c r="AB10" s="21"/>
      <c r="AC10" s="17"/>
      <c r="AD10" s="21">
        <f>Z10/Y10</f>
        <v>35585427.331838816</v>
      </c>
      <c r="AE10" s="19">
        <f>AA10/Y10</f>
        <v>12663439.696932519</v>
      </c>
      <c r="AF10" s="35"/>
      <c r="AG10" s="37">
        <v>954</v>
      </c>
      <c r="AH10" s="37" t="s">
        <v>14</v>
      </c>
      <c r="AI10" s="37">
        <v>120</v>
      </c>
      <c r="AJ10" s="6">
        <v>43054</v>
      </c>
      <c r="AK10" s="38">
        <v>0.41111111111111115</v>
      </c>
      <c r="AL10" s="7">
        <f>(AJ10-$AJ$10)*24 +(AK10-$AK$10)*24</f>
        <v>0</v>
      </c>
      <c r="AM10" s="15">
        <v>28.9</v>
      </c>
      <c r="AN10" s="8">
        <f>6.3*6.1*6.1*0.52</f>
        <v>121.89995999999999</v>
      </c>
      <c r="AO10" s="21">
        <v>10360000000</v>
      </c>
      <c r="AP10" s="17">
        <v>3183000000</v>
      </c>
      <c r="AQ10" s="21"/>
      <c r="AR10" s="17"/>
      <c r="AS10" s="21">
        <f>AO10/AN10</f>
        <v>84987722.719515249</v>
      </c>
      <c r="AT10" s="19">
        <f>AP10/AN10</f>
        <v>26111575.426275779</v>
      </c>
      <c r="AU10" s="35"/>
      <c r="AV10" s="37">
        <v>1053</v>
      </c>
      <c r="AW10" s="37" t="s">
        <v>14</v>
      </c>
      <c r="AX10" s="37">
        <v>120</v>
      </c>
      <c r="AY10" s="6">
        <v>43054</v>
      </c>
      <c r="AZ10" s="38">
        <v>0.41180555555555554</v>
      </c>
      <c r="BA10" s="7">
        <f>(AY10-$AY$10)*24 +(AZ10-$AZ$10)*24</f>
        <v>0</v>
      </c>
      <c r="BB10" s="15">
        <v>28.2</v>
      </c>
      <c r="BC10" s="8">
        <f>6.4*5.8*5.8*0.52</f>
        <v>111.95392</v>
      </c>
      <c r="BD10" s="21">
        <v>6076000000</v>
      </c>
      <c r="BE10" s="17">
        <v>2259000000</v>
      </c>
      <c r="BF10" s="21"/>
      <c r="BG10" s="17"/>
      <c r="BH10" s="21">
        <f>BD10/BC10</f>
        <v>54272329.186865456</v>
      </c>
      <c r="BI10" s="19">
        <f>BE10/BC10</f>
        <v>20177944.640080489</v>
      </c>
      <c r="BJ10" s="35"/>
      <c r="BK10" s="37">
        <v>1432</v>
      </c>
      <c r="BL10" s="37" t="s">
        <v>14</v>
      </c>
      <c r="BM10" s="37">
        <v>120</v>
      </c>
      <c r="BN10" s="6">
        <v>43054</v>
      </c>
      <c r="BO10" s="38">
        <v>0.41388888888888892</v>
      </c>
      <c r="BP10" s="7">
        <f>(BN10-$BN$10)*24 +(BO10-$BO$10)*24</f>
        <v>0</v>
      </c>
      <c r="BQ10" s="15">
        <v>30.7</v>
      </c>
      <c r="BR10" s="8">
        <f>7.4*6.7*6.7*0.52</f>
        <v>172.73672000000002</v>
      </c>
      <c r="BS10" s="21">
        <v>11540000000</v>
      </c>
      <c r="BT10" s="17">
        <v>3210000000</v>
      </c>
      <c r="BU10" s="21"/>
      <c r="BV10" s="17"/>
      <c r="BW10" s="21">
        <f>BS10/BR10</f>
        <v>66806872.331488051</v>
      </c>
      <c r="BX10" s="19">
        <f>BT10/BR10</f>
        <v>18583194.123403523</v>
      </c>
    </row>
    <row r="11" spans="1:76" x14ac:dyDescent="0.25">
      <c r="B11" s="83"/>
      <c r="C11" s="37"/>
      <c r="D11" s="37" t="s">
        <v>15</v>
      </c>
      <c r="E11" s="37" t="s">
        <v>15</v>
      </c>
      <c r="F11" s="6">
        <v>43054</v>
      </c>
      <c r="G11" s="38">
        <v>0.42777777777777781</v>
      </c>
      <c r="H11" s="7">
        <f>(F11-$F$10)*24 +(G11-$G$10)*24</f>
        <v>0.46666666666666634</v>
      </c>
      <c r="I11" s="16">
        <v>28.9</v>
      </c>
      <c r="J11" s="9">
        <f t="shared" ref="J11:J16" si="0">7.5*6*6*0.52</f>
        <v>140.4</v>
      </c>
      <c r="K11" s="21">
        <v>416800000000</v>
      </c>
      <c r="L11" s="19">
        <v>124600000000</v>
      </c>
      <c r="M11" s="21"/>
      <c r="N11" s="19"/>
      <c r="O11" s="21">
        <f t="shared" ref="O11:O31" si="1">K11/J11</f>
        <v>2968660968.6609683</v>
      </c>
      <c r="P11" s="19">
        <f t="shared" ref="P11:P31" si="2">L11/J11</f>
        <v>887464387.46438742</v>
      </c>
      <c r="Q11" s="35"/>
      <c r="R11" s="37"/>
      <c r="S11" s="37" t="s">
        <v>15</v>
      </c>
      <c r="T11" s="37" t="s">
        <v>15</v>
      </c>
      <c r="U11" s="6">
        <v>43054</v>
      </c>
      <c r="V11" s="38">
        <v>0.42777777777777781</v>
      </c>
      <c r="W11" s="7">
        <f t="shared" ref="W11:W31" si="3">(U11-$U$10)*24 +(V11-$V$10)*24</f>
        <v>0.43333333333333313</v>
      </c>
      <c r="X11" s="16">
        <v>27.5</v>
      </c>
      <c r="Y11" s="9">
        <f>7.6*6.6*6.6*0.52</f>
        <v>172.14912000000001</v>
      </c>
      <c r="Z11" s="21">
        <v>299100000000</v>
      </c>
      <c r="AA11" s="19">
        <v>112200000000</v>
      </c>
      <c r="AB11" s="21"/>
      <c r="AC11" s="19"/>
      <c r="AD11" s="21">
        <f>Z11/Y11</f>
        <v>1737447162.0883102</v>
      </c>
      <c r="AE11" s="19">
        <f t="shared" ref="AE11:AE20" si="4">AA11/Y11</f>
        <v>651760520.18157279</v>
      </c>
      <c r="AF11" s="35"/>
      <c r="AG11" s="37"/>
      <c r="AH11" s="37" t="s">
        <v>15</v>
      </c>
      <c r="AI11" s="37" t="s">
        <v>15</v>
      </c>
      <c r="AJ11" s="6">
        <v>43054</v>
      </c>
      <c r="AK11" s="38">
        <v>0.43055555555555558</v>
      </c>
      <c r="AL11" s="7">
        <f t="shared" ref="AL11:AL31" si="5">(AJ11-$AJ$10)*24 +(AK11-$AK$10)*24</f>
        <v>0.46666666666666634</v>
      </c>
      <c r="AM11" s="16">
        <v>28.9</v>
      </c>
      <c r="AN11" s="9">
        <f>6.3*6.1*6.1*0.52</f>
        <v>121.89995999999999</v>
      </c>
      <c r="AO11" s="21">
        <v>537200000000</v>
      </c>
      <c r="AP11" s="19">
        <v>168700000000</v>
      </c>
      <c r="AQ11" s="21"/>
      <c r="AR11" s="19"/>
      <c r="AS11" s="21">
        <f>AO11/AN11</f>
        <v>4406892340.2435904</v>
      </c>
      <c r="AT11" s="19">
        <f t="shared" ref="AT11" si="6">AP11/AN11</f>
        <v>1383921701.040755</v>
      </c>
      <c r="AU11" s="35"/>
      <c r="AV11" s="37"/>
      <c r="AW11" s="37" t="s">
        <v>15</v>
      </c>
      <c r="AX11" s="37" t="s">
        <v>15</v>
      </c>
      <c r="AY11" s="6">
        <v>43054</v>
      </c>
      <c r="AZ11" s="38">
        <v>0.43055555555555558</v>
      </c>
      <c r="BA11" s="7">
        <f t="shared" ref="BA11:BA31" si="7">(AY11-$AY$10)*24 +(AZ11-$AZ$10)*24</f>
        <v>0.45000000000000107</v>
      </c>
      <c r="BB11" s="16">
        <v>28.2</v>
      </c>
      <c r="BC11" s="9">
        <f>6.4*5.8*5.8*0.52</f>
        <v>111.95392</v>
      </c>
      <c r="BD11" s="21">
        <v>291600000000</v>
      </c>
      <c r="BE11" s="19">
        <v>110600000000</v>
      </c>
      <c r="BF11" s="21"/>
      <c r="BG11" s="19"/>
      <c r="BH11" s="21">
        <f>BD11/BC11</f>
        <v>2604643053.1418643</v>
      </c>
      <c r="BI11" s="19">
        <f t="shared" ref="BI11" si="8">BE11/BC11</f>
        <v>987906452.94063842</v>
      </c>
      <c r="BJ11" s="35"/>
      <c r="BK11" s="37"/>
      <c r="BL11" s="37" t="s">
        <v>15</v>
      </c>
      <c r="BM11" s="37" t="s">
        <v>15</v>
      </c>
      <c r="BN11" s="6">
        <v>43054</v>
      </c>
      <c r="BO11" s="38">
        <v>0.43263888888888885</v>
      </c>
      <c r="BP11" s="7">
        <f>(BN11-$BN$10)*24 +(BO11-$BO$10)*24</f>
        <v>0.4499999999999984</v>
      </c>
      <c r="BQ11" s="16">
        <v>30.7</v>
      </c>
      <c r="BR11" s="9">
        <f>7.4*6.7*6.7*0.52</f>
        <v>172.73672000000002</v>
      </c>
      <c r="BS11" s="21">
        <v>797800000000</v>
      </c>
      <c r="BT11" s="19">
        <v>238300000000</v>
      </c>
      <c r="BU11" s="21"/>
      <c r="BV11" s="19"/>
      <c r="BW11" s="21">
        <f>BS11/BR11</f>
        <v>4618589492.7262707</v>
      </c>
      <c r="BX11" s="19">
        <f>BT11/BR11</f>
        <v>1379556124.4881804</v>
      </c>
    </row>
    <row r="12" spans="1:76" x14ac:dyDescent="0.25">
      <c r="B12" s="83"/>
      <c r="C12" s="37"/>
      <c r="D12" s="37" t="s">
        <v>15</v>
      </c>
      <c r="E12" s="37" t="s">
        <v>15</v>
      </c>
      <c r="F12" s="6">
        <v>43054</v>
      </c>
      <c r="G12" s="38">
        <v>0.47083333333333338</v>
      </c>
      <c r="H12" s="7">
        <f t="shared" ref="H12:H21" si="9">(F12-$F$10)*24 +(G12-$G$10)*24</f>
        <v>1.5</v>
      </c>
      <c r="I12" s="16">
        <v>28.9</v>
      </c>
      <c r="J12" s="9">
        <f t="shared" si="0"/>
        <v>140.4</v>
      </c>
      <c r="K12" s="21">
        <v>584700000000</v>
      </c>
      <c r="L12" s="19">
        <v>175000000000</v>
      </c>
      <c r="M12" s="21"/>
      <c r="N12" s="19"/>
      <c r="O12" s="21">
        <f t="shared" si="1"/>
        <v>4164529914.5299144</v>
      </c>
      <c r="P12" s="19">
        <f t="shared" si="2"/>
        <v>1246438746.4387465</v>
      </c>
      <c r="Q12" s="35"/>
      <c r="R12" s="37"/>
      <c r="S12" s="37" t="s">
        <v>15</v>
      </c>
      <c r="T12" s="37" t="s">
        <v>15</v>
      </c>
      <c r="U12" s="6">
        <v>43054</v>
      </c>
      <c r="V12" s="38">
        <v>0.47083333333333338</v>
      </c>
      <c r="W12" s="7">
        <f>(U12-$U$10)*24 +(V12-$V$10)*24</f>
        <v>1.4666666666666668</v>
      </c>
      <c r="X12" s="16">
        <v>27.5</v>
      </c>
      <c r="Y12" s="9">
        <f t="shared" ref="Y12:Y16" si="10">7.6*6.6*6.6*0.52</f>
        <v>172.14912000000001</v>
      </c>
      <c r="Z12" s="21">
        <v>592600000000</v>
      </c>
      <c r="AA12" s="19">
        <v>207200000000</v>
      </c>
      <c r="AB12" s="21"/>
      <c r="AC12" s="19"/>
      <c r="AD12" s="21">
        <f>Z12/Y12</f>
        <v>3442364387.3404636</v>
      </c>
      <c r="AE12" s="19">
        <f>AA12/Y12</f>
        <v>1203607662.9378064</v>
      </c>
      <c r="AF12" s="35"/>
      <c r="AG12" s="37"/>
      <c r="AH12" s="37" t="s">
        <v>15</v>
      </c>
      <c r="AI12" s="37" t="s">
        <v>15</v>
      </c>
      <c r="AJ12" s="6">
        <v>43054</v>
      </c>
      <c r="AK12" s="38">
        <v>0.47361111111111115</v>
      </c>
      <c r="AL12" s="7">
        <f t="shared" si="5"/>
        <v>1.5</v>
      </c>
      <c r="AM12" s="16">
        <v>28.9</v>
      </c>
      <c r="AN12" s="9">
        <f t="shared" ref="AN12:AN16" si="11">6.3*6.1*6.1*0.52</f>
        <v>121.89995999999999</v>
      </c>
      <c r="AO12" s="21">
        <v>559300000000</v>
      </c>
      <c r="AP12" s="19">
        <v>170400000000</v>
      </c>
      <c r="AQ12" s="21"/>
      <c r="AR12" s="19"/>
      <c r="AS12" s="21">
        <f>AO12/AN12</f>
        <v>4588188544.1143703</v>
      </c>
      <c r="AT12" s="19">
        <f>AP12/AN12</f>
        <v>1397867562.8769691</v>
      </c>
      <c r="AU12" s="35"/>
      <c r="AV12" s="37"/>
      <c r="AW12" s="37" t="s">
        <v>15</v>
      </c>
      <c r="AX12" s="37" t="s">
        <v>15</v>
      </c>
      <c r="AY12" s="6">
        <v>43054</v>
      </c>
      <c r="AZ12" s="38">
        <v>0.47361111111111115</v>
      </c>
      <c r="BA12" s="7">
        <f t="shared" si="7"/>
        <v>1.4833333333333347</v>
      </c>
      <c r="BB12" s="16">
        <v>28.2</v>
      </c>
      <c r="BC12" s="9">
        <f t="shared" ref="BC12:BC16" si="12">6.4*5.8*5.8*0.52</f>
        <v>111.95392</v>
      </c>
      <c r="BD12" s="21">
        <v>458500000000</v>
      </c>
      <c r="BE12" s="19">
        <v>181100000000</v>
      </c>
      <c r="BF12" s="21"/>
      <c r="BG12" s="19"/>
      <c r="BH12" s="21">
        <f>BD12/BC12</f>
        <v>4095434978.9627733</v>
      </c>
      <c r="BI12" s="19">
        <f>BE12/BC12</f>
        <v>1617629824.8422208</v>
      </c>
      <c r="BJ12" s="35"/>
      <c r="BK12" s="37"/>
      <c r="BL12" s="37" t="s">
        <v>15</v>
      </c>
      <c r="BM12" s="37" t="s">
        <v>15</v>
      </c>
      <c r="BN12" s="6">
        <v>43054</v>
      </c>
      <c r="BO12" s="38">
        <v>0.47638888888888892</v>
      </c>
      <c r="BP12" s="7">
        <f t="shared" ref="BP12:BP31" si="13">(BN12-$BN$10)*24 +(BO12-$BO$10)*24</f>
        <v>1.5</v>
      </c>
      <c r="BQ12" s="16">
        <v>30.7</v>
      </c>
      <c r="BR12" s="9">
        <f t="shared" ref="BR12:BR16" si="14">7.4*6.7*6.7*0.52</f>
        <v>172.73672000000002</v>
      </c>
      <c r="BS12" s="21">
        <v>786900000000</v>
      </c>
      <c r="BT12" s="19">
        <v>239800000000</v>
      </c>
      <c r="BU12" s="21"/>
      <c r="BV12" s="19"/>
      <c r="BW12" s="21">
        <f>BS12/BR12</f>
        <v>4555487680.9053679</v>
      </c>
      <c r="BX12" s="19">
        <f>BT12/BR12</f>
        <v>1388239860.0598643</v>
      </c>
    </row>
    <row r="13" spans="1:76" x14ac:dyDescent="0.25">
      <c r="B13" s="83"/>
      <c r="C13" s="37"/>
      <c r="D13" s="37" t="s">
        <v>15</v>
      </c>
      <c r="E13" s="37" t="s">
        <v>15</v>
      </c>
      <c r="F13" s="6">
        <v>43054</v>
      </c>
      <c r="G13" s="38">
        <v>0.52777777777777779</v>
      </c>
      <c r="H13" s="7">
        <f t="shared" si="9"/>
        <v>2.8666666666666658</v>
      </c>
      <c r="I13" s="16">
        <v>28.9</v>
      </c>
      <c r="J13" s="9">
        <f t="shared" si="0"/>
        <v>140.4</v>
      </c>
      <c r="K13" s="21">
        <v>583800000000</v>
      </c>
      <c r="L13" s="19">
        <v>188400000000</v>
      </c>
      <c r="M13" s="21"/>
      <c r="N13" s="19"/>
      <c r="O13" s="21">
        <f t="shared" si="1"/>
        <v>4158119658.119658</v>
      </c>
      <c r="P13" s="19">
        <f t="shared" si="2"/>
        <v>1341880341.8803418</v>
      </c>
      <c r="Q13" s="35"/>
      <c r="R13" s="37"/>
      <c r="S13" s="37" t="s">
        <v>15</v>
      </c>
      <c r="T13" s="37" t="s">
        <v>15</v>
      </c>
      <c r="U13" s="6">
        <v>43054</v>
      </c>
      <c r="V13" s="38">
        <v>0.52777777777777779</v>
      </c>
      <c r="W13" s="7">
        <f t="shared" si="3"/>
        <v>2.8333333333333326</v>
      </c>
      <c r="X13" s="16">
        <v>27.5</v>
      </c>
      <c r="Y13" s="9">
        <f t="shared" si="10"/>
        <v>172.14912000000001</v>
      </c>
      <c r="Z13" s="21">
        <v>615700000000</v>
      </c>
      <c r="AA13" s="19">
        <v>226900000000</v>
      </c>
      <c r="AB13" s="21"/>
      <c r="AC13" s="19"/>
      <c r="AD13" s="21">
        <f t="shared" ref="AD13:AD14" si="15">Z13/Y13</f>
        <v>3576550376.7896109</v>
      </c>
      <c r="AE13" s="19">
        <f t="shared" si="4"/>
        <v>1318043333.5935729</v>
      </c>
      <c r="AF13" s="35"/>
      <c r="AG13" s="37"/>
      <c r="AH13" s="37" t="s">
        <v>15</v>
      </c>
      <c r="AI13" s="37" t="s">
        <v>15</v>
      </c>
      <c r="AJ13" s="6">
        <v>43054</v>
      </c>
      <c r="AK13" s="38">
        <v>0.53194444444444444</v>
      </c>
      <c r="AL13" s="7">
        <f t="shared" si="5"/>
        <v>2.899999999999999</v>
      </c>
      <c r="AM13" s="16">
        <v>28.9</v>
      </c>
      <c r="AN13" s="9">
        <f t="shared" si="11"/>
        <v>121.89995999999999</v>
      </c>
      <c r="AO13" s="21">
        <v>632100000000</v>
      </c>
      <c r="AP13" s="19">
        <v>200800000000</v>
      </c>
      <c r="AQ13" s="21"/>
      <c r="AR13" s="19"/>
      <c r="AS13" s="21">
        <f t="shared" ref="AS13:AS14" si="16">AO13/AN13</f>
        <v>5185399568.6298838</v>
      </c>
      <c r="AT13" s="19">
        <f t="shared" ref="AT13:AT20" si="17">AP13/AN13</f>
        <v>1647252386.3010292</v>
      </c>
      <c r="AU13" s="35"/>
      <c r="AV13" s="37"/>
      <c r="AW13" s="37" t="s">
        <v>15</v>
      </c>
      <c r="AX13" s="37" t="s">
        <v>15</v>
      </c>
      <c r="AY13" s="6">
        <v>43054</v>
      </c>
      <c r="AZ13" s="38">
        <v>0.53194444444444444</v>
      </c>
      <c r="BA13" s="7">
        <f t="shared" si="7"/>
        <v>2.8833333333333337</v>
      </c>
      <c r="BB13" s="16">
        <v>28.2</v>
      </c>
      <c r="BC13" s="9">
        <f t="shared" si="12"/>
        <v>111.95392</v>
      </c>
      <c r="BD13" s="21">
        <v>445200000000</v>
      </c>
      <c r="BE13" s="19">
        <v>171800000000</v>
      </c>
      <c r="BF13" s="21"/>
      <c r="BG13" s="19"/>
      <c r="BH13" s="21">
        <f t="shared" ref="BH13:BH14" si="18">BD13/BC13</f>
        <v>3976636101.7104182</v>
      </c>
      <c r="BI13" s="19">
        <f t="shared" ref="BI13:BI20" si="19">BE13/BC13</f>
        <v>1534559933.2296717</v>
      </c>
      <c r="BJ13" s="35"/>
      <c r="BK13" s="37"/>
      <c r="BL13" s="37" t="s">
        <v>15</v>
      </c>
      <c r="BM13" s="37" t="s">
        <v>15</v>
      </c>
      <c r="BN13" s="6">
        <v>43054</v>
      </c>
      <c r="BO13" s="38">
        <v>0.53402777777777777</v>
      </c>
      <c r="BP13" s="7">
        <f t="shared" si="13"/>
        <v>2.8833333333333324</v>
      </c>
      <c r="BQ13" s="16">
        <v>30.7</v>
      </c>
      <c r="BR13" s="9">
        <f t="shared" si="14"/>
        <v>172.73672000000002</v>
      </c>
      <c r="BS13" s="21">
        <v>779700000000</v>
      </c>
      <c r="BT13" s="19">
        <v>250400000000</v>
      </c>
      <c r="BU13" s="21"/>
      <c r="BV13" s="19"/>
      <c r="BW13" s="21">
        <f t="shared" ref="BW13:BW14" si="20">BS13/BR13</f>
        <v>4513805750.1612854</v>
      </c>
      <c r="BX13" s="19">
        <f t="shared" ref="BX13:BX20" si="21">BT13/BR13</f>
        <v>1449604924.7664306</v>
      </c>
    </row>
    <row r="14" spans="1:76" x14ac:dyDescent="0.25">
      <c r="B14" s="83"/>
      <c r="C14" s="37"/>
      <c r="D14" s="37" t="s">
        <v>15</v>
      </c>
      <c r="E14" s="37" t="s">
        <v>15</v>
      </c>
      <c r="F14" s="6">
        <v>43054</v>
      </c>
      <c r="G14" s="38">
        <v>0.65972222222222221</v>
      </c>
      <c r="H14" s="7">
        <f t="shared" si="9"/>
        <v>6.0333333333333314</v>
      </c>
      <c r="I14" s="16">
        <v>28.9</v>
      </c>
      <c r="J14" s="9">
        <f t="shared" si="0"/>
        <v>140.4</v>
      </c>
      <c r="K14" s="21">
        <v>612400000000</v>
      </c>
      <c r="L14" s="19">
        <v>187700000000</v>
      </c>
      <c r="M14" s="21"/>
      <c r="N14" s="19"/>
      <c r="O14" s="21">
        <f t="shared" si="1"/>
        <v>4361823361.8233614</v>
      </c>
      <c r="P14" s="19">
        <f t="shared" si="2"/>
        <v>1336894586.8945868</v>
      </c>
      <c r="Q14" s="35"/>
      <c r="R14" s="37"/>
      <c r="S14" s="37" t="s">
        <v>15</v>
      </c>
      <c r="T14" s="37" t="s">
        <v>15</v>
      </c>
      <c r="U14" s="6">
        <v>43054</v>
      </c>
      <c r="V14" s="38">
        <v>0.65972222222222221</v>
      </c>
      <c r="W14" s="7">
        <f t="shared" si="3"/>
        <v>5.9999999999999982</v>
      </c>
      <c r="X14" s="16">
        <v>27.5</v>
      </c>
      <c r="Y14" s="9">
        <f t="shared" si="10"/>
        <v>172.14912000000001</v>
      </c>
      <c r="Z14" s="21">
        <v>643900000000</v>
      </c>
      <c r="AA14" s="19">
        <v>241800000000</v>
      </c>
      <c r="AB14" s="21"/>
      <c r="AC14" s="19"/>
      <c r="AD14" s="21">
        <f t="shared" si="15"/>
        <v>3740361844.4288297</v>
      </c>
      <c r="AE14" s="19">
        <f t="shared" si="4"/>
        <v>1404596201.2469189</v>
      </c>
      <c r="AF14" s="35"/>
      <c r="AG14" s="37"/>
      <c r="AH14" s="37" t="s">
        <v>15</v>
      </c>
      <c r="AI14" s="37" t="s">
        <v>15</v>
      </c>
      <c r="AJ14" s="6">
        <v>43054</v>
      </c>
      <c r="AK14" s="38">
        <v>0.66180555555555554</v>
      </c>
      <c r="AL14" s="7">
        <f t="shared" si="5"/>
        <v>6.0166666666666657</v>
      </c>
      <c r="AM14" s="16">
        <v>28.9</v>
      </c>
      <c r="AN14" s="9">
        <f t="shared" si="11"/>
        <v>121.89995999999999</v>
      </c>
      <c r="AO14" s="21">
        <v>647800000000</v>
      </c>
      <c r="AP14" s="19">
        <v>206100000000</v>
      </c>
      <c r="AQ14" s="21"/>
      <c r="AR14" s="19"/>
      <c r="AS14" s="21">
        <f t="shared" si="16"/>
        <v>5314193704.4113884</v>
      </c>
      <c r="AT14" s="19">
        <f t="shared" si="17"/>
        <v>1690730661.4374609</v>
      </c>
      <c r="AU14" s="35"/>
      <c r="AV14" s="37"/>
      <c r="AW14" s="37" t="s">
        <v>15</v>
      </c>
      <c r="AX14" s="37" t="s">
        <v>15</v>
      </c>
      <c r="AY14" s="6">
        <v>43054</v>
      </c>
      <c r="AZ14" s="38">
        <v>0.66180555555555554</v>
      </c>
      <c r="BA14" s="7">
        <f t="shared" si="7"/>
        <v>6</v>
      </c>
      <c r="BB14" s="16">
        <v>28.2</v>
      </c>
      <c r="BC14" s="9">
        <f t="shared" si="12"/>
        <v>111.95392</v>
      </c>
      <c r="BD14" s="21">
        <v>496300000000</v>
      </c>
      <c r="BE14" s="19">
        <v>192800000000</v>
      </c>
      <c r="BF14" s="21"/>
      <c r="BG14" s="19"/>
      <c r="BH14" s="21">
        <f t="shared" si="18"/>
        <v>4433073893.2589407</v>
      </c>
      <c r="BI14" s="19">
        <f t="shared" si="19"/>
        <v>1722137107.8386536</v>
      </c>
      <c r="BJ14" s="35"/>
      <c r="BK14" s="37"/>
      <c r="BL14" s="37" t="s">
        <v>15</v>
      </c>
      <c r="BM14" s="37" t="s">
        <v>15</v>
      </c>
      <c r="BN14" s="6">
        <v>43054</v>
      </c>
      <c r="BO14" s="38">
        <v>0.66388888888888886</v>
      </c>
      <c r="BP14" s="7">
        <f>(BN14-$BN$10)*24 +(BO14-$BO$10)*24</f>
        <v>5.9999999999999982</v>
      </c>
      <c r="BQ14" s="16">
        <v>30.7</v>
      </c>
      <c r="BR14" s="9">
        <f t="shared" si="14"/>
        <v>172.73672000000002</v>
      </c>
      <c r="BS14" s="21">
        <v>785400000000</v>
      </c>
      <c r="BT14" s="19">
        <v>227400000000</v>
      </c>
      <c r="BU14" s="21"/>
      <c r="BV14" s="19"/>
      <c r="BW14" s="21">
        <f t="shared" si="20"/>
        <v>4546803945.333684</v>
      </c>
      <c r="BX14" s="19">
        <f t="shared" si="21"/>
        <v>1316454312.6672776</v>
      </c>
    </row>
    <row r="15" spans="1:76" x14ac:dyDescent="0.25">
      <c r="B15" s="83"/>
      <c r="C15" s="37"/>
      <c r="D15" s="37" t="s">
        <v>15</v>
      </c>
      <c r="E15" s="37" t="s">
        <v>15</v>
      </c>
      <c r="F15" s="6">
        <v>43054</v>
      </c>
      <c r="G15" s="38">
        <v>0.75347222222222221</v>
      </c>
      <c r="H15" s="7">
        <f t="shared" si="9"/>
        <v>8.2833333333333314</v>
      </c>
      <c r="I15" s="16">
        <v>28.9</v>
      </c>
      <c r="J15" s="9">
        <f t="shared" si="0"/>
        <v>140.4</v>
      </c>
      <c r="K15" s="21">
        <v>612800000000</v>
      </c>
      <c r="L15" s="19">
        <v>187700000000</v>
      </c>
      <c r="M15" s="21"/>
      <c r="N15" s="19"/>
      <c r="O15" s="21">
        <f>K15/J15</f>
        <v>4364672364.6723642</v>
      </c>
      <c r="P15" s="19">
        <f t="shared" si="2"/>
        <v>1336894586.8945868</v>
      </c>
      <c r="Q15" s="35"/>
      <c r="R15" s="37"/>
      <c r="S15" s="37" t="s">
        <v>15</v>
      </c>
      <c r="T15" s="37" t="s">
        <v>15</v>
      </c>
      <c r="U15" s="6">
        <v>43054</v>
      </c>
      <c r="V15" s="38">
        <v>0.75347222222222221</v>
      </c>
      <c r="W15" s="7">
        <f t="shared" si="3"/>
        <v>8.2499999999999982</v>
      </c>
      <c r="X15" s="16">
        <v>27.5</v>
      </c>
      <c r="Y15" s="9">
        <f t="shared" si="10"/>
        <v>172.14912000000001</v>
      </c>
      <c r="Z15" s="21">
        <v>643700000000</v>
      </c>
      <c r="AA15" s="19">
        <v>240700000000</v>
      </c>
      <c r="AB15" s="21"/>
      <c r="AC15" s="19"/>
      <c r="AD15" s="21">
        <f>Z15/Y15</f>
        <v>3739200060.9703956</v>
      </c>
      <c r="AE15" s="19">
        <f t="shared" si="4"/>
        <v>1398206392.2255309</v>
      </c>
      <c r="AF15" s="35"/>
      <c r="AG15" s="37"/>
      <c r="AH15" s="37" t="s">
        <v>15</v>
      </c>
      <c r="AI15" s="37" t="s">
        <v>15</v>
      </c>
      <c r="AJ15" s="6">
        <v>43054</v>
      </c>
      <c r="AK15" s="38">
        <v>0.75624999999999998</v>
      </c>
      <c r="AL15" s="7">
        <f t="shared" si="5"/>
        <v>8.2833333333333314</v>
      </c>
      <c r="AM15" s="16">
        <v>28.9</v>
      </c>
      <c r="AN15" s="9">
        <f t="shared" si="11"/>
        <v>121.89995999999999</v>
      </c>
      <c r="AO15" s="21">
        <v>612900000000</v>
      </c>
      <c r="AP15" s="19">
        <v>187500000000</v>
      </c>
      <c r="AQ15" s="21"/>
      <c r="AR15" s="19"/>
      <c r="AS15" s="21">
        <f>AO15/AN15</f>
        <v>5027893364.3620558</v>
      </c>
      <c r="AT15" s="19">
        <f t="shared" si="17"/>
        <v>1538146526.0530028</v>
      </c>
      <c r="AU15" s="35"/>
      <c r="AV15" s="37"/>
      <c r="AW15" s="37" t="s">
        <v>15</v>
      </c>
      <c r="AX15" s="37" t="s">
        <v>15</v>
      </c>
      <c r="AY15" s="6">
        <v>43054</v>
      </c>
      <c r="AZ15" s="38">
        <v>0.75624999999999998</v>
      </c>
      <c r="BA15" s="7">
        <f t="shared" si="7"/>
        <v>8.2666666666666657</v>
      </c>
      <c r="BB15" s="16">
        <v>28.2</v>
      </c>
      <c r="BC15" s="9">
        <f t="shared" si="12"/>
        <v>111.95392</v>
      </c>
      <c r="BD15" s="21">
        <v>568300000000</v>
      </c>
      <c r="BE15" s="19">
        <v>228500000000</v>
      </c>
      <c r="BF15" s="21"/>
      <c r="BG15" s="19"/>
      <c r="BH15" s="21">
        <f>BD15/BC15</f>
        <v>5076195634.7754507</v>
      </c>
      <c r="BI15" s="19">
        <f t="shared" si="19"/>
        <v>2041018304.673923</v>
      </c>
      <c r="BJ15" s="35"/>
      <c r="BK15" s="37"/>
      <c r="BL15" s="37" t="s">
        <v>15</v>
      </c>
      <c r="BM15" s="37" t="s">
        <v>15</v>
      </c>
      <c r="BN15" s="6">
        <v>43054</v>
      </c>
      <c r="BO15" s="38">
        <v>0.75902777777777775</v>
      </c>
      <c r="BP15" s="7">
        <f t="shared" si="13"/>
        <v>8.2833333333333314</v>
      </c>
      <c r="BQ15" s="16">
        <v>30.7</v>
      </c>
      <c r="BR15" s="9">
        <f t="shared" si="14"/>
        <v>172.73672000000002</v>
      </c>
      <c r="BS15" s="21">
        <v>915600000000</v>
      </c>
      <c r="BT15" s="19">
        <v>282000000000</v>
      </c>
      <c r="BU15" s="21"/>
      <c r="BV15" s="19"/>
      <c r="BW15" s="21">
        <f>BS15/BR15</f>
        <v>5300552192.9558458</v>
      </c>
      <c r="BX15" s="19">
        <f t="shared" si="21"/>
        <v>1632542287.4765711</v>
      </c>
    </row>
    <row r="16" spans="1:76" x14ac:dyDescent="0.25">
      <c r="B16" s="83"/>
      <c r="C16" s="37"/>
      <c r="D16" s="37" t="s">
        <v>15</v>
      </c>
      <c r="E16" s="37" t="s">
        <v>15</v>
      </c>
      <c r="F16" s="6">
        <v>43054</v>
      </c>
      <c r="G16" s="38">
        <v>0.91041666666666676</v>
      </c>
      <c r="H16" s="7">
        <f t="shared" si="9"/>
        <v>12.050000000000002</v>
      </c>
      <c r="I16" s="16">
        <v>28.9</v>
      </c>
      <c r="J16" s="9">
        <f t="shared" si="0"/>
        <v>140.4</v>
      </c>
      <c r="K16" s="21">
        <v>611100000000</v>
      </c>
      <c r="L16" s="19">
        <v>219000000000</v>
      </c>
      <c r="M16" s="21"/>
      <c r="N16" s="19"/>
      <c r="O16" s="21">
        <f t="shared" si="1"/>
        <v>4352564102.5641022</v>
      </c>
      <c r="P16" s="19">
        <f t="shared" si="2"/>
        <v>1559829059.8290598</v>
      </c>
      <c r="Q16" s="35"/>
      <c r="R16" s="37"/>
      <c r="S16" s="37" t="s">
        <v>15</v>
      </c>
      <c r="T16" s="37" t="s">
        <v>15</v>
      </c>
      <c r="U16" s="6">
        <v>43054</v>
      </c>
      <c r="V16" s="38">
        <v>0.91041666666666676</v>
      </c>
      <c r="W16" s="7">
        <f t="shared" si="3"/>
        <v>12.016666666666669</v>
      </c>
      <c r="X16" s="16">
        <v>27.5</v>
      </c>
      <c r="Y16" s="9">
        <f t="shared" si="10"/>
        <v>172.14912000000001</v>
      </c>
      <c r="Z16" s="21">
        <v>616100000000</v>
      </c>
      <c r="AA16" s="19">
        <v>230100000000</v>
      </c>
      <c r="AB16" s="21"/>
      <c r="AC16" s="19"/>
      <c r="AD16" s="21">
        <f t="shared" ref="AD16:AD31" si="22">Z16/Y16</f>
        <v>3578873943.7064795</v>
      </c>
      <c r="AE16" s="19">
        <f t="shared" si="4"/>
        <v>1336631868.9285195</v>
      </c>
      <c r="AF16" s="35"/>
      <c r="AG16" s="37"/>
      <c r="AH16" s="37" t="s">
        <v>15</v>
      </c>
      <c r="AI16" s="37" t="s">
        <v>15</v>
      </c>
      <c r="AJ16" s="6">
        <v>43054</v>
      </c>
      <c r="AK16" s="38">
        <v>0.91249999999999998</v>
      </c>
      <c r="AL16" s="7">
        <f t="shared" si="5"/>
        <v>12.033333333333333</v>
      </c>
      <c r="AM16" s="16">
        <v>28.9</v>
      </c>
      <c r="AN16" s="9">
        <f t="shared" si="11"/>
        <v>121.89995999999999</v>
      </c>
      <c r="AO16" s="21">
        <v>654500000000</v>
      </c>
      <c r="AP16" s="19">
        <v>218800000000</v>
      </c>
      <c r="AQ16" s="21"/>
      <c r="AR16" s="19"/>
      <c r="AS16" s="21">
        <f t="shared" ref="AS16:AS31" si="23">AO16/AN16</f>
        <v>5369156806.9423485</v>
      </c>
      <c r="AT16" s="19">
        <f t="shared" si="17"/>
        <v>1794914452.8021176</v>
      </c>
      <c r="AU16" s="35"/>
      <c r="AV16" s="37"/>
      <c r="AW16" s="37" t="s">
        <v>15</v>
      </c>
      <c r="AX16" s="37" t="s">
        <v>15</v>
      </c>
      <c r="AY16" s="6">
        <v>43054</v>
      </c>
      <c r="AZ16" s="38">
        <v>0.91249999999999998</v>
      </c>
      <c r="BA16" s="7">
        <f t="shared" si="7"/>
        <v>12.016666666666666</v>
      </c>
      <c r="BB16" s="16">
        <v>28.2</v>
      </c>
      <c r="BC16" s="9">
        <f t="shared" si="12"/>
        <v>111.95392</v>
      </c>
      <c r="BD16" s="21">
        <v>453900000000</v>
      </c>
      <c r="BE16" s="19">
        <v>181400000000</v>
      </c>
      <c r="BF16" s="21"/>
      <c r="BG16" s="19"/>
      <c r="BH16" s="21">
        <f t="shared" ref="BH16:BH31" si="24">BD16/BC16</f>
        <v>4054346645.4769964</v>
      </c>
      <c r="BI16" s="19">
        <f t="shared" si="19"/>
        <v>1620309498.7652063</v>
      </c>
      <c r="BJ16" s="35"/>
      <c r="BK16" s="37"/>
      <c r="BL16" s="37" t="s">
        <v>15</v>
      </c>
      <c r="BM16" s="37" t="s">
        <v>15</v>
      </c>
      <c r="BN16" s="6">
        <v>43054</v>
      </c>
      <c r="BO16" s="38">
        <v>0.91388888888888886</v>
      </c>
      <c r="BP16" s="7">
        <f t="shared" si="13"/>
        <v>11.999999999999998</v>
      </c>
      <c r="BQ16" s="16">
        <v>30.7</v>
      </c>
      <c r="BR16" s="9">
        <f t="shared" si="14"/>
        <v>172.73672000000002</v>
      </c>
      <c r="BS16" s="21">
        <v>873800000000</v>
      </c>
      <c r="BT16" s="19">
        <v>252100000000</v>
      </c>
      <c r="BU16" s="21"/>
      <c r="BV16" s="19"/>
      <c r="BW16" s="21">
        <f t="shared" ref="BW16:BW31" si="25">BS16/BR16</f>
        <v>5058565428.3582544</v>
      </c>
      <c r="BX16" s="19">
        <f t="shared" si="21"/>
        <v>1459446491.7476723</v>
      </c>
    </row>
    <row r="17" spans="2:76" x14ac:dyDescent="0.25">
      <c r="B17" s="83"/>
      <c r="C17" s="37">
        <v>970</v>
      </c>
      <c r="D17" s="37" t="s">
        <v>15</v>
      </c>
      <c r="E17" s="37" t="s">
        <v>15</v>
      </c>
      <c r="F17" s="6">
        <v>43055</v>
      </c>
      <c r="G17" s="38">
        <v>0.41250000000000003</v>
      </c>
      <c r="H17" s="7">
        <f t="shared" si="9"/>
        <v>24.1</v>
      </c>
      <c r="I17" s="16">
        <v>28.4</v>
      </c>
      <c r="J17" s="9">
        <f>8.7*7.2*7.2*0.52</f>
        <v>234.52415999999999</v>
      </c>
      <c r="K17" s="21">
        <v>709100000000</v>
      </c>
      <c r="L17" s="19">
        <v>232800000000</v>
      </c>
      <c r="M17" s="21"/>
      <c r="N17" s="19"/>
      <c r="O17" s="21">
        <f t="shared" si="1"/>
        <v>3023569085.5901585</v>
      </c>
      <c r="P17" s="19">
        <f t="shared" si="2"/>
        <v>992648262.76320529</v>
      </c>
      <c r="Q17" s="35"/>
      <c r="R17" s="37">
        <v>1080</v>
      </c>
      <c r="S17" s="37" t="s">
        <v>15</v>
      </c>
      <c r="T17" s="37" t="s">
        <v>15</v>
      </c>
      <c r="U17" s="6">
        <v>43055</v>
      </c>
      <c r="V17" s="38">
        <v>0.41250000000000003</v>
      </c>
      <c r="W17" s="7">
        <f t="shared" si="3"/>
        <v>24.066666666666666</v>
      </c>
      <c r="X17" s="16">
        <v>26.6</v>
      </c>
      <c r="Y17" s="9">
        <f>6.7*6.3*6.3*0.52</f>
        <v>138.27996000000002</v>
      </c>
      <c r="Z17" s="21">
        <v>603900000000</v>
      </c>
      <c r="AA17" s="19">
        <v>232900000000</v>
      </c>
      <c r="AB17" s="21"/>
      <c r="AC17" s="19"/>
      <c r="AD17" s="21">
        <f t="shared" si="22"/>
        <v>4367227181.7261152</v>
      </c>
      <c r="AE17" s="19">
        <f t="shared" si="4"/>
        <v>1684264299.7582583</v>
      </c>
      <c r="AF17" s="35"/>
      <c r="AG17" s="37">
        <v>737</v>
      </c>
      <c r="AH17" s="37" t="s">
        <v>15</v>
      </c>
      <c r="AI17" s="37" t="s">
        <v>15</v>
      </c>
      <c r="AJ17" s="6">
        <v>43055</v>
      </c>
      <c r="AK17" s="38">
        <v>0.41666666666666669</v>
      </c>
      <c r="AL17" s="7">
        <f t="shared" si="5"/>
        <v>24.133333333333333</v>
      </c>
      <c r="AM17" s="16">
        <v>27.8</v>
      </c>
      <c r="AN17" s="9">
        <f>7.7*6.2*6.2*0.52</f>
        <v>153.91376</v>
      </c>
      <c r="AO17" s="21">
        <v>621000000000</v>
      </c>
      <c r="AP17" s="19">
        <v>199100000000</v>
      </c>
      <c r="AQ17" s="21"/>
      <c r="AR17" s="19"/>
      <c r="AS17" s="21">
        <f t="shared" si="23"/>
        <v>4034726979.5760951</v>
      </c>
      <c r="AT17" s="19">
        <f t="shared" si="17"/>
        <v>1293581548.5243165</v>
      </c>
      <c r="AU17" s="35"/>
      <c r="AV17" s="37">
        <v>830</v>
      </c>
      <c r="AW17" s="37" t="s">
        <v>15</v>
      </c>
      <c r="AX17" s="37" t="s">
        <v>15</v>
      </c>
      <c r="AY17" s="6">
        <v>43055</v>
      </c>
      <c r="AZ17" s="38">
        <v>0.41666666666666669</v>
      </c>
      <c r="BA17" s="7">
        <f>(AY17-$AY$10)*24 +(AZ17-$AZ$10)*24</f>
        <v>24.116666666666667</v>
      </c>
      <c r="BB17" s="16">
        <v>27.1</v>
      </c>
      <c r="BC17" s="9">
        <f>6.6*6.2*6.2*0.52</f>
        <v>131.92608000000001</v>
      </c>
      <c r="BD17" s="21">
        <v>379100000000</v>
      </c>
      <c r="BE17" s="19">
        <v>145300000000</v>
      </c>
      <c r="BF17" s="21"/>
      <c r="BG17" s="19"/>
      <c r="BH17" s="21">
        <f t="shared" si="24"/>
        <v>2873578901.1543431</v>
      </c>
      <c r="BI17" s="19">
        <f t="shared" si="19"/>
        <v>1101374345.3909945</v>
      </c>
      <c r="BJ17" s="35"/>
      <c r="BK17" s="37">
        <v>1126</v>
      </c>
      <c r="BL17" s="37" t="s">
        <v>15</v>
      </c>
      <c r="BM17" s="37" t="s">
        <v>15</v>
      </c>
      <c r="BN17" s="6">
        <v>43055</v>
      </c>
      <c r="BO17" s="38">
        <v>0.41875000000000001</v>
      </c>
      <c r="BP17" s="7">
        <f t="shared" si="13"/>
        <v>24.116666666666667</v>
      </c>
      <c r="BQ17" s="16">
        <v>29.8</v>
      </c>
      <c r="BR17" s="9">
        <f>6.8*6.6*6.6*0.52</f>
        <v>154.02815999999999</v>
      </c>
      <c r="BS17" s="21">
        <v>953100000000</v>
      </c>
      <c r="BT17" s="19">
        <v>277100000000</v>
      </c>
      <c r="BU17" s="21"/>
      <c r="BV17" s="19"/>
      <c r="BW17" s="21">
        <f t="shared" si="25"/>
        <v>6187829550.1290159</v>
      </c>
      <c r="BX17" s="19">
        <f t="shared" si="21"/>
        <v>1799021685.3853219</v>
      </c>
    </row>
    <row r="18" spans="2:76" x14ac:dyDescent="0.25">
      <c r="B18" s="83"/>
      <c r="C18" s="37">
        <v>858</v>
      </c>
      <c r="D18" s="37" t="s">
        <v>15</v>
      </c>
      <c r="E18" s="37" t="s">
        <v>15</v>
      </c>
      <c r="F18" s="6">
        <v>43056</v>
      </c>
      <c r="G18" s="38">
        <v>0.40208333333333335</v>
      </c>
      <c r="H18" s="7">
        <f t="shared" si="9"/>
        <v>47.85</v>
      </c>
      <c r="I18" s="16">
        <v>29.2</v>
      </c>
      <c r="J18" s="9">
        <f>10*6*6*0.52</f>
        <v>187.20000000000002</v>
      </c>
      <c r="K18" s="21">
        <v>773100000000</v>
      </c>
      <c r="L18" s="19">
        <v>216800000000</v>
      </c>
      <c r="M18" s="21"/>
      <c r="N18" s="19"/>
      <c r="O18" s="21">
        <f t="shared" si="1"/>
        <v>4129807692.3076921</v>
      </c>
      <c r="P18" s="19">
        <f t="shared" si="2"/>
        <v>1158119658.119658</v>
      </c>
      <c r="Q18" s="35"/>
      <c r="R18" s="37">
        <v>974</v>
      </c>
      <c r="S18" s="37" t="s">
        <v>15</v>
      </c>
      <c r="T18" s="37" t="s">
        <v>15</v>
      </c>
      <c r="U18" s="6">
        <v>43056</v>
      </c>
      <c r="V18" s="38">
        <v>0.40208333333333335</v>
      </c>
      <c r="W18" s="7">
        <f t="shared" si="3"/>
        <v>47.816666666666663</v>
      </c>
      <c r="X18" s="16">
        <v>26.8</v>
      </c>
      <c r="Y18" s="9">
        <f>8.3*6.2*6.2*0.52</f>
        <v>165.90704000000005</v>
      </c>
      <c r="Z18" s="21">
        <v>492000000000</v>
      </c>
      <c r="AA18" s="19">
        <v>159500000000</v>
      </c>
      <c r="AB18" s="21"/>
      <c r="AC18" s="19"/>
      <c r="AD18" s="21">
        <f t="shared" si="22"/>
        <v>2965516110.7087431</v>
      </c>
      <c r="AE18" s="19">
        <f t="shared" si="4"/>
        <v>961381747.27244818</v>
      </c>
      <c r="AF18" s="35"/>
      <c r="AG18" s="37">
        <v>678</v>
      </c>
      <c r="AH18" s="37" t="s">
        <v>15</v>
      </c>
      <c r="AI18" s="37" t="s">
        <v>15</v>
      </c>
      <c r="AJ18" s="6">
        <v>43056</v>
      </c>
      <c r="AK18" s="38">
        <v>0.40416666666666662</v>
      </c>
      <c r="AL18" s="7">
        <f t="shared" si="5"/>
        <v>47.833333333333329</v>
      </c>
      <c r="AM18" s="16">
        <v>28.8</v>
      </c>
      <c r="AN18" s="9">
        <f>7.4*7.2*7.2*0.52</f>
        <v>199.48032000000003</v>
      </c>
      <c r="AO18" s="21">
        <v>595200000000</v>
      </c>
      <c r="AP18" s="19">
        <v>179000000000</v>
      </c>
      <c r="AQ18" s="21"/>
      <c r="AR18" s="19"/>
      <c r="AS18" s="21">
        <f t="shared" si="23"/>
        <v>2983752983.7529831</v>
      </c>
      <c r="AT18" s="19">
        <f t="shared" si="17"/>
        <v>897331626.49829304</v>
      </c>
      <c r="AU18" s="35"/>
      <c r="AV18" s="37">
        <v>739</v>
      </c>
      <c r="AW18" s="37" t="s">
        <v>15</v>
      </c>
      <c r="AX18" s="37" t="s">
        <v>15</v>
      </c>
      <c r="AY18" s="6">
        <v>43056</v>
      </c>
      <c r="AZ18" s="38">
        <v>0.40416666666666662</v>
      </c>
      <c r="BA18" s="7">
        <f t="shared" si="7"/>
        <v>47.816666666666663</v>
      </c>
      <c r="BB18" s="16">
        <v>27</v>
      </c>
      <c r="BC18" s="9">
        <f>6.6*6*6*0.52</f>
        <v>123.55199999999999</v>
      </c>
      <c r="BD18" s="21">
        <v>435000000000</v>
      </c>
      <c r="BE18" s="19">
        <v>147700000000</v>
      </c>
      <c r="BF18" s="21"/>
      <c r="BG18" s="19"/>
      <c r="BH18" s="21">
        <f t="shared" si="24"/>
        <v>3520784770.784771</v>
      </c>
      <c r="BI18" s="19">
        <f t="shared" si="19"/>
        <v>1195448070.4480705</v>
      </c>
      <c r="BJ18" s="35"/>
      <c r="BK18" s="37">
        <v>1010</v>
      </c>
      <c r="BL18" s="37" t="s">
        <v>15</v>
      </c>
      <c r="BM18" s="37" t="s">
        <v>15</v>
      </c>
      <c r="BN18" s="6">
        <v>43056</v>
      </c>
      <c r="BO18" s="38">
        <v>0.40625</v>
      </c>
      <c r="BP18" s="7">
        <f t="shared" si="13"/>
        <v>47.816666666666663</v>
      </c>
      <c r="BQ18" s="16">
        <v>30.2</v>
      </c>
      <c r="BR18" s="9">
        <f>8.2*5.7*5.7*0.52</f>
        <v>138.53736000000001</v>
      </c>
      <c r="BS18" s="21">
        <v>795600000000</v>
      </c>
      <c r="BT18" s="19">
        <v>225400000000</v>
      </c>
      <c r="BU18" s="21"/>
      <c r="BV18" s="19"/>
      <c r="BW18" s="21">
        <f t="shared" si="25"/>
        <v>5742855212.4856424</v>
      </c>
      <c r="BX18" s="19">
        <f t="shared" si="21"/>
        <v>1626997944.8143084</v>
      </c>
    </row>
    <row r="19" spans="2:76" x14ac:dyDescent="0.25">
      <c r="B19" s="83"/>
      <c r="C19" s="37">
        <v>763</v>
      </c>
      <c r="D19" s="37" t="s">
        <v>15</v>
      </c>
      <c r="E19" s="37" t="s">
        <v>15</v>
      </c>
      <c r="F19" s="6">
        <v>43057</v>
      </c>
      <c r="G19" s="38">
        <v>0.5131944444444444</v>
      </c>
      <c r="H19" s="7">
        <f t="shared" si="9"/>
        <v>74.516666666666666</v>
      </c>
      <c r="I19" s="16">
        <v>28.6</v>
      </c>
      <c r="J19" s="9">
        <f>11.3*8.2*8.2*0.52</f>
        <v>395.10223999999994</v>
      </c>
      <c r="K19" s="21">
        <v>714200000000</v>
      </c>
      <c r="L19" s="19">
        <v>210700000000</v>
      </c>
      <c r="M19" s="21"/>
      <c r="N19" s="19"/>
      <c r="O19" s="21">
        <f t="shared" si="1"/>
        <v>1807633386.2344089</v>
      </c>
      <c r="P19" s="19">
        <f t="shared" si="2"/>
        <v>533279689.83420604</v>
      </c>
      <c r="Q19" s="35"/>
      <c r="R19" s="37">
        <v>854</v>
      </c>
      <c r="S19" s="37" t="s">
        <v>15</v>
      </c>
      <c r="T19" s="37" t="s">
        <v>15</v>
      </c>
      <c r="U19" s="6">
        <v>43057</v>
      </c>
      <c r="V19" s="38">
        <v>0.5131944444444444</v>
      </c>
      <c r="W19" s="7">
        <f t="shared" si="3"/>
        <v>74.483333333333334</v>
      </c>
      <c r="X19" s="16">
        <v>26.3</v>
      </c>
      <c r="Y19" s="9">
        <f>8*7.7*7.7*0.52</f>
        <v>246.64640000000003</v>
      </c>
      <c r="Z19" s="21">
        <v>406000000000</v>
      </c>
      <c r="AA19" s="19">
        <v>141700000000</v>
      </c>
      <c r="AB19" s="21"/>
      <c r="AC19" s="19"/>
      <c r="AD19" s="21">
        <f t="shared" si="22"/>
        <v>1646081191.5357368</v>
      </c>
      <c r="AE19" s="19">
        <f t="shared" si="4"/>
        <v>574506662.16899979</v>
      </c>
      <c r="AF19" s="35"/>
      <c r="AG19" s="37">
        <v>595</v>
      </c>
      <c r="AH19" s="37" t="s">
        <v>15</v>
      </c>
      <c r="AI19" s="37" t="s">
        <v>15</v>
      </c>
      <c r="AJ19" s="6">
        <v>43057</v>
      </c>
      <c r="AK19" s="38">
        <v>0.51458333333333328</v>
      </c>
      <c r="AL19" s="7">
        <f t="shared" si="5"/>
        <v>74.483333333333334</v>
      </c>
      <c r="AM19" s="16">
        <v>27.8</v>
      </c>
      <c r="AN19" s="9">
        <f>8.3*7.4*7.4*0.52</f>
        <v>236.34416000000004</v>
      </c>
      <c r="AO19" s="21">
        <v>576300000000</v>
      </c>
      <c r="AP19" s="19">
        <v>184200000000</v>
      </c>
      <c r="AQ19" s="21"/>
      <c r="AR19" s="19"/>
      <c r="AS19" s="21">
        <f t="shared" si="23"/>
        <v>2438393231.2945657</v>
      </c>
      <c r="AT19" s="19">
        <f t="shared" si="17"/>
        <v>779371912.55328655</v>
      </c>
      <c r="AU19" s="35"/>
      <c r="AV19" s="37">
        <v>663</v>
      </c>
      <c r="AW19" s="37" t="s">
        <v>15</v>
      </c>
      <c r="AX19" s="37" t="s">
        <v>15</v>
      </c>
      <c r="AY19" s="6">
        <v>43057</v>
      </c>
      <c r="AZ19" s="38">
        <v>0.51458333333333328</v>
      </c>
      <c r="BA19" s="7">
        <f t="shared" si="7"/>
        <v>74.466666666666669</v>
      </c>
      <c r="BB19" s="16">
        <v>26.5</v>
      </c>
      <c r="BC19" s="9">
        <f>7.4*6*6*0.52</f>
        <v>138.52800000000002</v>
      </c>
      <c r="BD19" s="21">
        <v>334200000000</v>
      </c>
      <c r="BE19" s="19">
        <v>116300000000</v>
      </c>
      <c r="BF19" s="21"/>
      <c r="BG19" s="19"/>
      <c r="BH19" s="21">
        <f t="shared" si="24"/>
        <v>2412508662.5086622</v>
      </c>
      <c r="BI19" s="19">
        <f t="shared" si="19"/>
        <v>839541464.54146445</v>
      </c>
      <c r="BJ19" s="35"/>
      <c r="BK19" s="37">
        <v>877</v>
      </c>
      <c r="BL19" s="37" t="s">
        <v>15</v>
      </c>
      <c r="BM19" s="37" t="s">
        <v>15</v>
      </c>
      <c r="BN19" s="6">
        <v>43057</v>
      </c>
      <c r="BO19" s="38">
        <v>0.51666666666666672</v>
      </c>
      <c r="BP19" s="7">
        <f t="shared" si="13"/>
        <v>74.466666666666669</v>
      </c>
      <c r="BQ19" s="16">
        <v>30.3</v>
      </c>
      <c r="BR19" s="9">
        <f>8.6*7.4*7.4*0.52</f>
        <v>244.88672000000003</v>
      </c>
      <c r="BS19" s="21">
        <v>762200000000</v>
      </c>
      <c r="BT19" s="19">
        <v>235700000000</v>
      </c>
      <c r="BU19" s="21"/>
      <c r="BV19" s="19"/>
      <c r="BW19" s="21">
        <f t="shared" si="25"/>
        <v>3112459507.8083448</v>
      </c>
      <c r="BX19" s="19">
        <f t="shared" si="21"/>
        <v>962485838.35007453</v>
      </c>
    </row>
    <row r="20" spans="2:76" x14ac:dyDescent="0.25">
      <c r="B20" s="83"/>
      <c r="C20" s="37">
        <v>682</v>
      </c>
      <c r="D20" s="37" t="s">
        <v>15</v>
      </c>
      <c r="E20" s="37" t="s">
        <v>15</v>
      </c>
      <c r="F20" s="6">
        <v>43058</v>
      </c>
      <c r="G20" s="38">
        <v>0.42291666666666666</v>
      </c>
      <c r="H20" s="7">
        <f t="shared" si="9"/>
        <v>96.35</v>
      </c>
      <c r="I20" s="16">
        <v>28.4</v>
      </c>
      <c r="J20" s="9">
        <f>10.1*9.3*9.3*0.52</f>
        <v>454.24548000000004</v>
      </c>
      <c r="K20" s="21">
        <v>706600000000</v>
      </c>
      <c r="L20" s="19">
        <v>215700000000</v>
      </c>
      <c r="M20" s="21"/>
      <c r="N20" s="19"/>
      <c r="O20" s="21">
        <f t="shared" si="1"/>
        <v>1555546573.6279862</v>
      </c>
      <c r="P20" s="19">
        <f t="shared" si="2"/>
        <v>474853376.63679117</v>
      </c>
      <c r="Q20" s="35"/>
      <c r="R20" s="37">
        <v>764</v>
      </c>
      <c r="S20" s="37" t="s">
        <v>15</v>
      </c>
      <c r="T20" s="37" t="s">
        <v>15</v>
      </c>
      <c r="U20" s="6">
        <v>43058</v>
      </c>
      <c r="V20" s="38">
        <v>0.42291666666666666</v>
      </c>
      <c r="W20" s="7">
        <f t="shared" si="3"/>
        <v>96.316666666666663</v>
      </c>
      <c r="X20" s="16">
        <v>26.9</v>
      </c>
      <c r="Y20" s="9">
        <f>7.7*7.5*7.5*0.52</f>
        <v>225.22499999999999</v>
      </c>
      <c r="Z20" s="21">
        <v>445200000000</v>
      </c>
      <c r="AA20" s="19">
        <v>150500000000</v>
      </c>
      <c r="AB20" s="21"/>
      <c r="AC20" s="19"/>
      <c r="AD20" s="21">
        <f t="shared" si="22"/>
        <v>1976689976.6899767</v>
      </c>
      <c r="AE20" s="19">
        <f t="shared" si="4"/>
        <v>668220668.2206682</v>
      </c>
      <c r="AF20" s="35"/>
      <c r="AG20" s="37">
        <v>534</v>
      </c>
      <c r="AH20" s="37" t="s">
        <v>15</v>
      </c>
      <c r="AI20" s="37" t="s">
        <v>15</v>
      </c>
      <c r="AJ20" s="6">
        <v>43058</v>
      </c>
      <c r="AK20" s="38">
        <v>0.42499999999999999</v>
      </c>
      <c r="AL20" s="7">
        <f t="shared" si="5"/>
        <v>96.333333333333329</v>
      </c>
      <c r="AM20" s="16">
        <v>28.3</v>
      </c>
      <c r="AN20" s="9">
        <f>7.6*6.9*6.9*0.52</f>
        <v>188.15472000000003</v>
      </c>
      <c r="AO20" s="21">
        <v>549700000000</v>
      </c>
      <c r="AP20" s="19">
        <v>173700000000</v>
      </c>
      <c r="AQ20" s="21"/>
      <c r="AR20" s="19"/>
      <c r="AS20" s="21">
        <f t="shared" si="23"/>
        <v>2921531811.6919942</v>
      </c>
      <c r="AT20" s="19">
        <f t="shared" si="17"/>
        <v>923176415.66472518</v>
      </c>
      <c r="AU20" s="35"/>
      <c r="AV20" s="37">
        <v>596</v>
      </c>
      <c r="AW20" s="37" t="s">
        <v>15</v>
      </c>
      <c r="AX20" s="37" t="s">
        <v>15</v>
      </c>
      <c r="AY20" s="6">
        <v>43058</v>
      </c>
      <c r="AZ20" s="38">
        <v>0.42499999999999999</v>
      </c>
      <c r="BA20" s="7">
        <f t="shared" si="7"/>
        <v>96.316666666666663</v>
      </c>
      <c r="BB20" s="16">
        <v>26.7</v>
      </c>
      <c r="BC20" s="9">
        <f>6.9*5.9*5.9*0.52</f>
        <v>124.89828000000003</v>
      </c>
      <c r="BD20" s="21">
        <v>316500000000</v>
      </c>
      <c r="BE20" s="19">
        <v>113400000000</v>
      </c>
      <c r="BF20" s="21"/>
      <c r="BG20" s="19"/>
      <c r="BH20" s="21">
        <f t="shared" si="24"/>
        <v>2534062118.3894601</v>
      </c>
      <c r="BI20" s="19">
        <f t="shared" si="19"/>
        <v>907938844.31394875</v>
      </c>
      <c r="BJ20" s="35"/>
      <c r="BK20" s="37">
        <v>796</v>
      </c>
      <c r="BL20" s="37" t="s">
        <v>15</v>
      </c>
      <c r="BM20" s="37" t="s">
        <v>15</v>
      </c>
      <c r="BN20" s="6">
        <v>43058</v>
      </c>
      <c r="BO20" s="38">
        <v>0.42638888888888887</v>
      </c>
      <c r="BP20" s="7">
        <f t="shared" si="13"/>
        <v>96.3</v>
      </c>
      <c r="BQ20" s="16">
        <v>30.1</v>
      </c>
      <c r="BR20" s="9">
        <f>7.3*7.2*7.2*0.52</f>
        <v>196.78464000000002</v>
      </c>
      <c r="BS20" s="21">
        <v>687500000000</v>
      </c>
      <c r="BT20" s="19">
        <v>207800000000</v>
      </c>
      <c r="BU20" s="21"/>
      <c r="BV20" s="19"/>
      <c r="BW20" s="21">
        <f t="shared" si="25"/>
        <v>3493666985.3907294</v>
      </c>
      <c r="BX20" s="19">
        <f t="shared" si="21"/>
        <v>1055976726.638827</v>
      </c>
    </row>
    <row r="21" spans="2:76" x14ac:dyDescent="0.25">
      <c r="B21" s="83"/>
      <c r="C21" s="37"/>
      <c r="D21" s="37" t="s">
        <v>15</v>
      </c>
      <c r="E21" s="37" t="s">
        <v>15</v>
      </c>
      <c r="F21" s="6">
        <v>43061</v>
      </c>
      <c r="G21" s="38">
        <v>0.40069444444444446</v>
      </c>
      <c r="H21" s="7">
        <f t="shared" si="9"/>
        <v>167.81666666666666</v>
      </c>
      <c r="I21" s="16">
        <v>28.2</v>
      </c>
      <c r="J21" s="9">
        <f>11*9.4*9.4*0.52</f>
        <v>505.41920000000005</v>
      </c>
      <c r="K21" s="21">
        <v>595400000000</v>
      </c>
      <c r="L21" s="19">
        <v>187700000000</v>
      </c>
      <c r="M21" s="21"/>
      <c r="N21" s="19"/>
      <c r="O21" s="21">
        <f t="shared" si="1"/>
        <v>1178032017.7785094</v>
      </c>
      <c r="P21" s="19">
        <f>L21/J21</f>
        <v>371374890.38801849</v>
      </c>
      <c r="Q21" s="35"/>
      <c r="R21" s="37"/>
      <c r="S21" s="37" t="s">
        <v>15</v>
      </c>
      <c r="T21" s="37" t="s">
        <v>15</v>
      </c>
      <c r="U21" s="6">
        <v>43061</v>
      </c>
      <c r="V21" s="38">
        <v>0.40069444444444446</v>
      </c>
      <c r="W21" s="7">
        <f t="shared" si="3"/>
        <v>167.78333333333333</v>
      </c>
      <c r="X21" s="16">
        <f>27</f>
        <v>27</v>
      </c>
      <c r="Y21" s="9">
        <f>8.2*7.3*7.3*0.52</f>
        <v>227.22855999999999</v>
      </c>
      <c r="Z21" s="21">
        <v>282600000000</v>
      </c>
      <c r="AA21" s="19">
        <v>100900000000</v>
      </c>
      <c r="AB21" s="21"/>
      <c r="AC21" s="19"/>
      <c r="AD21" s="21">
        <f t="shared" si="22"/>
        <v>1243681692.1253209</v>
      </c>
      <c r="AE21" s="19">
        <f>AA21/Y21</f>
        <v>444046294.18062592</v>
      </c>
      <c r="AF21" s="35"/>
      <c r="AG21" s="37"/>
      <c r="AH21" s="37" t="s">
        <v>15</v>
      </c>
      <c r="AI21" s="37" t="s">
        <v>15</v>
      </c>
      <c r="AJ21" s="6">
        <v>43061</v>
      </c>
      <c r="AK21" s="38">
        <v>0.40069444444444446</v>
      </c>
      <c r="AL21" s="7">
        <f t="shared" si="5"/>
        <v>167.75</v>
      </c>
      <c r="AM21" s="16">
        <v>28.5</v>
      </c>
      <c r="AN21" s="9">
        <f>7.1*6.8*6.8*0.52</f>
        <v>170.71807999999999</v>
      </c>
      <c r="AO21" s="21">
        <v>385800000000</v>
      </c>
      <c r="AP21" s="19">
        <v>128900000000</v>
      </c>
      <c r="AQ21" s="21"/>
      <c r="AR21" s="19"/>
      <c r="AS21" s="21">
        <f t="shared" si="23"/>
        <v>2259866090.3402853</v>
      </c>
      <c r="AT21" s="19">
        <f>AP21/AN21</f>
        <v>755045979.89855564</v>
      </c>
      <c r="AU21" s="35"/>
      <c r="AV21" s="37"/>
      <c r="AW21" s="37" t="s">
        <v>15</v>
      </c>
      <c r="AX21" s="37" t="s">
        <v>15</v>
      </c>
      <c r="AY21" s="6">
        <v>43061</v>
      </c>
      <c r="AZ21" s="38">
        <v>0.40069444444444446</v>
      </c>
      <c r="BA21" s="7">
        <f t="shared" si="7"/>
        <v>167.73333333333335</v>
      </c>
      <c r="BB21" s="16">
        <v>27</v>
      </c>
      <c r="BC21" s="9">
        <f>7.2*6.1*6.1*0.52</f>
        <v>139.31423999999998</v>
      </c>
      <c r="BD21" s="21">
        <v>197300000000</v>
      </c>
      <c r="BE21" s="19">
        <v>77400000000</v>
      </c>
      <c r="BF21" s="21"/>
      <c r="BG21" s="19"/>
      <c r="BH21" s="21">
        <f t="shared" si="24"/>
        <v>1416222778.0878682</v>
      </c>
      <c r="BI21" s="19">
        <f>BE21/BC21</f>
        <v>555578525.21034467</v>
      </c>
      <c r="BJ21" s="35"/>
      <c r="BK21" s="37"/>
      <c r="BL21" s="37" t="s">
        <v>15</v>
      </c>
      <c r="BM21" s="37" t="s">
        <v>15</v>
      </c>
      <c r="BN21" s="6">
        <v>43061</v>
      </c>
      <c r="BO21" s="38">
        <v>0.40486111111111112</v>
      </c>
      <c r="BP21" s="7">
        <f t="shared" si="13"/>
        <v>167.78333333333333</v>
      </c>
      <c r="BQ21" s="16">
        <v>29</v>
      </c>
      <c r="BR21" s="9">
        <f>11.4*8.6*8.6*0.52</f>
        <v>438.43487999999996</v>
      </c>
      <c r="BS21" s="21">
        <v>545000000000</v>
      </c>
      <c r="BT21" s="19">
        <v>172300000000</v>
      </c>
      <c r="BU21" s="21"/>
      <c r="BV21" s="19"/>
      <c r="BW21" s="21">
        <f t="shared" si="25"/>
        <v>1243058034.0688224</v>
      </c>
      <c r="BX21" s="19">
        <f>BT21/BR21</f>
        <v>392988806.00010657</v>
      </c>
    </row>
    <row r="22" spans="2:76" x14ac:dyDescent="0.25">
      <c r="B22" s="83"/>
      <c r="C22" s="37"/>
      <c r="D22" s="37" t="s">
        <v>14</v>
      </c>
      <c r="E22" s="37">
        <v>120</v>
      </c>
      <c r="F22" s="6">
        <v>43061</v>
      </c>
      <c r="G22" s="38">
        <v>0.41041666666666665</v>
      </c>
      <c r="H22" s="7"/>
      <c r="I22" s="16"/>
      <c r="J22" s="9"/>
      <c r="K22" s="21"/>
      <c r="L22" s="19"/>
      <c r="M22" s="21"/>
      <c r="N22" s="19"/>
      <c r="O22" s="21" t="e">
        <f t="shared" si="1"/>
        <v>#DIV/0!</v>
      </c>
      <c r="P22" s="19" t="e">
        <f t="shared" si="2"/>
        <v>#DIV/0!</v>
      </c>
      <c r="Q22" s="35"/>
      <c r="R22" s="37"/>
      <c r="S22" s="37" t="s">
        <v>14</v>
      </c>
      <c r="T22" s="37">
        <v>120</v>
      </c>
      <c r="U22" s="6">
        <v>43061</v>
      </c>
      <c r="V22" s="38">
        <v>0.41111111111111115</v>
      </c>
      <c r="W22" s="7"/>
      <c r="X22" s="16"/>
      <c r="Y22" s="9"/>
      <c r="Z22" s="21"/>
      <c r="AA22" s="19"/>
      <c r="AB22" s="21"/>
      <c r="AC22" s="19"/>
      <c r="AD22" s="21" t="e">
        <f t="shared" si="22"/>
        <v>#DIV/0!</v>
      </c>
      <c r="AE22" s="19" t="e">
        <f t="shared" ref="AE22:AE31" si="26">AA22/Y22</f>
        <v>#DIV/0!</v>
      </c>
      <c r="AF22" s="35"/>
      <c r="AG22" s="37"/>
      <c r="AH22" s="37" t="s">
        <v>14</v>
      </c>
      <c r="AI22" s="37">
        <v>120</v>
      </c>
      <c r="AJ22" s="6">
        <v>43061</v>
      </c>
      <c r="AK22" s="38">
        <v>0.41250000000000003</v>
      </c>
      <c r="AL22" s="7"/>
      <c r="AM22" s="16"/>
      <c r="AN22" s="9"/>
      <c r="AO22" s="21"/>
      <c r="AP22" s="19"/>
      <c r="AQ22" s="21"/>
      <c r="AR22" s="19"/>
      <c r="AS22" s="21" t="e">
        <f t="shared" si="23"/>
        <v>#DIV/0!</v>
      </c>
      <c r="AT22" s="19" t="e">
        <f t="shared" ref="AT22:AT31" si="27">AP22/AN22</f>
        <v>#DIV/0!</v>
      </c>
      <c r="AU22" s="35"/>
      <c r="AV22" s="37"/>
      <c r="AW22" s="37" t="s">
        <v>14</v>
      </c>
      <c r="AX22" s="37">
        <v>120</v>
      </c>
      <c r="AY22" s="6">
        <v>43061</v>
      </c>
      <c r="AZ22" s="38">
        <v>0.41388888888888892</v>
      </c>
      <c r="BA22" s="7"/>
      <c r="BB22" s="16"/>
      <c r="BC22" s="9"/>
      <c r="BD22" s="21"/>
      <c r="BE22" s="19"/>
      <c r="BF22" s="21"/>
      <c r="BG22" s="19"/>
      <c r="BH22" s="21" t="e">
        <f t="shared" si="24"/>
        <v>#DIV/0!</v>
      </c>
      <c r="BI22" s="19" t="e">
        <f t="shared" ref="BI22:BI31" si="28">BE22/BC22</f>
        <v>#DIV/0!</v>
      </c>
      <c r="BJ22" s="35"/>
      <c r="BK22" s="37"/>
      <c r="BL22" s="37" t="s">
        <v>14</v>
      </c>
      <c r="BM22" s="37">
        <v>120</v>
      </c>
      <c r="BN22" s="6">
        <v>43061</v>
      </c>
      <c r="BO22" s="38">
        <v>0.4145833333333333</v>
      </c>
      <c r="BP22" s="7"/>
      <c r="BQ22" s="16"/>
      <c r="BR22" s="9"/>
      <c r="BS22" s="21"/>
      <c r="BT22" s="19"/>
      <c r="BU22" s="21"/>
      <c r="BV22" s="19"/>
      <c r="BW22" s="21" t="e">
        <f t="shared" si="25"/>
        <v>#DIV/0!</v>
      </c>
      <c r="BX22" s="19" t="e">
        <f t="shared" ref="BX22:BX31" si="29">BT22/BR22</f>
        <v>#DIV/0!</v>
      </c>
    </row>
    <row r="23" spans="2:76" x14ac:dyDescent="0.25">
      <c r="B23" s="83"/>
      <c r="C23" s="37"/>
      <c r="D23" s="37" t="s">
        <v>15</v>
      </c>
      <c r="E23" s="37" t="s">
        <v>15</v>
      </c>
      <c r="F23" s="6">
        <v>43061</v>
      </c>
      <c r="G23" s="38">
        <v>0.43194444444444446</v>
      </c>
      <c r="H23" s="7">
        <f t="shared" ref="H23:H31" si="30">(F23-$F$10)*24 +(G23-$G$10)*24</f>
        <v>168.56666666666666</v>
      </c>
      <c r="I23" s="16">
        <v>28.2</v>
      </c>
      <c r="J23" s="9">
        <f t="shared" ref="J23:J28" si="31">11*9.4*9.4*0.52</f>
        <v>505.41920000000005</v>
      </c>
      <c r="K23" s="21">
        <v>898900000000</v>
      </c>
      <c r="L23" s="19">
        <v>288100000000</v>
      </c>
      <c r="M23" s="21"/>
      <c r="N23" s="19"/>
      <c r="O23" s="21">
        <f t="shared" si="1"/>
        <v>1778523649.2796474</v>
      </c>
      <c r="P23" s="19">
        <f t="shared" si="2"/>
        <v>570021874.91096497</v>
      </c>
      <c r="Q23" s="35"/>
      <c r="R23" s="37"/>
      <c r="S23" s="37" t="s">
        <v>15</v>
      </c>
      <c r="T23" s="37" t="s">
        <v>15</v>
      </c>
      <c r="U23" s="6">
        <v>43061</v>
      </c>
      <c r="V23" s="38">
        <v>0.43194444444444446</v>
      </c>
      <c r="W23" s="7">
        <f t="shared" si="3"/>
        <v>168.53333333333333</v>
      </c>
      <c r="X23" s="16">
        <f>27</f>
        <v>27</v>
      </c>
      <c r="Y23" s="9">
        <f t="shared" ref="Y23:Y28" si="32">8.2*7.3*7.3*0.52</f>
        <v>227.22855999999999</v>
      </c>
      <c r="Z23" s="21">
        <v>590500000000</v>
      </c>
      <c r="AA23" s="19">
        <v>228900000000</v>
      </c>
      <c r="AB23" s="21"/>
      <c r="AC23" s="19"/>
      <c r="AD23" s="21">
        <f t="shared" si="22"/>
        <v>2598705021.9391437</v>
      </c>
      <c r="AE23" s="19">
        <f t="shared" si="26"/>
        <v>1007355765.4900423</v>
      </c>
      <c r="AF23" s="35"/>
      <c r="AG23" s="37"/>
      <c r="AH23" s="37" t="s">
        <v>15</v>
      </c>
      <c r="AI23" s="37" t="s">
        <v>15</v>
      </c>
      <c r="AJ23" s="6">
        <v>43061</v>
      </c>
      <c r="AK23" s="38">
        <v>0.43402777777777773</v>
      </c>
      <c r="AL23" s="7">
        <f t="shared" si="5"/>
        <v>168.55</v>
      </c>
      <c r="AM23" s="16">
        <v>28.5</v>
      </c>
      <c r="AN23" s="9">
        <f t="shared" ref="AN23:AN28" si="33">7.1*6.8*6.8*0.52</f>
        <v>170.71807999999999</v>
      </c>
      <c r="AO23" s="21">
        <v>659900000000</v>
      </c>
      <c r="AP23" s="19">
        <v>205400000000</v>
      </c>
      <c r="AQ23" s="21"/>
      <c r="AR23" s="19"/>
      <c r="AS23" s="21">
        <f t="shared" si="23"/>
        <v>3865437099.5737538</v>
      </c>
      <c r="AT23" s="19">
        <f t="shared" si="27"/>
        <v>1203153175.1059995</v>
      </c>
      <c r="AU23" s="35"/>
      <c r="AV23" s="37"/>
      <c r="AW23" s="37" t="s">
        <v>15</v>
      </c>
      <c r="AX23" s="37" t="s">
        <v>15</v>
      </c>
      <c r="AY23" s="6">
        <v>43061</v>
      </c>
      <c r="AZ23" s="38">
        <v>0.43402777777777773</v>
      </c>
      <c r="BA23" s="7">
        <f t="shared" si="7"/>
        <v>168.53333333333333</v>
      </c>
      <c r="BB23" s="16">
        <v>27</v>
      </c>
      <c r="BC23" s="9">
        <f t="shared" ref="BC23:BC28" si="34">7.2*6.1*6.1*0.52</f>
        <v>139.31423999999998</v>
      </c>
      <c r="BD23" s="21">
        <v>439900000000</v>
      </c>
      <c r="BE23" s="19">
        <v>175400000000</v>
      </c>
      <c r="BF23" s="21"/>
      <c r="BG23" s="19"/>
      <c r="BH23" s="21">
        <f t="shared" si="24"/>
        <v>3157609731.7833414</v>
      </c>
      <c r="BI23" s="19">
        <f t="shared" si="28"/>
        <v>1259024203.1252513</v>
      </c>
      <c r="BJ23" s="35"/>
      <c r="BK23" s="37"/>
      <c r="BL23" s="37" t="s">
        <v>15</v>
      </c>
      <c r="BM23" s="37" t="s">
        <v>15</v>
      </c>
      <c r="BN23" s="6">
        <v>43061</v>
      </c>
      <c r="BO23" s="38">
        <v>0.43611111111111112</v>
      </c>
      <c r="BP23" s="7">
        <f t="shared" si="13"/>
        <v>168.53333333333333</v>
      </c>
      <c r="BQ23" s="16">
        <v>29</v>
      </c>
      <c r="BR23" s="9">
        <f t="shared" ref="BR23:BR28" si="35">11.4*8.6*8.6*0.52</f>
        <v>438.43487999999996</v>
      </c>
      <c r="BS23" s="21">
        <v>798000000000</v>
      </c>
      <c r="BT23" s="19">
        <v>240400000000</v>
      </c>
      <c r="BU23" s="21"/>
      <c r="BV23" s="19"/>
      <c r="BW23" s="21">
        <f t="shared" si="25"/>
        <v>1820110662.7282941</v>
      </c>
      <c r="BX23" s="19">
        <f t="shared" si="29"/>
        <v>548314039.24797225</v>
      </c>
    </row>
    <row r="24" spans="2:76" x14ac:dyDescent="0.25">
      <c r="B24" s="83"/>
      <c r="C24" s="37"/>
      <c r="D24" s="37" t="s">
        <v>15</v>
      </c>
      <c r="E24" s="37" t="s">
        <v>15</v>
      </c>
      <c r="F24" s="6">
        <v>43061</v>
      </c>
      <c r="G24" s="38">
        <v>0.47500000000000003</v>
      </c>
      <c r="H24" s="7">
        <f t="shared" si="30"/>
        <v>169.6</v>
      </c>
      <c r="I24" s="16">
        <v>28.2</v>
      </c>
      <c r="J24" s="9">
        <f t="shared" si="31"/>
        <v>505.41920000000005</v>
      </c>
      <c r="K24" s="21">
        <v>994200000000</v>
      </c>
      <c r="L24" s="19">
        <v>342300000000</v>
      </c>
      <c r="M24" s="21"/>
      <c r="N24" s="19"/>
      <c r="O24" s="21">
        <f t="shared" si="1"/>
        <v>1967080000.1266274</v>
      </c>
      <c r="P24" s="19">
        <f t="shared" si="2"/>
        <v>677259589.66339219</v>
      </c>
      <c r="Q24" s="35"/>
      <c r="R24" s="37"/>
      <c r="S24" s="37" t="s">
        <v>15</v>
      </c>
      <c r="T24" s="37" t="s">
        <v>15</v>
      </c>
      <c r="U24" s="6">
        <v>43061</v>
      </c>
      <c r="V24" s="38">
        <v>0.47500000000000003</v>
      </c>
      <c r="W24" s="7">
        <f t="shared" si="3"/>
        <v>169.56666666666666</v>
      </c>
      <c r="X24" s="16">
        <f>27</f>
        <v>27</v>
      </c>
      <c r="Y24" s="9">
        <f t="shared" si="32"/>
        <v>227.22855999999999</v>
      </c>
      <c r="Z24" s="21">
        <v>619600000000</v>
      </c>
      <c r="AA24" s="19">
        <v>235500000000</v>
      </c>
      <c r="AB24" s="21"/>
      <c r="AC24" s="19"/>
      <c r="AD24" s="21">
        <f t="shared" si="22"/>
        <v>2726769909.5571437</v>
      </c>
      <c r="AE24" s="19">
        <f t="shared" si="26"/>
        <v>1036401410.1044341</v>
      </c>
      <c r="AF24" s="35"/>
      <c r="AG24" s="37"/>
      <c r="AH24" s="37" t="s">
        <v>15</v>
      </c>
      <c r="AI24" s="37" t="s">
        <v>15</v>
      </c>
      <c r="AJ24" s="6">
        <v>43061</v>
      </c>
      <c r="AK24" s="38">
        <v>0.4770833333333333</v>
      </c>
      <c r="AL24" s="7">
        <f t="shared" si="5"/>
        <v>169.58333333333334</v>
      </c>
      <c r="AM24" s="16">
        <v>28.5</v>
      </c>
      <c r="AN24" s="9">
        <f t="shared" si="33"/>
        <v>170.71807999999999</v>
      </c>
      <c r="AO24" s="21">
        <v>830600000000</v>
      </c>
      <c r="AP24" s="19">
        <v>280700000000</v>
      </c>
      <c r="AQ24" s="21"/>
      <c r="AR24" s="19"/>
      <c r="AS24" s="21">
        <f t="shared" si="23"/>
        <v>4865331193.9778147</v>
      </c>
      <c r="AT24" s="19">
        <f t="shared" si="27"/>
        <v>1644231237.839601</v>
      </c>
      <c r="AU24" s="35"/>
      <c r="AV24" s="37"/>
      <c r="AW24" s="37" t="s">
        <v>15</v>
      </c>
      <c r="AX24" s="37" t="s">
        <v>15</v>
      </c>
      <c r="AY24" s="6">
        <v>43061</v>
      </c>
      <c r="AZ24" s="38">
        <v>0.4770833333333333</v>
      </c>
      <c r="BA24" s="7">
        <f t="shared" si="7"/>
        <v>169.56666666666666</v>
      </c>
      <c r="BB24" s="16">
        <v>27</v>
      </c>
      <c r="BC24" s="9">
        <f t="shared" si="34"/>
        <v>139.31423999999998</v>
      </c>
      <c r="BD24" s="21">
        <v>354900000000</v>
      </c>
      <c r="BE24" s="19">
        <v>143500000000</v>
      </c>
      <c r="BF24" s="21"/>
      <c r="BG24" s="19"/>
      <c r="BH24" s="21">
        <f t="shared" si="24"/>
        <v>2547478276.4489837</v>
      </c>
      <c r="BI24" s="19">
        <f t="shared" si="28"/>
        <v>1030045456.9468277</v>
      </c>
      <c r="BJ24" s="35"/>
      <c r="BK24" s="37"/>
      <c r="BL24" s="37" t="s">
        <v>15</v>
      </c>
      <c r="BM24" s="37" t="s">
        <v>15</v>
      </c>
      <c r="BN24" s="6">
        <v>43061</v>
      </c>
      <c r="BO24" s="38">
        <v>0.47916666666666669</v>
      </c>
      <c r="BP24" s="7">
        <f t="shared" si="13"/>
        <v>169.56666666666666</v>
      </c>
      <c r="BQ24" s="16">
        <v>29</v>
      </c>
      <c r="BR24" s="9">
        <f t="shared" si="35"/>
        <v>438.43487999999996</v>
      </c>
      <c r="BS24" s="21">
        <v>849800000000</v>
      </c>
      <c r="BT24" s="19">
        <v>267700000000</v>
      </c>
      <c r="BU24" s="21"/>
      <c r="BV24" s="19"/>
      <c r="BW24" s="21">
        <f t="shared" si="25"/>
        <v>1938258196.9755692</v>
      </c>
      <c r="BX24" s="19">
        <f t="shared" si="29"/>
        <v>610580982.97288764</v>
      </c>
    </row>
    <row r="25" spans="2:76" x14ac:dyDescent="0.25">
      <c r="B25" s="83"/>
      <c r="C25" s="37"/>
      <c r="D25" s="37" t="s">
        <v>15</v>
      </c>
      <c r="E25" s="37" t="s">
        <v>15</v>
      </c>
      <c r="F25" s="6">
        <v>43061</v>
      </c>
      <c r="G25" s="38">
        <v>0.53194444444444444</v>
      </c>
      <c r="H25" s="7">
        <f t="shared" si="30"/>
        <v>170.96666666666667</v>
      </c>
      <c r="I25" s="16">
        <v>28.2</v>
      </c>
      <c r="J25" s="9">
        <f t="shared" si="31"/>
        <v>505.41920000000005</v>
      </c>
      <c r="K25" s="21">
        <v>995200000000</v>
      </c>
      <c r="L25" s="19">
        <v>323400000000</v>
      </c>
      <c r="M25" s="21"/>
      <c r="N25" s="19"/>
      <c r="O25" s="21">
        <f t="shared" si="1"/>
        <v>1969058555.7493658</v>
      </c>
      <c r="P25" s="19">
        <f t="shared" si="2"/>
        <v>639864888.39363432</v>
      </c>
      <c r="Q25" s="35"/>
      <c r="R25" s="37"/>
      <c r="S25" s="37" t="s">
        <v>15</v>
      </c>
      <c r="T25" s="37" t="s">
        <v>15</v>
      </c>
      <c r="U25" s="6">
        <v>43061</v>
      </c>
      <c r="V25" s="38">
        <v>0.53194444444444444</v>
      </c>
      <c r="W25" s="7">
        <f t="shared" si="3"/>
        <v>170.93333333333334</v>
      </c>
      <c r="X25" s="16">
        <f>27</f>
        <v>27</v>
      </c>
      <c r="Y25" s="9">
        <f t="shared" si="32"/>
        <v>227.22855999999999</v>
      </c>
      <c r="Z25" s="21">
        <v>731200000000</v>
      </c>
      <c r="AA25" s="19">
        <v>276200000000</v>
      </c>
      <c r="AB25" s="21"/>
      <c r="AC25" s="19"/>
      <c r="AD25" s="21">
        <f t="shared" si="22"/>
        <v>3217905354.8550415</v>
      </c>
      <c r="AE25" s="19">
        <f t="shared" si="26"/>
        <v>1215516218.5598502</v>
      </c>
      <c r="AF25" s="35"/>
      <c r="AG25" s="37"/>
      <c r="AH25" s="37" t="s">
        <v>15</v>
      </c>
      <c r="AI25" s="37" t="s">
        <v>15</v>
      </c>
      <c r="AJ25" s="6">
        <v>43061</v>
      </c>
      <c r="AK25" s="38">
        <v>0.53402777777777777</v>
      </c>
      <c r="AL25" s="7">
        <f t="shared" si="5"/>
        <v>170.95</v>
      </c>
      <c r="AM25" s="16">
        <v>28.5</v>
      </c>
      <c r="AN25" s="9">
        <f t="shared" si="33"/>
        <v>170.71807999999999</v>
      </c>
      <c r="AO25" s="21">
        <v>698600000000</v>
      </c>
      <c r="AP25" s="19">
        <v>241200000000</v>
      </c>
      <c r="AQ25" s="21"/>
      <c r="AR25" s="19"/>
      <c r="AS25" s="21">
        <f t="shared" si="23"/>
        <v>4092126621.8551664</v>
      </c>
      <c r="AT25" s="19">
        <f t="shared" si="27"/>
        <v>1412855627.2422934</v>
      </c>
      <c r="AU25" s="35"/>
      <c r="AV25" s="37"/>
      <c r="AW25" s="37" t="s">
        <v>15</v>
      </c>
      <c r="AX25" s="37" t="s">
        <v>15</v>
      </c>
      <c r="AY25" s="6">
        <v>43061</v>
      </c>
      <c r="AZ25" s="38">
        <v>0.53402777777777777</v>
      </c>
      <c r="BA25" s="7">
        <f t="shared" si="7"/>
        <v>170.93333333333334</v>
      </c>
      <c r="BB25" s="16">
        <v>27</v>
      </c>
      <c r="BC25" s="9">
        <f t="shared" si="34"/>
        <v>139.31423999999998</v>
      </c>
      <c r="BD25" s="21">
        <v>415900000000</v>
      </c>
      <c r="BE25" s="19">
        <v>162400000000</v>
      </c>
      <c r="BF25" s="21"/>
      <c r="BG25" s="19"/>
      <c r="BH25" s="21">
        <f t="shared" si="24"/>
        <v>2985337320.8654051</v>
      </c>
      <c r="BI25" s="19">
        <f t="shared" si="28"/>
        <v>1165709980.5447025</v>
      </c>
      <c r="BJ25" s="35"/>
      <c r="BK25" s="37"/>
      <c r="BL25" s="37" t="s">
        <v>15</v>
      </c>
      <c r="BM25" s="37" t="s">
        <v>15</v>
      </c>
      <c r="BN25" s="6">
        <v>43061</v>
      </c>
      <c r="BO25" s="38">
        <v>0.53541666666666665</v>
      </c>
      <c r="BP25" s="7">
        <f t="shared" si="13"/>
        <v>170.91666666666666</v>
      </c>
      <c r="BQ25" s="16">
        <v>29</v>
      </c>
      <c r="BR25" s="9">
        <f t="shared" si="35"/>
        <v>438.43487999999996</v>
      </c>
      <c r="BS25" s="21">
        <v>943000000000</v>
      </c>
      <c r="BT25" s="19">
        <v>310700000000</v>
      </c>
      <c r="BU25" s="21"/>
      <c r="BV25" s="19"/>
      <c r="BW25" s="21">
        <f t="shared" si="25"/>
        <v>2150832525.0034852</v>
      </c>
      <c r="BX25" s="19">
        <f t="shared" si="29"/>
        <v>708657121.44070292</v>
      </c>
    </row>
    <row r="26" spans="2:76" x14ac:dyDescent="0.25">
      <c r="B26" s="83"/>
      <c r="C26" s="37"/>
      <c r="D26" s="37" t="s">
        <v>15</v>
      </c>
      <c r="E26" s="37" t="s">
        <v>15</v>
      </c>
      <c r="F26" s="6">
        <v>43061</v>
      </c>
      <c r="G26" s="38">
        <v>0.67083333333333339</v>
      </c>
      <c r="H26" s="7">
        <f t="shared" si="30"/>
        <v>174.3</v>
      </c>
      <c r="I26" s="16">
        <v>28.2</v>
      </c>
      <c r="J26" s="9">
        <f t="shared" si="31"/>
        <v>505.41920000000005</v>
      </c>
      <c r="K26" s="21">
        <v>958800000000</v>
      </c>
      <c r="L26" s="19">
        <v>310700000000</v>
      </c>
      <c r="M26" s="21"/>
      <c r="N26" s="19"/>
      <c r="O26" s="21">
        <f t="shared" si="1"/>
        <v>1897039131.0816841</v>
      </c>
      <c r="P26" s="19">
        <f t="shared" si="2"/>
        <v>614737231.98485529</v>
      </c>
      <c r="Q26" s="35"/>
      <c r="R26" s="37"/>
      <c r="S26" s="37" t="s">
        <v>15</v>
      </c>
      <c r="T26" s="37" t="s">
        <v>15</v>
      </c>
      <c r="U26" s="6">
        <v>43061</v>
      </c>
      <c r="V26" s="38">
        <v>0.67083333333333339</v>
      </c>
      <c r="W26" s="7">
        <f t="shared" si="3"/>
        <v>174.26666666666668</v>
      </c>
      <c r="X26" s="16">
        <f>27</f>
        <v>27</v>
      </c>
      <c r="Y26" s="9">
        <f t="shared" si="32"/>
        <v>227.22855999999999</v>
      </c>
      <c r="Z26" s="21">
        <v>694900000000</v>
      </c>
      <c r="AA26" s="19">
        <v>265100000000</v>
      </c>
      <c r="AB26" s="21"/>
      <c r="AC26" s="19"/>
      <c r="AD26" s="21">
        <f t="shared" si="22"/>
        <v>3058154309.4758863</v>
      </c>
      <c r="AE26" s="19">
        <f t="shared" si="26"/>
        <v>1166666725.3447366</v>
      </c>
      <c r="AF26" s="35"/>
      <c r="AG26" s="37"/>
      <c r="AH26" s="37" t="s">
        <v>15</v>
      </c>
      <c r="AI26" s="37" t="s">
        <v>15</v>
      </c>
      <c r="AJ26" s="6">
        <v>43061</v>
      </c>
      <c r="AK26" s="38">
        <v>0.67361111111111116</v>
      </c>
      <c r="AL26" s="7">
        <f t="shared" si="5"/>
        <v>174.3</v>
      </c>
      <c r="AM26" s="16">
        <v>28.5</v>
      </c>
      <c r="AN26" s="9">
        <f t="shared" si="33"/>
        <v>170.71807999999999</v>
      </c>
      <c r="AO26" s="21">
        <v>779000000000</v>
      </c>
      <c r="AP26" s="19">
        <v>245800000000</v>
      </c>
      <c r="AQ26" s="21"/>
      <c r="AR26" s="19"/>
      <c r="AS26" s="21">
        <f t="shared" si="23"/>
        <v>4563078497.6025972</v>
      </c>
      <c r="AT26" s="19">
        <f t="shared" si="27"/>
        <v>1439800635.0586886</v>
      </c>
      <c r="AU26" s="35"/>
      <c r="AV26" s="37"/>
      <c r="AW26" s="37" t="s">
        <v>15</v>
      </c>
      <c r="AX26" s="37" t="s">
        <v>15</v>
      </c>
      <c r="AY26" s="6">
        <v>43061</v>
      </c>
      <c r="AZ26" s="38">
        <v>0.67361111111111116</v>
      </c>
      <c r="BA26" s="7">
        <f t="shared" si="7"/>
        <v>174.28333333333333</v>
      </c>
      <c r="BB26" s="16">
        <v>27</v>
      </c>
      <c r="BC26" s="9">
        <f t="shared" si="34"/>
        <v>139.31423999999998</v>
      </c>
      <c r="BD26" s="21">
        <v>516900000000</v>
      </c>
      <c r="BE26" s="19">
        <v>196500000000</v>
      </c>
      <c r="BF26" s="21"/>
      <c r="BG26" s="19"/>
      <c r="BH26" s="21">
        <f t="shared" si="24"/>
        <v>3710317050.1450539</v>
      </c>
      <c r="BI26" s="19">
        <f t="shared" si="28"/>
        <v>1410480364.3906038</v>
      </c>
      <c r="BJ26" s="35"/>
      <c r="BK26" s="37"/>
      <c r="BL26" s="37" t="s">
        <v>15</v>
      </c>
      <c r="BM26" s="37" t="s">
        <v>15</v>
      </c>
      <c r="BN26" s="6">
        <v>43061</v>
      </c>
      <c r="BO26" s="38">
        <v>0.67569444444444438</v>
      </c>
      <c r="BP26" s="7">
        <f t="shared" si="13"/>
        <v>174.28333333333333</v>
      </c>
      <c r="BQ26" s="16">
        <v>29</v>
      </c>
      <c r="BR26" s="9">
        <f t="shared" si="35"/>
        <v>438.43487999999996</v>
      </c>
      <c r="BS26" s="21">
        <v>1017000000000</v>
      </c>
      <c r="BT26" s="19">
        <v>328400000000</v>
      </c>
      <c r="BU26" s="21"/>
      <c r="BV26" s="19"/>
      <c r="BW26" s="21">
        <f t="shared" si="25"/>
        <v>2319614716.7853069</v>
      </c>
      <c r="BX26" s="19">
        <f t="shared" si="29"/>
        <v>749027997.04257107</v>
      </c>
    </row>
    <row r="27" spans="2:76" x14ac:dyDescent="0.25">
      <c r="B27" s="83"/>
      <c r="C27" s="37"/>
      <c r="D27" s="37" t="s">
        <v>15</v>
      </c>
      <c r="E27" s="37" t="s">
        <v>15</v>
      </c>
      <c r="F27" s="6">
        <v>43061</v>
      </c>
      <c r="G27" s="38">
        <v>0.74444444444444446</v>
      </c>
      <c r="H27" s="7">
        <f t="shared" si="30"/>
        <v>176.06666666666666</v>
      </c>
      <c r="I27" s="16">
        <v>28.2</v>
      </c>
      <c r="J27" s="9">
        <f t="shared" si="31"/>
        <v>505.41920000000005</v>
      </c>
      <c r="K27" s="21">
        <v>1004000000000</v>
      </c>
      <c r="L27" s="19">
        <v>344500000000</v>
      </c>
      <c r="M27" s="21"/>
      <c r="N27" s="19"/>
      <c r="O27" s="21">
        <f t="shared" si="1"/>
        <v>1986469845.2294648</v>
      </c>
      <c r="P27" s="19">
        <f t="shared" si="2"/>
        <v>681612412.03341699</v>
      </c>
      <c r="Q27" s="35"/>
      <c r="R27" s="37"/>
      <c r="S27" s="37" t="s">
        <v>15</v>
      </c>
      <c r="T27" s="37" t="s">
        <v>15</v>
      </c>
      <c r="U27" s="6">
        <v>43061</v>
      </c>
      <c r="V27" s="38">
        <v>0.74444444444444446</v>
      </c>
      <c r="W27" s="7">
        <f t="shared" si="3"/>
        <v>176.03333333333333</v>
      </c>
      <c r="X27" s="16">
        <f>27</f>
        <v>27</v>
      </c>
      <c r="Y27" s="9">
        <f t="shared" si="32"/>
        <v>227.22855999999999</v>
      </c>
      <c r="Z27" s="21">
        <v>673400000000</v>
      </c>
      <c r="AA27" s="19">
        <v>256200000000</v>
      </c>
      <c r="AB27" s="21"/>
      <c r="AC27" s="19"/>
      <c r="AD27" s="21">
        <f t="shared" si="22"/>
        <v>2963535921.7168827</v>
      </c>
      <c r="AE27" s="19">
        <f t="shared" si="26"/>
        <v>1127499113.6677537</v>
      </c>
      <c r="AF27" s="35"/>
      <c r="AG27" s="37"/>
      <c r="AH27" s="37" t="s">
        <v>15</v>
      </c>
      <c r="AI27" s="37" t="s">
        <v>15</v>
      </c>
      <c r="AJ27" s="6">
        <v>43061</v>
      </c>
      <c r="AK27" s="38">
        <v>0.74722222222222223</v>
      </c>
      <c r="AL27" s="7">
        <f t="shared" si="5"/>
        <v>176.06666666666666</v>
      </c>
      <c r="AM27" s="16">
        <v>28.5</v>
      </c>
      <c r="AN27" s="9">
        <f t="shared" si="33"/>
        <v>170.71807999999999</v>
      </c>
      <c r="AO27" s="21">
        <v>711200000000</v>
      </c>
      <c r="AP27" s="19">
        <v>243600000000</v>
      </c>
      <c r="AQ27" s="21"/>
      <c r="AR27" s="19"/>
      <c r="AS27" s="21">
        <f t="shared" si="23"/>
        <v>4165932512.8305101</v>
      </c>
      <c r="AT27" s="19">
        <f t="shared" si="27"/>
        <v>1426913892.1899779</v>
      </c>
      <c r="AU27" s="35"/>
      <c r="AV27" s="37"/>
      <c r="AW27" s="37" t="s">
        <v>15</v>
      </c>
      <c r="AX27" s="37" t="s">
        <v>15</v>
      </c>
      <c r="AY27" s="6">
        <v>43061</v>
      </c>
      <c r="AZ27" s="38">
        <v>0.74722222222222223</v>
      </c>
      <c r="BA27" s="7">
        <f t="shared" si="7"/>
        <v>176.05</v>
      </c>
      <c r="BB27" s="16">
        <v>27</v>
      </c>
      <c r="BC27" s="9">
        <f t="shared" si="34"/>
        <v>139.31423999999998</v>
      </c>
      <c r="BD27" s="21">
        <v>384800000000</v>
      </c>
      <c r="BE27" s="19">
        <v>155800000000</v>
      </c>
      <c r="BF27" s="21"/>
      <c r="BG27" s="19"/>
      <c r="BH27" s="21">
        <f t="shared" si="24"/>
        <v>2762100988.3842459</v>
      </c>
      <c r="BI27" s="19">
        <f t="shared" si="28"/>
        <v>1118335067.5422699</v>
      </c>
      <c r="BJ27" s="35"/>
      <c r="BK27" s="37"/>
      <c r="BL27" s="37" t="s">
        <v>15</v>
      </c>
      <c r="BM27" s="37" t="s">
        <v>15</v>
      </c>
      <c r="BN27" s="6">
        <v>43061</v>
      </c>
      <c r="BO27" s="38">
        <v>0.74930555555555556</v>
      </c>
      <c r="BP27" s="7">
        <f t="shared" si="13"/>
        <v>176.05</v>
      </c>
      <c r="BQ27" s="16">
        <v>29</v>
      </c>
      <c r="BR27" s="9">
        <f t="shared" si="35"/>
        <v>438.43487999999996</v>
      </c>
      <c r="BS27" s="21">
        <v>991400000000</v>
      </c>
      <c r="BT27" s="19">
        <v>322800000000</v>
      </c>
      <c r="BU27" s="21"/>
      <c r="BV27" s="19"/>
      <c r="BW27" s="21">
        <f t="shared" si="25"/>
        <v>2261225201.7905145</v>
      </c>
      <c r="BX27" s="19">
        <f t="shared" si="29"/>
        <v>736255290.63746023</v>
      </c>
    </row>
    <row r="28" spans="2:76" x14ac:dyDescent="0.25">
      <c r="B28" s="83"/>
      <c r="C28" s="37"/>
      <c r="D28" s="37" t="s">
        <v>15</v>
      </c>
      <c r="E28" s="37" t="s">
        <v>15</v>
      </c>
      <c r="F28" s="6">
        <v>43061</v>
      </c>
      <c r="G28" s="38">
        <v>0.9194444444444444</v>
      </c>
      <c r="H28" s="7">
        <f t="shared" si="30"/>
        <v>180.26666666666665</v>
      </c>
      <c r="I28" s="16">
        <v>28.2</v>
      </c>
      <c r="J28" s="9">
        <f t="shared" si="31"/>
        <v>505.41920000000005</v>
      </c>
      <c r="K28" s="21">
        <v>853400000000</v>
      </c>
      <c r="L28" s="19">
        <v>292600000000</v>
      </c>
      <c r="M28" s="21"/>
      <c r="N28" s="19"/>
      <c r="O28" s="21">
        <f t="shared" si="1"/>
        <v>1688499368.445045</v>
      </c>
      <c r="P28" s="19">
        <f t="shared" si="2"/>
        <v>578925375.21328819</v>
      </c>
      <c r="Q28" s="35"/>
      <c r="R28" s="37"/>
      <c r="S28" s="37" t="s">
        <v>15</v>
      </c>
      <c r="T28" s="37" t="s">
        <v>15</v>
      </c>
      <c r="U28" s="6">
        <v>43061</v>
      </c>
      <c r="V28" s="38">
        <v>0.9194444444444444</v>
      </c>
      <c r="W28" s="7">
        <f t="shared" si="3"/>
        <v>180.23333333333332</v>
      </c>
      <c r="X28" s="16">
        <f>27</f>
        <v>27</v>
      </c>
      <c r="Y28" s="9">
        <f t="shared" si="32"/>
        <v>227.22855999999999</v>
      </c>
      <c r="Z28" s="21">
        <v>589000000000</v>
      </c>
      <c r="AA28" s="19">
        <v>223800000000</v>
      </c>
      <c r="AB28" s="21"/>
      <c r="AC28" s="19"/>
      <c r="AD28" s="21">
        <f t="shared" si="22"/>
        <v>2592103739.0722365</v>
      </c>
      <c r="AE28" s="19">
        <f t="shared" si="26"/>
        <v>984911403.74255776</v>
      </c>
      <c r="AF28" s="35"/>
      <c r="AG28" s="37"/>
      <c r="AH28" s="37" t="s">
        <v>15</v>
      </c>
      <c r="AI28" s="37" t="s">
        <v>15</v>
      </c>
      <c r="AJ28" s="6">
        <v>43061</v>
      </c>
      <c r="AK28" s="38">
        <v>0.92152777777777783</v>
      </c>
      <c r="AL28" s="7">
        <f t="shared" si="5"/>
        <v>180.25</v>
      </c>
      <c r="AM28" s="16">
        <v>28.5</v>
      </c>
      <c r="AN28" s="9">
        <f t="shared" si="33"/>
        <v>170.71807999999999</v>
      </c>
      <c r="AO28" s="21">
        <v>742700000000</v>
      </c>
      <c r="AP28" s="19">
        <v>245100000000</v>
      </c>
      <c r="AQ28" s="21"/>
      <c r="AR28" s="19"/>
      <c r="AS28" s="21">
        <f t="shared" si="23"/>
        <v>4350447240.2688694</v>
      </c>
      <c r="AT28" s="19">
        <f t="shared" si="27"/>
        <v>1435700307.7822807</v>
      </c>
      <c r="AU28" s="20"/>
      <c r="AV28" s="37"/>
      <c r="AW28" s="37" t="s">
        <v>15</v>
      </c>
      <c r="AX28" s="37" t="s">
        <v>15</v>
      </c>
      <c r="AY28" s="6">
        <v>43061</v>
      </c>
      <c r="AZ28" s="38">
        <v>0.92152777777777783</v>
      </c>
      <c r="BA28" s="7">
        <f t="shared" si="7"/>
        <v>180.23333333333335</v>
      </c>
      <c r="BB28" s="16">
        <v>27</v>
      </c>
      <c r="BC28" s="9">
        <f t="shared" si="34"/>
        <v>139.31423999999998</v>
      </c>
      <c r="BD28" s="21">
        <v>372200000000</v>
      </c>
      <c r="BE28" s="19">
        <v>149100000000</v>
      </c>
      <c r="BF28" s="21"/>
      <c r="BG28" s="19"/>
      <c r="BH28" s="21">
        <f t="shared" si="24"/>
        <v>2671657972.6523294</v>
      </c>
      <c r="BI28" s="19">
        <f t="shared" si="28"/>
        <v>1070242352.8276795</v>
      </c>
      <c r="BJ28" s="35"/>
      <c r="BK28" s="37"/>
      <c r="BL28" s="37" t="s">
        <v>15</v>
      </c>
      <c r="BM28" s="37" t="s">
        <v>15</v>
      </c>
      <c r="BN28" s="6">
        <v>43061</v>
      </c>
      <c r="BO28" s="38">
        <v>0.92361111111111116</v>
      </c>
      <c r="BP28" s="7">
        <f t="shared" si="13"/>
        <v>180.23333333333332</v>
      </c>
      <c r="BQ28" s="16">
        <v>29</v>
      </c>
      <c r="BR28" s="9">
        <f t="shared" si="35"/>
        <v>438.43487999999996</v>
      </c>
      <c r="BS28" s="21">
        <v>872600000000</v>
      </c>
      <c r="BT28" s="19">
        <v>287200000000</v>
      </c>
      <c r="BU28" s="21"/>
      <c r="BV28" s="19"/>
      <c r="BW28" s="21">
        <f t="shared" si="25"/>
        <v>1990261358.7678063</v>
      </c>
      <c r="BX28" s="19">
        <f t="shared" si="29"/>
        <v>655057371.34782708</v>
      </c>
    </row>
    <row r="29" spans="2:76" x14ac:dyDescent="0.25">
      <c r="B29" s="83"/>
      <c r="C29" s="37">
        <v>471</v>
      </c>
      <c r="D29" s="37" t="s">
        <v>15</v>
      </c>
      <c r="E29" s="37" t="s">
        <v>15</v>
      </c>
      <c r="F29" s="6">
        <v>43062</v>
      </c>
      <c r="G29" s="38">
        <v>0.40416666666666662</v>
      </c>
      <c r="H29" s="7">
        <f t="shared" si="30"/>
        <v>191.9</v>
      </c>
      <c r="I29" s="16">
        <v>28</v>
      </c>
      <c r="J29" s="9">
        <f>12.5*9*9*0.52</f>
        <v>526.5</v>
      </c>
      <c r="K29" s="21">
        <v>975100000000</v>
      </c>
      <c r="L29" s="19">
        <v>304600000000</v>
      </c>
      <c r="M29" s="21"/>
      <c r="N29" s="19"/>
      <c r="O29" s="21">
        <f t="shared" si="1"/>
        <v>1852041785.3751187</v>
      </c>
      <c r="P29" s="19">
        <f t="shared" si="2"/>
        <v>578537511.8708452</v>
      </c>
      <c r="Q29" s="35"/>
      <c r="R29" s="37">
        <v>523</v>
      </c>
      <c r="S29" s="37" t="s">
        <v>15</v>
      </c>
      <c r="T29" s="37" t="s">
        <v>15</v>
      </c>
      <c r="U29" s="6">
        <v>43062</v>
      </c>
      <c r="V29" s="38">
        <v>0.40416666666666662</v>
      </c>
      <c r="W29" s="7">
        <f t="shared" si="3"/>
        <v>191.86666666666667</v>
      </c>
      <c r="X29" s="16">
        <v>26</v>
      </c>
      <c r="Y29" s="9">
        <f>7.9*7.5*7.5*0.52</f>
        <v>231.07500000000002</v>
      </c>
      <c r="Z29" s="21">
        <v>583100000000</v>
      </c>
      <c r="AA29" s="19">
        <v>221000000000</v>
      </c>
      <c r="AB29" s="21"/>
      <c r="AC29" s="19"/>
      <c r="AD29" s="21">
        <f t="shared" si="22"/>
        <v>2523423131.0180674</v>
      </c>
      <c r="AE29" s="19">
        <f t="shared" si="26"/>
        <v>956399437.41209555</v>
      </c>
      <c r="AF29" s="35"/>
      <c r="AG29" s="37">
        <v>363</v>
      </c>
      <c r="AH29" s="37" t="s">
        <v>15</v>
      </c>
      <c r="AI29" s="37" t="s">
        <v>15</v>
      </c>
      <c r="AJ29" s="6">
        <v>43062</v>
      </c>
      <c r="AK29" s="38">
        <v>0.40625</v>
      </c>
      <c r="AL29" s="7">
        <f t="shared" si="5"/>
        <v>191.88333333333333</v>
      </c>
      <c r="AM29" s="16">
        <v>27.6</v>
      </c>
      <c r="AN29" s="9">
        <f>7.1*7*7*0.52</f>
        <v>180.90799999999999</v>
      </c>
      <c r="AO29" s="21">
        <v>817300000000</v>
      </c>
      <c r="AP29" s="19">
        <v>248700000000</v>
      </c>
      <c r="AQ29" s="21"/>
      <c r="AR29" s="19"/>
      <c r="AS29" s="21">
        <f t="shared" si="23"/>
        <v>4517765936.2770033</v>
      </c>
      <c r="AT29" s="19">
        <f t="shared" si="27"/>
        <v>1374731907.9311032</v>
      </c>
      <c r="AU29" s="35"/>
      <c r="AV29" s="37">
        <v>421</v>
      </c>
      <c r="AW29" s="37" t="s">
        <v>15</v>
      </c>
      <c r="AX29" s="37" t="s">
        <v>15</v>
      </c>
      <c r="AY29" s="6">
        <v>43062</v>
      </c>
      <c r="AZ29" s="38">
        <v>0.40625</v>
      </c>
      <c r="BA29" s="7">
        <f t="shared" si="7"/>
        <v>191.86666666666667</v>
      </c>
      <c r="BB29" s="16">
        <v>26.7</v>
      </c>
      <c r="BC29" s="9">
        <f>6.6*5.4*5.4*0.52</f>
        <v>100.07712000000001</v>
      </c>
      <c r="BD29" s="21">
        <v>371300000000</v>
      </c>
      <c r="BE29" s="19">
        <v>147800000000</v>
      </c>
      <c r="BF29" s="21"/>
      <c r="BG29" s="19"/>
      <c r="BH29" s="21">
        <f t="shared" si="24"/>
        <v>3710138741.0029383</v>
      </c>
      <c r="BI29" s="19">
        <f t="shared" si="28"/>
        <v>1476861044.7622793</v>
      </c>
      <c r="BJ29" s="35"/>
      <c r="BK29" s="37">
        <v>510</v>
      </c>
      <c r="BL29" s="37" t="s">
        <v>15</v>
      </c>
      <c r="BM29" s="37" t="s">
        <v>15</v>
      </c>
      <c r="BN29" s="6">
        <v>43062</v>
      </c>
      <c r="BO29" s="38">
        <v>0.40833333333333338</v>
      </c>
      <c r="BP29" s="7">
        <f t="shared" si="13"/>
        <v>191.86666666666667</v>
      </c>
      <c r="BQ29" s="16">
        <v>28.8</v>
      </c>
      <c r="BR29" s="9">
        <f>11.4*8.1*8.1*0.52</f>
        <v>388.93608</v>
      </c>
      <c r="BS29" s="21">
        <v>980000000000</v>
      </c>
      <c r="BT29" s="19">
        <v>307700000000</v>
      </c>
      <c r="BU29" s="21"/>
      <c r="BV29" s="19"/>
      <c r="BW29" s="21">
        <f t="shared" si="25"/>
        <v>2519694238.7036963</v>
      </c>
      <c r="BX29" s="19">
        <f t="shared" si="29"/>
        <v>791132568.62155855</v>
      </c>
    </row>
    <row r="30" spans="2:76" x14ac:dyDescent="0.25">
      <c r="B30" s="83"/>
      <c r="C30" s="37">
        <v>432</v>
      </c>
      <c r="D30" s="37" t="s">
        <v>15</v>
      </c>
      <c r="E30" s="37" t="s">
        <v>15</v>
      </c>
      <c r="F30" s="6">
        <v>43063</v>
      </c>
      <c r="G30" s="38">
        <v>0.47083333333333338</v>
      </c>
      <c r="H30" s="7">
        <f t="shared" si="30"/>
        <v>217.5</v>
      </c>
      <c r="I30" s="16">
        <v>27.9</v>
      </c>
      <c r="J30" s="9">
        <f>10.3*9*9*0.52</f>
        <v>433.83600000000007</v>
      </c>
      <c r="K30" s="21">
        <v>834200000000</v>
      </c>
      <c r="L30" s="19">
        <v>261800000000</v>
      </c>
      <c r="M30" s="21"/>
      <c r="N30" s="19"/>
      <c r="O30" s="21">
        <f t="shared" si="1"/>
        <v>1922846421.2282979</v>
      </c>
      <c r="P30" s="19">
        <f t="shared" si="2"/>
        <v>603453839.69979429</v>
      </c>
      <c r="Q30" s="35"/>
      <c r="R30" s="37">
        <v>456</v>
      </c>
      <c r="S30" s="37" t="s">
        <v>15</v>
      </c>
      <c r="T30" s="37" t="s">
        <v>15</v>
      </c>
      <c r="U30" s="6">
        <v>43063</v>
      </c>
      <c r="V30" s="38">
        <v>0.47083333333333338</v>
      </c>
      <c r="W30" s="7">
        <f t="shared" si="3"/>
        <v>217.46666666666667</v>
      </c>
      <c r="X30" s="16">
        <v>25.6</v>
      </c>
      <c r="Y30" s="9">
        <f>7.8*7.6*7.6*0.52</f>
        <v>234.27455999999995</v>
      </c>
      <c r="Z30" s="21">
        <v>463700000000</v>
      </c>
      <c r="AA30" s="19">
        <v>160200000000</v>
      </c>
      <c r="AB30" s="21"/>
      <c r="AC30" s="19"/>
      <c r="AD30" s="21">
        <f t="shared" si="22"/>
        <v>1979301551.1372643</v>
      </c>
      <c r="AE30" s="19">
        <f t="shared" si="26"/>
        <v>683813043.97711825</v>
      </c>
      <c r="AF30" s="35"/>
      <c r="AG30" s="37">
        <v>310</v>
      </c>
      <c r="AH30" s="37" t="s">
        <v>15</v>
      </c>
      <c r="AI30" s="37" t="s">
        <v>15</v>
      </c>
      <c r="AJ30" s="6">
        <v>43063</v>
      </c>
      <c r="AK30" s="38">
        <v>0.47291666666666665</v>
      </c>
      <c r="AL30" s="7">
        <f t="shared" si="5"/>
        <v>217.48333333333332</v>
      </c>
      <c r="AM30" s="16">
        <v>27.7</v>
      </c>
      <c r="AN30" s="9">
        <f>6.9*6.8*6.8*0.52</f>
        <v>165.90912</v>
      </c>
      <c r="AO30" s="21">
        <v>691700000000</v>
      </c>
      <c r="AP30" s="19">
        <v>212800000000</v>
      </c>
      <c r="AQ30" s="21"/>
      <c r="AR30" s="19"/>
      <c r="AS30" s="21">
        <f t="shared" si="23"/>
        <v>4169149953.9024739</v>
      </c>
      <c r="AT30" s="19">
        <f t="shared" si="27"/>
        <v>1282629912.0868099</v>
      </c>
      <c r="AU30" s="35"/>
      <c r="AV30" s="37">
        <v>359</v>
      </c>
      <c r="AW30" s="37" t="s">
        <v>15</v>
      </c>
      <c r="AX30" s="37" t="s">
        <v>15</v>
      </c>
      <c r="AY30" s="6">
        <v>43063</v>
      </c>
      <c r="AZ30" s="38">
        <v>0.47291666666666665</v>
      </c>
      <c r="BA30" s="7">
        <f t="shared" si="7"/>
        <v>217.46666666666667</v>
      </c>
      <c r="BB30" s="16">
        <v>26</v>
      </c>
      <c r="BC30" s="9">
        <f>5.9*5*5*0.52</f>
        <v>76.7</v>
      </c>
      <c r="BD30" s="21">
        <v>310100000000</v>
      </c>
      <c r="BE30" s="19">
        <v>114700000000</v>
      </c>
      <c r="BF30" s="21"/>
      <c r="BG30" s="19"/>
      <c r="BH30" s="21">
        <f t="shared" si="24"/>
        <v>4043024771.8383312</v>
      </c>
      <c r="BI30" s="19">
        <f t="shared" si="28"/>
        <v>1495436766.6232073</v>
      </c>
      <c r="BJ30" s="35"/>
      <c r="BK30" s="37">
        <v>466</v>
      </c>
      <c r="BL30" s="37" t="s">
        <v>15</v>
      </c>
      <c r="BM30" s="37" t="s">
        <v>15</v>
      </c>
      <c r="BN30" s="6">
        <v>43063</v>
      </c>
      <c r="BO30" s="38">
        <v>0.47500000000000003</v>
      </c>
      <c r="BP30" s="7">
        <f t="shared" si="13"/>
        <v>217.46666666666667</v>
      </c>
      <c r="BQ30" s="16">
        <v>28.2</v>
      </c>
      <c r="BR30" s="9">
        <f>8.4*7.8*7.8*0.52</f>
        <v>265.74912</v>
      </c>
      <c r="BS30" s="21">
        <v>723600000000</v>
      </c>
      <c r="BT30" s="19">
        <v>210000000000</v>
      </c>
      <c r="BU30" s="21"/>
      <c r="BV30" s="19"/>
      <c r="BW30" s="21">
        <f t="shared" si="25"/>
        <v>2722868847.1292019</v>
      </c>
      <c r="BX30" s="19">
        <f t="shared" si="29"/>
        <v>790218985.48525763</v>
      </c>
    </row>
    <row r="31" spans="2:76" ht="15.75" thickBot="1" x14ac:dyDescent="0.3">
      <c r="B31" s="84"/>
      <c r="C31" s="39">
        <v>384</v>
      </c>
      <c r="D31" s="39" t="s">
        <v>15</v>
      </c>
      <c r="E31" s="39" t="s">
        <v>15</v>
      </c>
      <c r="F31" s="40">
        <v>43064</v>
      </c>
      <c r="G31" s="41">
        <v>0.46180555555555558</v>
      </c>
      <c r="H31" s="42">
        <f t="shared" si="30"/>
        <v>241.28333333333333</v>
      </c>
      <c r="I31" s="43">
        <v>27.8</v>
      </c>
      <c r="J31" s="44">
        <f>11*9.6*9.6*0.52</f>
        <v>527.15519999999992</v>
      </c>
      <c r="K31" s="45">
        <v>862900000000</v>
      </c>
      <c r="L31" s="46">
        <v>260300000000</v>
      </c>
      <c r="M31" s="45"/>
      <c r="N31" s="46"/>
      <c r="O31" s="45">
        <f t="shared" si="1"/>
        <v>1636899341.9774673</v>
      </c>
      <c r="P31" s="46">
        <f t="shared" si="2"/>
        <v>493782476.20435131</v>
      </c>
      <c r="Q31" s="13"/>
      <c r="R31" s="39">
        <v>426</v>
      </c>
      <c r="S31" s="39" t="s">
        <v>15</v>
      </c>
      <c r="T31" s="39" t="s">
        <v>15</v>
      </c>
      <c r="U31" s="40">
        <v>43064</v>
      </c>
      <c r="V31" s="41">
        <v>0.46180555555555558</v>
      </c>
      <c r="W31" s="42">
        <f t="shared" si="3"/>
        <v>241.25</v>
      </c>
      <c r="X31" s="43">
        <v>25.4</v>
      </c>
      <c r="Y31" s="44">
        <f>7.8*7.5*7.5*0.52</f>
        <v>228.15</v>
      </c>
      <c r="Z31" s="45">
        <v>445700000000</v>
      </c>
      <c r="AA31" s="46">
        <v>167700000000</v>
      </c>
      <c r="AB31" s="45"/>
      <c r="AC31" s="46"/>
      <c r="AD31" s="45">
        <f t="shared" si="22"/>
        <v>1953539338.1547227</v>
      </c>
      <c r="AE31" s="46">
        <f t="shared" si="26"/>
        <v>735042735.04273498</v>
      </c>
      <c r="AF31" s="13"/>
      <c r="AG31" s="39">
        <v>288</v>
      </c>
      <c r="AH31" s="39" t="s">
        <v>15</v>
      </c>
      <c r="AI31" s="39" t="s">
        <v>15</v>
      </c>
      <c r="AJ31" s="40">
        <v>43064</v>
      </c>
      <c r="AK31" s="41">
        <v>0.46388888888888885</v>
      </c>
      <c r="AL31" s="42">
        <f t="shared" si="5"/>
        <v>241.26666666666665</v>
      </c>
      <c r="AM31" s="43">
        <v>27.4</v>
      </c>
      <c r="AN31" s="44">
        <f>7.7*7.1*7.1*0.52</f>
        <v>201.84163999999998</v>
      </c>
      <c r="AO31" s="45">
        <v>638700000000</v>
      </c>
      <c r="AP31" s="46">
        <v>210300000000</v>
      </c>
      <c r="AQ31" s="45"/>
      <c r="AR31" s="46"/>
      <c r="AS31" s="45">
        <f t="shared" si="23"/>
        <v>3164361922.5448232</v>
      </c>
      <c r="AT31" s="46">
        <f t="shared" si="27"/>
        <v>1041905921.8900521</v>
      </c>
      <c r="AU31" s="13"/>
      <c r="AV31" s="39">
        <v>336</v>
      </c>
      <c r="AW31" s="39" t="s">
        <v>15</v>
      </c>
      <c r="AX31" s="39" t="s">
        <v>15</v>
      </c>
      <c r="AY31" s="40">
        <v>43064</v>
      </c>
      <c r="AZ31" s="41">
        <v>0.46388888888888885</v>
      </c>
      <c r="BA31" s="42">
        <f t="shared" si="7"/>
        <v>241.25</v>
      </c>
      <c r="BB31" s="43">
        <v>26.3</v>
      </c>
      <c r="BC31" s="44">
        <f>7.5*5.8*5.8*0.52</f>
        <v>131.196</v>
      </c>
      <c r="BD31" s="45">
        <v>319000000000</v>
      </c>
      <c r="BE31" s="46">
        <v>122700000000</v>
      </c>
      <c r="BF31" s="45"/>
      <c r="BG31" s="46"/>
      <c r="BH31" s="45">
        <f t="shared" si="24"/>
        <v>2431476569.4076037</v>
      </c>
      <c r="BI31" s="46">
        <f t="shared" si="28"/>
        <v>935241928.10756421</v>
      </c>
      <c r="BJ31" s="13"/>
      <c r="BK31" s="39">
        <v>417</v>
      </c>
      <c r="BL31" s="39" t="s">
        <v>15</v>
      </c>
      <c r="BM31" s="39" t="s">
        <v>15</v>
      </c>
      <c r="BN31" s="40">
        <v>43064</v>
      </c>
      <c r="BO31" s="41">
        <v>0.46597222222222223</v>
      </c>
      <c r="BP31" s="42">
        <f t="shared" si="13"/>
        <v>241.25</v>
      </c>
      <c r="BQ31" s="43">
        <v>28.1</v>
      </c>
      <c r="BR31" s="44">
        <f>8*7*7*0.52</f>
        <v>203.84</v>
      </c>
      <c r="BS31" s="45">
        <v>725000000000</v>
      </c>
      <c r="BT31" s="46">
        <v>225800000000</v>
      </c>
      <c r="BU31" s="45"/>
      <c r="BV31" s="46"/>
      <c r="BW31" s="45">
        <f t="shared" si="25"/>
        <v>3556711145.99686</v>
      </c>
      <c r="BX31" s="46">
        <f t="shared" si="29"/>
        <v>1107731554.1601255</v>
      </c>
    </row>
    <row r="32" spans="2:76" s="35" customFormat="1" ht="15.75" thickBot="1" x14ac:dyDescent="0.3">
      <c r="B32" s="51"/>
      <c r="C32" s="52"/>
      <c r="D32" s="37"/>
      <c r="E32" s="37"/>
      <c r="F32" s="48"/>
      <c r="G32" s="38"/>
      <c r="H32" s="7"/>
      <c r="I32" s="16"/>
      <c r="J32" s="16"/>
      <c r="K32" s="21"/>
      <c r="L32" s="21"/>
      <c r="M32" s="21"/>
      <c r="N32" s="21"/>
      <c r="O32" s="21"/>
      <c r="P32" s="21"/>
      <c r="R32" s="37"/>
      <c r="S32" s="37"/>
      <c r="T32" s="37"/>
      <c r="U32" s="48"/>
      <c r="V32" s="38"/>
      <c r="W32" s="7"/>
      <c r="X32" s="16"/>
      <c r="Y32" s="16"/>
      <c r="Z32" s="21"/>
      <c r="AA32" s="21"/>
      <c r="AB32" s="21"/>
      <c r="AC32" s="21"/>
      <c r="AD32" s="21"/>
      <c r="AE32" s="21"/>
      <c r="AG32" s="37"/>
      <c r="AH32" s="37"/>
      <c r="AI32" s="37"/>
      <c r="AJ32" s="48"/>
      <c r="AK32" s="38"/>
      <c r="AL32" s="7"/>
      <c r="AM32" s="16"/>
      <c r="AN32" s="16"/>
      <c r="AO32" s="21"/>
      <c r="AP32" s="21"/>
      <c r="AQ32" s="21"/>
      <c r="AR32" s="21"/>
      <c r="AS32" s="21"/>
      <c r="AT32" s="21"/>
      <c r="AV32" s="37"/>
      <c r="AW32" s="37"/>
      <c r="AX32" s="37"/>
      <c r="AY32" s="48"/>
      <c r="AZ32" s="38"/>
      <c r="BA32" s="7"/>
      <c r="BB32" s="16"/>
      <c r="BC32" s="16"/>
      <c r="BD32" s="21"/>
      <c r="BE32" s="21"/>
      <c r="BF32" s="21"/>
      <c r="BG32" s="21"/>
      <c r="BH32" s="21"/>
      <c r="BI32" s="21"/>
      <c r="BK32" s="37"/>
      <c r="BL32" s="37"/>
      <c r="BM32" s="37"/>
      <c r="BN32" s="48"/>
      <c r="BO32" s="38"/>
      <c r="BP32" s="7"/>
      <c r="BQ32" s="16"/>
      <c r="BR32" s="16"/>
      <c r="BS32" s="21"/>
      <c r="BT32" s="21"/>
      <c r="BU32" s="21"/>
      <c r="BV32" s="21"/>
      <c r="BW32" s="21"/>
      <c r="BX32" s="21"/>
    </row>
    <row r="33" spans="2:76" ht="26.25" x14ac:dyDescent="0.4">
      <c r="B33" s="83" t="s">
        <v>49</v>
      </c>
      <c r="C33" s="11" t="s">
        <v>1</v>
      </c>
      <c r="D33" s="85" t="s">
        <v>50</v>
      </c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35"/>
      <c r="R33" s="11" t="s">
        <v>1</v>
      </c>
      <c r="S33" s="85" t="s">
        <v>51</v>
      </c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35"/>
      <c r="AG33" s="11" t="s">
        <v>1</v>
      </c>
      <c r="AH33" s="85" t="s">
        <v>52</v>
      </c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35"/>
      <c r="AV33" s="11" t="s">
        <v>1</v>
      </c>
      <c r="AW33" s="85" t="s">
        <v>53</v>
      </c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35"/>
      <c r="BK33" s="11" t="s">
        <v>1</v>
      </c>
      <c r="BL33" s="69" t="s">
        <v>54</v>
      </c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</row>
    <row r="34" spans="2:76" ht="18.75" x14ac:dyDescent="0.3">
      <c r="B34" s="83"/>
      <c r="C34" s="11" t="s">
        <v>11</v>
      </c>
      <c r="D34" s="70">
        <v>1093348</v>
      </c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30"/>
      <c r="P34" s="30"/>
      <c r="Q34" s="35"/>
      <c r="R34" s="11" t="s">
        <v>11</v>
      </c>
      <c r="S34" s="70">
        <v>1093348</v>
      </c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30"/>
      <c r="AE34" s="30"/>
      <c r="AF34" s="35"/>
      <c r="AG34" s="11" t="s">
        <v>11</v>
      </c>
      <c r="AH34" s="70">
        <v>1093348</v>
      </c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30"/>
      <c r="AT34" s="30"/>
      <c r="AU34" s="35"/>
      <c r="AV34" s="11" t="s">
        <v>11</v>
      </c>
      <c r="AW34" s="70">
        <v>1093348</v>
      </c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30"/>
      <c r="BI34" s="30"/>
      <c r="BJ34" s="35"/>
      <c r="BK34" s="11" t="s">
        <v>11</v>
      </c>
      <c r="BL34" s="70">
        <v>1093348</v>
      </c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W34" s="30"/>
      <c r="BX34" s="30"/>
    </row>
    <row r="35" spans="2:76" ht="19.5" thickBot="1" x14ac:dyDescent="0.35">
      <c r="B35" s="83"/>
      <c r="C35" s="32" t="s">
        <v>10</v>
      </c>
      <c r="D35" s="74" t="s">
        <v>45</v>
      </c>
      <c r="E35" s="74"/>
      <c r="F35" s="74"/>
      <c r="G35" s="74"/>
      <c r="H35" s="74"/>
      <c r="I35" s="74"/>
      <c r="J35" s="74"/>
      <c r="K35" s="73" t="s">
        <v>20</v>
      </c>
      <c r="L35" s="73"/>
      <c r="M35" s="74" t="s">
        <v>46</v>
      </c>
      <c r="N35" s="74"/>
      <c r="O35" s="33"/>
      <c r="P35" s="33"/>
      <c r="Q35" s="35"/>
      <c r="R35" s="32" t="s">
        <v>10</v>
      </c>
      <c r="S35" s="74" t="s">
        <v>45</v>
      </c>
      <c r="T35" s="74"/>
      <c r="U35" s="74"/>
      <c r="V35" s="74"/>
      <c r="W35" s="74"/>
      <c r="X35" s="74"/>
      <c r="Y35" s="74"/>
      <c r="Z35" s="73" t="s">
        <v>20</v>
      </c>
      <c r="AA35" s="73"/>
      <c r="AB35" s="74" t="s">
        <v>46</v>
      </c>
      <c r="AC35" s="74"/>
      <c r="AD35" s="33"/>
      <c r="AE35" s="33"/>
      <c r="AF35" s="35"/>
      <c r="AG35" s="32" t="s">
        <v>10</v>
      </c>
      <c r="AH35" s="74" t="s">
        <v>45</v>
      </c>
      <c r="AI35" s="74"/>
      <c r="AJ35" s="74"/>
      <c r="AK35" s="74"/>
      <c r="AL35" s="74"/>
      <c r="AM35" s="74"/>
      <c r="AN35" s="74"/>
      <c r="AO35" s="73" t="s">
        <v>20</v>
      </c>
      <c r="AP35" s="73"/>
      <c r="AQ35" s="74" t="s">
        <v>46</v>
      </c>
      <c r="AR35" s="74"/>
      <c r="AS35" s="33"/>
      <c r="AT35" s="33"/>
      <c r="AU35" s="35"/>
      <c r="AV35" s="32" t="s">
        <v>10</v>
      </c>
      <c r="AW35" s="74" t="s">
        <v>45</v>
      </c>
      <c r="AX35" s="74"/>
      <c r="AY35" s="74"/>
      <c r="AZ35" s="74"/>
      <c r="BA35" s="74"/>
      <c r="BB35" s="74"/>
      <c r="BC35" s="74"/>
      <c r="BD35" s="73" t="s">
        <v>20</v>
      </c>
      <c r="BE35" s="73"/>
      <c r="BF35" s="74" t="s">
        <v>46</v>
      </c>
      <c r="BG35" s="74"/>
      <c r="BH35" s="33"/>
      <c r="BI35" s="33"/>
      <c r="BJ35" s="35"/>
      <c r="BK35" s="32" t="s">
        <v>10</v>
      </c>
      <c r="BL35" s="74" t="s">
        <v>45</v>
      </c>
      <c r="BM35" s="74"/>
      <c r="BN35" s="74"/>
      <c r="BO35" s="74"/>
      <c r="BP35" s="74"/>
      <c r="BQ35" s="74"/>
      <c r="BR35" s="74"/>
      <c r="BS35" s="73" t="s">
        <v>20</v>
      </c>
      <c r="BT35" s="73"/>
      <c r="BU35" s="74" t="s">
        <v>46</v>
      </c>
      <c r="BV35" s="74"/>
      <c r="BW35" s="33"/>
      <c r="BX35" s="33"/>
    </row>
    <row r="36" spans="2:76" ht="18.75" x14ac:dyDescent="0.3">
      <c r="B36" s="83"/>
      <c r="C36" s="11"/>
      <c r="D36" s="12"/>
      <c r="E36" s="12"/>
      <c r="F36" s="12"/>
      <c r="G36" s="12"/>
      <c r="H36" s="12"/>
      <c r="I36" s="12"/>
      <c r="J36" s="12"/>
      <c r="K36" s="64" t="s">
        <v>27</v>
      </c>
      <c r="L36" s="64"/>
      <c r="M36" s="64" t="s">
        <v>26</v>
      </c>
      <c r="N36" s="64"/>
      <c r="O36" s="64" t="s">
        <v>30</v>
      </c>
      <c r="P36" s="64"/>
      <c r="Q36" s="35"/>
      <c r="R36" s="11"/>
      <c r="S36" s="12"/>
      <c r="T36" s="12"/>
      <c r="U36" s="12"/>
      <c r="V36" s="12"/>
      <c r="W36" s="12"/>
      <c r="X36" s="12"/>
      <c r="Y36" s="12"/>
      <c r="Z36" s="64" t="s">
        <v>27</v>
      </c>
      <c r="AA36" s="64"/>
      <c r="AB36" s="64" t="s">
        <v>26</v>
      </c>
      <c r="AC36" s="64"/>
      <c r="AD36" s="64" t="s">
        <v>30</v>
      </c>
      <c r="AE36" s="64"/>
      <c r="AF36" s="35"/>
      <c r="AG36" s="11"/>
      <c r="AH36" s="12"/>
      <c r="AI36" s="12"/>
      <c r="AJ36" s="12"/>
      <c r="AK36" s="12"/>
      <c r="AL36" s="12"/>
      <c r="AM36" s="12"/>
      <c r="AN36" s="12"/>
      <c r="AO36" s="64" t="s">
        <v>27</v>
      </c>
      <c r="AP36" s="64"/>
      <c r="AQ36" s="64" t="s">
        <v>26</v>
      </c>
      <c r="AR36" s="64"/>
      <c r="AS36" s="64" t="s">
        <v>30</v>
      </c>
      <c r="AT36" s="64"/>
      <c r="AU36" s="35"/>
      <c r="AV36" s="11"/>
      <c r="AW36" s="12"/>
      <c r="AX36" s="12"/>
      <c r="AY36" s="12"/>
      <c r="AZ36" s="12"/>
      <c r="BA36" s="12"/>
      <c r="BB36" s="12"/>
      <c r="BC36" s="12"/>
      <c r="BD36" s="64" t="s">
        <v>27</v>
      </c>
      <c r="BE36" s="64"/>
      <c r="BF36" s="64" t="s">
        <v>26</v>
      </c>
      <c r="BG36" s="64"/>
      <c r="BH36" s="64" t="s">
        <v>30</v>
      </c>
      <c r="BI36" s="64"/>
      <c r="BJ36" s="35"/>
      <c r="BK36" s="11"/>
      <c r="BL36" s="12"/>
      <c r="BM36" s="12"/>
      <c r="BN36" s="12"/>
      <c r="BO36" s="12"/>
      <c r="BP36" s="12"/>
      <c r="BQ36" s="12"/>
      <c r="BR36" s="12"/>
      <c r="BS36" s="64" t="s">
        <v>27</v>
      </c>
      <c r="BT36" s="64"/>
      <c r="BU36" s="64" t="s">
        <v>26</v>
      </c>
      <c r="BV36" s="64"/>
      <c r="BW36" s="64" t="s">
        <v>31</v>
      </c>
      <c r="BX36" s="64"/>
    </row>
    <row r="37" spans="2:76" ht="15" customHeight="1" x14ac:dyDescent="0.25">
      <c r="B37" s="83"/>
      <c r="C37" s="75" t="s">
        <v>47</v>
      </c>
      <c r="D37" s="82" t="s">
        <v>3</v>
      </c>
      <c r="E37" s="82"/>
      <c r="F37" s="76" t="s">
        <v>12</v>
      </c>
      <c r="G37" s="78" t="s">
        <v>13</v>
      </c>
      <c r="H37" s="80" t="s">
        <v>8</v>
      </c>
      <c r="I37" s="80" t="s">
        <v>0</v>
      </c>
      <c r="J37" s="71" t="s">
        <v>16</v>
      </c>
      <c r="K37" s="65" t="s">
        <v>6</v>
      </c>
      <c r="L37" s="67" t="s">
        <v>7</v>
      </c>
      <c r="M37" s="65" t="s">
        <v>6</v>
      </c>
      <c r="N37" s="67" t="s">
        <v>7</v>
      </c>
      <c r="O37" s="65" t="s">
        <v>28</v>
      </c>
      <c r="P37" s="67" t="s">
        <v>29</v>
      </c>
      <c r="Q37" s="35"/>
      <c r="R37" s="75" t="s">
        <v>47</v>
      </c>
      <c r="S37" s="82" t="s">
        <v>3</v>
      </c>
      <c r="T37" s="82"/>
      <c r="U37" s="76" t="s">
        <v>12</v>
      </c>
      <c r="V37" s="78" t="s">
        <v>13</v>
      </c>
      <c r="W37" s="80" t="s">
        <v>8</v>
      </c>
      <c r="X37" s="80" t="s">
        <v>0</v>
      </c>
      <c r="Y37" s="71" t="s">
        <v>16</v>
      </c>
      <c r="Z37" s="65" t="s">
        <v>6</v>
      </c>
      <c r="AA37" s="67" t="s">
        <v>7</v>
      </c>
      <c r="AB37" s="65" t="s">
        <v>6</v>
      </c>
      <c r="AC37" s="67" t="s">
        <v>7</v>
      </c>
      <c r="AD37" s="65" t="s">
        <v>28</v>
      </c>
      <c r="AE37" s="67" t="s">
        <v>29</v>
      </c>
      <c r="AF37" s="35"/>
      <c r="AG37" s="75" t="s">
        <v>47</v>
      </c>
      <c r="AH37" s="82" t="s">
        <v>3</v>
      </c>
      <c r="AI37" s="82"/>
      <c r="AJ37" s="76" t="s">
        <v>12</v>
      </c>
      <c r="AK37" s="78" t="s">
        <v>13</v>
      </c>
      <c r="AL37" s="80" t="s">
        <v>8</v>
      </c>
      <c r="AM37" s="80" t="s">
        <v>0</v>
      </c>
      <c r="AN37" s="71" t="s">
        <v>16</v>
      </c>
      <c r="AO37" s="65" t="s">
        <v>6</v>
      </c>
      <c r="AP37" s="67" t="s">
        <v>7</v>
      </c>
      <c r="AQ37" s="65" t="s">
        <v>6</v>
      </c>
      <c r="AR37" s="67" t="s">
        <v>7</v>
      </c>
      <c r="AS37" s="65" t="s">
        <v>28</v>
      </c>
      <c r="AT37" s="67" t="s">
        <v>29</v>
      </c>
      <c r="AU37" s="35"/>
      <c r="AV37" s="75" t="s">
        <v>47</v>
      </c>
      <c r="AW37" s="82" t="s">
        <v>3</v>
      </c>
      <c r="AX37" s="82"/>
      <c r="AY37" s="76" t="s">
        <v>12</v>
      </c>
      <c r="AZ37" s="78" t="s">
        <v>13</v>
      </c>
      <c r="BA37" s="80" t="s">
        <v>8</v>
      </c>
      <c r="BB37" s="80" t="s">
        <v>0</v>
      </c>
      <c r="BC37" s="71" t="s">
        <v>16</v>
      </c>
      <c r="BD37" s="65" t="s">
        <v>6</v>
      </c>
      <c r="BE37" s="67" t="s">
        <v>7</v>
      </c>
      <c r="BF37" s="65" t="s">
        <v>6</v>
      </c>
      <c r="BG37" s="67" t="s">
        <v>7</v>
      </c>
      <c r="BH37" s="65" t="s">
        <v>28</v>
      </c>
      <c r="BI37" s="67" t="s">
        <v>29</v>
      </c>
      <c r="BJ37" s="35"/>
      <c r="BK37" s="75" t="s">
        <v>47</v>
      </c>
      <c r="BL37" s="82" t="s">
        <v>3</v>
      </c>
      <c r="BM37" s="82"/>
      <c r="BN37" s="76" t="s">
        <v>12</v>
      </c>
      <c r="BO37" s="78" t="s">
        <v>13</v>
      </c>
      <c r="BP37" s="80" t="s">
        <v>8</v>
      </c>
      <c r="BQ37" s="80" t="s">
        <v>0</v>
      </c>
      <c r="BR37" s="71" t="s">
        <v>16</v>
      </c>
      <c r="BS37" s="65" t="s">
        <v>6</v>
      </c>
      <c r="BT37" s="67" t="s">
        <v>7</v>
      </c>
      <c r="BU37" s="65" t="s">
        <v>6</v>
      </c>
      <c r="BV37" s="67" t="s">
        <v>7</v>
      </c>
      <c r="BW37" s="65" t="s">
        <v>28</v>
      </c>
      <c r="BX37" s="67" t="s">
        <v>29</v>
      </c>
    </row>
    <row r="38" spans="2:76" x14ac:dyDescent="0.25">
      <c r="B38" s="83"/>
      <c r="C38" s="66"/>
      <c r="D38" s="31" t="s">
        <v>4</v>
      </c>
      <c r="E38" s="31" t="s">
        <v>5</v>
      </c>
      <c r="F38" s="77"/>
      <c r="G38" s="79"/>
      <c r="H38" s="81"/>
      <c r="I38" s="81"/>
      <c r="J38" s="72"/>
      <c r="K38" s="66"/>
      <c r="L38" s="68"/>
      <c r="M38" s="66"/>
      <c r="N38" s="68"/>
      <c r="O38" s="66"/>
      <c r="P38" s="68"/>
      <c r="Q38" s="35"/>
      <c r="R38" s="66"/>
      <c r="S38" s="31" t="s">
        <v>4</v>
      </c>
      <c r="T38" s="31" t="s">
        <v>5</v>
      </c>
      <c r="U38" s="77"/>
      <c r="V38" s="79"/>
      <c r="W38" s="81"/>
      <c r="X38" s="81"/>
      <c r="Y38" s="72"/>
      <c r="Z38" s="66"/>
      <c r="AA38" s="68"/>
      <c r="AB38" s="66"/>
      <c r="AC38" s="68"/>
      <c r="AD38" s="66"/>
      <c r="AE38" s="68"/>
      <c r="AF38" s="35"/>
      <c r="AG38" s="66"/>
      <c r="AH38" s="31" t="s">
        <v>4</v>
      </c>
      <c r="AI38" s="31" t="s">
        <v>5</v>
      </c>
      <c r="AJ38" s="77"/>
      <c r="AK38" s="79"/>
      <c r="AL38" s="81"/>
      <c r="AM38" s="81"/>
      <c r="AN38" s="72"/>
      <c r="AO38" s="66"/>
      <c r="AP38" s="68"/>
      <c r="AQ38" s="66"/>
      <c r="AR38" s="68"/>
      <c r="AS38" s="66"/>
      <c r="AT38" s="68"/>
      <c r="AU38" s="35"/>
      <c r="AV38" s="66"/>
      <c r="AW38" s="31" t="s">
        <v>4</v>
      </c>
      <c r="AX38" s="31" t="s">
        <v>5</v>
      </c>
      <c r="AY38" s="77"/>
      <c r="AZ38" s="79"/>
      <c r="BA38" s="81"/>
      <c r="BB38" s="81"/>
      <c r="BC38" s="72"/>
      <c r="BD38" s="66"/>
      <c r="BE38" s="68"/>
      <c r="BF38" s="66"/>
      <c r="BG38" s="68"/>
      <c r="BH38" s="66"/>
      <c r="BI38" s="68"/>
      <c r="BJ38" s="35"/>
      <c r="BK38" s="66"/>
      <c r="BL38" s="31" t="s">
        <v>4</v>
      </c>
      <c r="BM38" s="31" t="s">
        <v>5</v>
      </c>
      <c r="BN38" s="77"/>
      <c r="BO38" s="79"/>
      <c r="BP38" s="81"/>
      <c r="BQ38" s="81"/>
      <c r="BR38" s="72"/>
      <c r="BS38" s="66"/>
      <c r="BT38" s="68"/>
      <c r="BU38" s="66"/>
      <c r="BV38" s="68"/>
      <c r="BW38" s="66"/>
      <c r="BX38" s="68"/>
    </row>
    <row r="39" spans="2:76" x14ac:dyDescent="0.25">
      <c r="B39" s="83"/>
      <c r="C39" s="37" t="s">
        <v>15</v>
      </c>
      <c r="D39" s="37" t="s">
        <v>14</v>
      </c>
      <c r="E39" s="37">
        <v>110</v>
      </c>
      <c r="F39" s="6">
        <v>43038</v>
      </c>
      <c r="G39" s="38">
        <v>0.40277777777777773</v>
      </c>
      <c r="H39" s="7">
        <f>(F39-$F$39)*24 +(G39-$G$39)*24</f>
        <v>0</v>
      </c>
      <c r="I39" s="15">
        <v>30.9</v>
      </c>
      <c r="J39" s="8">
        <f>8.3*7.1*7.1*0.52</f>
        <v>217.56956</v>
      </c>
      <c r="K39" s="21">
        <v>810900000</v>
      </c>
      <c r="L39" s="17">
        <v>1811000000</v>
      </c>
      <c r="M39" s="21">
        <v>810900000</v>
      </c>
      <c r="N39" s="17">
        <v>1811000000</v>
      </c>
      <c r="O39" s="21">
        <f>K39/J39</f>
        <v>3727083.8806678657</v>
      </c>
      <c r="P39" s="19">
        <f>L39/J39</f>
        <v>8323774.7045128923</v>
      </c>
      <c r="Q39" s="35"/>
      <c r="R39" s="37" t="s">
        <v>15</v>
      </c>
      <c r="S39" s="37" t="s">
        <v>14</v>
      </c>
      <c r="T39" s="37">
        <v>110</v>
      </c>
      <c r="U39" s="6">
        <v>43038</v>
      </c>
      <c r="V39" s="38">
        <v>0.40486111111111112</v>
      </c>
      <c r="W39" s="53">
        <f>(U39-$U$39)*24 +(V39-$V$39)*24</f>
        <v>0</v>
      </c>
      <c r="X39" s="15">
        <v>32.1</v>
      </c>
      <c r="Y39" s="8">
        <f>5.9*3.8*3.8*0.52</f>
        <v>44.301920000000003</v>
      </c>
      <c r="Z39" s="21">
        <v>1266000000</v>
      </c>
      <c r="AA39" s="17">
        <v>2114000000</v>
      </c>
      <c r="AB39" s="21">
        <v>1266000000</v>
      </c>
      <c r="AC39" s="17">
        <v>2114000000</v>
      </c>
      <c r="AD39" s="21">
        <f>Z39/Y39</f>
        <v>28576639.56776591</v>
      </c>
      <c r="AE39" s="19">
        <f>AA39/Y39</f>
        <v>47718022.153441653</v>
      </c>
      <c r="AF39" s="35"/>
      <c r="AG39" s="37" t="s">
        <v>15</v>
      </c>
      <c r="AH39" s="37" t="s">
        <v>14</v>
      </c>
      <c r="AI39" s="37">
        <v>110</v>
      </c>
      <c r="AJ39" s="6">
        <v>43038</v>
      </c>
      <c r="AK39" s="38">
        <v>0.40625</v>
      </c>
      <c r="AL39" s="53">
        <f>(AJ39-$AJ$39)*24 +(AK39-$AK$39)*24</f>
        <v>0</v>
      </c>
      <c r="AM39" s="15">
        <v>28.5</v>
      </c>
      <c r="AN39" s="8">
        <f>7.8*6.6*6.6*0.52</f>
        <v>176.67936</v>
      </c>
      <c r="AO39" s="21">
        <v>496300000</v>
      </c>
      <c r="AP39" s="17">
        <v>1209000000</v>
      </c>
      <c r="AQ39" s="21">
        <v>496300000</v>
      </c>
      <c r="AR39" s="17">
        <v>1209000000</v>
      </c>
      <c r="AS39" s="21">
        <f>AO39/AN39</f>
        <v>2809043.4558966025</v>
      </c>
      <c r="AT39" s="19">
        <f>AP39/AN39</f>
        <v>6842904.5701772971</v>
      </c>
      <c r="AU39" s="35"/>
      <c r="AV39" s="37" t="s">
        <v>15</v>
      </c>
      <c r="AW39" s="37" t="s">
        <v>14</v>
      </c>
      <c r="AX39" s="37">
        <v>110</v>
      </c>
      <c r="AY39" s="6">
        <v>43038</v>
      </c>
      <c r="AZ39" s="38">
        <v>0.4069444444444445</v>
      </c>
      <c r="BA39" s="53">
        <f>(AY39-$AY$39)*24 +(AZ39-$AZ$39)*24</f>
        <v>0</v>
      </c>
      <c r="BB39" s="15">
        <v>32.6</v>
      </c>
      <c r="BC39" s="8">
        <f>8.7*6.3*6.3*0.52</f>
        <v>179.55755999999997</v>
      </c>
      <c r="BD39" s="21">
        <v>829400000</v>
      </c>
      <c r="BE39" s="17">
        <v>1884000000</v>
      </c>
      <c r="BF39" s="21">
        <v>829400000</v>
      </c>
      <c r="BG39" s="17">
        <v>1884000000</v>
      </c>
      <c r="BH39" s="21">
        <f>BD39/BC39</f>
        <v>4619131.6032585884</v>
      </c>
      <c r="BI39" s="19">
        <f>BE39/BC39</f>
        <v>10492457.126283072</v>
      </c>
      <c r="BJ39" s="35"/>
      <c r="BK39" s="37" t="s">
        <v>15</v>
      </c>
      <c r="BL39" s="37" t="s">
        <v>14</v>
      </c>
      <c r="BM39" s="37">
        <v>110</v>
      </c>
      <c r="BN39" s="6">
        <v>43038</v>
      </c>
      <c r="BO39" s="38">
        <v>0.40347222222222223</v>
      </c>
      <c r="BP39" s="53">
        <f>(BN39-$BN$39)*24 +(BO39-$BO$39)*24</f>
        <v>0</v>
      </c>
      <c r="BQ39" s="15">
        <v>33.5</v>
      </c>
      <c r="BR39" s="8">
        <f>7.3*5.5*5.5*0.52</f>
        <v>114.82899999999999</v>
      </c>
      <c r="BS39" s="21">
        <v>391200000</v>
      </c>
      <c r="BT39" s="17">
        <v>979200000</v>
      </c>
      <c r="BU39" s="21">
        <v>391200000</v>
      </c>
      <c r="BV39" s="17">
        <v>979200000</v>
      </c>
      <c r="BW39" s="21">
        <f>BS39/BR39</f>
        <v>3406804.9012009162</v>
      </c>
      <c r="BX39" s="19">
        <f>BT39/BR39</f>
        <v>8527462.5747851152</v>
      </c>
    </row>
    <row r="40" spans="2:76" x14ac:dyDescent="0.25">
      <c r="B40" s="83"/>
      <c r="C40" s="37" t="s">
        <v>15</v>
      </c>
      <c r="D40" s="37" t="s">
        <v>15</v>
      </c>
      <c r="E40" s="37" t="s">
        <v>15</v>
      </c>
      <c r="F40" s="6">
        <v>43038</v>
      </c>
      <c r="G40" s="38">
        <v>0.42152777777777778</v>
      </c>
      <c r="H40" s="7">
        <f>(G40-$G$39)*24</f>
        <v>0.45000000000000107</v>
      </c>
      <c r="I40" s="16">
        <v>30.9</v>
      </c>
      <c r="J40" s="9">
        <f t="shared" ref="J40:J45" si="36">8.3*7.1*7.1*0.52</f>
        <v>217.56956</v>
      </c>
      <c r="K40" s="21">
        <v>629900000000</v>
      </c>
      <c r="L40" s="19">
        <v>768200000000</v>
      </c>
      <c r="M40" s="21">
        <v>587600000000</v>
      </c>
      <c r="N40" s="19">
        <v>718100000000</v>
      </c>
      <c r="O40" s="21">
        <f t="shared" ref="O40:O60" si="37">K40/J40</f>
        <v>2895166033.3366489</v>
      </c>
      <c r="P40" s="19">
        <f t="shared" ref="P40:P60" si="38">L40/J40</f>
        <v>3530824808.3969102</v>
      </c>
      <c r="Q40" s="35"/>
      <c r="R40" s="37" t="s">
        <v>15</v>
      </c>
      <c r="S40" s="37" t="s">
        <v>15</v>
      </c>
      <c r="T40" s="37" t="s">
        <v>15</v>
      </c>
      <c r="U40" s="6">
        <v>43038</v>
      </c>
      <c r="V40" s="38">
        <v>0.42152777777777778</v>
      </c>
      <c r="W40" s="7">
        <f t="shared" ref="W40:W60" si="39">(U40-$U$39)*24 +(V40-$V$39)*24</f>
        <v>0.39999999999999991</v>
      </c>
      <c r="X40" s="16">
        <v>32.1</v>
      </c>
      <c r="Y40" s="9">
        <f>5.9*3.8*3.8*0.52</f>
        <v>44.301920000000003</v>
      </c>
      <c r="Z40" s="21">
        <v>405900000000</v>
      </c>
      <c r="AA40" s="19">
        <v>401300000000</v>
      </c>
      <c r="AB40" s="21">
        <v>398000000000</v>
      </c>
      <c r="AC40" s="19">
        <v>393900000000</v>
      </c>
      <c r="AD40" s="21">
        <f>Z40/Y40</f>
        <v>9162131122.0822926</v>
      </c>
      <c r="AE40" s="19">
        <f t="shared" ref="AE40:AE49" si="40">AA40/Y40</f>
        <v>9058298150.5090523</v>
      </c>
      <c r="AF40" s="35"/>
      <c r="AG40" s="37" t="s">
        <v>15</v>
      </c>
      <c r="AH40" s="37" t="s">
        <v>15</v>
      </c>
      <c r="AI40" s="37" t="s">
        <v>15</v>
      </c>
      <c r="AJ40" s="6">
        <v>43038</v>
      </c>
      <c r="AK40" s="38">
        <v>0.42152777777777778</v>
      </c>
      <c r="AL40" s="7">
        <f t="shared" ref="AL40:AL60" si="41">(AJ40-$AJ$39)*24 +(AK40-$AK$39)*24</f>
        <v>0.3666666666666667</v>
      </c>
      <c r="AM40" s="16">
        <v>28.5</v>
      </c>
      <c r="AN40" s="9">
        <f t="shared" ref="AN40:AN45" si="42">7.8*6.6*6.6*0.52</f>
        <v>176.67936</v>
      </c>
      <c r="AO40" s="21">
        <v>316400000000</v>
      </c>
      <c r="AP40" s="19">
        <v>414300000000</v>
      </c>
      <c r="AQ40" s="21">
        <v>325000000000</v>
      </c>
      <c r="AR40" s="19">
        <v>425800000000</v>
      </c>
      <c r="AS40" s="21">
        <f>AO40/AN40</f>
        <v>1790814727.8776648</v>
      </c>
      <c r="AT40" s="19">
        <f t="shared" ref="AT40" si="43">AP40/AN40</f>
        <v>2344925858.9118729</v>
      </c>
      <c r="AU40" s="35"/>
      <c r="AV40" s="37" t="s">
        <v>15</v>
      </c>
      <c r="AW40" s="37" t="s">
        <v>15</v>
      </c>
      <c r="AX40" s="37" t="s">
        <v>15</v>
      </c>
      <c r="AY40" s="6">
        <v>43038</v>
      </c>
      <c r="AZ40" s="38">
        <v>0.41805555555555557</v>
      </c>
      <c r="BA40" s="7">
        <f t="shared" ref="BA40:BA60" si="44">(AY40-$AY$39)*24 +(AZ40-$AZ$39)*24</f>
        <v>0.26666666666666572</v>
      </c>
      <c r="BB40" s="16">
        <v>32.6</v>
      </c>
      <c r="BC40" s="9">
        <f t="shared" ref="BC40:BC45" si="45">8.7*6.3*6.3*0.52</f>
        <v>179.55755999999997</v>
      </c>
      <c r="BD40" s="21">
        <v>406000000000</v>
      </c>
      <c r="BE40" s="19">
        <v>467100000000</v>
      </c>
      <c r="BF40" s="21">
        <v>409300000000</v>
      </c>
      <c r="BG40" s="19">
        <v>470900000000</v>
      </c>
      <c r="BH40" s="21">
        <f>BD40/BC40</f>
        <v>2261113372.224484</v>
      </c>
      <c r="BI40" s="19">
        <f t="shared" ref="BI40" si="46">BE40/BC40</f>
        <v>2601394227.0099912</v>
      </c>
      <c r="BJ40" s="35"/>
      <c r="BK40" s="37" t="s">
        <v>15</v>
      </c>
      <c r="BL40" s="37" t="s">
        <v>15</v>
      </c>
      <c r="BM40" s="37" t="s">
        <v>15</v>
      </c>
      <c r="BN40" s="6">
        <v>43038</v>
      </c>
      <c r="BO40" s="38">
        <v>0.41805555555555557</v>
      </c>
      <c r="BP40" s="7">
        <f t="shared" ref="BP40:BP60" si="47">(BN40-$BN$39)*24 +(BO40-$BO$39)*24</f>
        <v>0.35000000000000009</v>
      </c>
      <c r="BQ40" s="16">
        <v>33.5</v>
      </c>
      <c r="BR40" s="9">
        <f t="shared" ref="BR40:BR45" si="48">7.3*5.5*5.5*0.52</f>
        <v>114.82899999999999</v>
      </c>
      <c r="BS40" s="21">
        <v>289900000000</v>
      </c>
      <c r="BT40" s="19">
        <v>382000000000</v>
      </c>
      <c r="BU40" s="21">
        <v>293300000000</v>
      </c>
      <c r="BV40" s="19">
        <v>386400000000</v>
      </c>
      <c r="BW40" s="21">
        <f>BS40/BR40</f>
        <v>2524623570.7007813</v>
      </c>
      <c r="BX40" s="19">
        <f>BT40/BR40</f>
        <v>3326685767.5325923</v>
      </c>
    </row>
    <row r="41" spans="2:76" x14ac:dyDescent="0.25">
      <c r="B41" s="83"/>
      <c r="C41" s="37" t="s">
        <v>48</v>
      </c>
      <c r="D41" s="37" t="s">
        <v>15</v>
      </c>
      <c r="E41" s="37" t="s">
        <v>15</v>
      </c>
      <c r="F41" s="6">
        <v>43038</v>
      </c>
      <c r="G41" s="38">
        <v>0.47430555555555554</v>
      </c>
      <c r="H41" s="7">
        <f t="shared" ref="H41:H60" si="49">(F41-$F$39)*24 +(G41-$G$39)*24</f>
        <v>1.7166666666666672</v>
      </c>
      <c r="I41" s="16">
        <v>30.9</v>
      </c>
      <c r="J41" s="9">
        <f t="shared" si="36"/>
        <v>217.56956</v>
      </c>
      <c r="K41" s="21">
        <v>716500000000</v>
      </c>
      <c r="L41" s="19">
        <v>819200000000</v>
      </c>
      <c r="M41" s="21">
        <v>621600000000</v>
      </c>
      <c r="N41" s="19">
        <v>714600000000</v>
      </c>
      <c r="O41" s="21">
        <f t="shared" si="37"/>
        <v>3293199655.3194299</v>
      </c>
      <c r="P41" s="19">
        <f t="shared" si="38"/>
        <v>3765232599.6338825</v>
      </c>
      <c r="Q41" s="35"/>
      <c r="R41" s="37" t="s">
        <v>48</v>
      </c>
      <c r="S41" s="37" t="s">
        <v>15</v>
      </c>
      <c r="T41" s="37" t="s">
        <v>15</v>
      </c>
      <c r="U41" s="6">
        <v>43038</v>
      </c>
      <c r="V41" s="38">
        <v>0.47430555555555554</v>
      </c>
      <c r="W41" s="7">
        <f t="shared" si="39"/>
        <v>1.6666666666666661</v>
      </c>
      <c r="X41" s="16">
        <v>32.1</v>
      </c>
      <c r="Y41" s="9">
        <f t="shared" ref="Y41:Y45" si="50">5.9*3.8*3.8*0.52</f>
        <v>44.301920000000003</v>
      </c>
      <c r="Z41" s="21">
        <v>411100000000</v>
      </c>
      <c r="AA41" s="19">
        <v>400200000000</v>
      </c>
      <c r="AB41" s="21">
        <v>382500000000</v>
      </c>
      <c r="AC41" s="19">
        <v>372800000000</v>
      </c>
      <c r="AD41" s="21">
        <f>Z41/Y41</f>
        <v>9279507524.7303047</v>
      </c>
      <c r="AE41" s="19">
        <f>AA41/Y41</f>
        <v>9033468526.871973</v>
      </c>
      <c r="AF41" s="35"/>
      <c r="AG41" s="37" t="s">
        <v>48</v>
      </c>
      <c r="AH41" s="37" t="s">
        <v>15</v>
      </c>
      <c r="AI41" s="37" t="s">
        <v>15</v>
      </c>
      <c r="AJ41" s="6">
        <v>43038</v>
      </c>
      <c r="AK41" s="38">
        <v>0.47430555555555554</v>
      </c>
      <c r="AL41" s="7">
        <f t="shared" si="41"/>
        <v>1.6333333333333329</v>
      </c>
      <c r="AM41" s="16">
        <v>28.5</v>
      </c>
      <c r="AN41" s="9">
        <f t="shared" si="42"/>
        <v>176.67936</v>
      </c>
      <c r="AO41" s="21">
        <v>448100000000</v>
      </c>
      <c r="AP41" s="19">
        <v>537500000000</v>
      </c>
      <c r="AQ41" s="21">
        <v>424900000000</v>
      </c>
      <c r="AR41" s="19">
        <v>509200000000</v>
      </c>
      <c r="AS41" s="21">
        <f>AO41/AN41</f>
        <v>2536232868.4007006</v>
      </c>
      <c r="AT41" s="19">
        <f>AP41/AN41</f>
        <v>3042234248.5279546</v>
      </c>
      <c r="AU41" s="35"/>
      <c r="AV41" s="37" t="s">
        <v>48</v>
      </c>
      <c r="AW41" s="37" t="s">
        <v>15</v>
      </c>
      <c r="AX41" s="37" t="s">
        <v>15</v>
      </c>
      <c r="AY41" s="6">
        <v>43038</v>
      </c>
      <c r="AZ41" s="38">
        <v>0.47569444444444442</v>
      </c>
      <c r="BA41" s="7">
        <f t="shared" si="44"/>
        <v>1.6499999999999981</v>
      </c>
      <c r="BB41" s="16">
        <v>32.6</v>
      </c>
      <c r="BC41" s="9">
        <f t="shared" si="45"/>
        <v>179.55755999999997</v>
      </c>
      <c r="BD41" s="21">
        <v>600700000000</v>
      </c>
      <c r="BE41" s="19">
        <v>721100000000</v>
      </c>
      <c r="BF41" s="21">
        <v>582000000000</v>
      </c>
      <c r="BG41" s="19">
        <v>699700000000</v>
      </c>
      <c r="BH41" s="21">
        <f>BD41/BC41</f>
        <v>3345445326.8355846</v>
      </c>
      <c r="BI41" s="19">
        <f>BE41/BC41</f>
        <v>4015982395.8400869</v>
      </c>
      <c r="BJ41" s="35"/>
      <c r="BK41" s="37" t="s">
        <v>48</v>
      </c>
      <c r="BL41" s="37" t="s">
        <v>15</v>
      </c>
      <c r="BM41" s="37" t="s">
        <v>15</v>
      </c>
      <c r="BN41" s="6">
        <v>43038</v>
      </c>
      <c r="BO41" s="38">
        <v>0.47569444444444442</v>
      </c>
      <c r="BP41" s="7">
        <f t="shared" si="47"/>
        <v>1.7333333333333325</v>
      </c>
      <c r="BQ41" s="16">
        <v>33.5</v>
      </c>
      <c r="BR41" s="9">
        <f t="shared" si="48"/>
        <v>114.82899999999999</v>
      </c>
      <c r="BS41" s="21">
        <v>343100000000</v>
      </c>
      <c r="BT41" s="19">
        <v>447300000000</v>
      </c>
      <c r="BU41" s="21">
        <v>347400000000</v>
      </c>
      <c r="BV41" s="19">
        <v>452800000000</v>
      </c>
      <c r="BW41" s="21">
        <f>BS41/BR41</f>
        <v>2987921169.7393517</v>
      </c>
      <c r="BX41" s="19">
        <f>BT41/BR41</f>
        <v>3895357444.5479803</v>
      </c>
    </row>
    <row r="42" spans="2:76" x14ac:dyDescent="0.25">
      <c r="B42" s="83"/>
      <c r="C42" s="37" t="s">
        <v>15</v>
      </c>
      <c r="D42" s="37" t="s">
        <v>15</v>
      </c>
      <c r="E42" s="37" t="s">
        <v>15</v>
      </c>
      <c r="F42" s="6">
        <v>43038</v>
      </c>
      <c r="G42" s="38">
        <v>0.52986111111111112</v>
      </c>
      <c r="H42" s="7">
        <f t="shared" si="49"/>
        <v>3.0500000000000012</v>
      </c>
      <c r="I42" s="16">
        <v>30.9</v>
      </c>
      <c r="J42" s="9">
        <f t="shared" si="36"/>
        <v>217.56956</v>
      </c>
      <c r="K42" s="21">
        <v>688900000000</v>
      </c>
      <c r="L42" s="19">
        <v>761900000000</v>
      </c>
      <c r="M42" s="21">
        <v>587400000000</v>
      </c>
      <c r="N42" s="19">
        <v>652400000000</v>
      </c>
      <c r="O42" s="21">
        <f t="shared" si="37"/>
        <v>3166343674.1794209</v>
      </c>
      <c r="P42" s="19">
        <f t="shared" si="38"/>
        <v>3501868551.8323426</v>
      </c>
      <c r="Q42" s="35"/>
      <c r="R42" s="37" t="s">
        <v>15</v>
      </c>
      <c r="S42" s="37" t="s">
        <v>15</v>
      </c>
      <c r="T42" s="37" t="s">
        <v>15</v>
      </c>
      <c r="U42" s="6">
        <v>43038</v>
      </c>
      <c r="V42" s="38">
        <v>0.52986111111111112</v>
      </c>
      <c r="W42" s="7">
        <f t="shared" si="39"/>
        <v>3</v>
      </c>
      <c r="X42" s="16">
        <v>32.1</v>
      </c>
      <c r="Y42" s="9">
        <f t="shared" si="50"/>
        <v>44.301920000000003</v>
      </c>
      <c r="Z42" s="21">
        <v>371900000000</v>
      </c>
      <c r="AA42" s="19">
        <v>358500000000</v>
      </c>
      <c r="AB42" s="21">
        <v>351500000000</v>
      </c>
      <c r="AC42" s="19">
        <v>338900000000</v>
      </c>
      <c r="AD42" s="21">
        <f t="shared" ref="AD42:AD43" si="51">Z42/Y42</f>
        <v>8394670027.845294</v>
      </c>
      <c r="AE42" s="19">
        <f t="shared" si="40"/>
        <v>8092200067.1754179</v>
      </c>
      <c r="AF42" s="35"/>
      <c r="AG42" s="37" t="s">
        <v>15</v>
      </c>
      <c r="AH42" s="37" t="s">
        <v>15</v>
      </c>
      <c r="AI42" s="37" t="s">
        <v>15</v>
      </c>
      <c r="AJ42" s="6">
        <v>43038</v>
      </c>
      <c r="AK42" s="38">
        <v>0.52986111111111112</v>
      </c>
      <c r="AL42" s="7">
        <f t="shared" si="41"/>
        <v>2.9666666666666668</v>
      </c>
      <c r="AM42" s="16">
        <v>28.5</v>
      </c>
      <c r="AN42" s="9">
        <f t="shared" si="42"/>
        <v>176.67936</v>
      </c>
      <c r="AO42" s="21">
        <v>433700000000</v>
      </c>
      <c r="AP42" s="19">
        <v>552900000000</v>
      </c>
      <c r="AQ42" s="21">
        <v>416500000000</v>
      </c>
      <c r="AR42" s="19">
        <v>530600000000</v>
      </c>
      <c r="AS42" s="21">
        <f t="shared" ref="AS42:AS43" si="52">AO42/AN42</f>
        <v>2454729290.3936262</v>
      </c>
      <c r="AT42" s="19">
        <f t="shared" ref="AT42:AT49" si="53">AP42/AN42</f>
        <v>3129397797.2299652</v>
      </c>
      <c r="AU42" s="35"/>
      <c r="AV42" s="37" t="s">
        <v>15</v>
      </c>
      <c r="AW42" s="37" t="s">
        <v>15</v>
      </c>
      <c r="AX42" s="37" t="s">
        <v>15</v>
      </c>
      <c r="AY42" s="6">
        <v>43038</v>
      </c>
      <c r="AZ42" s="38">
        <v>0.5180555555555556</v>
      </c>
      <c r="BA42" s="7">
        <f t="shared" si="44"/>
        <v>2.6666666666666665</v>
      </c>
      <c r="BB42" s="16">
        <v>32.6</v>
      </c>
      <c r="BC42" s="9">
        <f t="shared" si="45"/>
        <v>179.55755999999997</v>
      </c>
      <c r="BD42" s="21">
        <v>657900000000</v>
      </c>
      <c r="BE42" s="19">
        <v>771100000000</v>
      </c>
      <c r="BF42" s="21">
        <v>613900000000</v>
      </c>
      <c r="BG42" s="19">
        <v>721300000000</v>
      </c>
      <c r="BH42" s="21">
        <f t="shared" ref="BH42:BH43" si="54">BD42/BC42</f>
        <v>3664006127.0603151</v>
      </c>
      <c r="BI42" s="19">
        <f t="shared" ref="BI42:BI49" si="55">BE42/BC42</f>
        <v>4294444633.7987671</v>
      </c>
      <c r="BJ42" s="35"/>
      <c r="BK42" s="37" t="s">
        <v>15</v>
      </c>
      <c r="BL42" s="37" t="s">
        <v>15</v>
      </c>
      <c r="BM42" s="37" t="s">
        <v>15</v>
      </c>
      <c r="BN42" s="6">
        <v>43038</v>
      </c>
      <c r="BO42" s="38">
        <v>0.5180555555555556</v>
      </c>
      <c r="BP42" s="7">
        <f t="shared" si="47"/>
        <v>2.7500000000000009</v>
      </c>
      <c r="BQ42" s="16">
        <v>33.5</v>
      </c>
      <c r="BR42" s="9">
        <f t="shared" si="48"/>
        <v>114.82899999999999</v>
      </c>
      <c r="BS42" s="21">
        <v>424100000000</v>
      </c>
      <c r="BT42" s="19">
        <v>543900000000</v>
      </c>
      <c r="BU42" s="21">
        <v>429300000000</v>
      </c>
      <c r="BV42" s="19">
        <v>550500000000</v>
      </c>
      <c r="BW42" s="21">
        <f t="shared" ref="BW42:BW43" si="56">BS42/BR42</f>
        <v>3693317890.0800323</v>
      </c>
      <c r="BX42" s="19">
        <f t="shared" ref="BX42:BX49" si="57">BT42/BR42</f>
        <v>4736608348.0653849</v>
      </c>
    </row>
    <row r="43" spans="2:76" x14ac:dyDescent="0.25">
      <c r="B43" s="83"/>
      <c r="C43" s="37" t="s">
        <v>15</v>
      </c>
      <c r="D43" s="37" t="s">
        <v>15</v>
      </c>
      <c r="E43" s="37" t="s">
        <v>15</v>
      </c>
      <c r="F43" s="6">
        <v>43038</v>
      </c>
      <c r="G43" s="38">
        <v>0.6381944444444444</v>
      </c>
      <c r="H43" s="7">
        <f t="shared" si="49"/>
        <v>5.65</v>
      </c>
      <c r="I43" s="16">
        <v>30.9</v>
      </c>
      <c r="J43" s="9">
        <f t="shared" si="36"/>
        <v>217.56956</v>
      </c>
      <c r="K43" s="21">
        <v>715800000000</v>
      </c>
      <c r="L43" s="19">
        <v>815600000000</v>
      </c>
      <c r="M43" s="21">
        <v>614300000000</v>
      </c>
      <c r="N43" s="19">
        <v>702900000000</v>
      </c>
      <c r="O43" s="21">
        <f t="shared" si="37"/>
        <v>3289982293.4789224</v>
      </c>
      <c r="P43" s="19">
        <f t="shared" si="38"/>
        <v>3748686167.3112726</v>
      </c>
      <c r="Q43" s="35"/>
      <c r="R43" s="37" t="s">
        <v>15</v>
      </c>
      <c r="S43" s="37" t="s">
        <v>15</v>
      </c>
      <c r="T43" s="37" t="s">
        <v>15</v>
      </c>
      <c r="U43" s="6">
        <v>43038</v>
      </c>
      <c r="V43" s="38">
        <v>0.6381944444444444</v>
      </c>
      <c r="W43" s="7">
        <f t="shared" si="39"/>
        <v>5.5999999999999988</v>
      </c>
      <c r="X43" s="16">
        <v>32.1</v>
      </c>
      <c r="Y43" s="9">
        <f t="shared" si="50"/>
        <v>44.301920000000003</v>
      </c>
      <c r="Z43" s="21">
        <v>428100000000</v>
      </c>
      <c r="AA43" s="19">
        <v>417700000000</v>
      </c>
      <c r="AB43" s="21">
        <v>406000000000</v>
      </c>
      <c r="AC43" s="19">
        <v>396800000000</v>
      </c>
      <c r="AD43" s="21">
        <f t="shared" si="51"/>
        <v>9663238071.8488045</v>
      </c>
      <c r="AE43" s="19">
        <f t="shared" si="40"/>
        <v>9428485266.5527802</v>
      </c>
      <c r="AF43" s="35"/>
      <c r="AG43" s="37" t="s">
        <v>15</v>
      </c>
      <c r="AH43" s="37" t="s">
        <v>15</v>
      </c>
      <c r="AI43" s="37" t="s">
        <v>15</v>
      </c>
      <c r="AJ43" s="6">
        <v>43038</v>
      </c>
      <c r="AK43" s="38">
        <v>0.6381944444444444</v>
      </c>
      <c r="AL43" s="7">
        <f t="shared" si="41"/>
        <v>5.5666666666666655</v>
      </c>
      <c r="AM43" s="16">
        <v>28.5</v>
      </c>
      <c r="AN43" s="9">
        <f t="shared" si="42"/>
        <v>176.67936</v>
      </c>
      <c r="AO43" s="21">
        <v>499300000000</v>
      </c>
      <c r="AP43" s="19">
        <v>603900000000</v>
      </c>
      <c r="AQ43" s="21">
        <v>457800000000</v>
      </c>
      <c r="AR43" s="19">
        <v>553200000000</v>
      </c>
      <c r="AS43" s="21">
        <f t="shared" si="52"/>
        <v>2826023367.98141</v>
      </c>
      <c r="AT43" s="19">
        <f t="shared" si="53"/>
        <v>3418056302.6716871</v>
      </c>
      <c r="AU43" s="35"/>
      <c r="AV43" s="37" t="s">
        <v>15</v>
      </c>
      <c r="AW43" s="37" t="s">
        <v>15</v>
      </c>
      <c r="AX43" s="37" t="s">
        <v>15</v>
      </c>
      <c r="AY43" s="6">
        <v>43038</v>
      </c>
      <c r="AZ43" s="38">
        <v>0.64166666666666672</v>
      </c>
      <c r="BA43" s="7">
        <f t="shared" si="44"/>
        <v>5.6333333333333329</v>
      </c>
      <c r="BB43" s="16">
        <v>32.6</v>
      </c>
      <c r="BC43" s="9">
        <f t="shared" si="45"/>
        <v>179.55755999999997</v>
      </c>
      <c r="BD43" s="21">
        <v>667200000000</v>
      </c>
      <c r="BE43" s="19">
        <v>844500000000</v>
      </c>
      <c r="BF43" s="21">
        <v>622800000000</v>
      </c>
      <c r="BG43" s="19">
        <v>789600000000</v>
      </c>
      <c r="BH43" s="21">
        <f t="shared" si="54"/>
        <v>3715800103.3206296</v>
      </c>
      <c r="BI43" s="19">
        <f t="shared" si="55"/>
        <v>4703227199.1221094</v>
      </c>
      <c r="BJ43" s="35"/>
      <c r="BK43" s="37" t="s">
        <v>15</v>
      </c>
      <c r="BL43" s="37" t="s">
        <v>15</v>
      </c>
      <c r="BM43" s="37" t="s">
        <v>15</v>
      </c>
      <c r="BN43" s="6">
        <v>43038</v>
      </c>
      <c r="BO43" s="38">
        <v>0.64166666666666672</v>
      </c>
      <c r="BP43" s="7">
        <f t="shared" si="47"/>
        <v>5.7166666666666677</v>
      </c>
      <c r="BQ43" s="16">
        <v>33.5</v>
      </c>
      <c r="BR43" s="9">
        <f t="shared" si="48"/>
        <v>114.82899999999999</v>
      </c>
      <c r="BS43" s="21">
        <v>406000000000</v>
      </c>
      <c r="BT43" s="19">
        <v>516700000000</v>
      </c>
      <c r="BU43" s="21">
        <v>412200000000</v>
      </c>
      <c r="BV43" s="19">
        <v>524600000000</v>
      </c>
      <c r="BW43" s="21">
        <f t="shared" si="56"/>
        <v>3535692203.1890903</v>
      </c>
      <c r="BX43" s="19">
        <f t="shared" si="57"/>
        <v>4499734387.6546869</v>
      </c>
    </row>
    <row r="44" spans="2:76" x14ac:dyDescent="0.25">
      <c r="B44" s="83"/>
      <c r="C44" s="37" t="s">
        <v>15</v>
      </c>
      <c r="D44" s="37" t="s">
        <v>15</v>
      </c>
      <c r="E44" s="37" t="s">
        <v>15</v>
      </c>
      <c r="F44" s="6">
        <v>43038</v>
      </c>
      <c r="G44" s="38">
        <v>0.73263888888888884</v>
      </c>
      <c r="H44" s="7">
        <f t="shared" si="49"/>
        <v>7.9166666666666661</v>
      </c>
      <c r="I44" s="16">
        <v>30.9</v>
      </c>
      <c r="J44" s="9">
        <f t="shared" si="36"/>
        <v>217.56956</v>
      </c>
      <c r="K44" s="21">
        <v>750600000000</v>
      </c>
      <c r="L44" s="19">
        <v>839900000000</v>
      </c>
      <c r="M44" s="21">
        <v>649200000000</v>
      </c>
      <c r="N44" s="19">
        <v>729100000000</v>
      </c>
      <c r="O44" s="21">
        <f>K44/J44</f>
        <v>3449931139.2641506</v>
      </c>
      <c r="P44" s="19">
        <f t="shared" si="38"/>
        <v>3860374585.4888892</v>
      </c>
      <c r="Q44" s="35"/>
      <c r="R44" s="37" t="s">
        <v>15</v>
      </c>
      <c r="S44" s="37" t="s">
        <v>15</v>
      </c>
      <c r="T44" s="37" t="s">
        <v>15</v>
      </c>
      <c r="U44" s="6">
        <v>43038</v>
      </c>
      <c r="V44" s="38">
        <v>0.73263888888888884</v>
      </c>
      <c r="W44" s="7">
        <f t="shared" si="39"/>
        <v>7.8666666666666654</v>
      </c>
      <c r="X44" s="16">
        <v>32.1</v>
      </c>
      <c r="Y44" s="9">
        <f t="shared" si="50"/>
        <v>44.301920000000003</v>
      </c>
      <c r="Z44" s="21">
        <v>447900000000</v>
      </c>
      <c r="AA44" s="19">
        <v>439700000000</v>
      </c>
      <c r="AB44" s="21">
        <v>413000000000</v>
      </c>
      <c r="AC44" s="19">
        <v>405800000000</v>
      </c>
      <c r="AD44" s="21">
        <f>Z44/Y44</f>
        <v>10110171297.316233</v>
      </c>
      <c r="AE44" s="19">
        <f t="shared" si="40"/>
        <v>9925077739.2943687</v>
      </c>
      <c r="AF44" s="35"/>
      <c r="AG44" s="37" t="s">
        <v>15</v>
      </c>
      <c r="AH44" s="37" t="s">
        <v>15</v>
      </c>
      <c r="AI44" s="37" t="s">
        <v>15</v>
      </c>
      <c r="AJ44" s="6">
        <v>43038</v>
      </c>
      <c r="AK44" s="38">
        <v>0.73263888888888884</v>
      </c>
      <c r="AL44" s="7">
        <f t="shared" si="41"/>
        <v>7.8333333333333321</v>
      </c>
      <c r="AM44" s="16">
        <v>28.5</v>
      </c>
      <c r="AN44" s="9">
        <f t="shared" si="42"/>
        <v>176.67936</v>
      </c>
      <c r="AO44" s="21">
        <v>407600000000</v>
      </c>
      <c r="AP44" s="19">
        <v>534600000000</v>
      </c>
      <c r="AQ44" s="21">
        <v>394500000000</v>
      </c>
      <c r="AR44" s="19">
        <v>517300000000</v>
      </c>
      <c r="AS44" s="21">
        <f>AO44/AN44</f>
        <v>2307004055.2558036</v>
      </c>
      <c r="AT44" s="19">
        <f t="shared" si="53"/>
        <v>3025820333.512641</v>
      </c>
      <c r="AU44" s="35"/>
      <c r="AV44" s="37" t="s">
        <v>15</v>
      </c>
      <c r="AW44" s="37" t="s">
        <v>15</v>
      </c>
      <c r="AX44" s="37" t="s">
        <v>15</v>
      </c>
      <c r="AY44" s="6">
        <v>43038</v>
      </c>
      <c r="AZ44" s="38">
        <v>0.73472222222222217</v>
      </c>
      <c r="BA44" s="7">
        <f t="shared" si="44"/>
        <v>7.8666666666666636</v>
      </c>
      <c r="BB44" s="16">
        <v>32.6</v>
      </c>
      <c r="BC44" s="9">
        <f t="shared" si="45"/>
        <v>179.55755999999997</v>
      </c>
      <c r="BD44" s="21">
        <v>691900000000</v>
      </c>
      <c r="BE44" s="19">
        <v>797000000000</v>
      </c>
      <c r="BF44" s="21">
        <v>620300000000</v>
      </c>
      <c r="BG44" s="19">
        <v>716000000000</v>
      </c>
      <c r="BH44" s="21">
        <f>BD44/BC44</f>
        <v>3853360448.8722177</v>
      </c>
      <c r="BI44" s="19">
        <f t="shared" si="55"/>
        <v>4438688073.0613632</v>
      </c>
      <c r="BJ44" s="35"/>
      <c r="BK44" s="37" t="s">
        <v>15</v>
      </c>
      <c r="BL44" s="37" t="s">
        <v>15</v>
      </c>
      <c r="BM44" s="37" t="s">
        <v>15</v>
      </c>
      <c r="BN44" s="6">
        <v>43038</v>
      </c>
      <c r="BO44" s="38">
        <v>0.73472222222222217</v>
      </c>
      <c r="BP44" s="7">
        <f t="shared" si="47"/>
        <v>7.9499999999999984</v>
      </c>
      <c r="BQ44" s="16">
        <v>33.5</v>
      </c>
      <c r="BR44" s="9">
        <f t="shared" si="48"/>
        <v>114.82899999999999</v>
      </c>
      <c r="BS44" s="21">
        <v>310400000000</v>
      </c>
      <c r="BT44" s="19">
        <v>414100000000</v>
      </c>
      <c r="BU44" s="21">
        <v>314600000000</v>
      </c>
      <c r="BV44" s="19">
        <v>419700000000</v>
      </c>
      <c r="BW44" s="21">
        <f>BS44/BR44</f>
        <v>2703149901.1573734</v>
      </c>
      <c r="BX44" s="19">
        <f t="shared" si="57"/>
        <v>3606231875.2231579</v>
      </c>
    </row>
    <row r="45" spans="2:76" x14ac:dyDescent="0.25">
      <c r="B45" s="83"/>
      <c r="C45" s="37" t="s">
        <v>15</v>
      </c>
      <c r="D45" s="37" t="s">
        <v>15</v>
      </c>
      <c r="E45" s="37" t="s">
        <v>15</v>
      </c>
      <c r="F45" s="6">
        <v>43038</v>
      </c>
      <c r="G45" s="38">
        <v>0.90347222222222223</v>
      </c>
      <c r="H45" s="7">
        <f t="shared" si="49"/>
        <v>12.016666666666669</v>
      </c>
      <c r="I45" s="16">
        <v>30.9</v>
      </c>
      <c r="J45" s="9">
        <f t="shared" si="36"/>
        <v>217.56956</v>
      </c>
      <c r="K45" s="21">
        <v>738200000000</v>
      </c>
      <c r="L45" s="19">
        <v>869900000000</v>
      </c>
      <c r="M45" s="21">
        <v>660800000000</v>
      </c>
      <c r="N45" s="19">
        <v>782800000000</v>
      </c>
      <c r="O45" s="21">
        <f t="shared" si="37"/>
        <v>3392937872.3751612</v>
      </c>
      <c r="P45" s="19">
        <f t="shared" si="38"/>
        <v>3998261521.5106378</v>
      </c>
      <c r="Q45" s="35"/>
      <c r="R45" s="37" t="s">
        <v>15</v>
      </c>
      <c r="S45" s="37" t="s">
        <v>15</v>
      </c>
      <c r="T45" s="37" t="s">
        <v>15</v>
      </c>
      <c r="U45" s="6">
        <v>43038</v>
      </c>
      <c r="V45" s="38">
        <v>0.90347222222222223</v>
      </c>
      <c r="W45" s="7">
        <f t="shared" si="39"/>
        <v>11.966666666666667</v>
      </c>
      <c r="X45" s="16">
        <v>32.1</v>
      </c>
      <c r="Y45" s="9">
        <f t="shared" si="50"/>
        <v>44.301920000000003</v>
      </c>
      <c r="Z45" s="21">
        <v>367300000000</v>
      </c>
      <c r="AA45" s="19">
        <v>359300000000</v>
      </c>
      <c r="AB45" s="21">
        <v>358700000000</v>
      </c>
      <c r="AC45" s="19">
        <v>351100000000</v>
      </c>
      <c r="AD45" s="21">
        <f t="shared" ref="AD45:AD60" si="58">Z45/Y45</f>
        <v>8290837056.2720528</v>
      </c>
      <c r="AE45" s="19">
        <f t="shared" si="40"/>
        <v>8110257975.2751122</v>
      </c>
      <c r="AF45" s="35"/>
      <c r="AG45" s="37" t="s">
        <v>15</v>
      </c>
      <c r="AH45" s="37" t="s">
        <v>15</v>
      </c>
      <c r="AI45" s="37" t="s">
        <v>15</v>
      </c>
      <c r="AJ45" s="6">
        <v>43038</v>
      </c>
      <c r="AK45" s="38">
        <v>0.90347222222222223</v>
      </c>
      <c r="AL45" s="7">
        <f t="shared" si="41"/>
        <v>11.933333333333334</v>
      </c>
      <c r="AM45" s="16">
        <v>28.5</v>
      </c>
      <c r="AN45" s="9">
        <f t="shared" si="42"/>
        <v>176.67936</v>
      </c>
      <c r="AO45" s="21">
        <v>429200000000</v>
      </c>
      <c r="AP45" s="19">
        <v>531600000000</v>
      </c>
      <c r="AQ45" s="21">
        <v>399300000000</v>
      </c>
      <c r="AR45" s="19">
        <v>494000000000</v>
      </c>
      <c r="AS45" s="21">
        <f t="shared" ref="AS45:AS60" si="59">AO45/AN45</f>
        <v>2429259422.2664151</v>
      </c>
      <c r="AT45" s="19">
        <f t="shared" si="53"/>
        <v>3008840421.427834</v>
      </c>
      <c r="AU45" s="35"/>
      <c r="AV45" s="37" t="s">
        <v>15</v>
      </c>
      <c r="AW45" s="37" t="s">
        <v>15</v>
      </c>
      <c r="AX45" s="37" t="s">
        <v>15</v>
      </c>
      <c r="AY45" s="6">
        <v>43038</v>
      </c>
      <c r="AZ45" s="38">
        <v>0.90555555555555556</v>
      </c>
      <c r="BA45" s="7">
        <f t="shared" si="44"/>
        <v>11.966666666666665</v>
      </c>
      <c r="BB45" s="16">
        <v>32.6</v>
      </c>
      <c r="BC45" s="9">
        <f t="shared" si="45"/>
        <v>179.55755999999997</v>
      </c>
      <c r="BD45" s="21">
        <v>655400000000</v>
      </c>
      <c r="BE45" s="19">
        <v>763700000000</v>
      </c>
      <c r="BF45" s="21">
        <v>594700000000</v>
      </c>
      <c r="BG45" s="19">
        <v>694000000000</v>
      </c>
      <c r="BH45" s="21">
        <f t="shared" ref="BH45:BH60" si="60">BD45/BC45</f>
        <v>3650083015.1623807</v>
      </c>
      <c r="BI45" s="19">
        <f t="shared" si="55"/>
        <v>4253232222.5808825</v>
      </c>
      <c r="BJ45" s="35"/>
      <c r="BK45" s="37" t="s">
        <v>15</v>
      </c>
      <c r="BL45" s="37" t="s">
        <v>15</v>
      </c>
      <c r="BM45" s="37" t="s">
        <v>15</v>
      </c>
      <c r="BN45" s="6">
        <v>43038</v>
      </c>
      <c r="BO45" s="38">
        <v>0.90555555555555556</v>
      </c>
      <c r="BP45" s="7">
        <f t="shared" si="47"/>
        <v>12.05</v>
      </c>
      <c r="BQ45" s="16">
        <v>33.5</v>
      </c>
      <c r="BR45" s="9">
        <f t="shared" si="48"/>
        <v>114.82899999999999</v>
      </c>
      <c r="BS45" s="21">
        <v>296200000000</v>
      </c>
      <c r="BT45" s="19">
        <v>389500000000</v>
      </c>
      <c r="BU45" s="21">
        <v>300100000000</v>
      </c>
      <c r="BV45" s="19">
        <v>394600000000</v>
      </c>
      <c r="BW45" s="21">
        <f t="shared" ref="BW45:BW60" si="61">BS45/BR45</f>
        <v>2579487760.0606122</v>
      </c>
      <c r="BX45" s="19">
        <f t="shared" si="57"/>
        <v>3392000278.6752477</v>
      </c>
    </row>
    <row r="46" spans="2:76" x14ac:dyDescent="0.25">
      <c r="B46" s="83"/>
      <c r="C46" s="37" t="s">
        <v>15</v>
      </c>
      <c r="D46" s="37" t="s">
        <v>15</v>
      </c>
      <c r="E46" s="37" t="s">
        <v>15</v>
      </c>
      <c r="F46" s="6">
        <v>43039</v>
      </c>
      <c r="G46" s="38">
        <v>0.42152777777777778</v>
      </c>
      <c r="H46" s="7">
        <f t="shared" si="49"/>
        <v>24.450000000000003</v>
      </c>
      <c r="I46" s="16">
        <v>30.1</v>
      </c>
      <c r="J46" s="9">
        <f>8.3*6.7*6.7*0.52</f>
        <v>193.74524000000002</v>
      </c>
      <c r="K46" s="21">
        <v>546200000000</v>
      </c>
      <c r="L46" s="19">
        <v>654500000000</v>
      </c>
      <c r="M46" s="21">
        <v>506600000000</v>
      </c>
      <c r="N46" s="19">
        <v>607900000000</v>
      </c>
      <c r="O46" s="21">
        <f t="shared" si="37"/>
        <v>2819166034.7371626</v>
      </c>
      <c r="P46" s="19">
        <f t="shared" si="38"/>
        <v>3378147509.5852675</v>
      </c>
      <c r="Q46" s="35"/>
      <c r="R46" s="37" t="s">
        <v>15</v>
      </c>
      <c r="S46" s="37" t="s">
        <v>15</v>
      </c>
      <c r="T46" s="37" t="s">
        <v>15</v>
      </c>
      <c r="U46" s="6">
        <v>43039</v>
      </c>
      <c r="V46" s="38">
        <v>0.42152777777777778</v>
      </c>
      <c r="W46" s="7">
        <f t="shared" si="39"/>
        <v>24.4</v>
      </c>
      <c r="X46" s="16">
        <v>31.2</v>
      </c>
      <c r="Y46" s="9">
        <f>8.1*6.1*6.1*0.52</f>
        <v>156.72851999999997</v>
      </c>
      <c r="Z46" s="21">
        <v>335800000000</v>
      </c>
      <c r="AA46" s="19">
        <v>322700000000</v>
      </c>
      <c r="AB46" s="21">
        <v>338600000000</v>
      </c>
      <c r="AC46" s="19">
        <v>325300000000</v>
      </c>
      <c r="AD46" s="21">
        <f t="shared" si="58"/>
        <v>2142558355.0460379</v>
      </c>
      <c r="AE46" s="19">
        <f t="shared" si="40"/>
        <v>2058974333.4525206</v>
      </c>
      <c r="AF46" s="35"/>
      <c r="AG46" s="37" t="s">
        <v>15</v>
      </c>
      <c r="AH46" s="37" t="s">
        <v>15</v>
      </c>
      <c r="AI46" s="37" t="s">
        <v>15</v>
      </c>
      <c r="AJ46" s="6">
        <v>43039</v>
      </c>
      <c r="AK46" s="38">
        <v>0.42152777777777778</v>
      </c>
      <c r="AL46" s="7">
        <f t="shared" si="41"/>
        <v>24.366666666666667</v>
      </c>
      <c r="AM46" s="16">
        <v>27.6</v>
      </c>
      <c r="AN46" s="9">
        <f>8.5*6*6*0.52</f>
        <v>159.12</v>
      </c>
      <c r="AO46" s="21">
        <v>370700000000</v>
      </c>
      <c r="AP46" s="19">
        <v>469200000000</v>
      </c>
      <c r="AQ46" s="21">
        <v>372700000000</v>
      </c>
      <c r="AR46" s="19">
        <v>471700000000</v>
      </c>
      <c r="AS46" s="21">
        <f t="shared" si="59"/>
        <v>2329688285.5706387</v>
      </c>
      <c r="AT46" s="19">
        <f t="shared" si="53"/>
        <v>2948717948.7179484</v>
      </c>
      <c r="AU46" s="35"/>
      <c r="AV46" s="37" t="s">
        <v>15</v>
      </c>
      <c r="AW46" s="37" t="s">
        <v>15</v>
      </c>
      <c r="AX46" s="37" t="s">
        <v>15</v>
      </c>
      <c r="AY46" s="6">
        <v>43039</v>
      </c>
      <c r="AZ46" s="38">
        <v>0.4236111111111111</v>
      </c>
      <c r="BA46" s="7">
        <f t="shared" si="44"/>
        <v>24.4</v>
      </c>
      <c r="BB46" s="16">
        <v>30.5</v>
      </c>
      <c r="BC46" s="9">
        <f>9.3*7.7*7.7*0.52</f>
        <v>286.72644000000008</v>
      </c>
      <c r="BD46" s="21">
        <v>629800000000</v>
      </c>
      <c r="BE46" s="19">
        <v>720700000000</v>
      </c>
      <c r="BF46" s="21">
        <v>605700000000</v>
      </c>
      <c r="BG46" s="19">
        <v>694000000000</v>
      </c>
      <c r="BH46" s="21">
        <f t="shared" si="60"/>
        <v>2196518744.4869046</v>
      </c>
      <c r="BI46" s="19">
        <f t="shared" si="55"/>
        <v>2513545663.9436522</v>
      </c>
      <c r="BJ46" s="35"/>
      <c r="BK46" s="37" t="s">
        <v>15</v>
      </c>
      <c r="BL46" s="37" t="s">
        <v>15</v>
      </c>
      <c r="BM46" s="37" t="s">
        <v>15</v>
      </c>
      <c r="BN46" s="6">
        <v>43039</v>
      </c>
      <c r="BO46" s="38">
        <v>0.4236111111111111</v>
      </c>
      <c r="BP46" s="7">
        <f t="shared" si="47"/>
        <v>24.483333333333334</v>
      </c>
      <c r="BQ46" s="16">
        <v>31.5</v>
      </c>
      <c r="BR46" s="9">
        <f>6.5*5.7*5.7*0.52</f>
        <v>109.81620000000002</v>
      </c>
      <c r="BS46" s="21">
        <v>323700000000</v>
      </c>
      <c r="BT46" s="19">
        <v>426000000000</v>
      </c>
      <c r="BU46" s="21">
        <v>328400000000</v>
      </c>
      <c r="BV46" s="19">
        <v>432200000000</v>
      </c>
      <c r="BW46" s="21">
        <f t="shared" si="61"/>
        <v>2947652532.1400661</v>
      </c>
      <c r="BX46" s="19">
        <f t="shared" si="57"/>
        <v>3879209078.4419775</v>
      </c>
    </row>
    <row r="47" spans="2:76" x14ac:dyDescent="0.25">
      <c r="B47" s="83"/>
      <c r="C47" s="37" t="s">
        <v>48</v>
      </c>
      <c r="D47" s="37" t="s">
        <v>15</v>
      </c>
      <c r="E47" s="37" t="s">
        <v>15</v>
      </c>
      <c r="F47" s="6">
        <v>43040</v>
      </c>
      <c r="G47" s="38">
        <v>0.49027777777777781</v>
      </c>
      <c r="H47" s="7">
        <f t="shared" si="49"/>
        <v>50.1</v>
      </c>
      <c r="I47" s="16">
        <v>31.4</v>
      </c>
      <c r="J47" s="9">
        <f>9.7*7.7*7.7*0.52</f>
        <v>299.05876000000001</v>
      </c>
      <c r="K47" s="21">
        <v>616500000000</v>
      </c>
      <c r="L47" s="19">
        <v>742600000000</v>
      </c>
      <c r="M47" s="21">
        <v>569400000000</v>
      </c>
      <c r="N47" s="19">
        <v>686100000000</v>
      </c>
      <c r="O47" s="21">
        <f t="shared" si="37"/>
        <v>2061467786.4644392</v>
      </c>
      <c r="P47" s="19">
        <f t="shared" si="38"/>
        <v>2483124052.2765493</v>
      </c>
      <c r="Q47" s="35"/>
      <c r="R47" s="37" t="s">
        <v>48</v>
      </c>
      <c r="S47" s="37" t="s">
        <v>15</v>
      </c>
      <c r="T47" s="37" t="s">
        <v>15</v>
      </c>
      <c r="U47" s="6">
        <v>43040</v>
      </c>
      <c r="V47" s="38">
        <v>0.49027777777777781</v>
      </c>
      <c r="W47" s="7">
        <f t="shared" si="39"/>
        <v>50.05</v>
      </c>
      <c r="X47" s="16">
        <v>31.4</v>
      </c>
      <c r="Y47" s="9">
        <f>9.1*5.5*5.5*0.52</f>
        <v>143.143</v>
      </c>
      <c r="Z47" s="21">
        <v>441400000000</v>
      </c>
      <c r="AA47" s="19">
        <v>456300000000</v>
      </c>
      <c r="AB47" s="21">
        <v>443400000000</v>
      </c>
      <c r="AC47" s="19">
        <v>458300000000</v>
      </c>
      <c r="AD47" s="21">
        <f t="shared" si="58"/>
        <v>3083629657.0562305</v>
      </c>
      <c r="AE47" s="19">
        <f t="shared" si="40"/>
        <v>3187721369.5395513</v>
      </c>
      <c r="AF47" s="35"/>
      <c r="AG47" s="37" t="s">
        <v>48</v>
      </c>
      <c r="AH47" s="37" t="s">
        <v>15</v>
      </c>
      <c r="AI47" s="37" t="s">
        <v>15</v>
      </c>
      <c r="AJ47" s="6">
        <v>43040</v>
      </c>
      <c r="AK47" s="38">
        <v>0.49027777777777781</v>
      </c>
      <c r="AL47" s="7">
        <f t="shared" si="41"/>
        <v>50.016666666666666</v>
      </c>
      <c r="AM47" s="16">
        <v>27.6</v>
      </c>
      <c r="AN47" s="9">
        <f>9.2*7.5*7.5*0.52</f>
        <v>269.10000000000002</v>
      </c>
      <c r="AO47" s="21">
        <v>444300000000</v>
      </c>
      <c r="AP47" s="19">
        <v>495600000000</v>
      </c>
      <c r="AQ47" s="21">
        <v>448200000000</v>
      </c>
      <c r="AR47" s="19">
        <v>499800000000</v>
      </c>
      <c r="AS47" s="21">
        <f t="shared" si="59"/>
        <v>1651059085.8416944</v>
      </c>
      <c r="AT47" s="19">
        <f t="shared" si="53"/>
        <v>1841694537.3467112</v>
      </c>
      <c r="AU47" s="35"/>
      <c r="AV47" s="37" t="s">
        <v>48</v>
      </c>
      <c r="AW47" s="37" t="s">
        <v>15</v>
      </c>
      <c r="AX47" s="37" t="s">
        <v>15</v>
      </c>
      <c r="AY47" s="6">
        <v>43040</v>
      </c>
      <c r="AZ47" s="38">
        <v>0.49374999999999997</v>
      </c>
      <c r="BA47" s="7">
        <f t="shared" si="44"/>
        <v>50.083333333333329</v>
      </c>
      <c r="BB47" s="16">
        <v>31</v>
      </c>
      <c r="BC47" s="9">
        <f>10.7*7.8*7.8*0.52</f>
        <v>338.51375999999999</v>
      </c>
      <c r="BD47" s="21">
        <v>585500000000</v>
      </c>
      <c r="BE47" s="19">
        <v>713000000000</v>
      </c>
      <c r="BF47" s="21">
        <v>585400000000</v>
      </c>
      <c r="BG47" s="19">
        <v>713400000000</v>
      </c>
      <c r="BH47" s="21">
        <f t="shared" si="60"/>
        <v>1729619499.0714705</v>
      </c>
      <c r="BI47" s="19">
        <f t="shared" si="55"/>
        <v>2106265931.4055653</v>
      </c>
      <c r="BJ47" s="35"/>
      <c r="BK47" s="37" t="s">
        <v>48</v>
      </c>
      <c r="BL47" s="37" t="s">
        <v>15</v>
      </c>
      <c r="BM47" s="37" t="s">
        <v>15</v>
      </c>
      <c r="BN47" s="6">
        <v>43040</v>
      </c>
      <c r="BO47" s="38">
        <v>0.49374999999999997</v>
      </c>
      <c r="BP47" s="7">
        <f t="shared" si="47"/>
        <v>50.166666666666664</v>
      </c>
      <c r="BQ47" s="16">
        <v>32.799999999999997</v>
      </c>
      <c r="BR47" s="9">
        <f>7.4*7*7*0.52</f>
        <v>188.55200000000002</v>
      </c>
      <c r="BS47" s="21">
        <v>285600000000</v>
      </c>
      <c r="BT47" s="19">
        <v>379400000000</v>
      </c>
      <c r="BU47" s="21">
        <v>289500000000</v>
      </c>
      <c r="BV47" s="19">
        <v>384600000000</v>
      </c>
      <c r="BW47" s="21">
        <f t="shared" si="61"/>
        <v>1514701514.7015145</v>
      </c>
      <c r="BX47" s="19">
        <f t="shared" si="57"/>
        <v>2012177012.177012</v>
      </c>
    </row>
    <row r="48" spans="2:76" x14ac:dyDescent="0.25">
      <c r="B48" s="83"/>
      <c r="C48" s="37" t="s">
        <v>15</v>
      </c>
      <c r="D48" s="37" t="s">
        <v>15</v>
      </c>
      <c r="E48" s="37" t="s">
        <v>15</v>
      </c>
      <c r="F48" s="6">
        <v>43041</v>
      </c>
      <c r="G48" s="38">
        <v>0.53402777777777777</v>
      </c>
      <c r="H48" s="7">
        <f t="shared" si="49"/>
        <v>75.150000000000006</v>
      </c>
      <c r="I48" s="16">
        <v>30.4</v>
      </c>
      <c r="J48" s="9">
        <f>9.7*8.3*8.3*0.52</f>
        <v>347.48116000000005</v>
      </c>
      <c r="K48" s="21">
        <v>561600000000</v>
      </c>
      <c r="L48" s="19">
        <v>633500000000</v>
      </c>
      <c r="M48" s="21">
        <v>536200000000</v>
      </c>
      <c r="N48" s="19">
        <v>604900000000</v>
      </c>
      <c r="O48" s="21">
        <f t="shared" si="37"/>
        <v>1616202731.6819131</v>
      </c>
      <c r="P48" s="19">
        <f t="shared" si="38"/>
        <v>1823120424.7159758</v>
      </c>
      <c r="Q48" s="35"/>
      <c r="R48" s="37" t="s">
        <v>15</v>
      </c>
      <c r="S48" s="37" t="s">
        <v>15</v>
      </c>
      <c r="T48" s="37" t="s">
        <v>15</v>
      </c>
      <c r="U48" s="6">
        <v>43041</v>
      </c>
      <c r="V48" s="38">
        <v>0.53402777777777777</v>
      </c>
      <c r="W48" s="7">
        <f t="shared" si="39"/>
        <v>75.099999999999994</v>
      </c>
      <c r="X48" s="16">
        <v>31.6</v>
      </c>
      <c r="Y48" s="9">
        <f>8.4*6.8*6.8*0.52</f>
        <v>201.97632000000002</v>
      </c>
      <c r="Z48" s="21">
        <v>428000000000</v>
      </c>
      <c r="AA48" s="19">
        <v>420500000000</v>
      </c>
      <c r="AB48" s="21">
        <v>430500000000</v>
      </c>
      <c r="AC48" s="19">
        <v>422900000000</v>
      </c>
      <c r="AD48" s="21">
        <f t="shared" si="58"/>
        <v>2119060293.8007782</v>
      </c>
      <c r="AE48" s="19">
        <f t="shared" si="40"/>
        <v>2081927227.9047363</v>
      </c>
      <c r="AF48" s="35"/>
      <c r="AG48" s="37" t="s">
        <v>15</v>
      </c>
      <c r="AH48" s="37" t="s">
        <v>15</v>
      </c>
      <c r="AI48" s="37" t="s">
        <v>15</v>
      </c>
      <c r="AJ48" s="6">
        <v>43041</v>
      </c>
      <c r="AK48" s="38">
        <v>0.53402777777777777</v>
      </c>
      <c r="AL48" s="7">
        <f t="shared" si="41"/>
        <v>75.066666666666663</v>
      </c>
      <c r="AM48" s="16">
        <v>28.2</v>
      </c>
      <c r="AN48" s="9">
        <f>11.3*8.2*8.2*0.52</f>
        <v>395.10223999999994</v>
      </c>
      <c r="AO48" s="21">
        <v>370300000000</v>
      </c>
      <c r="AP48" s="19">
        <v>468600000000</v>
      </c>
      <c r="AQ48" s="21">
        <v>376200000000</v>
      </c>
      <c r="AR48" s="19">
        <v>476000000000</v>
      </c>
      <c r="AS48" s="21">
        <f t="shared" si="59"/>
        <v>937225767.18370426</v>
      </c>
      <c r="AT48" s="19">
        <f t="shared" si="53"/>
        <v>1186022129.360745</v>
      </c>
      <c r="AU48" s="35"/>
      <c r="AV48" s="37" t="s">
        <v>15</v>
      </c>
      <c r="AW48" s="37" t="s">
        <v>15</v>
      </c>
      <c r="AX48" s="37" t="s">
        <v>15</v>
      </c>
      <c r="AY48" s="6">
        <v>43041</v>
      </c>
      <c r="AZ48" s="38">
        <v>0.53611111111111109</v>
      </c>
      <c r="BA48" s="7">
        <f t="shared" si="44"/>
        <v>75.099999999999994</v>
      </c>
      <c r="BB48" s="16">
        <v>31.5</v>
      </c>
      <c r="BC48" s="9">
        <f>11.8*9.2*9.2*0.52</f>
        <v>519.35104000000001</v>
      </c>
      <c r="BD48" s="21">
        <v>693100000000</v>
      </c>
      <c r="BE48" s="19">
        <v>763300000000</v>
      </c>
      <c r="BF48" s="21">
        <v>683900000000</v>
      </c>
      <c r="BG48" s="19">
        <v>753300000000</v>
      </c>
      <c r="BH48" s="21">
        <f t="shared" si="60"/>
        <v>1334550133.9517872</v>
      </c>
      <c r="BI48" s="19">
        <f t="shared" si="55"/>
        <v>1469718824.4775634</v>
      </c>
      <c r="BJ48" s="35"/>
      <c r="BK48" s="37" t="s">
        <v>15</v>
      </c>
      <c r="BL48" s="37" t="s">
        <v>15</v>
      </c>
      <c r="BM48" s="37" t="s">
        <v>15</v>
      </c>
      <c r="BN48" s="6">
        <v>43041</v>
      </c>
      <c r="BO48" s="38">
        <v>0.53611111111111109</v>
      </c>
      <c r="BP48" s="7">
        <f t="shared" si="47"/>
        <v>75.183333333333337</v>
      </c>
      <c r="BQ48" s="16">
        <v>32.799999999999997</v>
      </c>
      <c r="BR48" s="9">
        <f>10.2*8.3*8.3*0.52</f>
        <v>365.39256</v>
      </c>
      <c r="BS48" s="21">
        <v>249000000000</v>
      </c>
      <c r="BT48" s="19">
        <v>334700000000</v>
      </c>
      <c r="BU48" s="21">
        <v>251900000000</v>
      </c>
      <c r="BV48" s="19">
        <v>338700000000</v>
      </c>
      <c r="BW48" s="21">
        <f t="shared" si="61"/>
        <v>681458867.14277923</v>
      </c>
      <c r="BX48" s="19">
        <f t="shared" si="57"/>
        <v>916001135.87424982</v>
      </c>
    </row>
    <row r="49" spans="2:106" x14ac:dyDescent="0.25">
      <c r="B49" s="83"/>
      <c r="C49" s="37" t="s">
        <v>48</v>
      </c>
      <c r="D49" s="37" t="s">
        <v>15</v>
      </c>
      <c r="E49" s="37" t="s">
        <v>15</v>
      </c>
      <c r="F49" s="6">
        <v>43042</v>
      </c>
      <c r="G49" s="38">
        <v>0.50624999999999998</v>
      </c>
      <c r="H49" s="7">
        <f t="shared" si="49"/>
        <v>98.483333333333334</v>
      </c>
      <c r="I49" s="16"/>
      <c r="J49" s="9">
        <f>10.2*8.5*8.5*0.52</f>
        <v>383.214</v>
      </c>
      <c r="K49" s="21">
        <v>568400000000</v>
      </c>
      <c r="L49" s="19">
        <v>667200000000</v>
      </c>
      <c r="M49" s="21">
        <v>559900000000</v>
      </c>
      <c r="N49" s="19">
        <v>657500000000</v>
      </c>
      <c r="O49" s="21">
        <f t="shared" si="37"/>
        <v>1483244349.1104188</v>
      </c>
      <c r="P49" s="19">
        <f t="shared" si="38"/>
        <v>1741063739.8424902</v>
      </c>
      <c r="Q49" s="35"/>
      <c r="R49" s="37" t="s">
        <v>48</v>
      </c>
      <c r="S49" s="37" t="s">
        <v>15</v>
      </c>
      <c r="T49" s="37" t="s">
        <v>15</v>
      </c>
      <c r="U49" s="6">
        <v>43042</v>
      </c>
      <c r="V49" s="38">
        <v>0.50624999999999998</v>
      </c>
      <c r="W49" s="7">
        <f t="shared" si="39"/>
        <v>98.433333333333337</v>
      </c>
      <c r="X49" s="16"/>
      <c r="Y49" s="9">
        <f>10.4*7.1*7.1*0.52</f>
        <v>272.61727999999999</v>
      </c>
      <c r="Z49" s="21">
        <v>331300000000</v>
      </c>
      <c r="AA49" s="19">
        <v>321400000000</v>
      </c>
      <c r="AB49" s="21">
        <v>333600000000</v>
      </c>
      <c r="AC49" s="19">
        <v>323600000000</v>
      </c>
      <c r="AD49" s="21">
        <f t="shared" si="58"/>
        <v>1215256787.8309109</v>
      </c>
      <c r="AE49" s="19">
        <f t="shared" si="40"/>
        <v>1178942141.8921061</v>
      </c>
      <c r="AF49" s="35"/>
      <c r="AG49" s="37" t="s">
        <v>48</v>
      </c>
      <c r="AH49" s="37" t="s">
        <v>15</v>
      </c>
      <c r="AI49" s="37" t="s">
        <v>15</v>
      </c>
      <c r="AJ49" s="6">
        <v>43042</v>
      </c>
      <c r="AK49" s="38">
        <v>0.50624999999999998</v>
      </c>
      <c r="AL49" s="7">
        <f t="shared" si="41"/>
        <v>98.4</v>
      </c>
      <c r="AM49" s="16"/>
      <c r="AN49" s="9">
        <f>11.4*8.6*8.6*0.52</f>
        <v>438.43487999999996</v>
      </c>
      <c r="AO49" s="21">
        <v>330600000000</v>
      </c>
      <c r="AP49" s="19">
        <v>413500000000</v>
      </c>
      <c r="AQ49" s="21">
        <v>335100000000</v>
      </c>
      <c r="AR49" s="19">
        <v>419300000000</v>
      </c>
      <c r="AS49" s="21">
        <f t="shared" si="59"/>
        <v>754045845.98743606</v>
      </c>
      <c r="AT49" s="19">
        <f t="shared" si="53"/>
        <v>943127517.5916661</v>
      </c>
      <c r="AU49" s="35"/>
      <c r="AV49" s="37" t="s">
        <v>48</v>
      </c>
      <c r="AW49" s="37" t="s">
        <v>15</v>
      </c>
      <c r="AX49" s="37" t="s">
        <v>15</v>
      </c>
      <c r="AY49" s="6">
        <v>43042</v>
      </c>
      <c r="AZ49" s="38">
        <v>0.5083333333333333</v>
      </c>
      <c r="BA49" s="7">
        <f t="shared" si="44"/>
        <v>98.433333333333337</v>
      </c>
      <c r="BB49" s="16"/>
      <c r="BC49" s="9">
        <f>13.4*10.4*10.4*0.52</f>
        <v>753.65888000000018</v>
      </c>
      <c r="BD49" s="21">
        <v>571400000000</v>
      </c>
      <c r="BE49" s="19">
        <v>728700000000</v>
      </c>
      <c r="BF49" s="21">
        <v>579800000000</v>
      </c>
      <c r="BG49" s="19">
        <v>739500000000</v>
      </c>
      <c r="BH49" s="21">
        <f t="shared" si="60"/>
        <v>758167939.32023978</v>
      </c>
      <c r="BI49" s="19">
        <f t="shared" si="55"/>
        <v>966883054.57238138</v>
      </c>
      <c r="BJ49" s="35"/>
      <c r="BK49" s="37" t="s">
        <v>48</v>
      </c>
      <c r="BL49" s="37" t="s">
        <v>15</v>
      </c>
      <c r="BM49" s="37" t="s">
        <v>15</v>
      </c>
      <c r="BN49" s="6">
        <v>43042</v>
      </c>
      <c r="BO49" s="38">
        <v>0.5083333333333333</v>
      </c>
      <c r="BP49" s="7">
        <f t="shared" si="47"/>
        <v>98.516666666666666</v>
      </c>
      <c r="BQ49" s="16"/>
      <c r="BR49" s="9">
        <f>11.2*8.4*8.4*0.52</f>
        <v>410.94144000000006</v>
      </c>
      <c r="BS49" s="21">
        <v>291900000000</v>
      </c>
      <c r="BT49" s="19">
        <v>366600000000</v>
      </c>
      <c r="BU49" s="21">
        <v>296200000000</v>
      </c>
      <c r="BV49" s="19">
        <v>372100000000</v>
      </c>
      <c r="BW49" s="21">
        <f t="shared" si="61"/>
        <v>710320185.7666142</v>
      </c>
      <c r="BX49" s="19">
        <f t="shared" si="57"/>
        <v>892097910.59280849</v>
      </c>
    </row>
    <row r="50" spans="2:106" x14ac:dyDescent="0.25">
      <c r="B50" s="83"/>
      <c r="C50" s="37" t="s">
        <v>15</v>
      </c>
      <c r="D50" s="37" t="s">
        <v>15</v>
      </c>
      <c r="E50" s="37" t="s">
        <v>15</v>
      </c>
      <c r="F50" s="6">
        <v>43045</v>
      </c>
      <c r="G50" s="38">
        <v>0.41388888888888892</v>
      </c>
      <c r="H50" s="7">
        <f t="shared" si="49"/>
        <v>168.26666666666668</v>
      </c>
      <c r="I50" s="16">
        <v>30.3</v>
      </c>
      <c r="J50" s="9">
        <f>11.7*9.8*9.8*0.52</f>
        <v>584.30736000000013</v>
      </c>
      <c r="K50" s="21">
        <v>486100000000</v>
      </c>
      <c r="L50" s="19">
        <v>516300000000</v>
      </c>
      <c r="M50" s="21">
        <v>477500000000</v>
      </c>
      <c r="N50" s="19">
        <v>507300000000</v>
      </c>
      <c r="O50" s="21">
        <f t="shared" si="37"/>
        <v>831925170.34185553</v>
      </c>
      <c r="P50" s="19">
        <f>L50/J50</f>
        <v>883610297.15593505</v>
      </c>
      <c r="Q50" s="35"/>
      <c r="R50" s="37" t="s">
        <v>15</v>
      </c>
      <c r="S50" s="37" t="s">
        <v>15</v>
      </c>
      <c r="T50" s="37" t="s">
        <v>15</v>
      </c>
      <c r="U50" s="6">
        <v>43045</v>
      </c>
      <c r="V50" s="38">
        <v>0.41388888888888892</v>
      </c>
      <c r="W50" s="7">
        <f t="shared" si="39"/>
        <v>168.21666666666667</v>
      </c>
      <c r="X50" s="16">
        <v>31.2</v>
      </c>
      <c r="Y50" s="9">
        <f>9.8*6.8*6.8*0.52</f>
        <v>235.63903999999999</v>
      </c>
      <c r="Z50" s="21">
        <v>236300000000</v>
      </c>
      <c r="AA50" s="19">
        <v>229700000000</v>
      </c>
      <c r="AB50" s="21">
        <v>259200000000</v>
      </c>
      <c r="AC50" s="19">
        <v>323800000000</v>
      </c>
      <c r="AD50" s="21">
        <f t="shared" si="58"/>
        <v>1002804968.1411027</v>
      </c>
      <c r="AE50" s="19">
        <f>AA50/Y50</f>
        <v>974796027.00808835</v>
      </c>
      <c r="AF50" s="35"/>
      <c r="AG50" s="37" t="s">
        <v>15</v>
      </c>
      <c r="AH50" s="37" t="s">
        <v>15</v>
      </c>
      <c r="AI50" s="37" t="s">
        <v>15</v>
      </c>
      <c r="AJ50" s="6">
        <v>43045</v>
      </c>
      <c r="AK50" s="38">
        <v>0.41388888888888892</v>
      </c>
      <c r="AL50" s="7">
        <f t="shared" si="41"/>
        <v>168.18333333333334</v>
      </c>
      <c r="AM50" s="16">
        <v>28</v>
      </c>
      <c r="AN50" s="9">
        <f>12.3*8.5*8.5*0.52</f>
        <v>462.11100000000005</v>
      </c>
      <c r="AO50" s="21">
        <v>250600000000</v>
      </c>
      <c r="AP50" s="19">
        <v>313600000000</v>
      </c>
      <c r="AQ50" s="21">
        <v>239500000000</v>
      </c>
      <c r="AR50" s="19">
        <v>232800000000</v>
      </c>
      <c r="AS50" s="21">
        <f t="shared" si="59"/>
        <v>542293951.0204258</v>
      </c>
      <c r="AT50" s="19">
        <f>AP50/AN50</f>
        <v>678624832.56187356</v>
      </c>
      <c r="AU50" s="35"/>
      <c r="AV50" s="37" t="s">
        <v>15</v>
      </c>
      <c r="AW50" s="37" t="s">
        <v>15</v>
      </c>
      <c r="AX50" s="37" t="s">
        <v>15</v>
      </c>
      <c r="AY50" s="6">
        <v>43045</v>
      </c>
      <c r="AZ50" s="38">
        <v>0.4152777777777778</v>
      </c>
      <c r="BA50" s="7">
        <f t="shared" si="44"/>
        <v>168.2</v>
      </c>
      <c r="BB50" s="16">
        <v>31.3</v>
      </c>
      <c r="BC50" s="9">
        <f>14.9*10.5*10.5*0.52</f>
        <v>854.2170000000001</v>
      </c>
      <c r="BD50" s="21">
        <v>515800000000</v>
      </c>
      <c r="BE50" s="19">
        <v>551300000000</v>
      </c>
      <c r="BF50" s="21">
        <v>523700000000</v>
      </c>
      <c r="BG50" s="19">
        <v>559900000000</v>
      </c>
      <c r="BH50" s="21">
        <f t="shared" si="60"/>
        <v>603827832.97452509</v>
      </c>
      <c r="BI50" s="19">
        <f>BE50/BC50</f>
        <v>645386359.67207384</v>
      </c>
      <c r="BJ50" s="35"/>
      <c r="BK50" s="37" t="s">
        <v>15</v>
      </c>
      <c r="BL50" s="37" t="s">
        <v>15</v>
      </c>
      <c r="BM50" s="37" t="s">
        <v>15</v>
      </c>
      <c r="BN50" s="6">
        <v>43045</v>
      </c>
      <c r="BO50" s="38">
        <v>0.4152777777777778</v>
      </c>
      <c r="BP50" s="7">
        <f t="shared" si="47"/>
        <v>168.28333333333333</v>
      </c>
      <c r="BQ50" s="16">
        <v>32.1</v>
      </c>
      <c r="BR50" s="9">
        <f>11.1*9.1*9.1*0.52</f>
        <v>477.97931999999997</v>
      </c>
      <c r="BS50" s="21">
        <v>174000000000</v>
      </c>
      <c r="BT50" s="19">
        <v>218900000000</v>
      </c>
      <c r="BU50" s="21">
        <v>176300000000</v>
      </c>
      <c r="BV50" s="19">
        <v>221700000000</v>
      </c>
      <c r="BW50" s="21">
        <f t="shared" si="61"/>
        <v>364032485.75691521</v>
      </c>
      <c r="BX50" s="19">
        <f>BT50/BR50</f>
        <v>457969604.20798123</v>
      </c>
    </row>
    <row r="51" spans="2:106" x14ac:dyDescent="0.25">
      <c r="B51" s="83"/>
      <c r="C51" s="37" t="s">
        <v>15</v>
      </c>
      <c r="D51" s="37" t="s">
        <v>14</v>
      </c>
      <c r="E51" s="37">
        <v>120</v>
      </c>
      <c r="F51" s="6">
        <v>43045</v>
      </c>
      <c r="G51" s="38">
        <v>0.42152777777777778</v>
      </c>
      <c r="H51" s="7">
        <f t="shared" si="49"/>
        <v>168.45</v>
      </c>
      <c r="I51" s="16"/>
      <c r="J51" s="9"/>
      <c r="K51" s="21" t="s">
        <v>15</v>
      </c>
      <c r="L51" s="19" t="s">
        <v>15</v>
      </c>
      <c r="M51" s="21" t="s">
        <v>15</v>
      </c>
      <c r="N51" s="19" t="s">
        <v>15</v>
      </c>
      <c r="O51" s="21" t="e">
        <f t="shared" si="37"/>
        <v>#VALUE!</v>
      </c>
      <c r="P51" s="19" t="e">
        <f t="shared" si="38"/>
        <v>#VALUE!</v>
      </c>
      <c r="Q51" s="35"/>
      <c r="R51" s="37" t="s">
        <v>15</v>
      </c>
      <c r="S51" s="37" t="s">
        <v>14</v>
      </c>
      <c r="T51" s="37">
        <v>120</v>
      </c>
      <c r="U51" s="6">
        <v>43045</v>
      </c>
      <c r="V51" s="38">
        <v>0.42430555555555555</v>
      </c>
      <c r="W51" s="7">
        <f t="shared" si="39"/>
        <v>168.46666666666667</v>
      </c>
      <c r="X51" s="16"/>
      <c r="Y51" s="9"/>
      <c r="Z51" s="21" t="s">
        <v>15</v>
      </c>
      <c r="AA51" s="19" t="s">
        <v>15</v>
      </c>
      <c r="AB51" s="21" t="s">
        <v>15</v>
      </c>
      <c r="AC51" s="19" t="s">
        <v>15</v>
      </c>
      <c r="AD51" s="21" t="e">
        <f t="shared" si="58"/>
        <v>#VALUE!</v>
      </c>
      <c r="AE51" s="19" t="e">
        <f t="shared" ref="AE51:AE60" si="62">AA51/Y51</f>
        <v>#VALUE!</v>
      </c>
      <c r="AF51" s="35"/>
      <c r="AG51" s="37" t="s">
        <v>15</v>
      </c>
      <c r="AH51" s="37" t="s">
        <v>14</v>
      </c>
      <c r="AI51" s="37">
        <v>120</v>
      </c>
      <c r="AJ51" s="6">
        <v>43045</v>
      </c>
      <c r="AK51" s="38">
        <v>0.42499999999999999</v>
      </c>
      <c r="AL51" s="7">
        <f t="shared" si="41"/>
        <v>168.45</v>
      </c>
      <c r="AM51" s="16"/>
      <c r="AN51" s="9"/>
      <c r="AO51" s="21" t="s">
        <v>15</v>
      </c>
      <c r="AP51" s="19" t="s">
        <v>15</v>
      </c>
      <c r="AQ51" s="21" t="s">
        <v>15</v>
      </c>
      <c r="AR51" s="19" t="s">
        <v>15</v>
      </c>
      <c r="AS51" s="21" t="e">
        <f t="shared" si="59"/>
        <v>#VALUE!</v>
      </c>
      <c r="AT51" s="19" t="e">
        <f t="shared" ref="AT51:AT60" si="63">AP51/AN51</f>
        <v>#VALUE!</v>
      </c>
      <c r="AU51" s="35"/>
      <c r="AV51" s="37" t="s">
        <v>15</v>
      </c>
      <c r="AW51" s="37" t="s">
        <v>14</v>
      </c>
      <c r="AX51" s="37">
        <v>120</v>
      </c>
      <c r="AY51" s="6">
        <v>43045</v>
      </c>
      <c r="AZ51" s="38">
        <v>0.42222222222222222</v>
      </c>
      <c r="BA51" s="7">
        <f t="shared" si="44"/>
        <v>168.36666666666667</v>
      </c>
      <c r="BB51" s="16"/>
      <c r="BC51" s="9"/>
      <c r="BD51" s="21" t="s">
        <v>15</v>
      </c>
      <c r="BE51" s="19" t="s">
        <v>15</v>
      </c>
      <c r="BF51" s="21" t="s">
        <v>15</v>
      </c>
      <c r="BG51" s="19" t="s">
        <v>15</v>
      </c>
      <c r="BH51" s="21" t="e">
        <f t="shared" si="60"/>
        <v>#VALUE!</v>
      </c>
      <c r="BI51" s="19" t="e">
        <f t="shared" ref="BI51:BI60" si="64">BE51/BC51</f>
        <v>#VALUE!</v>
      </c>
      <c r="BJ51" s="35"/>
      <c r="BK51" s="37" t="s">
        <v>15</v>
      </c>
      <c r="BL51" s="37" t="s">
        <v>14</v>
      </c>
      <c r="BM51" s="37">
        <v>120</v>
      </c>
      <c r="BN51" s="6">
        <v>43045</v>
      </c>
      <c r="BO51" s="38"/>
      <c r="BP51" s="7">
        <f t="shared" si="47"/>
        <v>158.31666666666666</v>
      </c>
      <c r="BQ51" s="16"/>
      <c r="BR51" s="9"/>
      <c r="BS51" s="21" t="s">
        <v>15</v>
      </c>
      <c r="BT51" s="19" t="s">
        <v>15</v>
      </c>
      <c r="BU51" s="21" t="s">
        <v>15</v>
      </c>
      <c r="BV51" s="19" t="s">
        <v>15</v>
      </c>
      <c r="BW51" s="21" t="e">
        <f t="shared" si="61"/>
        <v>#VALUE!</v>
      </c>
      <c r="BX51" s="19" t="e">
        <f t="shared" ref="BX51:BX60" si="65">BT51/BR51</f>
        <v>#VALUE!</v>
      </c>
    </row>
    <row r="52" spans="2:106" x14ac:dyDescent="0.25">
      <c r="B52" s="83"/>
      <c r="C52" s="37" t="s">
        <v>15</v>
      </c>
      <c r="D52" s="37" t="s">
        <v>15</v>
      </c>
      <c r="E52" s="37" t="s">
        <v>15</v>
      </c>
      <c r="F52" s="6">
        <v>43045</v>
      </c>
      <c r="G52" s="38">
        <v>0.44513888888888892</v>
      </c>
      <c r="H52" s="7">
        <f t="shared" si="49"/>
        <v>169.01666666666668</v>
      </c>
      <c r="I52" s="16">
        <v>30.3</v>
      </c>
      <c r="J52" s="9">
        <f t="shared" ref="J52:J57" si="66">11.7*9.8*9.8*0.52</f>
        <v>584.30736000000013</v>
      </c>
      <c r="K52" s="21">
        <v>828200000000</v>
      </c>
      <c r="L52" s="19">
        <v>998800000000</v>
      </c>
      <c r="M52" s="21">
        <v>761300000000</v>
      </c>
      <c r="N52" s="19">
        <v>918700000000</v>
      </c>
      <c r="O52" s="21">
        <f t="shared" si="37"/>
        <v>1417404702.8947227</v>
      </c>
      <c r="P52" s="19">
        <f t="shared" si="38"/>
        <v>1709374326.5530658</v>
      </c>
      <c r="Q52" s="35"/>
      <c r="R52" s="37" t="s">
        <v>15</v>
      </c>
      <c r="S52" s="37" t="s">
        <v>15</v>
      </c>
      <c r="T52" s="37" t="s">
        <v>15</v>
      </c>
      <c r="U52" s="6">
        <v>43045</v>
      </c>
      <c r="V52" s="38">
        <v>0.44513888888888892</v>
      </c>
      <c r="W52" s="7">
        <f t="shared" si="39"/>
        <v>168.96666666666667</v>
      </c>
      <c r="X52" s="16">
        <v>31.2</v>
      </c>
      <c r="Y52" s="9">
        <f t="shared" ref="Y52:Y57" si="67">9.8*6.8*6.8*0.52</f>
        <v>235.63903999999999</v>
      </c>
      <c r="Z52" s="21">
        <v>516500000000</v>
      </c>
      <c r="AA52" s="19">
        <v>504800000000</v>
      </c>
      <c r="AB52" s="21">
        <v>479500000000</v>
      </c>
      <c r="AC52" s="19">
        <v>469600000000</v>
      </c>
      <c r="AD52" s="21">
        <f t="shared" si="58"/>
        <v>2191911832.6063457</v>
      </c>
      <c r="AE52" s="19">
        <f t="shared" si="62"/>
        <v>2142259618.7796385</v>
      </c>
      <c r="AF52" s="35"/>
      <c r="AG52" s="37" t="s">
        <v>15</v>
      </c>
      <c r="AH52" s="37" t="s">
        <v>15</v>
      </c>
      <c r="AI52" s="37" t="s">
        <v>15</v>
      </c>
      <c r="AJ52" s="6">
        <v>43045</v>
      </c>
      <c r="AK52" s="38">
        <v>0.44513888888888892</v>
      </c>
      <c r="AL52" s="7">
        <f t="shared" si="41"/>
        <v>168.93333333333334</v>
      </c>
      <c r="AM52" s="16">
        <v>28</v>
      </c>
      <c r="AN52" s="9">
        <f t="shared" ref="AN52:AN57" si="68">12.3*8.5*8.5*0.52</f>
        <v>462.11100000000005</v>
      </c>
      <c r="AO52" s="21">
        <v>476800000000</v>
      </c>
      <c r="AP52" s="19">
        <v>573600000000</v>
      </c>
      <c r="AQ52" s="21">
        <v>480500000000</v>
      </c>
      <c r="AR52" s="19">
        <v>578100000000</v>
      </c>
      <c r="AS52" s="21">
        <f t="shared" si="59"/>
        <v>1031786735.2216241</v>
      </c>
      <c r="AT52" s="19">
        <f t="shared" si="63"/>
        <v>1241260216.7011821</v>
      </c>
      <c r="AU52" s="35"/>
      <c r="AV52" s="37" t="s">
        <v>15</v>
      </c>
      <c r="AW52" s="37" t="s">
        <v>15</v>
      </c>
      <c r="AX52" s="37" t="s">
        <v>15</v>
      </c>
      <c r="AY52" s="6">
        <v>43045</v>
      </c>
      <c r="AZ52" s="38">
        <v>0.44722222222222219</v>
      </c>
      <c r="BA52" s="7">
        <f t="shared" si="44"/>
        <v>168.96666666666667</v>
      </c>
      <c r="BB52" s="16">
        <v>31.3</v>
      </c>
      <c r="BC52" s="9">
        <f t="shared" ref="BC52:BC57" si="69">14.9*10.5*10.5*0.52</f>
        <v>854.2170000000001</v>
      </c>
      <c r="BD52" s="21">
        <v>836100000000</v>
      </c>
      <c r="BE52" s="19">
        <v>927300000000</v>
      </c>
      <c r="BF52" s="21">
        <v>784300000000</v>
      </c>
      <c r="BG52" s="19">
        <v>872700000000</v>
      </c>
      <c r="BH52" s="21">
        <f t="shared" si="60"/>
        <v>978791103.4315635</v>
      </c>
      <c r="BI52" s="19">
        <f t="shared" si="64"/>
        <v>1085555543.8489282</v>
      </c>
      <c r="BJ52" s="35"/>
      <c r="BK52" s="37" t="s">
        <v>15</v>
      </c>
      <c r="BL52" s="37" t="s">
        <v>15</v>
      </c>
      <c r="BM52" s="37" t="s">
        <v>15</v>
      </c>
      <c r="BN52" s="6">
        <v>43045</v>
      </c>
      <c r="BO52" s="38">
        <v>0.44722222222222219</v>
      </c>
      <c r="BP52" s="7">
        <f t="shared" si="47"/>
        <v>169.05</v>
      </c>
      <c r="BQ52" s="16">
        <v>32.1</v>
      </c>
      <c r="BR52" s="9">
        <f t="shared" ref="BR52:BR57" si="70">11.1*9.1*9.1*0.52</f>
        <v>477.97931999999997</v>
      </c>
      <c r="BS52" s="21">
        <v>425900000000</v>
      </c>
      <c r="BT52" s="19">
        <v>514400000000</v>
      </c>
      <c r="BU52" s="21">
        <v>430800000000</v>
      </c>
      <c r="BV52" s="19">
        <v>520400000000</v>
      </c>
      <c r="BW52" s="21">
        <f t="shared" si="61"/>
        <v>891042733.81534588</v>
      </c>
      <c r="BX52" s="19">
        <f t="shared" si="65"/>
        <v>1076197187.7779148</v>
      </c>
    </row>
    <row r="53" spans="2:106" x14ac:dyDescent="0.25">
      <c r="B53" s="83"/>
      <c r="C53" s="37" t="s">
        <v>48</v>
      </c>
      <c r="D53" s="37" t="s">
        <v>15</v>
      </c>
      <c r="E53" s="37" t="s">
        <v>15</v>
      </c>
      <c r="F53" s="6">
        <v>43045</v>
      </c>
      <c r="G53" s="38">
        <v>0.48194444444444445</v>
      </c>
      <c r="H53" s="7">
        <f t="shared" si="49"/>
        <v>169.9</v>
      </c>
      <c r="I53" s="16">
        <v>30.3</v>
      </c>
      <c r="J53" s="9">
        <f t="shared" si="66"/>
        <v>584.30736000000013</v>
      </c>
      <c r="K53" s="21">
        <v>852500000000</v>
      </c>
      <c r="L53" s="19">
        <v>1024000000000</v>
      </c>
      <c r="M53" s="21">
        <v>753400000000</v>
      </c>
      <c r="N53" s="19">
        <v>9080000000000</v>
      </c>
      <c r="O53" s="21">
        <f t="shared" si="37"/>
        <v>1458992404.2716146</v>
      </c>
      <c r="P53" s="19">
        <f t="shared" si="38"/>
        <v>1752502313.1661386</v>
      </c>
      <c r="Q53" s="35"/>
      <c r="R53" s="37" t="s">
        <v>48</v>
      </c>
      <c r="S53" s="37" t="s">
        <v>15</v>
      </c>
      <c r="T53" s="37" t="s">
        <v>15</v>
      </c>
      <c r="U53" s="6">
        <v>43045</v>
      </c>
      <c r="V53" s="38">
        <v>0.48194444444444445</v>
      </c>
      <c r="W53" s="7">
        <f t="shared" si="39"/>
        <v>169.85</v>
      </c>
      <c r="X53" s="16">
        <v>31.2</v>
      </c>
      <c r="Y53" s="9">
        <f t="shared" si="67"/>
        <v>235.63903999999999</v>
      </c>
      <c r="Z53" s="21">
        <v>517300000000</v>
      </c>
      <c r="AA53" s="19">
        <v>499400000000</v>
      </c>
      <c r="AB53" s="21">
        <v>468100000000</v>
      </c>
      <c r="AC53" s="19">
        <v>452700000000</v>
      </c>
      <c r="AD53" s="21">
        <f t="shared" si="58"/>
        <v>2195306855.773984</v>
      </c>
      <c r="AE53" s="19">
        <f t="shared" si="62"/>
        <v>2119343212.3980815</v>
      </c>
      <c r="AF53" s="35"/>
      <c r="AG53" s="37" t="s">
        <v>48</v>
      </c>
      <c r="AH53" s="37" t="s">
        <v>15</v>
      </c>
      <c r="AI53" s="37" t="s">
        <v>15</v>
      </c>
      <c r="AJ53" s="6">
        <v>43045</v>
      </c>
      <c r="AK53" s="38">
        <v>0.48194444444444445</v>
      </c>
      <c r="AL53" s="7">
        <f t="shared" si="41"/>
        <v>169.81666666666666</v>
      </c>
      <c r="AM53" s="16">
        <v>28</v>
      </c>
      <c r="AN53" s="9">
        <f t="shared" si="68"/>
        <v>462.11100000000005</v>
      </c>
      <c r="AO53" s="21">
        <v>476600000000</v>
      </c>
      <c r="AP53" s="19">
        <v>579300000000</v>
      </c>
      <c r="AQ53" s="21">
        <v>473900000000</v>
      </c>
      <c r="AR53" s="19">
        <v>576000000000</v>
      </c>
      <c r="AS53" s="21">
        <f t="shared" si="59"/>
        <v>1031353938.7722862</v>
      </c>
      <c r="AT53" s="19">
        <f t="shared" si="63"/>
        <v>1253594915.507313</v>
      </c>
      <c r="AU53" s="35"/>
      <c r="AV53" s="37" t="s">
        <v>48</v>
      </c>
      <c r="AW53" s="37" t="s">
        <v>15</v>
      </c>
      <c r="AX53" s="37" t="s">
        <v>15</v>
      </c>
      <c r="AY53" s="6">
        <v>43045</v>
      </c>
      <c r="AZ53" s="38">
        <v>0.48402777777777778</v>
      </c>
      <c r="BA53" s="7">
        <f t="shared" si="44"/>
        <v>169.85</v>
      </c>
      <c r="BB53" s="16">
        <v>31.3</v>
      </c>
      <c r="BC53" s="9">
        <f t="shared" si="69"/>
        <v>854.2170000000001</v>
      </c>
      <c r="BD53" s="21">
        <v>842500000000</v>
      </c>
      <c r="BE53" s="19">
        <v>975000000000</v>
      </c>
      <c r="BF53" s="21">
        <v>773900000000</v>
      </c>
      <c r="BG53" s="19">
        <v>899700000000</v>
      </c>
      <c r="BH53" s="21">
        <f t="shared" si="60"/>
        <v>986283344.86436105</v>
      </c>
      <c r="BI53" s="19">
        <f t="shared" si="64"/>
        <v>1141396155.7777472</v>
      </c>
      <c r="BJ53" s="35"/>
      <c r="BK53" s="37" t="s">
        <v>48</v>
      </c>
      <c r="BL53" s="37" t="s">
        <v>15</v>
      </c>
      <c r="BM53" s="37" t="s">
        <v>15</v>
      </c>
      <c r="BN53" s="6">
        <v>43045</v>
      </c>
      <c r="BO53" s="38">
        <v>0.48402777777777778</v>
      </c>
      <c r="BP53" s="7">
        <f t="shared" si="47"/>
        <v>169.93333333333334</v>
      </c>
      <c r="BQ53" s="16">
        <v>32.1</v>
      </c>
      <c r="BR53" s="9">
        <f t="shared" si="70"/>
        <v>477.97931999999997</v>
      </c>
      <c r="BS53" s="21">
        <v>480700000000</v>
      </c>
      <c r="BT53" s="19">
        <v>590100000000</v>
      </c>
      <c r="BU53" s="21">
        <v>488600000000</v>
      </c>
      <c r="BV53" s="19">
        <v>599700000000</v>
      </c>
      <c r="BW53" s="21">
        <f t="shared" si="61"/>
        <v>1005692045.4215467</v>
      </c>
      <c r="BX53" s="19">
        <f t="shared" si="65"/>
        <v>1234572240.4894004</v>
      </c>
    </row>
    <row r="54" spans="2:106" x14ac:dyDescent="0.25">
      <c r="B54" s="83"/>
      <c r="C54" s="37" t="s">
        <v>15</v>
      </c>
      <c r="D54" s="37" t="s">
        <v>15</v>
      </c>
      <c r="E54" s="37" t="s">
        <v>15</v>
      </c>
      <c r="F54" s="6">
        <v>43045</v>
      </c>
      <c r="G54" s="38">
        <v>0.53888888888888886</v>
      </c>
      <c r="H54" s="7">
        <f t="shared" si="49"/>
        <v>171.26666666666668</v>
      </c>
      <c r="I54" s="16">
        <v>30.3</v>
      </c>
      <c r="J54" s="9">
        <f t="shared" si="66"/>
        <v>584.30736000000013</v>
      </c>
      <c r="K54" s="21">
        <v>923200000000</v>
      </c>
      <c r="L54" s="19">
        <v>1070000000000</v>
      </c>
      <c r="M54" s="21">
        <v>802900000000</v>
      </c>
      <c r="N54" s="19">
        <v>933200000000</v>
      </c>
      <c r="O54" s="21">
        <f t="shared" si="37"/>
        <v>1579990366.7138469</v>
      </c>
      <c r="P54" s="19">
        <f t="shared" si="38"/>
        <v>1831228003.015399</v>
      </c>
      <c r="Q54" s="35"/>
      <c r="R54" s="37" t="s">
        <v>15</v>
      </c>
      <c r="S54" s="37" t="s">
        <v>15</v>
      </c>
      <c r="T54" s="37" t="s">
        <v>15</v>
      </c>
      <c r="U54" s="6">
        <v>43045</v>
      </c>
      <c r="V54" s="38">
        <v>0.53888888888888886</v>
      </c>
      <c r="W54" s="7">
        <f t="shared" si="39"/>
        <v>171.21666666666667</v>
      </c>
      <c r="X54" s="16">
        <v>31.2</v>
      </c>
      <c r="Y54" s="9">
        <f t="shared" si="67"/>
        <v>235.63903999999999</v>
      </c>
      <c r="Z54" s="21">
        <v>469200000000</v>
      </c>
      <c r="AA54" s="19">
        <v>450200000000</v>
      </c>
      <c r="AB54" s="21">
        <v>441000000000</v>
      </c>
      <c r="AC54" s="19">
        <v>423700000000</v>
      </c>
      <c r="AD54" s="21">
        <f t="shared" si="58"/>
        <v>1991181087.8197434</v>
      </c>
      <c r="AE54" s="19">
        <f t="shared" si="62"/>
        <v>1910549287.5883386</v>
      </c>
      <c r="AF54" s="35"/>
      <c r="AG54" s="37" t="s">
        <v>15</v>
      </c>
      <c r="AH54" s="37" t="s">
        <v>15</v>
      </c>
      <c r="AI54" s="37" t="s">
        <v>15</v>
      </c>
      <c r="AJ54" s="6">
        <v>43045</v>
      </c>
      <c r="AK54" s="38">
        <v>0.53888888888888886</v>
      </c>
      <c r="AL54" s="7">
        <f t="shared" si="41"/>
        <v>171.18333333333334</v>
      </c>
      <c r="AM54" s="16">
        <v>28</v>
      </c>
      <c r="AN54" s="9">
        <f t="shared" si="68"/>
        <v>462.11100000000005</v>
      </c>
      <c r="AO54" s="21">
        <v>558700000000</v>
      </c>
      <c r="AP54" s="19">
        <v>631600000000</v>
      </c>
      <c r="AQ54" s="21">
        <v>514600000000</v>
      </c>
      <c r="AR54" s="19">
        <v>581100000000</v>
      </c>
      <c r="AS54" s="21">
        <f t="shared" si="59"/>
        <v>1209016881.2255063</v>
      </c>
      <c r="AT54" s="19">
        <f t="shared" si="63"/>
        <v>1366771187.0091817</v>
      </c>
      <c r="AU54" s="35"/>
      <c r="AV54" s="37" t="s">
        <v>15</v>
      </c>
      <c r="AW54" s="37" t="s">
        <v>15</v>
      </c>
      <c r="AX54" s="37" t="s">
        <v>15</v>
      </c>
      <c r="AY54" s="6">
        <v>43045</v>
      </c>
      <c r="AZ54" s="38">
        <v>0.54097222222222219</v>
      </c>
      <c r="BA54" s="7">
        <f t="shared" si="44"/>
        <v>171.21666666666667</v>
      </c>
      <c r="BB54" s="16">
        <v>31.3</v>
      </c>
      <c r="BC54" s="9">
        <f t="shared" si="69"/>
        <v>854.2170000000001</v>
      </c>
      <c r="BD54" s="21">
        <v>868100000000</v>
      </c>
      <c r="BE54" s="19">
        <v>1129000000000</v>
      </c>
      <c r="BF54" s="21">
        <v>808200000000</v>
      </c>
      <c r="BG54" s="19">
        <v>1053000000000</v>
      </c>
      <c r="BH54" s="21">
        <f t="shared" si="60"/>
        <v>1016252310.5955511</v>
      </c>
      <c r="BI54" s="19">
        <f t="shared" si="64"/>
        <v>1321678215.2544374</v>
      </c>
      <c r="BJ54" s="35"/>
      <c r="BK54" s="37" t="s">
        <v>15</v>
      </c>
      <c r="BL54" s="37" t="s">
        <v>15</v>
      </c>
      <c r="BM54" s="37" t="s">
        <v>15</v>
      </c>
      <c r="BN54" s="6">
        <v>43045</v>
      </c>
      <c r="BO54" s="38">
        <v>0.54097222222222219</v>
      </c>
      <c r="BP54" s="7">
        <f t="shared" si="47"/>
        <v>171.3</v>
      </c>
      <c r="BQ54" s="16">
        <v>32.1</v>
      </c>
      <c r="BR54" s="9">
        <f t="shared" si="70"/>
        <v>477.97931999999997</v>
      </c>
      <c r="BS54" s="21">
        <v>468000000000</v>
      </c>
      <c r="BT54" s="19">
        <v>610500000000</v>
      </c>
      <c r="BU54" s="21">
        <v>470100000000</v>
      </c>
      <c r="BV54" s="19">
        <v>613200000000</v>
      </c>
      <c r="BW54" s="21">
        <f t="shared" si="61"/>
        <v>979121858.24273741</v>
      </c>
      <c r="BX54" s="19">
        <f t="shared" si="65"/>
        <v>1277251911.2333145</v>
      </c>
    </row>
    <row r="55" spans="2:106" x14ac:dyDescent="0.25">
      <c r="B55" s="83"/>
      <c r="C55" s="37" t="s">
        <v>15</v>
      </c>
      <c r="D55" s="37" t="s">
        <v>15</v>
      </c>
      <c r="E55" s="37" t="s">
        <v>15</v>
      </c>
      <c r="F55" s="6">
        <v>43045</v>
      </c>
      <c r="G55" s="38">
        <v>0.68541666666666667</v>
      </c>
      <c r="H55" s="7">
        <f t="shared" si="49"/>
        <v>174.78333333333333</v>
      </c>
      <c r="I55" s="16">
        <v>30.3</v>
      </c>
      <c r="J55" s="9">
        <f t="shared" si="66"/>
        <v>584.30736000000013</v>
      </c>
      <c r="K55" s="21">
        <v>879800000000</v>
      </c>
      <c r="L55" s="19">
        <v>1053000000000</v>
      </c>
      <c r="M55" s="21">
        <v>785700000000</v>
      </c>
      <c r="N55" s="19"/>
      <c r="O55" s="21">
        <f t="shared" si="37"/>
        <v>1505714389.7691102</v>
      </c>
      <c r="P55" s="19">
        <f t="shared" si="38"/>
        <v>1802133726.3319767</v>
      </c>
      <c r="Q55" s="35"/>
      <c r="R55" s="37" t="s">
        <v>15</v>
      </c>
      <c r="S55" s="37" t="s">
        <v>15</v>
      </c>
      <c r="T55" s="37" t="s">
        <v>15</v>
      </c>
      <c r="U55" s="6">
        <v>43045</v>
      </c>
      <c r="V55" s="38">
        <v>0.68541666666666667</v>
      </c>
      <c r="W55" s="7">
        <f t="shared" si="39"/>
        <v>174.73333333333332</v>
      </c>
      <c r="X55" s="16">
        <v>31.2</v>
      </c>
      <c r="Y55" s="9">
        <f t="shared" si="67"/>
        <v>235.63903999999999</v>
      </c>
      <c r="Z55" s="21">
        <v>504100000000</v>
      </c>
      <c r="AA55" s="19">
        <v>506000000000</v>
      </c>
      <c r="AB55" s="21">
        <v>456500000000</v>
      </c>
      <c r="AC55" s="19"/>
      <c r="AD55" s="21">
        <f t="shared" si="58"/>
        <v>2139288973.5079553</v>
      </c>
      <c r="AE55" s="19">
        <f t="shared" si="62"/>
        <v>2147352153.5310957</v>
      </c>
      <c r="AF55" s="35"/>
      <c r="AG55" s="37" t="s">
        <v>15</v>
      </c>
      <c r="AH55" s="37" t="s">
        <v>15</v>
      </c>
      <c r="AI55" s="37" t="s">
        <v>15</v>
      </c>
      <c r="AJ55" s="6">
        <v>43045</v>
      </c>
      <c r="AK55" s="38">
        <v>0.68541666666666667</v>
      </c>
      <c r="AL55" s="7">
        <f t="shared" si="41"/>
        <v>174.7</v>
      </c>
      <c r="AM55" s="16">
        <v>28</v>
      </c>
      <c r="AN55" s="9">
        <f t="shared" si="68"/>
        <v>462.11100000000005</v>
      </c>
      <c r="AO55" s="21">
        <v>590600000000</v>
      </c>
      <c r="AP55" s="19">
        <v>684000000000</v>
      </c>
      <c r="AQ55" s="21">
        <v>554700000000</v>
      </c>
      <c r="AR55" s="19"/>
      <c r="AS55" s="21">
        <f t="shared" si="59"/>
        <v>1278047914.894906</v>
      </c>
      <c r="AT55" s="19">
        <f t="shared" si="63"/>
        <v>1480163856.7357192</v>
      </c>
      <c r="AU55" s="35"/>
      <c r="AV55" s="37" t="s">
        <v>15</v>
      </c>
      <c r="AW55" s="37" t="s">
        <v>15</v>
      </c>
      <c r="AX55" s="37" t="s">
        <v>15</v>
      </c>
      <c r="AY55" s="6">
        <v>43045</v>
      </c>
      <c r="AZ55" s="38">
        <v>0.6875</v>
      </c>
      <c r="BA55" s="7">
        <f t="shared" si="44"/>
        <v>174.73333333333332</v>
      </c>
      <c r="BB55" s="16">
        <v>31.3</v>
      </c>
      <c r="BC55" s="9">
        <f t="shared" si="69"/>
        <v>854.2170000000001</v>
      </c>
      <c r="BD55" s="21">
        <v>993500000000</v>
      </c>
      <c r="BE55" s="19">
        <v>1270000000000</v>
      </c>
      <c r="BF55" s="21">
        <v>915600000000</v>
      </c>
      <c r="BG55" s="19">
        <v>1174000000000</v>
      </c>
      <c r="BH55" s="21">
        <f t="shared" si="60"/>
        <v>1163053416.1694276</v>
      </c>
      <c r="BI55" s="19">
        <f t="shared" si="64"/>
        <v>1486741659.3207579</v>
      </c>
      <c r="BJ55" s="35"/>
      <c r="BK55" s="37" t="s">
        <v>15</v>
      </c>
      <c r="BL55" s="37" t="s">
        <v>15</v>
      </c>
      <c r="BM55" s="37" t="s">
        <v>15</v>
      </c>
      <c r="BN55" s="6">
        <v>43045</v>
      </c>
      <c r="BO55" s="38">
        <v>0.6875</v>
      </c>
      <c r="BP55" s="7">
        <f t="shared" si="47"/>
        <v>174.81666666666666</v>
      </c>
      <c r="BQ55" s="16">
        <v>32.1</v>
      </c>
      <c r="BR55" s="9">
        <f t="shared" si="70"/>
        <v>477.97931999999997</v>
      </c>
      <c r="BS55" s="21">
        <v>561900000000</v>
      </c>
      <c r="BT55" s="19">
        <v>692600000000</v>
      </c>
      <c r="BU55" s="21">
        <v>562000000000</v>
      </c>
      <c r="BV55" s="19">
        <v>692700000000</v>
      </c>
      <c r="BW55" s="21">
        <f t="shared" si="61"/>
        <v>1175573872.1081071</v>
      </c>
      <c r="BX55" s="19">
        <f t="shared" si="65"/>
        <v>1449016664.5703418</v>
      </c>
    </row>
    <row r="56" spans="2:106" x14ac:dyDescent="0.25">
      <c r="B56" s="83"/>
      <c r="C56" s="37" t="s">
        <v>15</v>
      </c>
      <c r="D56" s="37" t="s">
        <v>15</v>
      </c>
      <c r="E56" s="37" t="s">
        <v>15</v>
      </c>
      <c r="F56" s="6">
        <v>43045</v>
      </c>
      <c r="G56" s="38">
        <v>0.7631944444444444</v>
      </c>
      <c r="H56" s="7">
        <f t="shared" si="49"/>
        <v>176.65</v>
      </c>
      <c r="I56" s="16">
        <v>30.3</v>
      </c>
      <c r="J56" s="9">
        <f t="shared" si="66"/>
        <v>584.30736000000013</v>
      </c>
      <c r="K56" s="21">
        <v>994300000000</v>
      </c>
      <c r="L56" s="19">
        <v>1055000000000</v>
      </c>
      <c r="M56" s="21">
        <v>859300000000</v>
      </c>
      <c r="N56" s="19">
        <v>914100000000</v>
      </c>
      <c r="O56" s="21">
        <f t="shared" si="37"/>
        <v>1701672900.37216</v>
      </c>
      <c r="P56" s="19">
        <f t="shared" si="38"/>
        <v>1805556582.4123793</v>
      </c>
      <c r="Q56" s="35"/>
      <c r="R56" s="37" t="s">
        <v>15</v>
      </c>
      <c r="S56" s="37" t="s">
        <v>15</v>
      </c>
      <c r="T56" s="37" t="s">
        <v>15</v>
      </c>
      <c r="U56" s="6">
        <v>43045</v>
      </c>
      <c r="V56" s="38">
        <v>0.7631944444444444</v>
      </c>
      <c r="W56" s="7">
        <f t="shared" si="39"/>
        <v>176.6</v>
      </c>
      <c r="X56" s="16">
        <v>31.2</v>
      </c>
      <c r="Y56" s="9">
        <f t="shared" si="67"/>
        <v>235.63903999999999</v>
      </c>
      <c r="Z56" s="21">
        <v>471600000000</v>
      </c>
      <c r="AA56" s="19">
        <v>450700000000</v>
      </c>
      <c r="AB56" s="21">
        <v>424500000000</v>
      </c>
      <c r="AC56" s="19">
        <v>406100000000</v>
      </c>
      <c r="AD56" s="21">
        <f t="shared" si="58"/>
        <v>2001366157.3226576</v>
      </c>
      <c r="AE56" s="19">
        <f t="shared" si="62"/>
        <v>1912671177.0681124</v>
      </c>
      <c r="AF56" s="35"/>
      <c r="AG56" s="37" t="s">
        <v>15</v>
      </c>
      <c r="AH56" s="37" t="s">
        <v>15</v>
      </c>
      <c r="AI56" s="37" t="s">
        <v>15</v>
      </c>
      <c r="AJ56" s="6">
        <v>43045</v>
      </c>
      <c r="AK56" s="38">
        <v>0.7631944444444444</v>
      </c>
      <c r="AL56" s="7">
        <f t="shared" si="41"/>
        <v>176.56666666666666</v>
      </c>
      <c r="AM56" s="16">
        <v>28</v>
      </c>
      <c r="AN56" s="9">
        <f t="shared" si="68"/>
        <v>462.11100000000005</v>
      </c>
      <c r="AO56" s="21">
        <v>524900000000</v>
      </c>
      <c r="AP56" s="19">
        <v>606800000000</v>
      </c>
      <c r="AQ56" s="21">
        <v>506100000000</v>
      </c>
      <c r="AR56" s="19">
        <v>584800000000</v>
      </c>
      <c r="AS56" s="21">
        <f t="shared" si="59"/>
        <v>1135874281.2873962</v>
      </c>
      <c r="AT56" s="19">
        <f t="shared" si="63"/>
        <v>1313104427.2912784</v>
      </c>
      <c r="AU56" s="35"/>
      <c r="AV56" s="37" t="s">
        <v>15</v>
      </c>
      <c r="AW56" s="37" t="s">
        <v>15</v>
      </c>
      <c r="AX56" s="37" t="s">
        <v>15</v>
      </c>
      <c r="AY56" s="6">
        <v>43045</v>
      </c>
      <c r="AZ56" s="38">
        <v>0.76527777777777783</v>
      </c>
      <c r="BA56" s="7">
        <f t="shared" si="44"/>
        <v>176.6</v>
      </c>
      <c r="BB56" s="16">
        <v>31.3</v>
      </c>
      <c r="BC56" s="9">
        <f t="shared" si="69"/>
        <v>854.2170000000001</v>
      </c>
      <c r="BD56" s="21">
        <v>993700000000</v>
      </c>
      <c r="BE56" s="19">
        <v>1083000000000</v>
      </c>
      <c r="BF56" s="21">
        <v>877800000000</v>
      </c>
      <c r="BG56" s="19">
        <v>960800000000</v>
      </c>
      <c r="BH56" s="21">
        <f t="shared" si="60"/>
        <v>1163287548.7142024</v>
      </c>
      <c r="BI56" s="19">
        <f t="shared" si="64"/>
        <v>1267827729.9562054</v>
      </c>
      <c r="BJ56" s="35"/>
      <c r="BK56" s="37" t="s">
        <v>15</v>
      </c>
      <c r="BL56" s="37" t="s">
        <v>15</v>
      </c>
      <c r="BM56" s="37" t="s">
        <v>15</v>
      </c>
      <c r="BN56" s="6">
        <v>43045</v>
      </c>
      <c r="BO56" s="38">
        <v>0.76527777777777783</v>
      </c>
      <c r="BP56" s="7">
        <f t="shared" si="47"/>
        <v>176.68333333333334</v>
      </c>
      <c r="BQ56" s="16">
        <v>32.1</v>
      </c>
      <c r="BR56" s="9">
        <f t="shared" si="70"/>
        <v>477.97931999999997</v>
      </c>
      <c r="BS56" s="21">
        <v>450100000000</v>
      </c>
      <c r="BT56" s="19">
        <v>567300000000</v>
      </c>
      <c r="BU56" s="21">
        <v>458600000000</v>
      </c>
      <c r="BV56" s="19">
        <v>578000000000</v>
      </c>
      <c r="BW56" s="21">
        <f t="shared" si="61"/>
        <v>941672539.30567551</v>
      </c>
      <c r="BX56" s="19">
        <f t="shared" si="65"/>
        <v>1186871432.0109079</v>
      </c>
    </row>
    <row r="57" spans="2:106" x14ac:dyDescent="0.25">
      <c r="B57" s="83"/>
      <c r="C57" s="37" t="s">
        <v>15</v>
      </c>
      <c r="D57" s="37" t="s">
        <v>15</v>
      </c>
      <c r="E57" s="37" t="s">
        <v>15</v>
      </c>
      <c r="F57" s="6">
        <v>43045</v>
      </c>
      <c r="G57" s="38">
        <v>0.93888888888888899</v>
      </c>
      <c r="H57" s="7">
        <f t="shared" si="49"/>
        <v>180.86666666666667</v>
      </c>
      <c r="I57" s="16">
        <v>30.3</v>
      </c>
      <c r="J57" s="9">
        <f t="shared" si="66"/>
        <v>584.30736000000013</v>
      </c>
      <c r="K57" s="21">
        <v>892800000000</v>
      </c>
      <c r="L57" s="19">
        <v>1091000000000</v>
      </c>
      <c r="M57" s="21">
        <v>792400000000</v>
      </c>
      <c r="N57" s="19">
        <v>969700000000</v>
      </c>
      <c r="O57" s="21">
        <f t="shared" si="37"/>
        <v>1527962954.2917273</v>
      </c>
      <c r="P57" s="19">
        <f t="shared" si="38"/>
        <v>1867167991.8596263</v>
      </c>
      <c r="Q57" s="35"/>
      <c r="R57" s="37" t="s">
        <v>15</v>
      </c>
      <c r="S57" s="37" t="s">
        <v>15</v>
      </c>
      <c r="T57" s="37" t="s">
        <v>15</v>
      </c>
      <c r="U57" s="6">
        <v>43045</v>
      </c>
      <c r="V57" s="38">
        <v>0.93888888888888899</v>
      </c>
      <c r="W57" s="7">
        <f t="shared" si="39"/>
        <v>180.81666666666666</v>
      </c>
      <c r="X57" s="16">
        <v>31.2</v>
      </c>
      <c r="Y57" s="9">
        <f t="shared" si="67"/>
        <v>235.63903999999999</v>
      </c>
      <c r="Z57" s="21">
        <v>476300000000</v>
      </c>
      <c r="AA57" s="19">
        <v>467900000000</v>
      </c>
      <c r="AB57" s="21">
        <v>437500000000</v>
      </c>
      <c r="AC57" s="19">
        <v>430900000000</v>
      </c>
      <c r="AD57" s="21">
        <f t="shared" si="58"/>
        <v>2021311918.4325314</v>
      </c>
      <c r="AE57" s="19">
        <f t="shared" si="62"/>
        <v>1985664175.1723313</v>
      </c>
      <c r="AF57" s="35"/>
      <c r="AG57" s="37" t="s">
        <v>15</v>
      </c>
      <c r="AH57" s="37" t="s">
        <v>15</v>
      </c>
      <c r="AI57" s="37" t="s">
        <v>15</v>
      </c>
      <c r="AJ57" s="6">
        <v>43045</v>
      </c>
      <c r="AK57" s="38">
        <v>0.93888888888888899</v>
      </c>
      <c r="AL57" s="7">
        <f t="shared" si="41"/>
        <v>180.78333333333333</v>
      </c>
      <c r="AM57" s="16">
        <v>28</v>
      </c>
      <c r="AN57" s="9">
        <f t="shared" si="68"/>
        <v>462.11100000000005</v>
      </c>
      <c r="AO57" s="21">
        <v>543400000000</v>
      </c>
      <c r="AP57" s="19">
        <v>690600000000</v>
      </c>
      <c r="AQ57" s="21">
        <v>531000000000</v>
      </c>
      <c r="AR57" s="19">
        <v>674200000000</v>
      </c>
      <c r="AS57" s="21">
        <f t="shared" si="59"/>
        <v>1175907952.8511548</v>
      </c>
      <c r="AT57" s="19">
        <f t="shared" si="63"/>
        <v>1494446139.5638709</v>
      </c>
      <c r="AU57" s="21"/>
      <c r="AV57" s="37" t="s">
        <v>15</v>
      </c>
      <c r="AW57" s="37" t="s">
        <v>15</v>
      </c>
      <c r="AX57" s="37" t="s">
        <v>15</v>
      </c>
      <c r="AY57" s="6">
        <v>43045</v>
      </c>
      <c r="AZ57" s="38">
        <v>0.94097222222222221</v>
      </c>
      <c r="BA57" s="7">
        <f t="shared" si="44"/>
        <v>180.81666666666666</v>
      </c>
      <c r="BB57" s="16">
        <v>31.3</v>
      </c>
      <c r="BC57" s="9">
        <f t="shared" si="69"/>
        <v>854.2170000000001</v>
      </c>
      <c r="BD57" s="21">
        <v>952900000000</v>
      </c>
      <c r="BE57" s="19">
        <v>1131000000000</v>
      </c>
      <c r="BF57" s="21">
        <v>889400000000</v>
      </c>
      <c r="BG57" s="19">
        <v>1059000000000</v>
      </c>
      <c r="BH57" s="21">
        <f t="shared" si="60"/>
        <v>1115524509.5801182</v>
      </c>
      <c r="BI57" s="19">
        <f t="shared" si="64"/>
        <v>1324019540.7021868</v>
      </c>
      <c r="BJ57" s="35"/>
      <c r="BK57" s="37" t="s">
        <v>15</v>
      </c>
      <c r="BL57" s="37" t="s">
        <v>15</v>
      </c>
      <c r="BM57" s="37" t="s">
        <v>15</v>
      </c>
      <c r="BN57" s="6">
        <v>43045</v>
      </c>
      <c r="BO57" s="38">
        <v>0.94097222222222221</v>
      </c>
      <c r="BP57" s="7">
        <f t="shared" si="47"/>
        <v>180.9</v>
      </c>
      <c r="BQ57" s="16">
        <v>32.1</v>
      </c>
      <c r="BR57" s="9">
        <f t="shared" si="70"/>
        <v>477.97931999999997</v>
      </c>
      <c r="BS57" s="21">
        <v>486700000000</v>
      </c>
      <c r="BT57" s="19">
        <v>629100000000</v>
      </c>
      <c r="BU57" s="21">
        <v>491600000000</v>
      </c>
      <c r="BV57" s="19">
        <v>635400000000</v>
      </c>
      <c r="BW57" s="21">
        <f t="shared" si="61"/>
        <v>1018244889.7579921</v>
      </c>
      <c r="BX57" s="19">
        <f t="shared" si="65"/>
        <v>1316165728.676295</v>
      </c>
    </row>
    <row r="58" spans="2:106" x14ac:dyDescent="0.25">
      <c r="B58" s="83"/>
      <c r="C58" s="37" t="s">
        <v>15</v>
      </c>
      <c r="D58" s="37" t="s">
        <v>15</v>
      </c>
      <c r="E58" s="37" t="s">
        <v>15</v>
      </c>
      <c r="F58" s="6">
        <v>43046</v>
      </c>
      <c r="G58" s="38">
        <v>0.3972222222222222</v>
      </c>
      <c r="H58" s="7">
        <f t="shared" si="49"/>
        <v>191.86666666666667</v>
      </c>
      <c r="I58" s="16">
        <v>29.7</v>
      </c>
      <c r="J58" s="9">
        <f>11.6*8.5*8.5*0.52</f>
        <v>435.81199999999995</v>
      </c>
      <c r="K58" s="21">
        <v>918500000000</v>
      </c>
      <c r="L58" s="19">
        <v>1082000000000</v>
      </c>
      <c r="M58" s="21">
        <v>826200000000</v>
      </c>
      <c r="N58" s="19">
        <v>974200000000</v>
      </c>
      <c r="O58" s="21">
        <f t="shared" si="37"/>
        <v>2107560140.6110895</v>
      </c>
      <c r="P58" s="19">
        <f t="shared" si="38"/>
        <v>2482721907.6115394</v>
      </c>
      <c r="Q58" s="35"/>
      <c r="R58" s="37" t="s">
        <v>15</v>
      </c>
      <c r="S58" s="37" t="s">
        <v>15</v>
      </c>
      <c r="T58" s="37" t="s">
        <v>15</v>
      </c>
      <c r="U58" s="6">
        <v>43046</v>
      </c>
      <c r="V58" s="38">
        <v>0.3972222222222222</v>
      </c>
      <c r="W58" s="7">
        <f t="shared" si="39"/>
        <v>191.81666666666666</v>
      </c>
      <c r="X58" s="16">
        <v>30.5</v>
      </c>
      <c r="Y58" s="9">
        <f>10.5*6.8*6.8*0.52</f>
        <v>252.47039999999998</v>
      </c>
      <c r="Z58" s="21">
        <v>392300000000</v>
      </c>
      <c r="AA58" s="19">
        <v>386900000000</v>
      </c>
      <c r="AB58" s="21">
        <v>366000000000</v>
      </c>
      <c r="AC58" s="19">
        <v>361600000000</v>
      </c>
      <c r="AD58" s="21">
        <f t="shared" si="58"/>
        <v>1553845520.108496</v>
      </c>
      <c r="AE58" s="19">
        <f t="shared" si="62"/>
        <v>1532456874.1523759</v>
      </c>
      <c r="AF58" s="35"/>
      <c r="AG58" s="37" t="s">
        <v>15</v>
      </c>
      <c r="AH58" s="37" t="s">
        <v>15</v>
      </c>
      <c r="AI58" s="37" t="s">
        <v>15</v>
      </c>
      <c r="AJ58" s="6">
        <v>43046</v>
      </c>
      <c r="AK58" s="38">
        <v>0.3972222222222222</v>
      </c>
      <c r="AL58" s="7">
        <f t="shared" si="41"/>
        <v>191.78333333333333</v>
      </c>
      <c r="AM58" s="16">
        <v>27.8</v>
      </c>
      <c r="AN58" s="9">
        <f>12.4*8.8*8.8*0.52</f>
        <v>499.33312000000012</v>
      </c>
      <c r="AO58" s="21">
        <v>589600000000</v>
      </c>
      <c r="AP58" s="19">
        <v>677400000000</v>
      </c>
      <c r="AQ58" s="21">
        <v>570000000000</v>
      </c>
      <c r="AR58" s="19">
        <v>654600000000</v>
      </c>
      <c r="AS58" s="21">
        <f t="shared" si="59"/>
        <v>1180774870.2909989</v>
      </c>
      <c r="AT58" s="19">
        <f t="shared" si="63"/>
        <v>1356609391.3417957</v>
      </c>
      <c r="AU58" s="35"/>
      <c r="AV58" s="37" t="s">
        <v>15</v>
      </c>
      <c r="AW58" s="37" t="s">
        <v>15</v>
      </c>
      <c r="AX58" s="37" t="s">
        <v>15</v>
      </c>
      <c r="AY58" s="6">
        <v>43046</v>
      </c>
      <c r="AZ58" s="38">
        <v>0.39999999999999997</v>
      </c>
      <c r="BA58" s="7">
        <f t="shared" si="44"/>
        <v>191.83333333333334</v>
      </c>
      <c r="BB58" s="16">
        <v>30.5</v>
      </c>
      <c r="BC58" s="9">
        <f>14*9.6*9.6*0.52</f>
        <v>670.9248</v>
      </c>
      <c r="BD58" s="21">
        <v>982600000000</v>
      </c>
      <c r="BE58" s="19">
        <v>1158000000000</v>
      </c>
      <c r="BF58" s="21">
        <v>914200000000</v>
      </c>
      <c r="BG58" s="19">
        <v>1078000000000</v>
      </c>
      <c r="BH58" s="21">
        <f t="shared" si="60"/>
        <v>1464545653.9987791</v>
      </c>
      <c r="BI58" s="19">
        <f t="shared" si="64"/>
        <v>1725975847.069597</v>
      </c>
      <c r="BJ58" s="35"/>
      <c r="BK58" s="37" t="s">
        <v>15</v>
      </c>
      <c r="BL58" s="37" t="s">
        <v>15</v>
      </c>
      <c r="BM58" s="37" t="s">
        <v>15</v>
      </c>
      <c r="BN58" s="6">
        <v>43046</v>
      </c>
      <c r="BO58" s="38">
        <v>0.39999999999999997</v>
      </c>
      <c r="BP58" s="7">
        <f t="shared" si="47"/>
        <v>191.91666666666666</v>
      </c>
      <c r="BQ58" s="16">
        <f>31.1</f>
        <v>31.1</v>
      </c>
      <c r="BR58" s="9">
        <f>11.8*8.6*8.6*0.52</f>
        <v>453.81855999999999</v>
      </c>
      <c r="BS58" s="21">
        <v>580900000000</v>
      </c>
      <c r="BT58" s="19">
        <v>656400000000</v>
      </c>
      <c r="BU58" s="21">
        <v>572700000000</v>
      </c>
      <c r="BV58" s="19">
        <v>646900000000</v>
      </c>
      <c r="BW58" s="21">
        <f t="shared" si="61"/>
        <v>1280026978.1826465</v>
      </c>
      <c r="BX58" s="19">
        <f t="shared" si="65"/>
        <v>1446393025.4417095</v>
      </c>
    </row>
    <row r="59" spans="2:106" x14ac:dyDescent="0.25">
      <c r="B59" s="83"/>
      <c r="C59" s="37" t="s">
        <v>48</v>
      </c>
      <c r="D59" s="37" t="s">
        <v>15</v>
      </c>
      <c r="E59" s="37" t="s">
        <v>15</v>
      </c>
      <c r="F59" s="6">
        <v>43047</v>
      </c>
      <c r="G59" s="38">
        <v>0.41666666666666669</v>
      </c>
      <c r="H59" s="7">
        <f t="shared" si="49"/>
        <v>216.33333333333334</v>
      </c>
      <c r="I59" s="16"/>
      <c r="J59" s="9">
        <f>12.4*9.7*9.7*0.52</f>
        <v>606.69232</v>
      </c>
      <c r="K59" s="21">
        <v>842500000000</v>
      </c>
      <c r="L59" s="19">
        <v>925100000000</v>
      </c>
      <c r="M59" s="21">
        <v>765000000000</v>
      </c>
      <c r="N59" s="19">
        <v>841100000000</v>
      </c>
      <c r="O59" s="21">
        <f t="shared" si="37"/>
        <v>1388677542.514466</v>
      </c>
      <c r="P59" s="19">
        <f t="shared" si="38"/>
        <v>1524825631.5491188</v>
      </c>
      <c r="Q59" s="35"/>
      <c r="R59" s="37" t="s">
        <v>48</v>
      </c>
      <c r="S59" s="37" t="s">
        <v>15</v>
      </c>
      <c r="T59" s="37" t="s">
        <v>15</v>
      </c>
      <c r="U59" s="6">
        <v>43047</v>
      </c>
      <c r="V59" s="38">
        <v>0.41666666666666669</v>
      </c>
      <c r="W59" s="7">
        <f t="shared" si="39"/>
        <v>216.28333333333333</v>
      </c>
      <c r="X59" s="16"/>
      <c r="Y59" s="9">
        <f>9.5*7.1*7.1*0.52</f>
        <v>249.02539999999999</v>
      </c>
      <c r="Z59" s="21">
        <v>460300000000</v>
      </c>
      <c r="AA59" s="19">
        <v>471600000000</v>
      </c>
      <c r="AB59" s="21">
        <v>444400000000</v>
      </c>
      <c r="AC59" s="19">
        <v>455900000000</v>
      </c>
      <c r="AD59" s="21">
        <f t="shared" si="58"/>
        <v>1848405825.2692297</v>
      </c>
      <c r="AE59" s="19">
        <f t="shared" si="62"/>
        <v>1893782722.56565</v>
      </c>
      <c r="AF59" s="35"/>
      <c r="AG59" s="37" t="s">
        <v>48</v>
      </c>
      <c r="AH59" s="37" t="s">
        <v>15</v>
      </c>
      <c r="AI59" s="37" t="s">
        <v>15</v>
      </c>
      <c r="AJ59" s="6">
        <v>43047</v>
      </c>
      <c r="AK59" s="38">
        <v>0.41666666666666669</v>
      </c>
      <c r="AL59" s="7">
        <f t="shared" si="41"/>
        <v>216.25</v>
      </c>
      <c r="AM59" s="16"/>
      <c r="AN59" s="9">
        <f>11.1*9.5*9.5*0.52</f>
        <v>520.923</v>
      </c>
      <c r="AO59" s="21">
        <v>391600000000</v>
      </c>
      <c r="AP59" s="19">
        <v>481700000000</v>
      </c>
      <c r="AQ59" s="21">
        <v>398600000000</v>
      </c>
      <c r="AR59" s="19">
        <v>490400000000</v>
      </c>
      <c r="AS59" s="21">
        <f t="shared" si="59"/>
        <v>751742579.99742758</v>
      </c>
      <c r="AT59" s="19">
        <f t="shared" si="63"/>
        <v>924704802.82114625</v>
      </c>
      <c r="AU59" s="35"/>
      <c r="AV59" s="37" t="s">
        <v>48</v>
      </c>
      <c r="AW59" s="37" t="s">
        <v>15</v>
      </c>
      <c r="AX59" s="37" t="s">
        <v>15</v>
      </c>
      <c r="AY59" s="6">
        <v>43047</v>
      </c>
      <c r="AZ59" s="38">
        <v>0.41944444444444445</v>
      </c>
      <c r="BA59" s="7">
        <f t="shared" si="44"/>
        <v>216.3</v>
      </c>
      <c r="BB59" s="16"/>
      <c r="BC59" s="9">
        <f>14.3*10.4*10.4*0.52</f>
        <v>804.27776000000006</v>
      </c>
      <c r="BD59" s="21">
        <v>774100000000</v>
      </c>
      <c r="BE59" s="19">
        <v>983700000000</v>
      </c>
      <c r="BF59" s="21">
        <v>757500000000</v>
      </c>
      <c r="BG59" s="19">
        <v>964000000000</v>
      </c>
      <c r="BH59" s="21">
        <f t="shared" si="60"/>
        <v>962478435.3107065</v>
      </c>
      <c r="BI59" s="19">
        <f t="shared" si="64"/>
        <v>1223084920.3140965</v>
      </c>
      <c r="BJ59" s="35"/>
      <c r="BK59" s="37" t="s">
        <v>48</v>
      </c>
      <c r="BL59" s="37" t="s">
        <v>15</v>
      </c>
      <c r="BM59" s="37" t="s">
        <v>15</v>
      </c>
      <c r="BN59" s="6">
        <v>43047</v>
      </c>
      <c r="BO59" s="38">
        <v>0.41944444444444445</v>
      </c>
      <c r="BP59" s="7">
        <f t="shared" si="47"/>
        <v>216.38333333333333</v>
      </c>
      <c r="BQ59" s="16"/>
      <c r="BR59" s="9">
        <f>11.7*9.5*9.5*0.52</f>
        <v>549.08100000000002</v>
      </c>
      <c r="BS59" s="21">
        <v>424000000000</v>
      </c>
      <c r="BT59" s="19">
        <v>495200000000</v>
      </c>
      <c r="BU59" s="21">
        <v>431000000000</v>
      </c>
      <c r="BV59" s="19">
        <v>503300000000</v>
      </c>
      <c r="BW59" s="21">
        <f t="shared" si="61"/>
        <v>772199365.84948301</v>
      </c>
      <c r="BX59" s="19">
        <f t="shared" si="65"/>
        <v>901870580.11477351</v>
      </c>
    </row>
    <row r="60" spans="2:106" ht="15.75" thickBot="1" x14ac:dyDescent="0.3">
      <c r="B60" s="84"/>
      <c r="C60" s="39" t="s">
        <v>15</v>
      </c>
      <c r="D60" s="39" t="s">
        <v>15</v>
      </c>
      <c r="E60" s="39" t="s">
        <v>15</v>
      </c>
      <c r="F60" s="40">
        <v>43048</v>
      </c>
      <c r="G60" s="41">
        <v>0.49513888888888885</v>
      </c>
      <c r="H60" s="42">
        <f t="shared" si="49"/>
        <v>242.21666666666667</v>
      </c>
      <c r="I60" s="43">
        <v>30</v>
      </c>
      <c r="J60" s="44">
        <f>12.5*10*10*0.52</f>
        <v>650</v>
      </c>
      <c r="K60" s="45">
        <v>772200000000</v>
      </c>
      <c r="L60" s="46">
        <v>876700000000</v>
      </c>
      <c r="M60" s="45">
        <v>731100000000</v>
      </c>
      <c r="N60" s="46">
        <v>830700000000</v>
      </c>
      <c r="O60" s="45">
        <f t="shared" si="37"/>
        <v>1188000000</v>
      </c>
      <c r="P60" s="46">
        <f t="shared" si="38"/>
        <v>1348769230.7692308</v>
      </c>
      <c r="Q60" s="13"/>
      <c r="R60" s="39" t="s">
        <v>15</v>
      </c>
      <c r="S60" s="39" t="s">
        <v>15</v>
      </c>
      <c r="T60" s="39" t="s">
        <v>15</v>
      </c>
      <c r="U60" s="40">
        <v>43048</v>
      </c>
      <c r="V60" s="41">
        <v>0.49513888888888885</v>
      </c>
      <c r="W60" s="42">
        <f t="shared" si="39"/>
        <v>242.16666666666666</v>
      </c>
      <c r="X60" s="43">
        <v>30.5</v>
      </c>
      <c r="Y60" s="44">
        <f>10.6*7.4*7.4*0.52</f>
        <v>301.83712000000003</v>
      </c>
      <c r="Z60" s="45">
        <v>333800000000</v>
      </c>
      <c r="AA60" s="46">
        <v>341300000000</v>
      </c>
      <c r="AB60" s="45">
        <v>339000000000</v>
      </c>
      <c r="AC60" s="46">
        <v>3.4660000000000002</v>
      </c>
      <c r="AD60" s="45">
        <f t="shared" si="58"/>
        <v>1105894463.8750858</v>
      </c>
      <c r="AE60" s="46">
        <f t="shared" si="62"/>
        <v>1130742302.3384266</v>
      </c>
      <c r="AF60" s="13"/>
      <c r="AG60" s="39" t="s">
        <v>15</v>
      </c>
      <c r="AH60" s="39" t="s">
        <v>15</v>
      </c>
      <c r="AI60" s="39" t="s">
        <v>15</v>
      </c>
      <c r="AJ60" s="40">
        <v>43048</v>
      </c>
      <c r="AK60" s="41">
        <v>0.49513888888888885</v>
      </c>
      <c r="AL60" s="42">
        <f t="shared" si="41"/>
        <v>242.13333333333333</v>
      </c>
      <c r="AM60" s="43">
        <v>27.6</v>
      </c>
      <c r="AN60" s="44">
        <f>11.6*8.4*8.4*0.52</f>
        <v>425.61792000000003</v>
      </c>
      <c r="AO60" s="45">
        <v>358500000000</v>
      </c>
      <c r="AP60" s="46">
        <v>433600000000</v>
      </c>
      <c r="AQ60" s="45">
        <v>362600000000</v>
      </c>
      <c r="AR60" s="46">
        <v>4.3849999999999998</v>
      </c>
      <c r="AS60" s="45">
        <f t="shared" si="59"/>
        <v>842304760.10032654</v>
      </c>
      <c r="AT60" s="46">
        <f t="shared" si="63"/>
        <v>1018754097.5718315</v>
      </c>
      <c r="AU60" s="13"/>
      <c r="AV60" s="39" t="s">
        <v>15</v>
      </c>
      <c r="AW60" s="39" t="s">
        <v>15</v>
      </c>
      <c r="AX60" s="39" t="s">
        <v>15</v>
      </c>
      <c r="AY60" s="40">
        <v>43048</v>
      </c>
      <c r="AZ60" s="41">
        <v>0.49722222222222223</v>
      </c>
      <c r="BA60" s="42">
        <f t="shared" si="44"/>
        <v>242.16666666666666</v>
      </c>
      <c r="BB60" s="43">
        <v>30.8</v>
      </c>
      <c r="BC60" s="44">
        <f>15*14.2*14.2*0.52</f>
        <v>1572.7919999999999</v>
      </c>
      <c r="BD60" s="45">
        <v>765700000000</v>
      </c>
      <c r="BE60" s="46">
        <v>887000000000</v>
      </c>
      <c r="BF60" s="45">
        <v>740000000000</v>
      </c>
      <c r="BG60" s="46">
        <v>858000000000</v>
      </c>
      <c r="BH60" s="45">
        <f t="shared" si="60"/>
        <v>486841235.20465517</v>
      </c>
      <c r="BI60" s="46">
        <f t="shared" si="64"/>
        <v>563965228.71428645</v>
      </c>
      <c r="BJ60" s="13"/>
      <c r="BK60" s="39" t="s">
        <v>15</v>
      </c>
      <c r="BL60" s="39" t="s">
        <v>15</v>
      </c>
      <c r="BM60" s="39" t="s">
        <v>15</v>
      </c>
      <c r="BN60" s="40">
        <v>43048</v>
      </c>
      <c r="BO60" s="41">
        <v>0.49722222222222223</v>
      </c>
      <c r="BP60" s="42">
        <f t="shared" si="47"/>
        <v>242.25</v>
      </c>
      <c r="BQ60" s="43">
        <v>31</v>
      </c>
      <c r="BR60" s="44">
        <f>10.9*10.7*10.7*0.52</f>
        <v>648.92931999999996</v>
      </c>
      <c r="BS60" s="45">
        <v>434800000000</v>
      </c>
      <c r="BT60" s="46">
        <v>507100000000</v>
      </c>
      <c r="BU60" s="45">
        <v>440700000000</v>
      </c>
      <c r="BV60" s="46">
        <v>513900000000</v>
      </c>
      <c r="BW60" s="45">
        <f t="shared" si="61"/>
        <v>670026744.97740376</v>
      </c>
      <c r="BX60" s="46">
        <f t="shared" si="65"/>
        <v>781441035.82806218</v>
      </c>
    </row>
    <row r="61" spans="2:106" s="35" customFormat="1" x14ac:dyDescent="0.25">
      <c r="B61" s="47"/>
      <c r="C61" s="37"/>
      <c r="D61" s="37"/>
      <c r="E61" s="37"/>
      <c r="F61" s="48"/>
      <c r="G61" s="38"/>
      <c r="H61" s="7"/>
      <c r="I61" s="16"/>
      <c r="J61" s="16"/>
      <c r="K61" s="21"/>
      <c r="L61" s="21"/>
      <c r="M61" s="21"/>
      <c r="N61" s="21"/>
      <c r="O61" s="21"/>
      <c r="P61" s="21"/>
      <c r="R61" s="37"/>
      <c r="S61" s="37"/>
      <c r="T61" s="37"/>
      <c r="U61" s="48"/>
      <c r="V61" s="38"/>
      <c r="W61" s="7"/>
      <c r="X61" s="16"/>
      <c r="Y61" s="16"/>
      <c r="Z61" s="21"/>
      <c r="AA61" s="21"/>
      <c r="AB61" s="21"/>
      <c r="AC61" s="21"/>
      <c r="AD61" s="21"/>
      <c r="AE61" s="21"/>
      <c r="AG61" s="37"/>
      <c r="AH61" s="37"/>
      <c r="AI61" s="37"/>
      <c r="AJ61" s="48"/>
      <c r="AK61" s="38"/>
      <c r="AL61" s="7"/>
      <c r="AM61" s="16"/>
      <c r="AN61" s="16"/>
      <c r="AO61" s="21"/>
      <c r="AP61" s="21"/>
      <c r="AQ61" s="21"/>
      <c r="AR61" s="21"/>
      <c r="AS61" s="21"/>
      <c r="AT61" s="21"/>
      <c r="AV61" s="37"/>
      <c r="AW61" s="37"/>
      <c r="AX61" s="37"/>
      <c r="AY61" s="48"/>
      <c r="AZ61" s="38"/>
      <c r="BA61" s="7"/>
      <c r="BB61" s="16"/>
      <c r="BC61" s="16"/>
      <c r="BD61" s="21"/>
      <c r="BE61" s="21"/>
      <c r="BF61" s="21"/>
      <c r="BG61" s="21"/>
      <c r="BH61" s="21"/>
      <c r="BI61" s="21"/>
      <c r="BK61" s="37"/>
      <c r="BL61" s="37"/>
      <c r="BM61" s="37"/>
      <c r="BN61" s="48"/>
      <c r="BO61" s="38"/>
      <c r="BP61" s="7"/>
      <c r="BQ61" s="16"/>
      <c r="BR61" s="16"/>
      <c r="BS61" s="21"/>
      <c r="BT61" s="21"/>
      <c r="BU61" s="21"/>
      <c r="BV61" s="21"/>
      <c r="BW61" s="21"/>
      <c r="BX61" s="21"/>
    </row>
    <row r="62" spans="2:106" s="35" customFormat="1" x14ac:dyDescent="0.25">
      <c r="B62" s="47"/>
      <c r="C62" s="37"/>
      <c r="D62" s="37"/>
      <c r="E62" s="37"/>
      <c r="F62" s="48"/>
      <c r="G62" s="38"/>
      <c r="H62" s="7"/>
      <c r="I62" s="16"/>
      <c r="J62" s="16"/>
      <c r="K62" s="21"/>
      <c r="L62" s="21"/>
      <c r="M62" s="21"/>
      <c r="N62" s="21"/>
      <c r="O62" s="21"/>
      <c r="P62" s="21"/>
      <c r="R62" s="37"/>
      <c r="S62" s="37"/>
      <c r="T62" s="37"/>
      <c r="U62" s="48"/>
      <c r="V62" s="38"/>
      <c r="W62" s="7"/>
      <c r="X62" s="16"/>
      <c r="Y62" s="16"/>
      <c r="Z62" s="21"/>
      <c r="AA62" s="21"/>
      <c r="AB62" s="21"/>
      <c r="AC62" s="21"/>
      <c r="AD62" s="21"/>
      <c r="AE62" s="21"/>
      <c r="AG62" s="37"/>
      <c r="AH62" s="37"/>
      <c r="AI62" s="37"/>
      <c r="AJ62" s="48"/>
      <c r="AK62" s="38"/>
      <c r="AL62" s="7"/>
      <c r="AM62" s="16"/>
      <c r="AN62" s="16"/>
      <c r="AO62" s="21"/>
      <c r="AP62" s="21"/>
      <c r="AQ62" s="21"/>
      <c r="AR62" s="21"/>
      <c r="AS62" s="21"/>
      <c r="AT62" s="21"/>
      <c r="AV62" s="37"/>
      <c r="AW62" s="37"/>
      <c r="AX62" s="37"/>
      <c r="AY62" s="48"/>
      <c r="AZ62" s="38"/>
      <c r="BA62" s="7"/>
      <c r="BB62" s="16"/>
      <c r="BC62" s="16"/>
      <c r="BD62" s="21"/>
      <c r="BE62" s="21"/>
      <c r="BF62" s="21"/>
      <c r="BG62" s="21"/>
      <c r="BH62" s="21"/>
      <c r="BI62" s="21"/>
      <c r="BK62" s="37"/>
      <c r="BL62" s="37"/>
      <c r="BM62" s="37"/>
      <c r="BN62" s="48"/>
      <c r="BO62" s="38"/>
      <c r="BP62" s="7"/>
      <c r="BQ62" s="16"/>
      <c r="BR62" s="16"/>
      <c r="BS62" s="21"/>
      <c r="BT62" s="21"/>
      <c r="BU62" s="21"/>
      <c r="BV62" s="21"/>
      <c r="BW62" s="21"/>
      <c r="BX62" s="21"/>
    </row>
    <row r="63" spans="2:106" s="35" customFormat="1" ht="15.75" thickBot="1" x14ac:dyDescent="0.3">
      <c r="B63" s="13"/>
      <c r="C63" s="13"/>
      <c r="D63" s="13"/>
      <c r="E63" s="13"/>
      <c r="F63" s="13"/>
      <c r="G63" s="13"/>
      <c r="H63" s="14"/>
      <c r="I63" s="14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4"/>
      <c r="X63" s="14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4"/>
      <c r="AM63" s="14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4"/>
      <c r="BB63" s="14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4"/>
      <c r="BQ63" s="14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</row>
    <row r="64" spans="2:106" ht="26.25" customHeight="1" x14ac:dyDescent="0.4">
      <c r="B64" s="83" t="s">
        <v>44</v>
      </c>
      <c r="C64" s="11" t="s">
        <v>1</v>
      </c>
      <c r="D64" s="69" t="s">
        <v>22</v>
      </c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R64" s="11" t="s">
        <v>1</v>
      </c>
      <c r="S64" s="69" t="s">
        <v>23</v>
      </c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34"/>
      <c r="AE64" s="34"/>
      <c r="AG64" s="11" t="s">
        <v>1</v>
      </c>
      <c r="AH64" s="69" t="s">
        <v>24</v>
      </c>
      <c r="AI64" s="69"/>
      <c r="AJ64" s="69"/>
      <c r="AK64" s="69"/>
      <c r="AL64" s="69"/>
      <c r="AM64" s="69"/>
      <c r="AN64" s="69"/>
      <c r="AO64" s="69"/>
      <c r="AP64" s="69"/>
      <c r="AQ64" s="69"/>
      <c r="AR64" s="69"/>
      <c r="AS64" s="34"/>
      <c r="AT64" s="34"/>
      <c r="AV64" s="2" t="s">
        <v>1</v>
      </c>
      <c r="AW64" s="69" t="s">
        <v>55</v>
      </c>
      <c r="AX64" s="69"/>
      <c r="AY64" s="69"/>
      <c r="AZ64" s="69"/>
      <c r="BA64" s="69"/>
      <c r="BB64" s="69"/>
      <c r="BC64" s="69"/>
      <c r="BD64" s="69"/>
      <c r="BE64" s="69"/>
      <c r="BF64" s="69"/>
      <c r="BG64" s="69"/>
      <c r="BH64" s="69"/>
      <c r="BI64" s="69"/>
      <c r="BK64" s="2" t="s">
        <v>1</v>
      </c>
      <c r="BL64" s="86" t="s">
        <v>56</v>
      </c>
      <c r="BM64" s="86"/>
      <c r="BN64" s="86"/>
      <c r="BO64" s="86"/>
      <c r="BP64" s="86"/>
      <c r="BQ64" s="86"/>
      <c r="BR64" s="86"/>
      <c r="BS64" s="86"/>
      <c r="BT64" s="86"/>
      <c r="BU64" s="86"/>
      <c r="BV64" s="86"/>
      <c r="BW64" s="55"/>
      <c r="BX64" s="55"/>
      <c r="BZ64" s="2" t="s">
        <v>1</v>
      </c>
      <c r="CA64" s="86" t="s">
        <v>57</v>
      </c>
      <c r="CB64" s="86"/>
      <c r="CC64" s="86"/>
      <c r="CD64" s="86"/>
      <c r="CE64" s="86"/>
      <c r="CF64" s="86"/>
      <c r="CG64" s="86"/>
      <c r="CH64" s="86"/>
      <c r="CI64" s="86"/>
      <c r="CJ64" s="86"/>
      <c r="CK64" s="86"/>
      <c r="CL64" s="55"/>
      <c r="CM64" s="55"/>
      <c r="CO64" s="2" t="s">
        <v>1</v>
      </c>
      <c r="CP64" s="86" t="s">
        <v>58</v>
      </c>
      <c r="CQ64" s="86"/>
      <c r="CR64" s="86"/>
      <c r="CS64" s="86"/>
      <c r="CT64" s="86"/>
      <c r="CU64" s="86"/>
      <c r="CV64" s="86"/>
      <c r="CW64" s="86"/>
      <c r="CX64" s="86"/>
      <c r="CY64" s="86"/>
      <c r="CZ64" s="86"/>
      <c r="DA64" s="55"/>
      <c r="DB64" s="55"/>
    </row>
    <row r="65" spans="2:106" ht="18.75" x14ac:dyDescent="0.3">
      <c r="B65" s="83"/>
      <c r="C65" s="11" t="s">
        <v>11</v>
      </c>
      <c r="D65" s="70">
        <v>1090952</v>
      </c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30"/>
      <c r="P65" s="30"/>
      <c r="R65" s="11" t="s">
        <v>11</v>
      </c>
      <c r="S65" s="70">
        <v>1090952</v>
      </c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30"/>
      <c r="AE65" s="30"/>
      <c r="AG65" s="11" t="s">
        <v>11</v>
      </c>
      <c r="AH65" s="70">
        <v>1090952</v>
      </c>
      <c r="AI65" s="70"/>
      <c r="AJ65" s="70"/>
      <c r="AK65" s="70"/>
      <c r="AL65" s="70"/>
      <c r="AM65" s="70"/>
      <c r="AN65" s="70"/>
      <c r="AO65" s="70"/>
      <c r="AP65" s="70"/>
      <c r="AQ65" s="70"/>
      <c r="AR65" s="70"/>
      <c r="AS65" s="30"/>
      <c r="AT65" s="30"/>
      <c r="AV65" s="2" t="s">
        <v>11</v>
      </c>
      <c r="AW65" s="87">
        <v>1093346</v>
      </c>
      <c r="AX65" s="87"/>
      <c r="AY65" s="87"/>
      <c r="AZ65" s="87"/>
      <c r="BA65" s="87"/>
      <c r="BB65" s="87"/>
      <c r="BC65" s="87"/>
      <c r="BD65" s="87"/>
      <c r="BE65" s="87"/>
      <c r="BF65" s="87"/>
      <c r="BG65" s="87"/>
      <c r="BH65" s="49"/>
      <c r="BI65" s="49"/>
      <c r="BK65" s="2" t="s">
        <v>11</v>
      </c>
      <c r="BL65" s="87">
        <v>1093346</v>
      </c>
      <c r="BM65" s="87"/>
      <c r="BN65" s="87"/>
      <c r="BO65" s="87"/>
      <c r="BP65" s="87"/>
      <c r="BQ65" s="87"/>
      <c r="BR65" s="87"/>
      <c r="BS65" s="87"/>
      <c r="BT65" s="87"/>
      <c r="BU65" s="87"/>
      <c r="BV65" s="87"/>
      <c r="BW65" s="49"/>
      <c r="BX65" s="49"/>
      <c r="BZ65" s="2" t="s">
        <v>11</v>
      </c>
      <c r="CA65" s="87">
        <v>1093346</v>
      </c>
      <c r="CB65" s="87"/>
      <c r="CC65" s="87"/>
      <c r="CD65" s="87"/>
      <c r="CE65" s="87"/>
      <c r="CF65" s="87"/>
      <c r="CG65" s="87"/>
      <c r="CH65" s="87"/>
      <c r="CI65" s="87"/>
      <c r="CJ65" s="87"/>
      <c r="CK65" s="87"/>
      <c r="CL65" s="49"/>
      <c r="CM65" s="49"/>
      <c r="CO65" s="2" t="s">
        <v>11</v>
      </c>
      <c r="CP65" s="87">
        <v>1093346</v>
      </c>
      <c r="CQ65" s="87"/>
      <c r="CR65" s="87"/>
      <c r="CS65" s="87"/>
      <c r="CT65" s="87"/>
      <c r="CU65" s="87"/>
      <c r="CV65" s="87"/>
      <c r="CW65" s="87"/>
      <c r="CX65" s="87"/>
      <c r="CY65" s="87"/>
      <c r="CZ65" s="87"/>
      <c r="DA65" s="49"/>
      <c r="DB65" s="49"/>
    </row>
    <row r="66" spans="2:106" ht="19.5" thickBot="1" x14ac:dyDescent="0.35">
      <c r="B66" s="83"/>
      <c r="C66" s="32" t="s">
        <v>10</v>
      </c>
      <c r="D66" s="74" t="s">
        <v>42</v>
      </c>
      <c r="E66" s="74"/>
      <c r="F66" s="74"/>
      <c r="G66" s="74"/>
      <c r="H66" s="74"/>
      <c r="I66" s="74"/>
      <c r="J66" s="74"/>
      <c r="K66" s="73" t="s">
        <v>20</v>
      </c>
      <c r="L66" s="73"/>
      <c r="M66" s="74" t="s">
        <v>34</v>
      </c>
      <c r="N66" s="74"/>
      <c r="O66" s="33"/>
      <c r="P66" s="33"/>
      <c r="R66" s="32" t="s">
        <v>10</v>
      </c>
      <c r="S66" s="74" t="s">
        <v>42</v>
      </c>
      <c r="T66" s="74"/>
      <c r="U66" s="74"/>
      <c r="V66" s="74"/>
      <c r="W66" s="74"/>
      <c r="X66" s="74"/>
      <c r="Y66" s="74"/>
      <c r="Z66" s="73" t="s">
        <v>20</v>
      </c>
      <c r="AA66" s="73"/>
      <c r="AB66" s="74" t="s">
        <v>34</v>
      </c>
      <c r="AC66" s="74"/>
      <c r="AD66" s="33"/>
      <c r="AE66" s="33"/>
      <c r="AG66" s="32" t="s">
        <v>10</v>
      </c>
      <c r="AH66" s="74" t="s">
        <v>42</v>
      </c>
      <c r="AI66" s="74"/>
      <c r="AJ66" s="74"/>
      <c r="AK66" s="74"/>
      <c r="AL66" s="74"/>
      <c r="AM66" s="74"/>
      <c r="AN66" s="74"/>
      <c r="AO66" s="73" t="s">
        <v>20</v>
      </c>
      <c r="AP66" s="73"/>
      <c r="AQ66" s="74" t="s">
        <v>34</v>
      </c>
      <c r="AR66" s="74"/>
      <c r="AS66" s="33"/>
      <c r="AT66" s="33"/>
      <c r="AV66" s="32" t="s">
        <v>10</v>
      </c>
      <c r="AW66" s="74" t="s">
        <v>43</v>
      </c>
      <c r="AX66" s="74"/>
      <c r="AY66" s="74"/>
      <c r="AZ66" s="74"/>
      <c r="BA66" s="74"/>
      <c r="BB66" s="74"/>
      <c r="BC66" s="74"/>
      <c r="BD66" s="73" t="s">
        <v>20</v>
      </c>
      <c r="BE66" s="73"/>
      <c r="BF66" s="74" t="s">
        <v>46</v>
      </c>
      <c r="BG66" s="74"/>
      <c r="BH66" s="33"/>
      <c r="BI66" s="33"/>
      <c r="BK66" s="32" t="s">
        <v>10</v>
      </c>
      <c r="BL66" s="74" t="s">
        <v>43</v>
      </c>
      <c r="BM66" s="74"/>
      <c r="BN66" s="74"/>
      <c r="BO66" s="74"/>
      <c r="BP66" s="74"/>
      <c r="BQ66" s="74"/>
      <c r="BR66" s="74"/>
      <c r="BS66" s="73" t="s">
        <v>20</v>
      </c>
      <c r="BT66" s="73"/>
      <c r="BU66" s="74" t="s">
        <v>46</v>
      </c>
      <c r="BV66" s="74"/>
      <c r="BW66" s="33"/>
      <c r="BX66" s="33"/>
      <c r="BZ66" s="32" t="s">
        <v>10</v>
      </c>
      <c r="CA66" s="74" t="s">
        <v>43</v>
      </c>
      <c r="CB66" s="74"/>
      <c r="CC66" s="74"/>
      <c r="CD66" s="74"/>
      <c r="CE66" s="74"/>
      <c r="CF66" s="74"/>
      <c r="CG66" s="74"/>
      <c r="CH66" s="73" t="s">
        <v>20</v>
      </c>
      <c r="CI66" s="73"/>
      <c r="CJ66" s="74" t="s">
        <v>46</v>
      </c>
      <c r="CK66" s="74"/>
      <c r="CL66" s="33"/>
      <c r="CM66" s="33"/>
      <c r="CO66" s="32" t="s">
        <v>10</v>
      </c>
      <c r="CP66" s="74" t="s">
        <v>43</v>
      </c>
      <c r="CQ66" s="74"/>
      <c r="CR66" s="74"/>
      <c r="CS66" s="74"/>
      <c r="CT66" s="74"/>
      <c r="CU66" s="74"/>
      <c r="CV66" s="74"/>
      <c r="CW66" s="73" t="s">
        <v>20</v>
      </c>
      <c r="CX66" s="73"/>
      <c r="CY66" s="74" t="s">
        <v>46</v>
      </c>
      <c r="CZ66" s="74"/>
      <c r="DA66" s="33"/>
      <c r="DB66" s="33"/>
    </row>
    <row r="67" spans="2:106" ht="18.75" customHeight="1" x14ac:dyDescent="0.3">
      <c r="B67" s="83"/>
      <c r="C67" s="11"/>
      <c r="D67" s="12"/>
      <c r="E67" s="12"/>
      <c r="F67" s="12"/>
      <c r="G67" s="12"/>
      <c r="H67" s="12"/>
      <c r="I67" s="12"/>
      <c r="J67" s="12"/>
      <c r="K67" s="64" t="s">
        <v>9</v>
      </c>
      <c r="L67" s="64"/>
      <c r="M67" s="64" t="s">
        <v>26</v>
      </c>
      <c r="N67" s="64"/>
      <c r="O67" s="64" t="s">
        <v>31</v>
      </c>
      <c r="P67" s="64"/>
      <c r="Q67" s="35"/>
      <c r="R67" s="11"/>
      <c r="S67" s="12"/>
      <c r="T67" s="12"/>
      <c r="U67" s="12"/>
      <c r="V67" s="12"/>
      <c r="W67" s="12"/>
      <c r="X67" s="12"/>
      <c r="Y67" s="12"/>
      <c r="Z67" s="64" t="s">
        <v>9</v>
      </c>
      <c r="AA67" s="64"/>
      <c r="AB67" s="64" t="s">
        <v>26</v>
      </c>
      <c r="AC67" s="64"/>
      <c r="AD67" s="64" t="s">
        <v>31</v>
      </c>
      <c r="AE67" s="64"/>
      <c r="AF67" s="35"/>
      <c r="AG67" s="11"/>
      <c r="AH67" s="12"/>
      <c r="AI67" s="12"/>
      <c r="AJ67" s="12"/>
      <c r="AK67" s="12"/>
      <c r="AL67" s="12"/>
      <c r="AM67" s="12"/>
      <c r="AN67" s="12"/>
      <c r="AO67" s="64" t="s">
        <v>9</v>
      </c>
      <c r="AP67" s="64"/>
      <c r="AQ67" s="64" t="s">
        <v>26</v>
      </c>
      <c r="AR67" s="64"/>
      <c r="AS67" s="64" t="s">
        <v>31</v>
      </c>
      <c r="AT67" s="64"/>
      <c r="AV67" s="2"/>
      <c r="AW67" s="10"/>
      <c r="AX67" s="10"/>
      <c r="AY67" s="10"/>
      <c r="AZ67" s="10"/>
      <c r="BA67" s="10"/>
      <c r="BB67" s="10"/>
      <c r="BC67" s="10"/>
      <c r="BD67" s="88" t="s">
        <v>9</v>
      </c>
      <c r="BE67" s="88"/>
      <c r="BF67" s="88" t="s">
        <v>26</v>
      </c>
      <c r="BG67" s="88"/>
      <c r="BH67" s="88" t="s">
        <v>31</v>
      </c>
      <c r="BI67" s="88"/>
      <c r="BK67" s="2"/>
      <c r="BL67" s="10"/>
      <c r="BM67" s="10"/>
      <c r="BN67" s="10"/>
      <c r="BO67" s="10"/>
      <c r="BP67" s="10"/>
      <c r="BQ67" s="10"/>
      <c r="BR67" s="10"/>
      <c r="BS67" s="88" t="s">
        <v>9</v>
      </c>
      <c r="BT67" s="88"/>
      <c r="BU67" s="88" t="s">
        <v>26</v>
      </c>
      <c r="BV67" s="88"/>
      <c r="BW67" s="88" t="s">
        <v>31</v>
      </c>
      <c r="BX67" s="88"/>
      <c r="BZ67" s="2"/>
      <c r="CA67" s="10"/>
      <c r="CB67" s="10"/>
      <c r="CC67" s="10"/>
      <c r="CD67" s="10"/>
      <c r="CE67" s="10"/>
      <c r="CF67" s="10"/>
      <c r="CG67" s="10"/>
      <c r="CH67" s="88" t="s">
        <v>9</v>
      </c>
      <c r="CI67" s="88"/>
      <c r="CJ67" s="88" t="s">
        <v>26</v>
      </c>
      <c r="CK67" s="88"/>
      <c r="CL67" s="88" t="s">
        <v>31</v>
      </c>
      <c r="CM67" s="88"/>
      <c r="CO67" s="2"/>
      <c r="CP67" s="10"/>
      <c r="CQ67" s="10"/>
      <c r="CR67" s="10"/>
      <c r="CS67" s="10"/>
      <c r="CT67" s="10"/>
      <c r="CU67" s="10"/>
      <c r="CV67" s="10"/>
      <c r="CW67" s="88" t="s">
        <v>9</v>
      </c>
      <c r="CX67" s="88"/>
      <c r="CY67" s="88" t="s">
        <v>26</v>
      </c>
      <c r="CZ67" s="88"/>
      <c r="DA67" s="88" t="s">
        <v>31</v>
      </c>
      <c r="DB67" s="88"/>
    </row>
    <row r="68" spans="2:106" s="5" customFormat="1" ht="15" customHeight="1" x14ac:dyDescent="0.25">
      <c r="B68" s="83"/>
      <c r="C68" s="75" t="s">
        <v>32</v>
      </c>
      <c r="D68" s="82" t="s">
        <v>3</v>
      </c>
      <c r="E68" s="82"/>
      <c r="F68" s="76" t="s">
        <v>12</v>
      </c>
      <c r="G68" s="78" t="s">
        <v>13</v>
      </c>
      <c r="H68" s="80" t="s">
        <v>8</v>
      </c>
      <c r="I68" s="80" t="s">
        <v>0</v>
      </c>
      <c r="J68" s="71" t="s">
        <v>16</v>
      </c>
      <c r="K68" s="65" t="s">
        <v>6</v>
      </c>
      <c r="L68" s="67" t="s">
        <v>7</v>
      </c>
      <c r="M68" s="65" t="s">
        <v>6</v>
      </c>
      <c r="N68" s="67" t="s">
        <v>7</v>
      </c>
      <c r="O68" s="65" t="s">
        <v>28</v>
      </c>
      <c r="P68" s="67" t="s">
        <v>29</v>
      </c>
      <c r="Q68" s="36"/>
      <c r="R68" s="75" t="s">
        <v>32</v>
      </c>
      <c r="S68" s="82" t="s">
        <v>3</v>
      </c>
      <c r="T68" s="82"/>
      <c r="U68" s="76" t="s">
        <v>12</v>
      </c>
      <c r="V68" s="78" t="s">
        <v>13</v>
      </c>
      <c r="W68" s="80" t="s">
        <v>8</v>
      </c>
      <c r="X68" s="80" t="s">
        <v>0</v>
      </c>
      <c r="Y68" s="71" t="s">
        <v>16</v>
      </c>
      <c r="Z68" s="65" t="s">
        <v>6</v>
      </c>
      <c r="AA68" s="67" t="s">
        <v>7</v>
      </c>
      <c r="AB68" s="65" t="s">
        <v>6</v>
      </c>
      <c r="AC68" s="67" t="s">
        <v>7</v>
      </c>
      <c r="AD68" s="65" t="s">
        <v>28</v>
      </c>
      <c r="AE68" s="67" t="s">
        <v>29</v>
      </c>
      <c r="AF68" s="36"/>
      <c r="AG68" s="75" t="s">
        <v>32</v>
      </c>
      <c r="AH68" s="82" t="s">
        <v>3</v>
      </c>
      <c r="AI68" s="82"/>
      <c r="AJ68" s="76" t="s">
        <v>12</v>
      </c>
      <c r="AK68" s="78" t="s">
        <v>13</v>
      </c>
      <c r="AL68" s="80" t="s">
        <v>8</v>
      </c>
      <c r="AM68" s="80" t="s">
        <v>0</v>
      </c>
      <c r="AN68" s="71" t="s">
        <v>16</v>
      </c>
      <c r="AO68" s="65" t="s">
        <v>6</v>
      </c>
      <c r="AP68" s="67" t="s">
        <v>7</v>
      </c>
      <c r="AQ68" s="65" t="s">
        <v>6</v>
      </c>
      <c r="AR68" s="67" t="s">
        <v>7</v>
      </c>
      <c r="AS68" s="65" t="s">
        <v>28</v>
      </c>
      <c r="AT68" s="67" t="s">
        <v>29</v>
      </c>
      <c r="AV68" s="89" t="s">
        <v>47</v>
      </c>
      <c r="AW68" s="90" t="s">
        <v>3</v>
      </c>
      <c r="AX68" s="90"/>
      <c r="AY68" s="76" t="s">
        <v>12</v>
      </c>
      <c r="AZ68" s="91" t="s">
        <v>13</v>
      </c>
      <c r="BA68" s="92" t="s">
        <v>8</v>
      </c>
      <c r="BB68" s="92" t="s">
        <v>0</v>
      </c>
      <c r="BC68" s="71" t="s">
        <v>16</v>
      </c>
      <c r="BD68" s="65" t="s">
        <v>6</v>
      </c>
      <c r="BE68" s="67" t="s">
        <v>7</v>
      </c>
      <c r="BF68" s="65" t="s">
        <v>6</v>
      </c>
      <c r="BG68" s="67" t="s">
        <v>7</v>
      </c>
      <c r="BH68" s="65" t="s">
        <v>28</v>
      </c>
      <c r="BI68" s="67" t="s">
        <v>29</v>
      </c>
      <c r="BJ68"/>
      <c r="BK68" s="89" t="s">
        <v>47</v>
      </c>
      <c r="BL68" s="90" t="s">
        <v>3</v>
      </c>
      <c r="BM68" s="90"/>
      <c r="BN68" s="76" t="s">
        <v>12</v>
      </c>
      <c r="BO68" s="91" t="s">
        <v>13</v>
      </c>
      <c r="BP68" s="92" t="s">
        <v>8</v>
      </c>
      <c r="BQ68" s="92" t="s">
        <v>0</v>
      </c>
      <c r="BR68" s="71" t="s">
        <v>16</v>
      </c>
      <c r="BS68" s="65" t="s">
        <v>6</v>
      </c>
      <c r="BT68" s="67" t="s">
        <v>7</v>
      </c>
      <c r="BU68" s="65" t="s">
        <v>6</v>
      </c>
      <c r="BV68" s="67" t="s">
        <v>7</v>
      </c>
      <c r="BW68" s="65" t="s">
        <v>28</v>
      </c>
      <c r="BX68" s="67" t="s">
        <v>29</v>
      </c>
      <c r="BY68"/>
      <c r="BZ68" s="89" t="s">
        <v>47</v>
      </c>
      <c r="CA68" s="90" t="s">
        <v>3</v>
      </c>
      <c r="CB68" s="90"/>
      <c r="CC68" s="76" t="s">
        <v>12</v>
      </c>
      <c r="CD68" s="91" t="s">
        <v>13</v>
      </c>
      <c r="CE68" s="92" t="s">
        <v>8</v>
      </c>
      <c r="CF68" s="92" t="s">
        <v>0</v>
      </c>
      <c r="CG68" s="71" t="s">
        <v>16</v>
      </c>
      <c r="CH68" s="65" t="s">
        <v>6</v>
      </c>
      <c r="CI68" s="67" t="s">
        <v>7</v>
      </c>
      <c r="CJ68" s="65" t="s">
        <v>6</v>
      </c>
      <c r="CK68" s="67" t="s">
        <v>7</v>
      </c>
      <c r="CL68" s="65" t="s">
        <v>28</v>
      </c>
      <c r="CM68" s="67" t="s">
        <v>29</v>
      </c>
      <c r="CN68"/>
      <c r="CO68" s="89" t="s">
        <v>47</v>
      </c>
      <c r="CP68" s="90" t="s">
        <v>3</v>
      </c>
      <c r="CQ68" s="90"/>
      <c r="CR68" s="76" t="s">
        <v>12</v>
      </c>
      <c r="CS68" s="91" t="s">
        <v>13</v>
      </c>
      <c r="CT68" s="92" t="s">
        <v>8</v>
      </c>
      <c r="CU68" s="92" t="s">
        <v>0</v>
      </c>
      <c r="CV68" s="71" t="s">
        <v>16</v>
      </c>
      <c r="CW68" s="65" t="s">
        <v>6</v>
      </c>
      <c r="CX68" s="67" t="s">
        <v>7</v>
      </c>
      <c r="CY68" s="65" t="s">
        <v>6</v>
      </c>
      <c r="CZ68" s="67" t="s">
        <v>7</v>
      </c>
      <c r="DA68" s="65" t="s">
        <v>28</v>
      </c>
      <c r="DB68" s="67" t="s">
        <v>29</v>
      </c>
    </row>
    <row r="69" spans="2:106" s="5" customFormat="1" x14ac:dyDescent="0.25">
      <c r="B69" s="83"/>
      <c r="C69" s="66"/>
      <c r="D69" s="31" t="s">
        <v>4</v>
      </c>
      <c r="E69" s="31" t="s">
        <v>5</v>
      </c>
      <c r="F69" s="77"/>
      <c r="G69" s="79"/>
      <c r="H69" s="81"/>
      <c r="I69" s="81"/>
      <c r="J69" s="72"/>
      <c r="K69" s="66"/>
      <c r="L69" s="68"/>
      <c r="M69" s="66"/>
      <c r="N69" s="68"/>
      <c r="O69" s="66"/>
      <c r="P69" s="68"/>
      <c r="Q69" s="36"/>
      <c r="R69" s="66"/>
      <c r="S69" s="31" t="s">
        <v>4</v>
      </c>
      <c r="T69" s="31" t="s">
        <v>5</v>
      </c>
      <c r="U69" s="77"/>
      <c r="V69" s="79"/>
      <c r="W69" s="81"/>
      <c r="X69" s="81"/>
      <c r="Y69" s="72"/>
      <c r="Z69" s="66"/>
      <c r="AA69" s="68"/>
      <c r="AB69" s="66"/>
      <c r="AC69" s="68"/>
      <c r="AD69" s="66"/>
      <c r="AE69" s="68"/>
      <c r="AF69" s="36"/>
      <c r="AG69" s="66"/>
      <c r="AH69" s="31" t="s">
        <v>4</v>
      </c>
      <c r="AI69" s="31" t="s">
        <v>5</v>
      </c>
      <c r="AJ69" s="77"/>
      <c r="AK69" s="79"/>
      <c r="AL69" s="81"/>
      <c r="AM69" s="81"/>
      <c r="AN69" s="72"/>
      <c r="AO69" s="66"/>
      <c r="AP69" s="68"/>
      <c r="AQ69" s="66"/>
      <c r="AR69" s="68"/>
      <c r="AS69" s="66"/>
      <c r="AT69" s="68"/>
      <c r="AV69" s="66"/>
      <c r="AW69" s="31" t="s">
        <v>4</v>
      </c>
      <c r="AX69" s="31" t="s">
        <v>5</v>
      </c>
      <c r="AY69" s="77"/>
      <c r="AZ69" s="79"/>
      <c r="BA69" s="81"/>
      <c r="BB69" s="81"/>
      <c r="BC69" s="72"/>
      <c r="BD69" s="66"/>
      <c r="BE69" s="68"/>
      <c r="BF69" s="66"/>
      <c r="BG69" s="68"/>
      <c r="BH69" s="66"/>
      <c r="BI69" s="68"/>
      <c r="BJ69"/>
      <c r="BK69" s="66"/>
      <c r="BL69" s="31" t="s">
        <v>4</v>
      </c>
      <c r="BM69" s="31" t="s">
        <v>5</v>
      </c>
      <c r="BN69" s="77"/>
      <c r="BO69" s="79"/>
      <c r="BP69" s="81"/>
      <c r="BQ69" s="81"/>
      <c r="BR69" s="72"/>
      <c r="BS69" s="66"/>
      <c r="BT69" s="68"/>
      <c r="BU69" s="66"/>
      <c r="BV69" s="68"/>
      <c r="BW69" s="66"/>
      <c r="BX69" s="68"/>
      <c r="BY69"/>
      <c r="BZ69" s="66"/>
      <c r="CA69" s="31" t="s">
        <v>4</v>
      </c>
      <c r="CB69" s="31" t="s">
        <v>5</v>
      </c>
      <c r="CC69" s="77"/>
      <c r="CD69" s="79"/>
      <c r="CE69" s="81"/>
      <c r="CF69" s="81"/>
      <c r="CG69" s="72"/>
      <c r="CH69" s="66"/>
      <c r="CI69" s="68"/>
      <c r="CJ69" s="66"/>
      <c r="CK69" s="68"/>
      <c r="CL69" s="66"/>
      <c r="CM69" s="68"/>
      <c r="CN69"/>
      <c r="CO69" s="66"/>
      <c r="CP69" s="31" t="s">
        <v>4</v>
      </c>
      <c r="CQ69" s="31" t="s">
        <v>5</v>
      </c>
      <c r="CR69" s="77"/>
      <c r="CS69" s="79"/>
      <c r="CT69" s="81"/>
      <c r="CU69" s="81"/>
      <c r="CV69" s="72"/>
      <c r="CW69" s="66"/>
      <c r="CX69" s="68"/>
      <c r="CY69" s="66"/>
      <c r="CZ69" s="68"/>
      <c r="DA69" s="66"/>
      <c r="DB69" s="68"/>
    </row>
    <row r="70" spans="2:106" x14ac:dyDescent="0.25">
      <c r="B70" s="83"/>
      <c r="C70" s="37" t="s">
        <v>15</v>
      </c>
      <c r="D70" s="37" t="s">
        <v>14</v>
      </c>
      <c r="E70" s="37">
        <v>120</v>
      </c>
      <c r="F70" s="6">
        <v>43054</v>
      </c>
      <c r="G70" s="38">
        <v>0.4152777777777778</v>
      </c>
      <c r="H70" s="53">
        <f>(F70-$F$70)*24 +(G70-$G$70)*24</f>
        <v>0</v>
      </c>
      <c r="I70" s="15">
        <v>25</v>
      </c>
      <c r="J70" s="8">
        <f>6.7*5.5*5.5*0.52</f>
        <v>105.39100000000001</v>
      </c>
      <c r="K70" s="21">
        <v>7737000000</v>
      </c>
      <c r="L70" s="17">
        <v>2716000000</v>
      </c>
      <c r="M70" s="21"/>
      <c r="N70" s="17"/>
      <c r="O70" s="21">
        <f>K70/J70</f>
        <v>73412340.712205023</v>
      </c>
      <c r="P70" s="19">
        <f>L70/J70</f>
        <v>25770701.483048838</v>
      </c>
      <c r="Q70" s="35"/>
      <c r="R70" s="37" t="s">
        <v>15</v>
      </c>
      <c r="S70" s="37" t="s">
        <v>14</v>
      </c>
      <c r="T70" s="37">
        <v>120</v>
      </c>
      <c r="U70" s="6">
        <v>43054</v>
      </c>
      <c r="V70" s="38">
        <v>0.41597222222222219</v>
      </c>
      <c r="W70" s="53">
        <f>(U70-$U$70)*24 +(V70-$V$70)*24</f>
        <v>0</v>
      </c>
      <c r="X70" s="15">
        <v>30.7</v>
      </c>
      <c r="Y70" s="8">
        <f>7.5*5.8*5.8*0.52</f>
        <v>131.196</v>
      </c>
      <c r="Z70" s="21">
        <v>9361000000</v>
      </c>
      <c r="AA70" s="17">
        <v>2806000000</v>
      </c>
      <c r="AB70" s="21"/>
      <c r="AC70" s="17"/>
      <c r="AD70" s="21">
        <f>Z70/Y70</f>
        <v>71351260.709167957</v>
      </c>
      <c r="AE70" s="19">
        <f>AA70/Y70</f>
        <v>21387847.190463126</v>
      </c>
      <c r="AF70" s="35"/>
      <c r="AG70" s="37" t="s">
        <v>15</v>
      </c>
      <c r="AH70" s="37" t="s">
        <v>14</v>
      </c>
      <c r="AI70" s="37">
        <v>120</v>
      </c>
      <c r="AJ70" s="6">
        <v>43054</v>
      </c>
      <c r="AK70" s="38">
        <v>0.41736111111111113</v>
      </c>
      <c r="AL70" s="53">
        <f>(AJ70-$AJ$70)*24 +(AK70-$AK$70)*24</f>
        <v>0</v>
      </c>
      <c r="AM70" s="15">
        <v>30</v>
      </c>
      <c r="AN70" s="8">
        <f>7.5*6.6*6.6*0.52</f>
        <v>169.88399999999999</v>
      </c>
      <c r="AO70" s="21">
        <v>8382000000</v>
      </c>
      <c r="AP70" s="17">
        <v>3181000000</v>
      </c>
      <c r="AQ70" s="21"/>
      <c r="AR70" s="17"/>
      <c r="AS70" s="21">
        <f>AO70/AN70</f>
        <v>49339549.33954934</v>
      </c>
      <c r="AT70" s="19">
        <f>AP70/AN70</f>
        <v>18724541.451814182</v>
      </c>
      <c r="AV70" s="3" t="s">
        <v>15</v>
      </c>
      <c r="AW70" s="3" t="s">
        <v>14</v>
      </c>
      <c r="AX70" s="3">
        <v>110</v>
      </c>
      <c r="AY70" s="6">
        <v>43038</v>
      </c>
      <c r="AZ70" s="4">
        <v>0.40069444444444446</v>
      </c>
      <c r="BA70" s="53">
        <f>(AY70-$AY$70)*24 +(AZ70-$AZ$70)*24</f>
        <v>0</v>
      </c>
      <c r="BB70" s="15">
        <v>32.200000000000003</v>
      </c>
      <c r="BC70" s="8">
        <f>8.7*6.5*6.5*0.52</f>
        <v>191.13900000000001</v>
      </c>
      <c r="BD70" s="18">
        <v>663300000</v>
      </c>
      <c r="BE70" s="17">
        <v>1475000000</v>
      </c>
      <c r="BF70" s="18">
        <v>663300000</v>
      </c>
      <c r="BG70" s="17">
        <v>1475000000</v>
      </c>
      <c r="BH70" s="18">
        <f>BD70/BC70</f>
        <v>3470249.3996515623</v>
      </c>
      <c r="BI70" s="19">
        <f>BE70/BC70</f>
        <v>7716897.1272215508</v>
      </c>
      <c r="BK70" s="3" t="s">
        <v>15</v>
      </c>
      <c r="BL70" s="3" t="s">
        <v>14</v>
      </c>
      <c r="BM70" s="3">
        <v>110</v>
      </c>
      <c r="BN70" s="6">
        <v>43038</v>
      </c>
      <c r="BO70" s="4">
        <v>0.40138888888888885</v>
      </c>
      <c r="BP70" s="53">
        <f>(BN70-$BN$70)*24 +(BO70-$BO$70)*24</f>
        <v>0</v>
      </c>
      <c r="BQ70" s="15">
        <v>26.3</v>
      </c>
      <c r="BR70" s="8">
        <f>7.8*6.5*6.5*0.52</f>
        <v>171.36599999999999</v>
      </c>
      <c r="BS70" s="18">
        <v>2026000000</v>
      </c>
      <c r="BT70" s="17">
        <v>3375000000</v>
      </c>
      <c r="BU70" s="18">
        <v>2026000000</v>
      </c>
      <c r="BV70" s="17">
        <v>3375000000</v>
      </c>
      <c r="BW70" s="18">
        <f>BS70/BR70</f>
        <v>11822648.600072362</v>
      </c>
      <c r="BX70" s="19">
        <f>BT70/BR70</f>
        <v>19694688.561324887</v>
      </c>
      <c r="BZ70" s="3" t="s">
        <v>15</v>
      </c>
      <c r="CA70" s="3" t="s">
        <v>14</v>
      </c>
      <c r="CB70" s="3">
        <v>110</v>
      </c>
      <c r="CC70" s="6">
        <v>43038</v>
      </c>
      <c r="CD70" s="4">
        <v>0.39861111111111108</v>
      </c>
      <c r="CE70" s="53">
        <f>(CC70-$CC$70)*24 +(CD70-$CD$70)*24</f>
        <v>0</v>
      </c>
      <c r="CF70" s="15">
        <v>25.5</v>
      </c>
      <c r="CG70" s="8">
        <f>7.2*6.4*6.4*0.52</f>
        <v>153.35424000000003</v>
      </c>
      <c r="CH70" s="18">
        <v>802800000</v>
      </c>
      <c r="CI70" s="17">
        <v>1962000000</v>
      </c>
      <c r="CJ70" s="18">
        <v>802800000</v>
      </c>
      <c r="CK70" s="17">
        <v>1962000000</v>
      </c>
      <c r="CL70" s="18">
        <f>CH70/CG70</f>
        <v>5234938.4014423061</v>
      </c>
      <c r="CM70" s="19">
        <f>CI70/CG70</f>
        <v>12793907.752403844</v>
      </c>
      <c r="CO70" s="3" t="s">
        <v>15</v>
      </c>
      <c r="CP70" s="3" t="s">
        <v>14</v>
      </c>
      <c r="CQ70" s="3">
        <v>110</v>
      </c>
      <c r="CR70" s="6">
        <v>43038</v>
      </c>
      <c r="CS70" s="4">
        <v>0.39930555555555558</v>
      </c>
      <c r="CT70" s="53">
        <f>(CR70-$CR$70)*24 +(CS70-$CS$70)*24</f>
        <v>0</v>
      </c>
      <c r="CU70" s="15">
        <v>32.1</v>
      </c>
      <c r="CV70" s="8">
        <f>6.8*5.9*5.9*0.52</f>
        <v>123.08816000000003</v>
      </c>
      <c r="CW70" s="18">
        <v>1197000000</v>
      </c>
      <c r="CX70" s="17">
        <v>2789000000</v>
      </c>
      <c r="CY70" s="18">
        <v>1197000000</v>
      </c>
      <c r="CZ70" s="17">
        <v>2789000000</v>
      </c>
      <c r="DA70" s="18">
        <f>CW70/CV70</f>
        <v>9724737.1314998921</v>
      </c>
      <c r="DB70" s="19">
        <f>CX70/CV70</f>
        <v>22658556.273812197</v>
      </c>
    </row>
    <row r="71" spans="2:106" x14ac:dyDescent="0.25">
      <c r="B71" s="83"/>
      <c r="C71" s="37" t="s">
        <v>15</v>
      </c>
      <c r="D71" s="37" t="s">
        <v>15</v>
      </c>
      <c r="E71" s="37" t="s">
        <v>15</v>
      </c>
      <c r="F71" s="6">
        <v>43054</v>
      </c>
      <c r="G71" s="38">
        <v>0.43263888888888885</v>
      </c>
      <c r="H71" s="7">
        <f t="shared" ref="H71:H91" si="71">(F71-$F$70)*24 +(G71-$G$70)*24</f>
        <v>0.41666666666666519</v>
      </c>
      <c r="I71" s="16">
        <v>25</v>
      </c>
      <c r="J71" s="9">
        <f>6.7*5.5*5.5*0.52</f>
        <v>105.39100000000001</v>
      </c>
      <c r="K71" s="21">
        <v>341100000000</v>
      </c>
      <c r="L71" s="19">
        <v>133400000000</v>
      </c>
      <c r="M71" s="21"/>
      <c r="N71" s="19"/>
      <c r="O71" s="21">
        <f>K71/J71</f>
        <v>3236519247.374064</v>
      </c>
      <c r="P71" s="19">
        <f>L71/J71</f>
        <v>1265762731.1630025</v>
      </c>
      <c r="Q71" s="35"/>
      <c r="R71" s="37" t="s">
        <v>15</v>
      </c>
      <c r="S71" s="37" t="s">
        <v>15</v>
      </c>
      <c r="T71" s="37" t="s">
        <v>15</v>
      </c>
      <c r="U71" s="6">
        <v>43054</v>
      </c>
      <c r="V71" s="38">
        <v>0.43333333333333335</v>
      </c>
      <c r="W71" s="7">
        <f t="shared" ref="W71:W91" si="72">(U71-$U$70)*24 +(V71-$V$70)*24</f>
        <v>0.41666666666666785</v>
      </c>
      <c r="X71" s="16">
        <v>30.7</v>
      </c>
      <c r="Y71" s="9">
        <f>7.5*5.8*5.8*0.52</f>
        <v>131.196</v>
      </c>
      <c r="Z71" s="21">
        <v>642000000000</v>
      </c>
      <c r="AA71" s="19"/>
      <c r="AB71" s="21"/>
      <c r="AC71" s="19"/>
      <c r="AD71" s="21">
        <f>Z71/Y71</f>
        <v>4893441873.2278423</v>
      </c>
      <c r="AE71" s="19">
        <f>AA71/Y71</f>
        <v>0</v>
      </c>
      <c r="AF71" s="35"/>
      <c r="AG71" s="37" t="s">
        <v>15</v>
      </c>
      <c r="AH71" s="37" t="s">
        <v>15</v>
      </c>
      <c r="AI71" s="37" t="s">
        <v>15</v>
      </c>
      <c r="AJ71" s="6">
        <v>43054</v>
      </c>
      <c r="AK71" s="38">
        <v>0.43333333333333335</v>
      </c>
      <c r="AL71" s="7">
        <f t="shared" ref="AL71:AL91" si="73">(AJ71-$AJ$70)*24 +(AK71-$AK$70)*24</f>
        <v>0.3833333333333333</v>
      </c>
      <c r="AM71" s="16">
        <v>30</v>
      </c>
      <c r="AN71" s="9">
        <f>7.5*6.6*6.6*0.52</f>
        <v>169.88399999999999</v>
      </c>
      <c r="AO71" s="21">
        <v>414900000000</v>
      </c>
      <c r="AP71" s="19"/>
      <c r="AQ71" s="21"/>
      <c r="AR71" s="19"/>
      <c r="AS71" s="21">
        <f>AO71/AN71</f>
        <v>2442254714.981988</v>
      </c>
      <c r="AT71" s="19">
        <f>AP71/AN71</f>
        <v>0</v>
      </c>
      <c r="AV71" s="3" t="s">
        <v>15</v>
      </c>
      <c r="AW71" s="3" t="s">
        <v>15</v>
      </c>
      <c r="AX71" s="3" t="s">
        <v>15</v>
      </c>
      <c r="AY71" s="6">
        <v>43038</v>
      </c>
      <c r="AZ71" s="4">
        <v>0.4152777777777778</v>
      </c>
      <c r="BA71" s="7">
        <f t="shared" ref="BA71:BA91" si="74">(AY71-$AY$70)*24 +(AZ71-$AZ$70)*24</f>
        <v>0.35000000000000009</v>
      </c>
      <c r="BB71" s="50">
        <v>32.200000000000003</v>
      </c>
      <c r="BC71" s="9">
        <f t="shared" ref="BC71:BC76" si="75">8.7*6.5*6.5*0.52</f>
        <v>191.13900000000001</v>
      </c>
      <c r="BD71" s="18">
        <v>356800000000</v>
      </c>
      <c r="BE71" s="19">
        <v>381200000000</v>
      </c>
      <c r="BF71" s="18">
        <v>362800000000</v>
      </c>
      <c r="BG71" s="19">
        <v>387600000000</v>
      </c>
      <c r="BH71" s="18">
        <f>BD71/BC71</f>
        <v>1866704335.5882368</v>
      </c>
      <c r="BI71" s="19">
        <f>BE71/BC71</f>
        <v>1994360125.3538001</v>
      </c>
      <c r="BK71" s="3" t="s">
        <v>15</v>
      </c>
      <c r="BL71" s="3" t="s">
        <v>15</v>
      </c>
      <c r="BM71" s="3" t="s">
        <v>15</v>
      </c>
      <c r="BN71" s="6">
        <v>43038</v>
      </c>
      <c r="BO71" s="4">
        <v>0.4152777777777778</v>
      </c>
      <c r="BP71" s="7">
        <f t="shared" ref="BP71:BP91" si="76">(BN71-$BN$70)*24 +(BO71-$BO$70)*24</f>
        <v>0.33333333333333481</v>
      </c>
      <c r="BQ71" s="50">
        <v>26.3</v>
      </c>
      <c r="BR71" s="9">
        <f t="shared" ref="BR71:BR76" si="77">7.8*6.5*6.5*0.52</f>
        <v>171.36599999999999</v>
      </c>
      <c r="BS71" s="18">
        <v>291100000000</v>
      </c>
      <c r="BT71" s="19">
        <v>348800000000</v>
      </c>
      <c r="BU71" s="18">
        <v>296200000000</v>
      </c>
      <c r="BV71" s="19">
        <v>354900000000</v>
      </c>
      <c r="BW71" s="18">
        <f>BS71/BR71</f>
        <v>1698703360.0597553</v>
      </c>
      <c r="BX71" s="19">
        <f>BT71/BR71</f>
        <v>2035409591.167443</v>
      </c>
      <c r="BZ71" s="3" t="s">
        <v>15</v>
      </c>
      <c r="CA71" s="3" t="s">
        <v>15</v>
      </c>
      <c r="CB71" s="3" t="s">
        <v>15</v>
      </c>
      <c r="CC71" s="6">
        <v>43038</v>
      </c>
      <c r="CD71" s="4">
        <v>0.41805555555555557</v>
      </c>
      <c r="CE71" s="7">
        <f t="shared" ref="CE71:CE91" si="78">(CC71-$CC$70)*24 +(CD71-$CD$70)*24</f>
        <v>0.46666666666666767</v>
      </c>
      <c r="CF71" s="50">
        <v>25.5</v>
      </c>
      <c r="CG71" s="9">
        <f t="shared" ref="CG71:CG76" si="79">7.2*6.4*6.4*0.52</f>
        <v>153.35424000000003</v>
      </c>
      <c r="CH71" s="18">
        <v>541100000000</v>
      </c>
      <c r="CI71" s="19">
        <v>573300000000</v>
      </c>
      <c r="CJ71" s="18">
        <v>483400000000</v>
      </c>
      <c r="CK71" s="19">
        <v>513600000000</v>
      </c>
      <c r="CL71" s="18">
        <f>CH71/CG71</f>
        <v>3528431949.4524565</v>
      </c>
      <c r="CM71" s="19">
        <f>CI71/CG71</f>
        <v>3738403320.312499</v>
      </c>
      <c r="CO71" s="3" t="s">
        <v>15</v>
      </c>
      <c r="CP71" s="3" t="s">
        <v>15</v>
      </c>
      <c r="CQ71" s="3" t="s">
        <v>15</v>
      </c>
      <c r="CR71" s="6">
        <v>43038</v>
      </c>
      <c r="CS71" s="4">
        <v>0.41805555555555557</v>
      </c>
      <c r="CT71" s="7">
        <f t="shared" ref="CT71:CT91" si="80">(CR71-$CR$70)*24 +(CS71-$CS$70)*24</f>
        <v>0.44999999999999973</v>
      </c>
      <c r="CU71" s="50">
        <v>32.1</v>
      </c>
      <c r="CV71" s="9">
        <f t="shared" ref="CV71:CV76" si="81">6.8*5.9*5.9*0.52</f>
        <v>123.08816000000003</v>
      </c>
      <c r="CW71" s="18">
        <v>269500000000</v>
      </c>
      <c r="CX71" s="19">
        <v>349500000000</v>
      </c>
      <c r="CY71" s="18">
        <v>272700000000</v>
      </c>
      <c r="CZ71" s="19">
        <v>353700000000</v>
      </c>
      <c r="DA71" s="18">
        <f>CW71/CV71</f>
        <v>2189487599.7821393</v>
      </c>
      <c r="DB71" s="19">
        <f>CX71/CV71</f>
        <v>2839428260.1998429</v>
      </c>
    </row>
    <row r="72" spans="2:106" x14ac:dyDescent="0.25">
      <c r="B72" s="83"/>
      <c r="C72" s="37" t="s">
        <v>15</v>
      </c>
      <c r="D72" s="37" t="s">
        <v>15</v>
      </c>
      <c r="E72" s="37" t="s">
        <v>15</v>
      </c>
      <c r="F72" s="6">
        <v>43054</v>
      </c>
      <c r="G72" s="38">
        <v>0.47638888888888892</v>
      </c>
      <c r="H72" s="7">
        <f t="shared" si="71"/>
        <v>1.4666666666666668</v>
      </c>
      <c r="I72" s="16">
        <v>25</v>
      </c>
      <c r="J72" s="9">
        <f t="shared" ref="J72:J76" si="82">6.7*5.5*5.5*0.52</f>
        <v>105.39100000000001</v>
      </c>
      <c r="K72" s="21">
        <v>423900000000</v>
      </c>
      <c r="L72" s="19">
        <v>154400000000</v>
      </c>
      <c r="M72" s="21"/>
      <c r="N72" s="19"/>
      <c r="O72" s="21">
        <f>K72/J72</f>
        <v>4022165080.5097208</v>
      </c>
      <c r="P72" s="19">
        <f>L72/J72</f>
        <v>1465020732.3205965</v>
      </c>
      <c r="Q72" s="35"/>
      <c r="R72" s="37" t="s">
        <v>15</v>
      </c>
      <c r="S72" s="37" t="s">
        <v>15</v>
      </c>
      <c r="T72" s="37" t="s">
        <v>15</v>
      </c>
      <c r="U72" s="6">
        <v>43054</v>
      </c>
      <c r="V72" s="38">
        <v>0.47847222222222219</v>
      </c>
      <c r="W72" s="7">
        <f t="shared" si="72"/>
        <v>1.5</v>
      </c>
      <c r="X72" s="16">
        <v>30.7</v>
      </c>
      <c r="Y72" s="9">
        <f t="shared" ref="Y72:Y76" si="83">7.5*5.8*5.8*0.52</f>
        <v>131.196</v>
      </c>
      <c r="Z72" s="21">
        <v>645300000000</v>
      </c>
      <c r="AA72" s="19">
        <v>194400000000</v>
      </c>
      <c r="AB72" s="21"/>
      <c r="AC72" s="19"/>
      <c r="AD72" s="21">
        <f>Z72/Y72</f>
        <v>4918595079.1182661</v>
      </c>
      <c r="AE72" s="19">
        <f>AA72/Y72</f>
        <v>1481752492.4540381</v>
      </c>
      <c r="AF72" s="35"/>
      <c r="AG72" s="37" t="s">
        <v>15</v>
      </c>
      <c r="AH72" s="37" t="s">
        <v>15</v>
      </c>
      <c r="AI72" s="37" t="s">
        <v>15</v>
      </c>
      <c r="AJ72" s="6">
        <v>43054</v>
      </c>
      <c r="AK72" s="38">
        <v>0.47847222222222219</v>
      </c>
      <c r="AL72" s="7">
        <f t="shared" si="73"/>
        <v>1.4666666666666655</v>
      </c>
      <c r="AM72" s="16">
        <v>30</v>
      </c>
      <c r="AN72" s="9">
        <f t="shared" ref="AN72:AN76" si="84">7.5*6.6*6.6*0.52</f>
        <v>169.88399999999999</v>
      </c>
      <c r="AO72" s="21">
        <v>489100000000</v>
      </c>
      <c r="AP72" s="19">
        <v>191100000000</v>
      </c>
      <c r="AQ72" s="21"/>
      <c r="AR72" s="19"/>
      <c r="AS72" s="21">
        <f>AO72/AN72</f>
        <v>2879023333.5687885</v>
      </c>
      <c r="AT72" s="19">
        <f>AP72/AN72</f>
        <v>1124885215.7943068</v>
      </c>
      <c r="AV72" s="3" t="s">
        <v>15</v>
      </c>
      <c r="AW72" s="3" t="s">
        <v>15</v>
      </c>
      <c r="AX72" s="3" t="s">
        <v>15</v>
      </c>
      <c r="AY72" s="6">
        <v>43038</v>
      </c>
      <c r="AZ72" s="4">
        <v>0.44513888888888892</v>
      </c>
      <c r="BA72" s="7">
        <f t="shared" si="74"/>
        <v>1.0666666666666669</v>
      </c>
      <c r="BB72" s="50">
        <v>32.200000000000003</v>
      </c>
      <c r="BC72" s="9">
        <f t="shared" si="75"/>
        <v>191.13900000000001</v>
      </c>
      <c r="BD72" s="18">
        <v>533000000000</v>
      </c>
      <c r="BE72" s="19">
        <v>615700000000</v>
      </c>
      <c r="BF72" s="18">
        <v>509600000000</v>
      </c>
      <c r="BG72" s="19">
        <v>588500000000</v>
      </c>
      <c r="BH72" s="18">
        <f>BD72/BC72</f>
        <v>2788546555.1248045</v>
      </c>
      <c r="BI72" s="19">
        <f>BE72/BC72</f>
        <v>3221215973.7154636</v>
      </c>
      <c r="BK72" s="3" t="s">
        <v>15</v>
      </c>
      <c r="BL72" s="3" t="s">
        <v>15</v>
      </c>
      <c r="BM72" s="3" t="s">
        <v>15</v>
      </c>
      <c r="BN72" s="6">
        <v>43038</v>
      </c>
      <c r="BO72" s="4">
        <v>0.44513888888888892</v>
      </c>
      <c r="BP72" s="7">
        <f t="shared" si="76"/>
        <v>1.0500000000000016</v>
      </c>
      <c r="BQ72" s="50">
        <v>26.3</v>
      </c>
      <c r="BR72" s="9">
        <f t="shared" si="77"/>
        <v>171.36599999999999</v>
      </c>
      <c r="BS72" s="18">
        <v>473100000000</v>
      </c>
      <c r="BT72" s="19">
        <v>539000000000</v>
      </c>
      <c r="BU72" s="18">
        <v>468300000000</v>
      </c>
      <c r="BV72" s="19">
        <v>533800000000</v>
      </c>
      <c r="BW72" s="18">
        <f>BS72/BR72</f>
        <v>2760757676.5519419</v>
      </c>
      <c r="BX72" s="19">
        <f>BT72/BR72</f>
        <v>3145314706.5345521</v>
      </c>
      <c r="BZ72" s="3" t="s">
        <v>15</v>
      </c>
      <c r="CA72" s="3" t="s">
        <v>15</v>
      </c>
      <c r="CB72" s="3" t="s">
        <v>15</v>
      </c>
      <c r="CC72" s="6">
        <v>43038</v>
      </c>
      <c r="CD72" s="4">
        <v>0.44722222222222219</v>
      </c>
      <c r="CE72" s="7">
        <f t="shared" si="78"/>
        <v>1.1666666666666665</v>
      </c>
      <c r="CF72" s="50">
        <v>25.5</v>
      </c>
      <c r="CG72" s="9">
        <f t="shared" si="79"/>
        <v>153.35424000000003</v>
      </c>
      <c r="CH72" s="18">
        <v>670100000000</v>
      </c>
      <c r="CI72" s="19">
        <v>704100000000</v>
      </c>
      <c r="CJ72" s="18">
        <v>575100000000</v>
      </c>
      <c r="CK72" s="19">
        <v>606700000000</v>
      </c>
      <c r="CL72" s="18">
        <f>CH72/CG72</f>
        <v>4369621602.8979692</v>
      </c>
      <c r="CM72" s="19">
        <f>CI72/CG72</f>
        <v>4591330503.8060884</v>
      </c>
      <c r="CO72" s="3" t="s">
        <v>15</v>
      </c>
      <c r="CP72" s="3" t="s">
        <v>15</v>
      </c>
      <c r="CQ72" s="3" t="s">
        <v>15</v>
      </c>
      <c r="CR72" s="6">
        <v>43038</v>
      </c>
      <c r="CS72" s="4">
        <v>0.44722222222222219</v>
      </c>
      <c r="CT72" s="7">
        <f t="shared" si="80"/>
        <v>1.1499999999999986</v>
      </c>
      <c r="CU72" s="50">
        <v>32.1</v>
      </c>
      <c r="CV72" s="9">
        <f t="shared" si="81"/>
        <v>123.08816000000003</v>
      </c>
      <c r="CW72" s="18">
        <v>352800000000</v>
      </c>
      <c r="CX72" s="19">
        <v>436100000000</v>
      </c>
      <c r="CY72" s="18">
        <v>359000000000</v>
      </c>
      <c r="CZ72" s="19">
        <v>443700000000</v>
      </c>
      <c r="DA72" s="18">
        <f>CW72/CV72</f>
        <v>2866238312.4420733</v>
      </c>
      <c r="DB72" s="19">
        <f>CX72/CV72</f>
        <v>3542989025.1020074</v>
      </c>
    </row>
    <row r="73" spans="2:106" x14ac:dyDescent="0.25">
      <c r="B73" s="83"/>
      <c r="C73" s="37" t="s">
        <v>15</v>
      </c>
      <c r="D73" s="37" t="s">
        <v>15</v>
      </c>
      <c r="E73" s="37" t="s">
        <v>15</v>
      </c>
      <c r="F73" s="6">
        <v>43054</v>
      </c>
      <c r="G73" s="38">
        <v>0.53402777777777777</v>
      </c>
      <c r="H73" s="7">
        <f t="shared" si="71"/>
        <v>2.8499999999999992</v>
      </c>
      <c r="I73" s="16">
        <v>25</v>
      </c>
      <c r="J73" s="9">
        <f t="shared" si="82"/>
        <v>105.39100000000001</v>
      </c>
      <c r="K73" s="21">
        <v>420900000000</v>
      </c>
      <c r="L73" s="19">
        <v>161200000000</v>
      </c>
      <c r="M73" s="21"/>
      <c r="N73" s="19"/>
      <c r="O73" s="21">
        <f t="shared" ref="O73:O74" si="85">K73/J73</f>
        <v>3993699651.7729216</v>
      </c>
      <c r="P73" s="19">
        <f t="shared" ref="P73:P80" si="86">L73/J73</f>
        <v>1529542370.7906747</v>
      </c>
      <c r="Q73" s="35"/>
      <c r="R73" s="37" t="s">
        <v>15</v>
      </c>
      <c r="S73" s="37" t="s">
        <v>15</v>
      </c>
      <c r="T73" s="37" t="s">
        <v>15</v>
      </c>
      <c r="U73" s="6">
        <v>43054</v>
      </c>
      <c r="V73" s="38">
        <v>0.53611111111111109</v>
      </c>
      <c r="W73" s="7">
        <f t="shared" si="72"/>
        <v>2.8833333333333337</v>
      </c>
      <c r="X73" s="16">
        <v>30.7</v>
      </c>
      <c r="Y73" s="9">
        <f t="shared" si="83"/>
        <v>131.196</v>
      </c>
      <c r="Z73" s="21">
        <v>693800000000</v>
      </c>
      <c r="AA73" s="19">
        <v>220400000000</v>
      </c>
      <c r="AB73" s="21"/>
      <c r="AC73" s="19"/>
      <c r="AD73" s="21">
        <f t="shared" ref="AD73:AD74" si="87">Z73/Y73</f>
        <v>5288270983.87146</v>
      </c>
      <c r="AE73" s="19">
        <f t="shared" ref="AE73:AE80" si="88">AA73/Y73</f>
        <v>1679929266.1361628</v>
      </c>
      <c r="AF73" s="35"/>
      <c r="AG73" s="37" t="s">
        <v>15</v>
      </c>
      <c r="AH73" s="37" t="s">
        <v>15</v>
      </c>
      <c r="AI73" s="37" t="s">
        <v>15</v>
      </c>
      <c r="AJ73" s="6">
        <v>43054</v>
      </c>
      <c r="AK73" s="38">
        <v>0.53611111111111109</v>
      </c>
      <c r="AL73" s="7">
        <f t="shared" si="73"/>
        <v>2.8499999999999992</v>
      </c>
      <c r="AM73" s="16">
        <v>30</v>
      </c>
      <c r="AN73" s="9">
        <f t="shared" si="84"/>
        <v>169.88399999999999</v>
      </c>
      <c r="AO73" s="21">
        <v>647900000000</v>
      </c>
      <c r="AP73" s="19">
        <v>245100000000</v>
      </c>
      <c r="AQ73" s="21"/>
      <c r="AR73" s="19"/>
      <c r="AS73" s="21">
        <f t="shared" ref="AS73:AS74" si="89">AO73/AN73</f>
        <v>3813778813.7788143</v>
      </c>
      <c r="AT73" s="19">
        <f t="shared" ref="AT73:AT80" si="90">AP73/AN73</f>
        <v>1442749170.0218973</v>
      </c>
      <c r="AV73" s="3" t="s">
        <v>15</v>
      </c>
      <c r="AW73" s="3" t="s">
        <v>15</v>
      </c>
      <c r="AX73" s="3" t="s">
        <v>15</v>
      </c>
      <c r="AY73" s="6">
        <v>43038</v>
      </c>
      <c r="AZ73" s="4">
        <v>0.53472222222222221</v>
      </c>
      <c r="BA73" s="7">
        <f t="shared" si="74"/>
        <v>3.2166666666666659</v>
      </c>
      <c r="BB73" s="50">
        <v>32.200000000000003</v>
      </c>
      <c r="BC73" s="9">
        <f t="shared" si="75"/>
        <v>191.13900000000001</v>
      </c>
      <c r="BD73" s="18">
        <v>663900000000</v>
      </c>
      <c r="BE73" s="19">
        <v>698100000000</v>
      </c>
      <c r="BF73" s="18">
        <v>586200000000</v>
      </c>
      <c r="BG73" s="19">
        <v>618600000000</v>
      </c>
      <c r="BH73" s="18">
        <f t="shared" ref="BH73:BH74" si="91">BD73/BC73</f>
        <v>3473388476.4490762</v>
      </c>
      <c r="BI73" s="19">
        <f t="shared" ref="BI73:BI80" si="92">BE73/BC73</f>
        <v>3652315853.9073658</v>
      </c>
      <c r="BK73" s="3" t="s">
        <v>15</v>
      </c>
      <c r="BL73" s="3" t="s">
        <v>15</v>
      </c>
      <c r="BM73" s="3" t="s">
        <v>15</v>
      </c>
      <c r="BN73" s="6">
        <v>43038</v>
      </c>
      <c r="BO73" s="4">
        <v>0.53472222222222221</v>
      </c>
      <c r="BP73" s="7">
        <f t="shared" si="76"/>
        <v>3.2000000000000006</v>
      </c>
      <c r="BQ73" s="50">
        <v>26.3</v>
      </c>
      <c r="BR73" s="9">
        <f t="shared" si="77"/>
        <v>171.36599999999999</v>
      </c>
      <c r="BS73" s="18">
        <v>514700000000</v>
      </c>
      <c r="BT73" s="19">
        <v>632100000000</v>
      </c>
      <c r="BU73" s="18">
        <v>510900000000</v>
      </c>
      <c r="BV73" s="19">
        <v>627300000000</v>
      </c>
      <c r="BW73" s="18">
        <f t="shared" ref="BW73:BW74" si="93">BS73/BR73</f>
        <v>3003512948.893013</v>
      </c>
      <c r="BX73" s="19">
        <f t="shared" ref="BX73:BX80" si="94">BT73/BR73</f>
        <v>3688596337.6632476</v>
      </c>
      <c r="BZ73" s="3" t="s">
        <v>15</v>
      </c>
      <c r="CA73" s="3" t="s">
        <v>15</v>
      </c>
      <c r="CB73" s="3" t="s">
        <v>15</v>
      </c>
      <c r="CC73" s="6">
        <v>43038</v>
      </c>
      <c r="CD73" s="4">
        <v>0.53680555555555554</v>
      </c>
      <c r="CE73" s="7">
        <f t="shared" si="78"/>
        <v>3.3166666666666669</v>
      </c>
      <c r="CF73" s="50">
        <v>25.5</v>
      </c>
      <c r="CG73" s="9">
        <f t="shared" si="79"/>
        <v>153.35424000000003</v>
      </c>
      <c r="CH73" s="18">
        <v>812600000000</v>
      </c>
      <c r="CI73" s="19">
        <v>799800000000</v>
      </c>
      <c r="CJ73" s="18">
        <v>680600000000</v>
      </c>
      <c r="CK73" s="19">
        <v>672100000000</v>
      </c>
      <c r="CL73" s="18">
        <f t="shared" ref="CL73:CL74" si="95">CH73/CG73</f>
        <v>5298842731.7040586</v>
      </c>
      <c r="CM73" s="19">
        <f t="shared" ref="CM73:CM80" si="96">CI73/CG73</f>
        <v>5215375851.3621788</v>
      </c>
      <c r="CO73" s="3" t="s">
        <v>15</v>
      </c>
      <c r="CP73" s="3" t="s">
        <v>15</v>
      </c>
      <c r="CQ73" s="3" t="s">
        <v>15</v>
      </c>
      <c r="CR73" s="6">
        <v>43038</v>
      </c>
      <c r="CS73" s="4">
        <v>0.53680555555555554</v>
      </c>
      <c r="CT73" s="7">
        <f t="shared" si="80"/>
        <v>3.2999999999999989</v>
      </c>
      <c r="CU73" s="50">
        <v>32.1</v>
      </c>
      <c r="CV73" s="9">
        <f t="shared" si="81"/>
        <v>123.08816000000003</v>
      </c>
      <c r="CW73" s="18">
        <v>356700000000</v>
      </c>
      <c r="CX73" s="19">
        <v>425300000000</v>
      </c>
      <c r="CY73" s="18">
        <v>361000000000</v>
      </c>
      <c r="CZ73" s="19">
        <v>430400000000</v>
      </c>
      <c r="DA73" s="18">
        <f t="shared" ref="DA73:DA74" si="97">CW73/CV73</f>
        <v>2897922919.6374364</v>
      </c>
      <c r="DB73" s="19">
        <f t="shared" ref="DB73:DB80" si="98">CX73/CV73</f>
        <v>3455247035.9456172</v>
      </c>
    </row>
    <row r="74" spans="2:106" x14ac:dyDescent="0.25">
      <c r="B74" s="83"/>
      <c r="C74" s="37" t="s">
        <v>15</v>
      </c>
      <c r="D74" s="37" t="s">
        <v>15</v>
      </c>
      <c r="E74" s="37" t="s">
        <v>15</v>
      </c>
      <c r="F74" s="6">
        <v>43054</v>
      </c>
      <c r="G74" s="38">
        <v>0.66388888888888886</v>
      </c>
      <c r="H74" s="7">
        <f t="shared" si="71"/>
        <v>5.966666666666665</v>
      </c>
      <c r="I74" s="16">
        <v>25</v>
      </c>
      <c r="J74" s="9">
        <f t="shared" si="82"/>
        <v>105.39100000000001</v>
      </c>
      <c r="K74" s="21">
        <v>386600000000</v>
      </c>
      <c r="L74" s="19">
        <v>138800000000</v>
      </c>
      <c r="M74" s="21"/>
      <c r="N74" s="19"/>
      <c r="O74" s="21">
        <f t="shared" si="85"/>
        <v>3668244916.548851</v>
      </c>
      <c r="P74" s="19">
        <f t="shared" si="86"/>
        <v>1317000502.889241</v>
      </c>
      <c r="Q74" s="35"/>
      <c r="R74" s="37" t="s">
        <v>15</v>
      </c>
      <c r="S74" s="37" t="s">
        <v>15</v>
      </c>
      <c r="T74" s="37" t="s">
        <v>15</v>
      </c>
      <c r="U74" s="6">
        <v>43054</v>
      </c>
      <c r="V74" s="38">
        <v>0.66597222222222219</v>
      </c>
      <c r="W74" s="7">
        <f t="shared" si="72"/>
        <v>6</v>
      </c>
      <c r="X74" s="16">
        <v>30.7</v>
      </c>
      <c r="Y74" s="9">
        <f t="shared" si="83"/>
        <v>131.196</v>
      </c>
      <c r="Z74" s="21">
        <v>654900000000</v>
      </c>
      <c r="AA74" s="19">
        <v>204600000000</v>
      </c>
      <c r="AB74" s="21"/>
      <c r="AC74" s="19"/>
      <c r="AD74" s="21">
        <f t="shared" si="87"/>
        <v>4991768041.7085886</v>
      </c>
      <c r="AE74" s="19">
        <f t="shared" si="88"/>
        <v>1559498765.2062564</v>
      </c>
      <c r="AF74" s="35"/>
      <c r="AG74" s="37" t="s">
        <v>15</v>
      </c>
      <c r="AH74" s="37" t="s">
        <v>15</v>
      </c>
      <c r="AI74" s="37" t="s">
        <v>15</v>
      </c>
      <c r="AJ74" s="6">
        <v>43054</v>
      </c>
      <c r="AK74" s="38">
        <v>0.66597222222222219</v>
      </c>
      <c r="AL74" s="7">
        <f t="shared" si="73"/>
        <v>5.966666666666665</v>
      </c>
      <c r="AM74" s="16">
        <v>30</v>
      </c>
      <c r="AN74" s="9">
        <f t="shared" si="84"/>
        <v>169.88399999999999</v>
      </c>
      <c r="AO74" s="21">
        <v>662900000000</v>
      </c>
      <c r="AP74" s="19">
        <v>244100000000</v>
      </c>
      <c r="AQ74" s="21"/>
      <c r="AR74" s="19"/>
      <c r="AS74" s="21">
        <f t="shared" si="89"/>
        <v>3902074356.6198115</v>
      </c>
      <c r="AT74" s="19">
        <f t="shared" si="90"/>
        <v>1436862800.4991643</v>
      </c>
      <c r="AV74" s="3" t="s">
        <v>15</v>
      </c>
      <c r="AW74" s="3" t="s">
        <v>15</v>
      </c>
      <c r="AX74" s="3" t="s">
        <v>15</v>
      </c>
      <c r="AY74" s="6">
        <v>43038</v>
      </c>
      <c r="AZ74" s="4">
        <v>0.64374999999999993</v>
      </c>
      <c r="BA74" s="7">
        <f t="shared" si="74"/>
        <v>5.8333333333333313</v>
      </c>
      <c r="BB74" s="50">
        <v>32.200000000000003</v>
      </c>
      <c r="BC74" s="9">
        <f t="shared" si="75"/>
        <v>191.13900000000001</v>
      </c>
      <c r="BD74" s="18">
        <v>681600000000</v>
      </c>
      <c r="BE74" s="19">
        <v>796500000000</v>
      </c>
      <c r="BF74" s="18">
        <v>626500000000</v>
      </c>
      <c r="BG74" s="19">
        <v>732200000000</v>
      </c>
      <c r="BH74" s="18">
        <f t="shared" si="91"/>
        <v>3565991241.9757347</v>
      </c>
      <c r="BI74" s="19">
        <f t="shared" si="92"/>
        <v>4167124448.6996374</v>
      </c>
      <c r="BK74" s="3" t="s">
        <v>15</v>
      </c>
      <c r="BL74" s="3" t="s">
        <v>15</v>
      </c>
      <c r="BM74" s="3" t="s">
        <v>15</v>
      </c>
      <c r="BN74" s="6">
        <v>43038</v>
      </c>
      <c r="BO74" s="4">
        <v>0.64374999999999993</v>
      </c>
      <c r="BP74" s="7">
        <f t="shared" si="76"/>
        <v>5.8166666666666664</v>
      </c>
      <c r="BQ74" s="50">
        <v>26.3</v>
      </c>
      <c r="BR74" s="9">
        <f t="shared" si="77"/>
        <v>171.36599999999999</v>
      </c>
      <c r="BS74" s="18">
        <v>503700000000</v>
      </c>
      <c r="BT74" s="19">
        <v>580400000000</v>
      </c>
      <c r="BU74" s="18">
        <v>505100000000</v>
      </c>
      <c r="BV74" s="19">
        <v>581900000000</v>
      </c>
      <c r="BW74" s="18">
        <f t="shared" si="93"/>
        <v>2939322852.8412871</v>
      </c>
      <c r="BX74" s="19">
        <f t="shared" si="94"/>
        <v>3386902886.2201371</v>
      </c>
      <c r="BZ74" s="3" t="s">
        <v>15</v>
      </c>
      <c r="CA74" s="3" t="s">
        <v>15</v>
      </c>
      <c r="CB74" s="3" t="s">
        <v>15</v>
      </c>
      <c r="CC74" s="6">
        <v>43038</v>
      </c>
      <c r="CD74" s="4">
        <v>0.64583333333333337</v>
      </c>
      <c r="CE74" s="7">
        <f t="shared" si="78"/>
        <v>5.9333333333333353</v>
      </c>
      <c r="CF74" s="50">
        <v>25.5</v>
      </c>
      <c r="CG74" s="9">
        <f t="shared" si="79"/>
        <v>153.35424000000003</v>
      </c>
      <c r="CH74" s="18">
        <v>670200000000</v>
      </c>
      <c r="CI74" s="19">
        <v>683500000000</v>
      </c>
      <c r="CJ74" s="18">
        <v>570300000000</v>
      </c>
      <c r="CK74" s="19">
        <v>583500000000</v>
      </c>
      <c r="CL74" s="18">
        <f t="shared" si="95"/>
        <v>4370273687.9006405</v>
      </c>
      <c r="CM74" s="19">
        <f t="shared" si="96"/>
        <v>4457000993.2558756</v>
      </c>
      <c r="CO74" s="3" t="s">
        <v>15</v>
      </c>
      <c r="CP74" s="3" t="s">
        <v>15</v>
      </c>
      <c r="CQ74" s="3" t="s">
        <v>15</v>
      </c>
      <c r="CR74" s="6">
        <v>43038</v>
      </c>
      <c r="CS74" s="4">
        <v>0.64583333333333337</v>
      </c>
      <c r="CT74" s="7">
        <f t="shared" si="80"/>
        <v>5.916666666666667</v>
      </c>
      <c r="CU74" s="50">
        <v>32.1</v>
      </c>
      <c r="CV74" s="9">
        <f t="shared" si="81"/>
        <v>123.08816000000003</v>
      </c>
      <c r="CW74" s="18">
        <v>356600000000</v>
      </c>
      <c r="CX74" s="19">
        <v>451100000000</v>
      </c>
      <c r="CY74" s="18">
        <v>360500000000</v>
      </c>
      <c r="CZ74" s="19">
        <v>456100000000</v>
      </c>
      <c r="DA74" s="18">
        <f t="shared" si="97"/>
        <v>2897110493.8119144</v>
      </c>
      <c r="DB74" s="19">
        <f t="shared" si="98"/>
        <v>3664852898.9303269</v>
      </c>
    </row>
    <row r="75" spans="2:106" x14ac:dyDescent="0.25">
      <c r="B75" s="83"/>
      <c r="C75" s="37" t="s">
        <v>15</v>
      </c>
      <c r="D75" s="37" t="s">
        <v>15</v>
      </c>
      <c r="E75" s="37" t="s">
        <v>15</v>
      </c>
      <c r="F75" s="6">
        <v>43054</v>
      </c>
      <c r="G75" s="38">
        <v>0.75902777777777775</v>
      </c>
      <c r="H75" s="7">
        <f t="shared" si="71"/>
        <v>8.2499999999999982</v>
      </c>
      <c r="I75" s="16">
        <v>25</v>
      </c>
      <c r="J75" s="9">
        <f t="shared" si="82"/>
        <v>105.39100000000001</v>
      </c>
      <c r="K75" s="21">
        <v>356100000000</v>
      </c>
      <c r="L75" s="19">
        <v>133800000000</v>
      </c>
      <c r="M75" s="21"/>
      <c r="N75" s="19"/>
      <c r="O75" s="21">
        <f>K75/J75</f>
        <v>3378846391.0580597</v>
      </c>
      <c r="P75" s="19">
        <f t="shared" si="86"/>
        <v>1269558121.6612422</v>
      </c>
      <c r="Q75" s="35"/>
      <c r="R75" s="37" t="s">
        <v>15</v>
      </c>
      <c r="S75" s="37" t="s">
        <v>15</v>
      </c>
      <c r="T75" s="37" t="s">
        <v>15</v>
      </c>
      <c r="U75" s="6">
        <v>43054</v>
      </c>
      <c r="V75" s="38">
        <v>0.76111111111111107</v>
      </c>
      <c r="W75" s="7">
        <f t="shared" si="72"/>
        <v>8.2833333333333332</v>
      </c>
      <c r="X75" s="16">
        <v>30.7</v>
      </c>
      <c r="Y75" s="9">
        <f t="shared" si="83"/>
        <v>131.196</v>
      </c>
      <c r="Z75" s="21">
        <v>689900000000</v>
      </c>
      <c r="AA75" s="19">
        <v>216000000000</v>
      </c>
      <c r="AB75" s="21"/>
      <c r="AC75" s="19"/>
      <c r="AD75" s="21">
        <f>Z75/Y75</f>
        <v>5258544467.8191404</v>
      </c>
      <c r="AE75" s="19">
        <f t="shared" si="88"/>
        <v>1646391658.2822647</v>
      </c>
      <c r="AF75" s="35"/>
      <c r="AG75" s="37" t="s">
        <v>15</v>
      </c>
      <c r="AH75" s="37" t="s">
        <v>15</v>
      </c>
      <c r="AI75" s="37" t="s">
        <v>15</v>
      </c>
      <c r="AJ75" s="6">
        <v>43054</v>
      </c>
      <c r="AK75" s="38">
        <v>0.76111111111111107</v>
      </c>
      <c r="AL75" s="7">
        <f t="shared" si="73"/>
        <v>8.2499999999999982</v>
      </c>
      <c r="AM75" s="16">
        <v>30</v>
      </c>
      <c r="AN75" s="9">
        <f t="shared" si="84"/>
        <v>169.88399999999999</v>
      </c>
      <c r="AO75" s="21">
        <v>581000000000</v>
      </c>
      <c r="AP75" s="19">
        <v>214300000000</v>
      </c>
      <c r="AQ75" s="21"/>
      <c r="AR75" s="19"/>
      <c r="AS75" s="21">
        <f>AO75/AN75</f>
        <v>3419980692.7079659</v>
      </c>
      <c r="AT75" s="19">
        <f t="shared" si="90"/>
        <v>1261448988.7217162</v>
      </c>
      <c r="AV75" s="3" t="s">
        <v>15</v>
      </c>
      <c r="AW75" s="3" t="s">
        <v>15</v>
      </c>
      <c r="AX75" s="3" t="s">
        <v>15</v>
      </c>
      <c r="AY75" s="6">
        <v>43038</v>
      </c>
      <c r="AZ75" s="4">
        <v>0.7368055555555556</v>
      </c>
      <c r="BA75" s="7">
        <f t="shared" si="74"/>
        <v>8.0666666666666664</v>
      </c>
      <c r="BB75" s="50">
        <v>32.200000000000003</v>
      </c>
      <c r="BC75" s="9">
        <f t="shared" si="75"/>
        <v>191.13900000000001</v>
      </c>
      <c r="BD75" s="18">
        <v>654200000000</v>
      </c>
      <c r="BE75" s="19">
        <v>653300000000</v>
      </c>
      <c r="BF75" s="18">
        <v>572900000000</v>
      </c>
      <c r="BG75" s="19">
        <v>573600000000</v>
      </c>
      <c r="BH75" s="18">
        <f>BD75/BC75</f>
        <v>3422640068.2226024</v>
      </c>
      <c r="BI75" s="19">
        <f t="shared" si="92"/>
        <v>3417931453.0263314</v>
      </c>
      <c r="BK75" s="3" t="s">
        <v>15</v>
      </c>
      <c r="BL75" s="3" t="s">
        <v>15</v>
      </c>
      <c r="BM75" s="3" t="s">
        <v>15</v>
      </c>
      <c r="BN75" s="6">
        <v>43038</v>
      </c>
      <c r="BO75" s="4">
        <v>0.7368055555555556</v>
      </c>
      <c r="BP75" s="7">
        <f t="shared" si="76"/>
        <v>8.0500000000000025</v>
      </c>
      <c r="BQ75" s="50">
        <v>26.3</v>
      </c>
      <c r="BR75" s="9">
        <f t="shared" si="77"/>
        <v>171.36599999999999</v>
      </c>
      <c r="BS75" s="18">
        <v>393400000000</v>
      </c>
      <c r="BT75" s="19">
        <v>485200000000</v>
      </c>
      <c r="BU75" s="18">
        <v>402600000000</v>
      </c>
      <c r="BV75" s="19">
        <v>496500000000</v>
      </c>
      <c r="BW75" s="18">
        <f>BS75/BR75</f>
        <v>2295671253.3408031</v>
      </c>
      <c r="BX75" s="19">
        <f t="shared" si="94"/>
        <v>2831366782.2088399</v>
      </c>
      <c r="BZ75" s="3" t="s">
        <v>15</v>
      </c>
      <c r="CA75" s="3" t="s">
        <v>15</v>
      </c>
      <c r="CB75" s="3" t="s">
        <v>15</v>
      </c>
      <c r="CC75" s="6">
        <v>43038</v>
      </c>
      <c r="CD75" s="4">
        <v>0.73888888888888893</v>
      </c>
      <c r="CE75" s="7">
        <f t="shared" si="78"/>
        <v>8.1666666666666679</v>
      </c>
      <c r="CF75" s="50">
        <v>25.5</v>
      </c>
      <c r="CG75" s="9">
        <f t="shared" si="79"/>
        <v>153.35424000000003</v>
      </c>
      <c r="CH75" s="18">
        <v>614900000000</v>
      </c>
      <c r="CI75" s="19">
        <v>631200000000</v>
      </c>
      <c r="CJ75" s="18">
        <v>516400000000</v>
      </c>
      <c r="CK75" s="19">
        <v>531700000000</v>
      </c>
      <c r="CL75" s="18">
        <f>CH75/CG75</f>
        <v>4009670681.4236102</v>
      </c>
      <c r="CM75" s="19">
        <f t="shared" si="96"/>
        <v>4115960536.8589735</v>
      </c>
      <c r="CO75" s="3" t="s">
        <v>15</v>
      </c>
      <c r="CP75" s="3" t="s">
        <v>15</v>
      </c>
      <c r="CQ75" s="3" t="s">
        <v>15</v>
      </c>
      <c r="CR75" s="6">
        <v>43038</v>
      </c>
      <c r="CS75" s="4">
        <v>0.73888888888888893</v>
      </c>
      <c r="CT75" s="7">
        <f t="shared" si="80"/>
        <v>8.15</v>
      </c>
      <c r="CU75" s="50">
        <v>32.1</v>
      </c>
      <c r="CV75" s="9">
        <f t="shared" si="81"/>
        <v>123.08816000000003</v>
      </c>
      <c r="CW75" s="18">
        <v>282800000000</v>
      </c>
      <c r="CX75" s="19">
        <v>374200000000</v>
      </c>
      <c r="CY75" s="18">
        <v>286100000000</v>
      </c>
      <c r="CZ75" s="19">
        <v>378600000000</v>
      </c>
      <c r="DA75" s="18">
        <f>CW75/CV75</f>
        <v>2297540234.5765824</v>
      </c>
      <c r="DB75" s="19">
        <f t="shared" si="98"/>
        <v>3040097439.1038089</v>
      </c>
    </row>
    <row r="76" spans="2:106" x14ac:dyDescent="0.25">
      <c r="B76" s="83"/>
      <c r="C76" s="37" t="s">
        <v>15</v>
      </c>
      <c r="D76" s="37" t="s">
        <v>15</v>
      </c>
      <c r="E76" s="37" t="s">
        <v>15</v>
      </c>
      <c r="F76" s="6">
        <v>43054</v>
      </c>
      <c r="G76" s="38">
        <v>0.91388888888888886</v>
      </c>
      <c r="H76" s="7">
        <f t="shared" si="71"/>
        <v>11.966666666666665</v>
      </c>
      <c r="I76" s="16">
        <v>25</v>
      </c>
      <c r="J76" s="9">
        <f t="shared" si="82"/>
        <v>105.39100000000001</v>
      </c>
      <c r="K76" s="21">
        <v>337400000000</v>
      </c>
      <c r="L76" s="19">
        <v>134100000000</v>
      </c>
      <c r="M76" s="21"/>
      <c r="N76" s="19"/>
      <c r="O76" s="21">
        <f t="shared" ref="O76:O90" si="99">K76/J76</f>
        <v>3201411885.2653451</v>
      </c>
      <c r="P76" s="19">
        <f t="shared" si="86"/>
        <v>1272404664.5349224</v>
      </c>
      <c r="Q76" s="35"/>
      <c r="R76" s="37" t="s">
        <v>15</v>
      </c>
      <c r="S76" s="37" t="s">
        <v>15</v>
      </c>
      <c r="T76" s="37" t="s">
        <v>15</v>
      </c>
      <c r="U76" s="6">
        <v>43054</v>
      </c>
      <c r="V76" s="38">
        <v>0.91666666666666663</v>
      </c>
      <c r="W76" s="7">
        <f t="shared" si="72"/>
        <v>12.016666666666666</v>
      </c>
      <c r="X76" s="16">
        <v>30.7</v>
      </c>
      <c r="Y76" s="9">
        <f t="shared" si="83"/>
        <v>131.196</v>
      </c>
      <c r="Z76" s="21">
        <v>725900000000</v>
      </c>
      <c r="AA76" s="19">
        <v>237200000000</v>
      </c>
      <c r="AB76" s="21"/>
      <c r="AC76" s="19"/>
      <c r="AD76" s="21">
        <f t="shared" ref="AD76:AD91" si="100">Z76/Y76</f>
        <v>5532943077.5328522</v>
      </c>
      <c r="AE76" s="19">
        <f t="shared" si="88"/>
        <v>1807981950.6692278</v>
      </c>
      <c r="AF76" s="35"/>
      <c r="AG76" s="37" t="s">
        <v>15</v>
      </c>
      <c r="AH76" s="37" t="s">
        <v>15</v>
      </c>
      <c r="AI76" s="37" t="s">
        <v>15</v>
      </c>
      <c r="AJ76" s="6">
        <v>43054</v>
      </c>
      <c r="AK76" s="38">
        <v>0.91666666666666663</v>
      </c>
      <c r="AL76" s="7">
        <f t="shared" si="73"/>
        <v>11.983333333333333</v>
      </c>
      <c r="AM76" s="16">
        <v>30</v>
      </c>
      <c r="AN76" s="9">
        <f t="shared" si="84"/>
        <v>169.88399999999999</v>
      </c>
      <c r="AO76" s="21">
        <v>615400000000</v>
      </c>
      <c r="AP76" s="19">
        <v>234700000000</v>
      </c>
      <c r="AQ76" s="21"/>
      <c r="AR76" s="19"/>
      <c r="AS76" s="21">
        <f t="shared" ref="AS76:AS91" si="101">AO76/AN76</f>
        <v>3622471804.2899866</v>
      </c>
      <c r="AT76" s="19">
        <f t="shared" si="90"/>
        <v>1381530926.9854724</v>
      </c>
      <c r="AV76" s="3" t="s">
        <v>15</v>
      </c>
      <c r="AW76" s="3" t="s">
        <v>15</v>
      </c>
      <c r="AX76" s="3" t="s">
        <v>15</v>
      </c>
      <c r="AY76" s="6">
        <v>43038</v>
      </c>
      <c r="AZ76" s="4">
        <v>0.90833333333333333</v>
      </c>
      <c r="BA76" s="7">
        <f t="shared" si="74"/>
        <v>12.183333333333334</v>
      </c>
      <c r="BB76" s="50">
        <v>32.200000000000003</v>
      </c>
      <c r="BC76" s="9">
        <f t="shared" si="75"/>
        <v>191.13900000000001</v>
      </c>
      <c r="BD76" s="18">
        <v>577400000000</v>
      </c>
      <c r="BE76" s="19">
        <v>695600000000</v>
      </c>
      <c r="BF76" s="18">
        <v>529800000000</v>
      </c>
      <c r="BG76" s="19">
        <v>939700000000</v>
      </c>
      <c r="BH76" s="18">
        <f t="shared" ref="BH76:BH91" si="102">BD76/BC76</f>
        <v>3020838238.1408291</v>
      </c>
      <c r="BI76" s="19">
        <f t="shared" si="92"/>
        <v>3639236367.2510581</v>
      </c>
      <c r="BK76" s="3" t="s">
        <v>15</v>
      </c>
      <c r="BL76" s="3" t="s">
        <v>15</v>
      </c>
      <c r="BM76" s="3" t="s">
        <v>15</v>
      </c>
      <c r="BN76" s="6">
        <v>43038</v>
      </c>
      <c r="BO76" s="4">
        <v>0.90833333333333333</v>
      </c>
      <c r="BP76" s="7">
        <f t="shared" si="76"/>
        <v>12.166666666666666</v>
      </c>
      <c r="BQ76" s="50">
        <v>26.3</v>
      </c>
      <c r="BR76" s="9">
        <f t="shared" si="77"/>
        <v>171.36599999999999</v>
      </c>
      <c r="BS76" s="18">
        <v>375800000000</v>
      </c>
      <c r="BT76" s="19">
        <v>454800000000</v>
      </c>
      <c r="BU76" s="18">
        <v>378900000000</v>
      </c>
      <c r="BV76" s="19">
        <v>458500000000</v>
      </c>
      <c r="BW76" s="18">
        <f t="shared" ref="BW76:BW91" si="103">BS76/BR76</f>
        <v>2192967099.658042</v>
      </c>
      <c r="BX76" s="19">
        <f t="shared" si="94"/>
        <v>2653968698.5749803</v>
      </c>
      <c r="BZ76" s="3" t="s">
        <v>15</v>
      </c>
      <c r="CA76" s="3" t="s">
        <v>15</v>
      </c>
      <c r="CB76" s="3" t="s">
        <v>15</v>
      </c>
      <c r="CC76" s="6">
        <v>43038</v>
      </c>
      <c r="CD76" s="4">
        <v>0.91041666666666676</v>
      </c>
      <c r="CE76" s="7">
        <f t="shared" si="78"/>
        <v>12.283333333333335</v>
      </c>
      <c r="CF76" s="50">
        <v>25.5</v>
      </c>
      <c r="CG76" s="9">
        <f t="shared" si="79"/>
        <v>153.35424000000003</v>
      </c>
      <c r="CH76" s="18">
        <v>718200000000</v>
      </c>
      <c r="CI76" s="19">
        <v>775200000000</v>
      </c>
      <c r="CJ76" s="18">
        <v>629800000000</v>
      </c>
      <c r="CK76" s="19">
        <v>682300000000</v>
      </c>
      <c r="CL76" s="18">
        <f t="shared" ref="CL76:CL91" si="104">CH76/CG76</f>
        <v>4683274489.1826916</v>
      </c>
      <c r="CM76" s="19">
        <f t="shared" si="96"/>
        <v>5054962940.7051268</v>
      </c>
      <c r="CO76" s="3" t="s">
        <v>15</v>
      </c>
      <c r="CP76" s="3" t="s">
        <v>15</v>
      </c>
      <c r="CQ76" s="3" t="s">
        <v>15</v>
      </c>
      <c r="CR76" s="6">
        <v>43038</v>
      </c>
      <c r="CS76" s="4">
        <v>0.91041666666666676</v>
      </c>
      <c r="CT76" s="7">
        <f t="shared" si="80"/>
        <v>12.266666666666669</v>
      </c>
      <c r="CU76" s="50">
        <v>32.1</v>
      </c>
      <c r="CV76" s="9">
        <f t="shared" si="81"/>
        <v>123.08816000000003</v>
      </c>
      <c r="CW76" s="18">
        <v>328500000000</v>
      </c>
      <c r="CX76" s="19">
        <v>400500000000</v>
      </c>
      <c r="CY76" s="18">
        <v>331400000000</v>
      </c>
      <c r="CZ76" s="19">
        <v>404100000000</v>
      </c>
      <c r="DA76" s="18">
        <f t="shared" ref="DA76:DA91" si="105">CW76/CV76</f>
        <v>2668818836.8401957</v>
      </c>
      <c r="DB76" s="19">
        <f t="shared" si="98"/>
        <v>3253765431.2161293</v>
      </c>
    </row>
    <row r="77" spans="2:106" x14ac:dyDescent="0.25">
      <c r="B77" s="83"/>
      <c r="C77" s="37" t="s">
        <v>15</v>
      </c>
      <c r="D77" s="37" t="s">
        <v>15</v>
      </c>
      <c r="E77" s="37" t="s">
        <v>15</v>
      </c>
      <c r="F77" s="6">
        <v>43055</v>
      </c>
      <c r="G77" s="38">
        <v>0.41875000000000001</v>
      </c>
      <c r="H77" s="7">
        <f t="shared" si="71"/>
        <v>24.083333333333332</v>
      </c>
      <c r="I77" s="16">
        <v>24.6</v>
      </c>
      <c r="J77" s="9">
        <f>7.9*5.9*5.9*0.52</f>
        <v>142.99948000000003</v>
      </c>
      <c r="K77" s="21">
        <v>288200000000</v>
      </c>
      <c r="L77" s="19">
        <v>112400000000</v>
      </c>
      <c r="M77" s="21"/>
      <c r="N77" s="19"/>
      <c r="O77" s="21">
        <f t="shared" si="99"/>
        <v>2015391944.0825934</v>
      </c>
      <c r="P77" s="19">
        <f t="shared" si="86"/>
        <v>786016844.25705588</v>
      </c>
      <c r="Q77" s="35"/>
      <c r="R77" s="37" t="s">
        <v>15</v>
      </c>
      <c r="S77" s="37" t="s">
        <v>15</v>
      </c>
      <c r="T77" s="37" t="s">
        <v>15</v>
      </c>
      <c r="U77" s="6">
        <v>43055</v>
      </c>
      <c r="V77" s="38">
        <v>0.42083333333333334</v>
      </c>
      <c r="W77" s="7">
        <f t="shared" si="72"/>
        <v>24.116666666666667</v>
      </c>
      <c r="X77" s="16">
        <v>30.3</v>
      </c>
      <c r="Y77" s="9">
        <f>7.7*5.9*5.9*0.52</f>
        <v>139.37924000000001</v>
      </c>
      <c r="Z77" s="21">
        <v>666500000000</v>
      </c>
      <c r="AA77" s="19">
        <v>204400000000</v>
      </c>
      <c r="AB77" s="21"/>
      <c r="AC77" s="19"/>
      <c r="AD77" s="21">
        <f t="shared" si="100"/>
        <v>4781917307.0537615</v>
      </c>
      <c r="AE77" s="19">
        <f t="shared" si="88"/>
        <v>1466502471.9606736</v>
      </c>
      <c r="AF77" s="35"/>
      <c r="AG77" s="37" t="s">
        <v>15</v>
      </c>
      <c r="AH77" s="37" t="s">
        <v>15</v>
      </c>
      <c r="AI77" s="37" t="s">
        <v>15</v>
      </c>
      <c r="AJ77" s="6">
        <v>43055</v>
      </c>
      <c r="AK77" s="38">
        <v>0.42083333333333334</v>
      </c>
      <c r="AL77" s="7">
        <f t="shared" si="73"/>
        <v>24.083333333333332</v>
      </c>
      <c r="AM77" s="16">
        <v>29.9</v>
      </c>
      <c r="AN77" s="9">
        <f>10.6*7.5*7.5*0.52</f>
        <v>310.05</v>
      </c>
      <c r="AO77" s="21">
        <v>474300000000</v>
      </c>
      <c r="AP77" s="19">
        <v>194300000000</v>
      </c>
      <c r="AQ77" s="21"/>
      <c r="AR77" s="19"/>
      <c r="AS77" s="21">
        <f t="shared" si="101"/>
        <v>1529753265.6023221</v>
      </c>
      <c r="AT77" s="19">
        <f t="shared" si="90"/>
        <v>626673117.23915493</v>
      </c>
      <c r="AV77" s="3" t="s">
        <v>15</v>
      </c>
      <c r="AW77" s="3" t="s">
        <v>15</v>
      </c>
      <c r="AX77" s="3" t="s">
        <v>15</v>
      </c>
      <c r="AY77" s="6">
        <v>43039</v>
      </c>
      <c r="AZ77" s="4">
        <v>0.42638888888888887</v>
      </c>
      <c r="BA77" s="7">
        <f t="shared" si="74"/>
        <v>24.616666666666667</v>
      </c>
      <c r="BB77" s="50">
        <v>30.6</v>
      </c>
      <c r="BC77" s="9">
        <f>9.6*7.8*7.8*0.52</f>
        <v>303.71328</v>
      </c>
      <c r="BD77" s="18">
        <v>561900000000</v>
      </c>
      <c r="BE77" s="19">
        <v>626500000000</v>
      </c>
      <c r="BF77" s="18">
        <v>530900000000</v>
      </c>
      <c r="BG77" s="19">
        <v>592900000000</v>
      </c>
      <c r="BH77" s="18">
        <f t="shared" si="102"/>
        <v>1850100199.7673595</v>
      </c>
      <c r="BI77" s="19">
        <f t="shared" si="92"/>
        <v>2062800810.0271413</v>
      </c>
      <c r="BK77" s="3" t="s">
        <v>15</v>
      </c>
      <c r="BL77" s="3" t="s">
        <v>15</v>
      </c>
      <c r="BM77" s="3" t="s">
        <v>15</v>
      </c>
      <c r="BN77" s="6">
        <v>43039</v>
      </c>
      <c r="BO77" s="4">
        <v>0.42638888888888887</v>
      </c>
      <c r="BP77" s="7">
        <f t="shared" si="76"/>
        <v>24.6</v>
      </c>
      <c r="BQ77" s="50">
        <v>23.9</v>
      </c>
      <c r="BR77" s="9">
        <f>7.9*7*7*0.52</f>
        <v>201.29200000000003</v>
      </c>
      <c r="BS77" s="18">
        <v>474300000000</v>
      </c>
      <c r="BT77" s="19">
        <v>533900000000</v>
      </c>
      <c r="BU77" s="18">
        <v>481000000000</v>
      </c>
      <c r="BV77" s="19">
        <v>541400000000</v>
      </c>
      <c r="BW77" s="18">
        <f t="shared" si="103"/>
        <v>2356278441.2693992</v>
      </c>
      <c r="BX77" s="19">
        <f t="shared" si="94"/>
        <v>2652365717.4651747</v>
      </c>
      <c r="BZ77" s="3" t="s">
        <v>15</v>
      </c>
      <c r="CA77" s="3" t="s">
        <v>15</v>
      </c>
      <c r="CB77" s="3" t="s">
        <v>15</v>
      </c>
      <c r="CC77" s="6">
        <v>43039</v>
      </c>
      <c r="CD77" s="4">
        <v>0.4284722222222222</v>
      </c>
      <c r="CE77" s="7">
        <f t="shared" si="78"/>
        <v>24.716666666666669</v>
      </c>
      <c r="CF77" s="50">
        <v>25</v>
      </c>
      <c r="CG77" s="9">
        <f>9*6.4*6.4*0.52</f>
        <v>191.69280000000003</v>
      </c>
      <c r="CH77" s="18">
        <v>564300000000</v>
      </c>
      <c r="CI77" s="19">
        <v>575900000000</v>
      </c>
      <c r="CJ77" s="18">
        <v>514100000000</v>
      </c>
      <c r="CK77" s="19">
        <v>525400000000</v>
      </c>
      <c r="CL77" s="18">
        <f t="shared" si="104"/>
        <v>2943772536.0576916</v>
      </c>
      <c r="CM77" s="19">
        <f t="shared" si="96"/>
        <v>3004286024.3055549</v>
      </c>
      <c r="CO77" s="3" t="s">
        <v>15</v>
      </c>
      <c r="CP77" s="3" t="s">
        <v>15</v>
      </c>
      <c r="CQ77" s="3" t="s">
        <v>15</v>
      </c>
      <c r="CR77" s="6">
        <v>43039</v>
      </c>
      <c r="CS77" s="4">
        <v>0.4284722222222222</v>
      </c>
      <c r="CT77" s="7">
        <f t="shared" si="80"/>
        <v>24.7</v>
      </c>
      <c r="CU77" s="50">
        <v>31.1</v>
      </c>
      <c r="CV77" s="9">
        <f>7.8*6.5*6.5*0.52</f>
        <v>171.36599999999999</v>
      </c>
      <c r="CW77" s="18">
        <v>330800000000</v>
      </c>
      <c r="CX77" s="19">
        <v>427500000000</v>
      </c>
      <c r="CY77" s="18">
        <v>335000000000</v>
      </c>
      <c r="CZ77" s="19">
        <v>432800000000</v>
      </c>
      <c r="DA77" s="18">
        <f t="shared" si="105"/>
        <v>1930371252.1737103</v>
      </c>
      <c r="DB77" s="19">
        <f t="shared" si="98"/>
        <v>2494660551.1011519</v>
      </c>
    </row>
    <row r="78" spans="2:106" x14ac:dyDescent="0.25">
      <c r="B78" s="83"/>
      <c r="C78" s="37" t="s">
        <v>15</v>
      </c>
      <c r="D78" s="37" t="s">
        <v>15</v>
      </c>
      <c r="E78" s="37" t="s">
        <v>15</v>
      </c>
      <c r="F78" s="6">
        <v>43056</v>
      </c>
      <c r="G78" s="38">
        <v>0.40625</v>
      </c>
      <c r="H78" s="7">
        <f t="shared" si="71"/>
        <v>47.783333333333331</v>
      </c>
      <c r="I78" s="16">
        <v>24.5</v>
      </c>
      <c r="J78" s="9">
        <f>7.9*7*7*0.52</f>
        <v>201.29200000000003</v>
      </c>
      <c r="K78" s="21">
        <v>302900000000</v>
      </c>
      <c r="L78" s="19">
        <v>105300000000</v>
      </c>
      <c r="M78" s="21"/>
      <c r="N78" s="19"/>
      <c r="O78" s="21">
        <f t="shared" si="99"/>
        <v>1504779126.8406096</v>
      </c>
      <c r="P78" s="19">
        <f t="shared" si="86"/>
        <v>523120640.66132772</v>
      </c>
      <c r="Q78" s="35"/>
      <c r="R78" s="37" t="s">
        <v>15</v>
      </c>
      <c r="S78" s="37" t="s">
        <v>15</v>
      </c>
      <c r="T78" s="37" t="s">
        <v>15</v>
      </c>
      <c r="U78" s="6">
        <v>43056</v>
      </c>
      <c r="V78" s="38">
        <v>0.40833333333333338</v>
      </c>
      <c r="W78" s="7">
        <f t="shared" si="72"/>
        <v>47.81666666666667</v>
      </c>
      <c r="X78" s="16">
        <v>30.4</v>
      </c>
      <c r="Y78" s="9">
        <f>8.8*6.6*6.6*0.52</f>
        <v>199.33055999999999</v>
      </c>
      <c r="Z78" s="21">
        <v>595200000000</v>
      </c>
      <c r="AA78" s="19">
        <v>154700000000</v>
      </c>
      <c r="AB78" s="21"/>
      <c r="AC78" s="19"/>
      <c r="AD78" s="21">
        <f t="shared" si="100"/>
        <v>2985994721.5319118</v>
      </c>
      <c r="AE78" s="19">
        <f t="shared" si="88"/>
        <v>776097754.40353954</v>
      </c>
      <c r="AF78" s="35"/>
      <c r="AG78" s="37" t="s">
        <v>15</v>
      </c>
      <c r="AH78" s="37" t="s">
        <v>15</v>
      </c>
      <c r="AI78" s="37" t="s">
        <v>15</v>
      </c>
      <c r="AJ78" s="6">
        <v>43056</v>
      </c>
      <c r="AK78" s="38">
        <v>0.40833333333333338</v>
      </c>
      <c r="AL78" s="7">
        <f t="shared" si="73"/>
        <v>47.783333333333331</v>
      </c>
      <c r="AM78" s="16">
        <v>30.2</v>
      </c>
      <c r="AN78" s="9">
        <f>12.8*8.8*8.8*0.52</f>
        <v>515.44064000000014</v>
      </c>
      <c r="AO78" s="21">
        <v>498100000000</v>
      </c>
      <c r="AP78" s="19">
        <v>183400000000</v>
      </c>
      <c r="AQ78" s="21"/>
      <c r="AR78" s="19"/>
      <c r="AS78" s="21">
        <f t="shared" si="101"/>
        <v>966357639.16481221</v>
      </c>
      <c r="AT78" s="19">
        <f t="shared" si="90"/>
        <v>355812067.90368712</v>
      </c>
      <c r="AV78" s="3" t="s">
        <v>15</v>
      </c>
      <c r="AW78" s="3" t="s">
        <v>15</v>
      </c>
      <c r="AX78" s="3" t="s">
        <v>15</v>
      </c>
      <c r="AY78" s="6">
        <v>43040</v>
      </c>
      <c r="AZ78" s="4">
        <v>0.47638888888888892</v>
      </c>
      <c r="BA78" s="7">
        <f t="shared" si="74"/>
        <v>49.81666666666667</v>
      </c>
      <c r="BB78" s="50">
        <v>30.9</v>
      </c>
      <c r="BC78" s="9">
        <f>10.8*8*8*0.52</f>
        <v>359.42400000000004</v>
      </c>
      <c r="BD78" s="18">
        <v>504400000000</v>
      </c>
      <c r="BE78" s="19">
        <v>555800000000</v>
      </c>
      <c r="BF78" s="18">
        <v>470000000000</v>
      </c>
      <c r="BG78" s="19">
        <v>518300000000</v>
      </c>
      <c r="BH78" s="18">
        <f t="shared" si="102"/>
        <v>1403356481.4814813</v>
      </c>
      <c r="BI78" s="19">
        <f t="shared" si="92"/>
        <v>1546363069.8005695</v>
      </c>
      <c r="BK78" s="3" t="s">
        <v>15</v>
      </c>
      <c r="BL78" s="3" t="s">
        <v>15</v>
      </c>
      <c r="BM78" s="3" t="s">
        <v>15</v>
      </c>
      <c r="BN78" s="6">
        <v>43040</v>
      </c>
      <c r="BO78" s="4">
        <v>0.47638888888888892</v>
      </c>
      <c r="BP78" s="7">
        <f t="shared" si="76"/>
        <v>49.800000000000004</v>
      </c>
      <c r="BQ78" s="50">
        <v>24.4</v>
      </c>
      <c r="BR78" s="9">
        <f>10.7*8.8*8.8*0.52</f>
        <v>430.87616000000003</v>
      </c>
      <c r="BS78" s="18">
        <v>433900000000</v>
      </c>
      <c r="BT78" s="19">
        <v>520400000000</v>
      </c>
      <c r="BU78" s="18">
        <v>434700000000</v>
      </c>
      <c r="BV78" s="19">
        <v>521400000000</v>
      </c>
      <c r="BW78" s="18">
        <f t="shared" si="103"/>
        <v>1007017886.5314803</v>
      </c>
      <c r="BX78" s="19">
        <f t="shared" si="94"/>
        <v>1207771625.1463065</v>
      </c>
      <c r="BZ78" s="3" t="s">
        <v>15</v>
      </c>
      <c r="CA78" s="3" t="s">
        <v>15</v>
      </c>
      <c r="CB78" s="3" t="s">
        <v>15</v>
      </c>
      <c r="CC78" s="6">
        <v>43040</v>
      </c>
      <c r="CD78" s="4">
        <v>0.47847222222222219</v>
      </c>
      <c r="CE78" s="7">
        <f t="shared" si="78"/>
        <v>49.916666666666664</v>
      </c>
      <c r="CF78" s="50">
        <v>24.1</v>
      </c>
      <c r="CG78" s="9">
        <f>9.8*6.8*6.8*0.52</f>
        <v>235.63903999999999</v>
      </c>
      <c r="CH78" s="18">
        <v>457700000000</v>
      </c>
      <c r="CI78" s="19">
        <v>536200000000</v>
      </c>
      <c r="CJ78" s="18">
        <v>464800000000</v>
      </c>
      <c r="CK78" s="19">
        <v>544500000000</v>
      </c>
      <c r="CL78" s="18">
        <f t="shared" si="104"/>
        <v>1942377629.7849457</v>
      </c>
      <c r="CM78" s="19">
        <f t="shared" si="96"/>
        <v>2275514278.1094337</v>
      </c>
      <c r="CO78" s="3" t="s">
        <v>15</v>
      </c>
      <c r="CP78" s="3" t="s">
        <v>15</v>
      </c>
      <c r="CQ78" s="3" t="s">
        <v>15</v>
      </c>
      <c r="CR78" s="6">
        <v>43040</v>
      </c>
      <c r="CS78" s="4">
        <v>0.47847222222222219</v>
      </c>
      <c r="CT78" s="7">
        <f t="shared" si="80"/>
        <v>49.9</v>
      </c>
      <c r="CU78" s="50">
        <v>30</v>
      </c>
      <c r="CV78" s="9">
        <f>11.7*8.2*8.2*0.52</f>
        <v>409.0881599999999</v>
      </c>
      <c r="CW78" s="18">
        <v>285800000000</v>
      </c>
      <c r="CX78" s="19">
        <v>366400000000</v>
      </c>
      <c r="CY78" s="18">
        <v>289800000000</v>
      </c>
      <c r="CZ78" s="19">
        <v>371600000000</v>
      </c>
      <c r="DA78" s="18">
        <f t="shared" si="105"/>
        <v>698626916.99510455</v>
      </c>
      <c r="DB78" s="19">
        <f t="shared" si="98"/>
        <v>895650463.21555746</v>
      </c>
    </row>
    <row r="79" spans="2:106" x14ac:dyDescent="0.25">
      <c r="B79" s="83"/>
      <c r="C79" s="37" t="s">
        <v>15</v>
      </c>
      <c r="D79" s="37" t="s">
        <v>15</v>
      </c>
      <c r="E79" s="37" t="s">
        <v>15</v>
      </c>
      <c r="F79" s="6">
        <v>43057</v>
      </c>
      <c r="G79" s="38">
        <v>0.51666666666666672</v>
      </c>
      <c r="H79" s="7">
        <f t="shared" si="71"/>
        <v>74.433333333333337</v>
      </c>
      <c r="I79" s="16">
        <v>25.3</v>
      </c>
      <c r="J79" s="9">
        <f>8.6*7.2*7.2*0.52</f>
        <v>231.82848000000001</v>
      </c>
      <c r="K79" s="21">
        <v>339100000000</v>
      </c>
      <c r="L79" s="19">
        <v>109100000000</v>
      </c>
      <c r="M79" s="21"/>
      <c r="N79" s="19"/>
      <c r="O79" s="21">
        <f t="shared" si="99"/>
        <v>1462719334.5701096</v>
      </c>
      <c r="P79" s="19">
        <f t="shared" si="86"/>
        <v>470606544.97670001</v>
      </c>
      <c r="Q79" s="35"/>
      <c r="R79" s="37" t="s">
        <v>15</v>
      </c>
      <c r="S79" s="37" t="s">
        <v>15</v>
      </c>
      <c r="T79" s="37" t="s">
        <v>15</v>
      </c>
      <c r="U79" s="6">
        <v>43057</v>
      </c>
      <c r="V79" s="38">
        <v>0.51874999999999993</v>
      </c>
      <c r="W79" s="7">
        <f t="shared" si="72"/>
        <v>74.466666666666669</v>
      </c>
      <c r="X79" s="16">
        <v>30</v>
      </c>
      <c r="Y79" s="9">
        <f>10.1*7.3*7.3*0.52</f>
        <v>279.87907999999999</v>
      </c>
      <c r="Z79" s="21">
        <v>597600000000</v>
      </c>
      <c r="AA79" s="19">
        <v>183600000000</v>
      </c>
      <c r="AB79" s="21"/>
      <c r="AC79" s="19"/>
      <c r="AD79" s="21">
        <f t="shared" si="100"/>
        <v>2135207819.0338485</v>
      </c>
      <c r="AE79" s="19">
        <f t="shared" si="88"/>
        <v>655997582.95618236</v>
      </c>
      <c r="AF79" s="35"/>
      <c r="AG79" s="37" t="s">
        <v>15</v>
      </c>
      <c r="AH79" s="37" t="s">
        <v>15</v>
      </c>
      <c r="AI79" s="37" t="s">
        <v>15</v>
      </c>
      <c r="AJ79" s="6">
        <v>43057</v>
      </c>
      <c r="AK79" s="38">
        <v>0.51874999999999993</v>
      </c>
      <c r="AL79" s="7">
        <f t="shared" si="73"/>
        <v>74.433333333333337</v>
      </c>
      <c r="AM79" s="16">
        <v>29.4</v>
      </c>
      <c r="AN79" s="9">
        <f>13.9*9.6*9.6*0.52</f>
        <v>666.13247999999999</v>
      </c>
      <c r="AO79" s="21">
        <v>538600000000</v>
      </c>
      <c r="AP79" s="19">
        <v>181900000000</v>
      </c>
      <c r="AQ79" s="21"/>
      <c r="AR79" s="19"/>
      <c r="AS79" s="21">
        <f t="shared" si="101"/>
        <v>808547873.23986971</v>
      </c>
      <c r="AT79" s="19">
        <f t="shared" si="90"/>
        <v>273068804.57172722</v>
      </c>
      <c r="AV79" s="3" t="s">
        <v>15</v>
      </c>
      <c r="AW79" s="3" t="s">
        <v>15</v>
      </c>
      <c r="AX79" s="3" t="s">
        <v>15</v>
      </c>
      <c r="AY79" s="6">
        <v>43041</v>
      </c>
      <c r="AZ79" s="4">
        <v>0.53888888888888886</v>
      </c>
      <c r="BA79" s="7">
        <f t="shared" si="74"/>
        <v>75.316666666666663</v>
      </c>
      <c r="BB79" s="50">
        <v>31.1</v>
      </c>
      <c r="BC79" s="9">
        <f>11.9*8*8*0.52</f>
        <v>396.03200000000004</v>
      </c>
      <c r="BD79" s="18">
        <v>502200000000</v>
      </c>
      <c r="BE79" s="19">
        <v>537500000000</v>
      </c>
      <c r="BF79" s="18">
        <v>477900000000</v>
      </c>
      <c r="BG79" s="19">
        <v>511000000000</v>
      </c>
      <c r="BH79" s="18">
        <f t="shared" si="102"/>
        <v>1268079347.1234646</v>
      </c>
      <c r="BI79" s="19">
        <f t="shared" si="92"/>
        <v>1357213558.5003231</v>
      </c>
      <c r="BK79" s="3" t="s">
        <v>15</v>
      </c>
      <c r="BL79" s="3" t="s">
        <v>15</v>
      </c>
      <c r="BM79" s="3" t="s">
        <v>15</v>
      </c>
      <c r="BN79" s="6">
        <v>43041</v>
      </c>
      <c r="BO79" s="4">
        <v>0.53888888888888886</v>
      </c>
      <c r="BP79" s="7">
        <f t="shared" si="76"/>
        <v>75.3</v>
      </c>
      <c r="BQ79" s="50">
        <f>24.5</f>
        <v>24.5</v>
      </c>
      <c r="BR79" s="9">
        <f>11.2*8.2*8.2*0.52</f>
        <v>391.60575999999992</v>
      </c>
      <c r="BS79" s="18">
        <v>457400000000</v>
      </c>
      <c r="BT79" s="19">
        <v>545600000000</v>
      </c>
      <c r="BU79" s="18">
        <v>465800000000</v>
      </c>
      <c r="BV79" s="19">
        <v>555700000000</v>
      </c>
      <c r="BW79" s="18">
        <f t="shared" si="103"/>
        <v>1168011420.4653172</v>
      </c>
      <c r="BX79" s="19">
        <f t="shared" si="94"/>
        <v>1393237933.987488</v>
      </c>
      <c r="BZ79" s="3" t="s">
        <v>15</v>
      </c>
      <c r="CA79" s="3" t="s">
        <v>15</v>
      </c>
      <c r="CB79" s="3" t="s">
        <v>15</v>
      </c>
      <c r="CC79" s="6">
        <v>43041</v>
      </c>
      <c r="CD79" s="4">
        <v>0.54027777777777775</v>
      </c>
      <c r="CE79" s="7">
        <f t="shared" si="78"/>
        <v>75.400000000000006</v>
      </c>
      <c r="CF79" s="50">
        <v>25.5</v>
      </c>
      <c r="CG79" s="9">
        <f>12.2*7.2*7.2*0.52</f>
        <v>328.87296000000003</v>
      </c>
      <c r="CH79" s="18">
        <v>603600000000</v>
      </c>
      <c r="CI79" s="19">
        <v>646700000000</v>
      </c>
      <c r="CJ79" s="18">
        <v>601300000000</v>
      </c>
      <c r="CK79" s="19">
        <v>644300000000</v>
      </c>
      <c r="CL79" s="18">
        <f t="shared" si="104"/>
        <v>1835359161.178833</v>
      </c>
      <c r="CM79" s="19">
        <f t="shared" si="96"/>
        <v>1966412805.7229147</v>
      </c>
      <c r="CO79" s="3" t="s">
        <v>15</v>
      </c>
      <c r="CP79" s="3" t="s">
        <v>15</v>
      </c>
      <c r="CQ79" s="3" t="s">
        <v>15</v>
      </c>
      <c r="CR79" s="6">
        <v>43041</v>
      </c>
      <c r="CS79" s="4">
        <v>0.54027777777777775</v>
      </c>
      <c r="CT79" s="7">
        <f t="shared" si="80"/>
        <v>75.383333333333326</v>
      </c>
      <c r="CU79" s="50">
        <v>31.2</v>
      </c>
      <c r="CV79" s="9">
        <f>13*8*8*0.52</f>
        <v>432.64</v>
      </c>
      <c r="CW79" s="18">
        <v>348100000000</v>
      </c>
      <c r="CX79" s="19">
        <v>433000000000</v>
      </c>
      <c r="CY79" s="18">
        <v>352700000000</v>
      </c>
      <c r="CZ79" s="19">
        <v>438800000000</v>
      </c>
      <c r="DA79" s="18">
        <f t="shared" si="105"/>
        <v>804595044.37869823</v>
      </c>
      <c r="DB79" s="19">
        <f t="shared" si="98"/>
        <v>1000832100.5917161</v>
      </c>
    </row>
    <row r="80" spans="2:106" x14ac:dyDescent="0.25">
      <c r="B80" s="83"/>
      <c r="C80" s="37" t="s">
        <v>15</v>
      </c>
      <c r="D80" s="37" t="s">
        <v>15</v>
      </c>
      <c r="E80" s="37" t="s">
        <v>15</v>
      </c>
      <c r="F80" s="6">
        <v>43058</v>
      </c>
      <c r="G80" s="38">
        <v>0.42638888888888887</v>
      </c>
      <c r="H80" s="7">
        <f t="shared" si="71"/>
        <v>96.266666666666666</v>
      </c>
      <c r="I80" s="16">
        <v>25.2</v>
      </c>
      <c r="J80" s="9">
        <f>9*6.5*6.5*0.52</f>
        <v>197.73000000000002</v>
      </c>
      <c r="K80" s="21">
        <v>197300000000</v>
      </c>
      <c r="L80" s="19">
        <v>73950000000</v>
      </c>
      <c r="M80" s="21"/>
      <c r="N80" s="19"/>
      <c r="O80" s="21">
        <f t="shared" si="99"/>
        <v>997825317.35194445</v>
      </c>
      <c r="P80" s="19">
        <f t="shared" si="86"/>
        <v>373994841.4504627</v>
      </c>
      <c r="Q80" s="35"/>
      <c r="R80" s="37" t="s">
        <v>15</v>
      </c>
      <c r="S80" s="37" t="s">
        <v>15</v>
      </c>
      <c r="T80" s="37" t="s">
        <v>15</v>
      </c>
      <c r="U80" s="6">
        <v>43058</v>
      </c>
      <c r="V80" s="38">
        <v>0.4291666666666667</v>
      </c>
      <c r="W80" s="7">
        <f t="shared" si="72"/>
        <v>96.316666666666663</v>
      </c>
      <c r="X80" s="16">
        <v>30</v>
      </c>
      <c r="Y80" s="9">
        <f>8.1*7.2*7.2*0.52</f>
        <v>218.35008000000002</v>
      </c>
      <c r="Z80" s="21">
        <v>552800000000</v>
      </c>
      <c r="AA80" s="19">
        <v>166100000000</v>
      </c>
      <c r="AB80" s="21"/>
      <c r="AC80" s="19"/>
      <c r="AD80" s="21">
        <f t="shared" si="100"/>
        <v>2531714208.668941</v>
      </c>
      <c r="AE80" s="19">
        <f t="shared" si="88"/>
        <v>760705010.96221256</v>
      </c>
      <c r="AF80" s="35"/>
      <c r="AG80" s="37" t="s">
        <v>15</v>
      </c>
      <c r="AH80" s="37" t="s">
        <v>15</v>
      </c>
      <c r="AI80" s="37" t="s">
        <v>15</v>
      </c>
      <c r="AJ80" s="6">
        <v>43058</v>
      </c>
      <c r="AK80" s="38">
        <v>0.4291666666666667</v>
      </c>
      <c r="AL80" s="7">
        <f t="shared" si="73"/>
        <v>96.283333333333331</v>
      </c>
      <c r="AM80" s="16">
        <v>29.7</v>
      </c>
      <c r="AN80" s="9">
        <f>11.9*10.1*10.1*0.52</f>
        <v>631.2378799999999</v>
      </c>
      <c r="AO80" s="21">
        <v>406900000000</v>
      </c>
      <c r="AP80" s="19">
        <v>146900000000</v>
      </c>
      <c r="AQ80" s="21"/>
      <c r="AR80" s="19"/>
      <c r="AS80" s="21">
        <f t="shared" si="101"/>
        <v>644606435.849509</v>
      </c>
      <c r="AT80" s="19">
        <f t="shared" si="90"/>
        <v>232717339.46004638</v>
      </c>
      <c r="AV80" s="3" t="s">
        <v>15</v>
      </c>
      <c r="AW80" s="3" t="s">
        <v>15</v>
      </c>
      <c r="AX80" s="3" t="s">
        <v>15</v>
      </c>
      <c r="AY80" s="6">
        <v>43042</v>
      </c>
      <c r="AZ80" s="4">
        <v>0.50972222222222219</v>
      </c>
      <c r="BA80" s="7">
        <f t="shared" si="74"/>
        <v>98.61666666666666</v>
      </c>
      <c r="BB80" s="50"/>
      <c r="BC80" s="9">
        <f>12.6*9.1*9.1*0.52</f>
        <v>542.57111999999995</v>
      </c>
      <c r="BD80" s="18">
        <v>463800000000</v>
      </c>
      <c r="BE80" s="19">
        <v>515000000000</v>
      </c>
      <c r="BF80" s="18">
        <v>454000000000</v>
      </c>
      <c r="BG80" s="19">
        <v>504200000000</v>
      </c>
      <c r="BH80" s="18">
        <f t="shared" si="102"/>
        <v>854818811.58731782</v>
      </c>
      <c r="BI80" s="19">
        <f t="shared" si="92"/>
        <v>949184320.75780225</v>
      </c>
      <c r="BK80" s="3" t="s">
        <v>15</v>
      </c>
      <c r="BL80" s="3" t="s">
        <v>15</v>
      </c>
      <c r="BM80" s="3" t="s">
        <v>15</v>
      </c>
      <c r="BN80" s="6">
        <v>43042</v>
      </c>
      <c r="BO80" s="4">
        <v>0.50972222222222219</v>
      </c>
      <c r="BP80" s="7">
        <f t="shared" si="76"/>
        <v>98.6</v>
      </c>
      <c r="BQ80" s="50"/>
      <c r="BR80" s="9">
        <f>11.6*9.2*9.2*0.52</f>
        <v>510.54847999999987</v>
      </c>
      <c r="BS80" s="18">
        <v>479100000000</v>
      </c>
      <c r="BT80" s="19">
        <v>550200000000</v>
      </c>
      <c r="BU80" s="18">
        <v>485000000000</v>
      </c>
      <c r="BV80" s="19">
        <v>557100000000</v>
      </c>
      <c r="BW80" s="18">
        <f t="shared" si="103"/>
        <v>938402558.75406802</v>
      </c>
      <c r="BX80" s="19">
        <f t="shared" si="94"/>
        <v>1077664554.0106204</v>
      </c>
      <c r="BZ80" s="3" t="s">
        <v>15</v>
      </c>
      <c r="CA80" s="3" t="s">
        <v>15</v>
      </c>
      <c r="CB80" s="3" t="s">
        <v>15</v>
      </c>
      <c r="CC80" s="6">
        <v>43042</v>
      </c>
      <c r="CD80" s="4">
        <v>0.51180555555555551</v>
      </c>
      <c r="CE80" s="7">
        <f t="shared" si="78"/>
        <v>98.716666666666669</v>
      </c>
      <c r="CF80" s="50"/>
      <c r="CG80" s="9">
        <f>11.7*9.1*9.1*0.52</f>
        <v>503.81603999999993</v>
      </c>
      <c r="CH80" s="18">
        <v>563300000000</v>
      </c>
      <c r="CI80" s="19">
        <v>575300000000</v>
      </c>
      <c r="CJ80" s="18">
        <v>565100000000</v>
      </c>
      <c r="CK80" s="19">
        <v>577300000000</v>
      </c>
      <c r="CL80" s="18">
        <f t="shared" si="104"/>
        <v>1118066824.549691</v>
      </c>
      <c r="CM80" s="19">
        <f t="shared" si="96"/>
        <v>1141885042.0085874</v>
      </c>
      <c r="CO80" s="3" t="s">
        <v>15</v>
      </c>
      <c r="CP80" s="3" t="s">
        <v>15</v>
      </c>
      <c r="CQ80" s="3" t="s">
        <v>15</v>
      </c>
      <c r="CR80" s="6">
        <v>43042</v>
      </c>
      <c r="CS80" s="4">
        <v>0.51180555555555551</v>
      </c>
      <c r="CT80" s="7">
        <f t="shared" si="80"/>
        <v>98.7</v>
      </c>
      <c r="CU80" s="50"/>
      <c r="CV80" s="9">
        <f>11.6*8.1*8.1*0.52</f>
        <v>395.75951999999995</v>
      </c>
      <c r="CW80" s="18">
        <v>265900000000</v>
      </c>
      <c r="CX80" s="19">
        <v>358100000000</v>
      </c>
      <c r="CY80" s="18">
        <v>270700000000</v>
      </c>
      <c r="CZ80" s="19">
        <v>364700000000</v>
      </c>
      <c r="DA80" s="18">
        <f t="shared" si="105"/>
        <v>671872656.40508163</v>
      </c>
      <c r="DB80" s="19">
        <f t="shared" si="98"/>
        <v>904842415.41429007</v>
      </c>
    </row>
    <row r="81" spans="2:106" x14ac:dyDescent="0.25">
      <c r="B81" s="83"/>
      <c r="C81" s="37" t="s">
        <v>15</v>
      </c>
      <c r="D81" s="37" t="s">
        <v>15</v>
      </c>
      <c r="E81" s="37" t="s">
        <v>15</v>
      </c>
      <c r="F81" s="6">
        <v>43061</v>
      </c>
      <c r="G81" s="38">
        <v>0.40486111111111112</v>
      </c>
      <c r="H81" s="7">
        <f t="shared" si="71"/>
        <v>167.75</v>
      </c>
      <c r="I81" s="16">
        <v>26.4</v>
      </c>
      <c r="J81" s="9">
        <f>11.2*8.7*8.7*0.52</f>
        <v>440.81855999999993</v>
      </c>
      <c r="K81" s="21">
        <v>226800000000</v>
      </c>
      <c r="L81" s="19">
        <v>81350000000</v>
      </c>
      <c r="M81" s="21"/>
      <c r="N81" s="19"/>
      <c r="O81" s="21">
        <f t="shared" si="99"/>
        <v>514497393.21320778</v>
      </c>
      <c r="P81" s="19">
        <f>L81/J81</f>
        <v>184543046.46337944</v>
      </c>
      <c r="Q81" s="35"/>
      <c r="R81" s="37" t="s">
        <v>15</v>
      </c>
      <c r="S81" s="37" t="s">
        <v>15</v>
      </c>
      <c r="T81" s="37" t="s">
        <v>15</v>
      </c>
      <c r="U81" s="6">
        <v>43061</v>
      </c>
      <c r="V81" s="38">
        <v>0.4069444444444445</v>
      </c>
      <c r="W81" s="7">
        <f t="shared" si="72"/>
        <v>167.78333333333333</v>
      </c>
      <c r="X81" s="16">
        <v>22.4</v>
      </c>
      <c r="Y81" s="9">
        <f>14.9*10*10*0.52</f>
        <v>774.80000000000007</v>
      </c>
      <c r="Z81" s="21">
        <v>481000000000</v>
      </c>
      <c r="AA81" s="19">
        <v>149400000000</v>
      </c>
      <c r="AB81" s="21"/>
      <c r="AC81" s="19"/>
      <c r="AD81" s="21">
        <f t="shared" si="100"/>
        <v>620805369.12751675</v>
      </c>
      <c r="AE81" s="19">
        <f>AA81/Y81</f>
        <v>192823954.568921</v>
      </c>
      <c r="AF81" s="35"/>
      <c r="AG81" s="37" t="s">
        <v>15</v>
      </c>
      <c r="AH81" s="37" t="s">
        <v>15</v>
      </c>
      <c r="AI81" s="37" t="s">
        <v>15</v>
      </c>
      <c r="AJ81" s="6">
        <v>43061</v>
      </c>
      <c r="AK81" s="38">
        <v>0.4069444444444445</v>
      </c>
      <c r="AL81" s="7">
        <f t="shared" si="73"/>
        <v>167.75</v>
      </c>
      <c r="AM81" s="16">
        <v>29.4</v>
      </c>
      <c r="AN81" s="9">
        <f>15.1*12.5*12.5*0.52</f>
        <v>1226.875</v>
      </c>
      <c r="AO81" s="21">
        <v>357600000000</v>
      </c>
      <c r="AP81" s="19">
        <v>146600000000</v>
      </c>
      <c r="AQ81" s="21"/>
      <c r="AR81" s="19"/>
      <c r="AS81" s="21">
        <f t="shared" si="101"/>
        <v>291472236.37289864</v>
      </c>
      <c r="AT81" s="19">
        <f>AP81/AN81</f>
        <v>119490575.64951605</v>
      </c>
      <c r="AV81" s="3" t="s">
        <v>15</v>
      </c>
      <c r="AW81" s="3" t="s">
        <v>15</v>
      </c>
      <c r="AX81" s="3" t="s">
        <v>15</v>
      </c>
      <c r="AY81" s="6">
        <v>43045</v>
      </c>
      <c r="AZ81" s="4">
        <v>0.41736111111111113</v>
      </c>
      <c r="BA81" s="7">
        <f t="shared" si="74"/>
        <v>168.4</v>
      </c>
      <c r="BB81" s="50">
        <v>31.1</v>
      </c>
      <c r="BC81" s="9">
        <f>13*10.2*10.2*0.52</f>
        <v>703.31039999999985</v>
      </c>
      <c r="BD81" s="18">
        <v>375400000000</v>
      </c>
      <c r="BE81" s="19">
        <v>419600000000</v>
      </c>
      <c r="BF81" s="18">
        <v>380000000000</v>
      </c>
      <c r="BG81" s="19">
        <v>424700000000</v>
      </c>
      <c r="BH81" s="18">
        <f t="shared" si="102"/>
        <v>533761479.99517721</v>
      </c>
      <c r="BI81" s="19">
        <f>BE81/BC81</f>
        <v>596607131.0761224</v>
      </c>
      <c r="BK81" s="3" t="s">
        <v>15</v>
      </c>
      <c r="BL81" s="3" t="s">
        <v>15</v>
      </c>
      <c r="BM81" s="3" t="s">
        <v>15</v>
      </c>
      <c r="BN81" s="6">
        <v>43045</v>
      </c>
      <c r="BO81" s="4">
        <v>0.41736111111111113</v>
      </c>
      <c r="BP81" s="7">
        <f t="shared" si="76"/>
        <v>168.38333333333333</v>
      </c>
      <c r="BQ81" s="50">
        <f>23.2</f>
        <v>23.2</v>
      </c>
      <c r="BR81" s="9">
        <f>12.1*10.1*10.1*0.52</f>
        <v>641.84691999999995</v>
      </c>
      <c r="BS81" s="18">
        <v>399800000000</v>
      </c>
      <c r="BT81" s="19">
        <v>466700000000</v>
      </c>
      <c r="BU81" s="18">
        <v>406300000000</v>
      </c>
      <c r="BV81" s="19">
        <v>474300000000</v>
      </c>
      <c r="BW81" s="18">
        <f t="shared" si="103"/>
        <v>622889956.37776065</v>
      </c>
      <c r="BX81" s="19">
        <f>BT81/BR81</f>
        <v>727120416.81215835</v>
      </c>
      <c r="BZ81" s="3" t="s">
        <v>15</v>
      </c>
      <c r="CA81" s="3" t="s">
        <v>15</v>
      </c>
      <c r="CB81" s="3" t="s">
        <v>15</v>
      </c>
      <c r="CC81" s="6">
        <v>43045</v>
      </c>
      <c r="CD81" s="4">
        <v>0.41875000000000001</v>
      </c>
      <c r="CE81" s="7">
        <f t="shared" si="78"/>
        <v>168.48333333333335</v>
      </c>
      <c r="CF81" s="50">
        <v>25.3</v>
      </c>
      <c r="CG81" s="9">
        <f>12.7*9.8*9.8*0.52</f>
        <v>634.2481600000001</v>
      </c>
      <c r="CH81" s="18">
        <v>485200000000</v>
      </c>
      <c r="CI81" s="19">
        <v>489900000000</v>
      </c>
      <c r="CJ81" s="18">
        <v>492500000000</v>
      </c>
      <c r="CK81" s="19">
        <v>497500000000</v>
      </c>
      <c r="CL81" s="18">
        <f t="shared" si="104"/>
        <v>765000248.4831804</v>
      </c>
      <c r="CM81" s="19">
        <f>CI81/CG81</f>
        <v>772410597.13913858</v>
      </c>
      <c r="CO81" s="3" t="s">
        <v>15</v>
      </c>
      <c r="CP81" s="3" t="s">
        <v>15</v>
      </c>
      <c r="CQ81" s="3" t="s">
        <v>15</v>
      </c>
      <c r="CR81" s="6">
        <v>43045</v>
      </c>
      <c r="CS81" s="4">
        <v>0.41875000000000001</v>
      </c>
      <c r="CT81" s="7">
        <f t="shared" si="80"/>
        <v>168.46666666666667</v>
      </c>
      <c r="CU81" s="50">
        <v>30</v>
      </c>
      <c r="CV81" s="9">
        <f>15.9*10*10*0.52</f>
        <v>826.80000000000007</v>
      </c>
      <c r="CW81" s="18">
        <v>259500000000</v>
      </c>
      <c r="CX81" s="19">
        <v>326000000000</v>
      </c>
      <c r="CY81" s="18">
        <v>263100000000</v>
      </c>
      <c r="CZ81" s="19">
        <v>330500000000</v>
      </c>
      <c r="DA81" s="18">
        <f t="shared" si="105"/>
        <v>313860667.63425249</v>
      </c>
      <c r="DB81" s="19">
        <f>CX81/CV81</f>
        <v>394291243.3478471</v>
      </c>
    </row>
    <row r="82" spans="2:106" x14ac:dyDescent="0.25">
      <c r="B82" s="83"/>
      <c r="C82" s="37" t="s">
        <v>15</v>
      </c>
      <c r="D82" s="37" t="s">
        <v>14</v>
      </c>
      <c r="E82" s="37">
        <v>120</v>
      </c>
      <c r="F82" s="6">
        <v>43061</v>
      </c>
      <c r="G82" s="38">
        <v>0.41597222222222219</v>
      </c>
      <c r="H82" s="7">
        <f t="shared" si="71"/>
        <v>168.01666666666665</v>
      </c>
      <c r="I82" s="16"/>
      <c r="J82" s="9"/>
      <c r="K82" s="21"/>
      <c r="L82" s="19"/>
      <c r="M82" s="21"/>
      <c r="N82" s="19"/>
      <c r="O82" s="21" t="e">
        <f t="shared" si="99"/>
        <v>#DIV/0!</v>
      </c>
      <c r="P82" s="19" t="e">
        <f t="shared" ref="P82:P91" si="106">L82/J82</f>
        <v>#DIV/0!</v>
      </c>
      <c r="Q82" s="35"/>
      <c r="R82" s="37" t="s">
        <v>15</v>
      </c>
      <c r="S82" s="37" t="s">
        <v>14</v>
      </c>
      <c r="T82" s="37">
        <v>120</v>
      </c>
      <c r="U82" s="6">
        <v>43061</v>
      </c>
      <c r="V82" s="38">
        <v>0.41736111111111113</v>
      </c>
      <c r="W82" s="7">
        <f t="shared" si="72"/>
        <v>168.03333333333333</v>
      </c>
      <c r="X82" s="16"/>
      <c r="Y82" s="9"/>
      <c r="Z82" s="21"/>
      <c r="AA82" s="19"/>
      <c r="AB82" s="21"/>
      <c r="AC82" s="19"/>
      <c r="AD82" s="21" t="e">
        <f t="shared" si="100"/>
        <v>#DIV/0!</v>
      </c>
      <c r="AE82" s="19" t="e">
        <f t="shared" ref="AE82:AE91" si="107">AA82/Y82</f>
        <v>#DIV/0!</v>
      </c>
      <c r="AF82" s="35"/>
      <c r="AG82" s="37" t="s">
        <v>15</v>
      </c>
      <c r="AH82" s="37" t="s">
        <v>14</v>
      </c>
      <c r="AI82" s="37">
        <v>120</v>
      </c>
      <c r="AJ82" s="6">
        <v>43061</v>
      </c>
      <c r="AK82" s="38">
        <v>0.41875000000000001</v>
      </c>
      <c r="AL82" s="7">
        <f t="shared" si="73"/>
        <v>168.03333333333333</v>
      </c>
      <c r="AM82" s="16"/>
      <c r="AN82" s="9"/>
      <c r="AO82" s="21"/>
      <c r="AP82" s="19"/>
      <c r="AQ82" s="21"/>
      <c r="AR82" s="19"/>
      <c r="AS82" s="21" t="e">
        <f t="shared" si="101"/>
        <v>#DIV/0!</v>
      </c>
      <c r="AT82" s="19" t="e">
        <f t="shared" ref="AT82:AT91" si="108">AP82/AN82</f>
        <v>#DIV/0!</v>
      </c>
      <c r="AV82" s="3" t="s">
        <v>15</v>
      </c>
      <c r="AW82" s="3" t="s">
        <v>14</v>
      </c>
      <c r="AX82" s="3">
        <v>120</v>
      </c>
      <c r="AY82" s="6">
        <v>43045</v>
      </c>
      <c r="AZ82" s="4">
        <v>0.42708333333333331</v>
      </c>
      <c r="BA82" s="7">
        <f t="shared" si="74"/>
        <v>168.63333333333333</v>
      </c>
      <c r="BB82" s="50"/>
      <c r="BC82" s="9"/>
      <c r="BD82" s="18" t="s">
        <v>15</v>
      </c>
      <c r="BE82" s="19" t="s">
        <v>15</v>
      </c>
      <c r="BF82" s="18" t="s">
        <v>15</v>
      </c>
      <c r="BG82" s="19" t="s">
        <v>15</v>
      </c>
      <c r="BH82" s="18" t="e">
        <f t="shared" si="102"/>
        <v>#VALUE!</v>
      </c>
      <c r="BI82" s="19" t="e">
        <f t="shared" ref="BI82:BI91" si="109">BE82/BC82</f>
        <v>#VALUE!</v>
      </c>
      <c r="BK82" s="3" t="s">
        <v>15</v>
      </c>
      <c r="BL82" s="3" t="s">
        <v>14</v>
      </c>
      <c r="BM82" s="3">
        <v>120</v>
      </c>
      <c r="BN82" s="6">
        <v>43045</v>
      </c>
      <c r="BO82" s="4">
        <v>0.4284722222222222</v>
      </c>
      <c r="BP82" s="7">
        <f t="shared" si="76"/>
        <v>168.65</v>
      </c>
      <c r="BQ82" s="50"/>
      <c r="BR82" s="9"/>
      <c r="BS82" s="18" t="s">
        <v>15</v>
      </c>
      <c r="BT82" s="19" t="s">
        <v>15</v>
      </c>
      <c r="BU82" s="18" t="s">
        <v>15</v>
      </c>
      <c r="BV82" s="19" t="s">
        <v>15</v>
      </c>
      <c r="BW82" s="18" t="e">
        <f t="shared" si="103"/>
        <v>#VALUE!</v>
      </c>
      <c r="BX82" s="19" t="e">
        <f t="shared" ref="BX82:BX91" si="110">BT82/BR82</f>
        <v>#VALUE!</v>
      </c>
      <c r="BZ82" s="3" t="s">
        <v>15</v>
      </c>
      <c r="CA82" s="3" t="s">
        <v>14</v>
      </c>
      <c r="CB82" s="3">
        <v>120</v>
      </c>
      <c r="CC82" s="6">
        <v>43045</v>
      </c>
      <c r="CD82" s="4">
        <v>0.42777777777777781</v>
      </c>
      <c r="CE82" s="7">
        <f t="shared" si="78"/>
        <v>168.7</v>
      </c>
      <c r="CF82" s="50"/>
      <c r="CG82" s="9"/>
      <c r="CH82" s="18" t="s">
        <v>15</v>
      </c>
      <c r="CI82" s="19" t="s">
        <v>15</v>
      </c>
      <c r="CJ82" s="18" t="s">
        <v>15</v>
      </c>
      <c r="CK82" s="19" t="s">
        <v>15</v>
      </c>
      <c r="CL82" s="18" t="e">
        <f t="shared" si="104"/>
        <v>#VALUE!</v>
      </c>
      <c r="CM82" s="19" t="e">
        <f t="shared" ref="CM82:CM91" si="111">CI82/CG82</f>
        <v>#VALUE!</v>
      </c>
      <c r="CO82" s="3" t="s">
        <v>15</v>
      </c>
      <c r="CP82" s="3" t="s">
        <v>14</v>
      </c>
      <c r="CQ82" s="3">
        <v>120</v>
      </c>
      <c r="CR82" s="6">
        <v>43045</v>
      </c>
      <c r="CS82" s="4">
        <v>0.42569444444444443</v>
      </c>
      <c r="CT82" s="7">
        <f t="shared" si="80"/>
        <v>168.63333333333333</v>
      </c>
      <c r="CU82" s="50"/>
      <c r="CV82" s="9"/>
      <c r="CW82" s="18" t="s">
        <v>15</v>
      </c>
      <c r="CX82" s="19" t="s">
        <v>15</v>
      </c>
      <c r="CY82" s="18" t="s">
        <v>15</v>
      </c>
      <c r="CZ82" s="19" t="s">
        <v>15</v>
      </c>
      <c r="DA82" s="18" t="e">
        <f t="shared" si="105"/>
        <v>#VALUE!</v>
      </c>
      <c r="DB82" s="19" t="e">
        <f t="shared" ref="DB82:DB91" si="112">CX82/CV82</f>
        <v>#VALUE!</v>
      </c>
    </row>
    <row r="83" spans="2:106" x14ac:dyDescent="0.25">
      <c r="B83" s="83"/>
      <c r="C83" s="37" t="s">
        <v>15</v>
      </c>
      <c r="D83" s="37" t="s">
        <v>15</v>
      </c>
      <c r="E83" s="37" t="s">
        <v>15</v>
      </c>
      <c r="F83" s="6">
        <v>43061</v>
      </c>
      <c r="G83" s="38">
        <v>0.43611111111111112</v>
      </c>
      <c r="H83" s="7">
        <f t="shared" si="71"/>
        <v>168.5</v>
      </c>
      <c r="I83" s="16">
        <v>26.4</v>
      </c>
      <c r="J83" s="9">
        <f t="shared" ref="J83:J88" si="113">11.2*8.7*8.7*0.52</f>
        <v>440.81855999999993</v>
      </c>
      <c r="K83" s="21">
        <v>418000000000</v>
      </c>
      <c r="L83" s="19">
        <v>170700000000</v>
      </c>
      <c r="M83" s="21"/>
      <c r="N83" s="19"/>
      <c r="O83" s="21">
        <f t="shared" si="99"/>
        <v>948235936.34533012</v>
      </c>
      <c r="P83" s="19">
        <f t="shared" si="106"/>
        <v>387234149.12475562</v>
      </c>
      <c r="Q83" s="35"/>
      <c r="R83" s="37" t="s">
        <v>15</v>
      </c>
      <c r="S83" s="37" t="s">
        <v>15</v>
      </c>
      <c r="T83" s="37" t="s">
        <v>15</v>
      </c>
      <c r="U83" s="6">
        <v>43061</v>
      </c>
      <c r="V83" s="38">
        <v>0.4381944444444445</v>
      </c>
      <c r="W83" s="7">
        <f t="shared" si="72"/>
        <v>168.53333333333333</v>
      </c>
      <c r="X83" s="16">
        <v>22.4</v>
      </c>
      <c r="Y83" s="9">
        <f t="shared" ref="Y83:Y88" si="114">14.9*10*10*0.52</f>
        <v>774.80000000000007</v>
      </c>
      <c r="Z83" s="21">
        <v>667900000000</v>
      </c>
      <c r="AA83" s="19">
        <v>204800000000</v>
      </c>
      <c r="AB83" s="21"/>
      <c r="AC83" s="19"/>
      <c r="AD83" s="21">
        <f t="shared" si="100"/>
        <v>862028910.6866287</v>
      </c>
      <c r="AE83" s="19">
        <f t="shared" si="107"/>
        <v>264326277.74909651</v>
      </c>
      <c r="AF83" s="35"/>
      <c r="AG83" s="37" t="s">
        <v>15</v>
      </c>
      <c r="AH83" s="37" t="s">
        <v>15</v>
      </c>
      <c r="AI83" s="37" t="s">
        <v>15</v>
      </c>
      <c r="AJ83" s="6">
        <v>43061</v>
      </c>
      <c r="AK83" s="38">
        <v>0.4381944444444445</v>
      </c>
      <c r="AL83" s="7">
        <f t="shared" si="73"/>
        <v>168.5</v>
      </c>
      <c r="AM83" s="16">
        <v>29.4</v>
      </c>
      <c r="AN83" s="9">
        <f t="shared" ref="AN83:AN88" si="115">15.1*12.5*12.5*0.52</f>
        <v>1226.875</v>
      </c>
      <c r="AO83" s="21">
        <v>897800000000</v>
      </c>
      <c r="AP83" s="19">
        <v>347000000000</v>
      </c>
      <c r="AQ83" s="21"/>
      <c r="AR83" s="19"/>
      <c r="AS83" s="21">
        <f t="shared" si="101"/>
        <v>731777890.98318899</v>
      </c>
      <c r="AT83" s="19">
        <f t="shared" si="108"/>
        <v>282832399.38869077</v>
      </c>
      <c r="AV83" s="3" t="s">
        <v>15</v>
      </c>
      <c r="AW83" s="3" t="s">
        <v>15</v>
      </c>
      <c r="AX83" s="3" t="s">
        <v>15</v>
      </c>
      <c r="AY83" s="6">
        <v>43045</v>
      </c>
      <c r="AZ83" s="4">
        <v>0.4548611111111111</v>
      </c>
      <c r="BA83" s="7">
        <f t="shared" si="74"/>
        <v>169.3</v>
      </c>
      <c r="BB83" s="50">
        <v>31.1</v>
      </c>
      <c r="BC83" s="9">
        <f t="shared" ref="BC83:BC88" si="116">13*10.2*10.2*0.52</f>
        <v>703.31039999999985</v>
      </c>
      <c r="BD83" s="18">
        <v>562100000000</v>
      </c>
      <c r="BE83" s="19">
        <v>625700000000</v>
      </c>
      <c r="BF83" s="18">
        <v>519900000000</v>
      </c>
      <c r="BG83" s="19">
        <v>579500000000</v>
      </c>
      <c r="BH83" s="18">
        <f t="shared" si="102"/>
        <v>799220372.6832422</v>
      </c>
      <c r="BI83" s="19">
        <f t="shared" si="109"/>
        <v>889649861.56894612</v>
      </c>
      <c r="BK83" s="3" t="s">
        <v>15</v>
      </c>
      <c r="BL83" s="3" t="s">
        <v>15</v>
      </c>
      <c r="BM83" s="3" t="s">
        <v>15</v>
      </c>
      <c r="BN83" s="6">
        <v>43045</v>
      </c>
      <c r="BO83" s="4">
        <v>0.4548611111111111</v>
      </c>
      <c r="BP83" s="7">
        <f t="shared" si="76"/>
        <v>169.28333333333333</v>
      </c>
      <c r="BQ83" s="50">
        <f t="shared" ref="BQ83:BQ88" si="117">23.2</f>
        <v>23.2</v>
      </c>
      <c r="BR83" s="9">
        <f t="shared" ref="BR83:BR88" si="118">12.1*10.1*10.1*0.52</f>
        <v>641.84691999999995</v>
      </c>
      <c r="BS83" s="18">
        <v>745200000000</v>
      </c>
      <c r="BT83" s="19">
        <v>798200000000</v>
      </c>
      <c r="BU83" s="18">
        <v>683400000000</v>
      </c>
      <c r="BV83" s="19">
        <v>733400000000</v>
      </c>
      <c r="BW83" s="18">
        <f t="shared" si="103"/>
        <v>1161024500.9822593</v>
      </c>
      <c r="BX83" s="19">
        <f t="shared" si="110"/>
        <v>1243598707.305474</v>
      </c>
      <c r="BZ83" s="3" t="s">
        <v>15</v>
      </c>
      <c r="CA83" s="3" t="s">
        <v>15</v>
      </c>
      <c r="CB83" s="3" t="s">
        <v>15</v>
      </c>
      <c r="CC83" s="6">
        <v>43045</v>
      </c>
      <c r="CD83" s="4">
        <v>0.45694444444444443</v>
      </c>
      <c r="CE83" s="7">
        <f t="shared" si="78"/>
        <v>169.4</v>
      </c>
      <c r="CF83" s="50">
        <v>25.3</v>
      </c>
      <c r="CG83" s="9">
        <f t="shared" ref="CG83:CG88" si="119">12.7*9.8*9.8*0.52</f>
        <v>634.2481600000001</v>
      </c>
      <c r="CH83" s="18">
        <v>963700000000</v>
      </c>
      <c r="CI83" s="19">
        <v>1004000000000</v>
      </c>
      <c r="CJ83" s="18">
        <v>844900000000</v>
      </c>
      <c r="CK83" s="19">
        <v>885400000000</v>
      </c>
      <c r="CL83" s="18">
        <f t="shared" si="104"/>
        <v>1519436808.4568031</v>
      </c>
      <c r="CM83" s="19">
        <f t="shared" si="111"/>
        <v>1582976606.5068283</v>
      </c>
      <c r="CO83" s="3" t="s">
        <v>15</v>
      </c>
      <c r="CP83" s="3" t="s">
        <v>15</v>
      </c>
      <c r="CQ83" s="3" t="s">
        <v>15</v>
      </c>
      <c r="CR83" s="6">
        <v>43045</v>
      </c>
      <c r="CS83" s="4">
        <v>0.45694444444444443</v>
      </c>
      <c r="CT83" s="7">
        <f t="shared" si="80"/>
        <v>169.38333333333333</v>
      </c>
      <c r="CU83" s="50">
        <v>30</v>
      </c>
      <c r="CV83" s="9">
        <f t="shared" ref="CV83:CV88" si="120">15.9*10*10*0.52</f>
        <v>826.80000000000007</v>
      </c>
      <c r="CW83" s="18">
        <v>579900000000</v>
      </c>
      <c r="CX83" s="19">
        <v>683500000000</v>
      </c>
      <c r="CY83" s="18">
        <v>587900000000</v>
      </c>
      <c r="CZ83" s="19">
        <v>692900000000</v>
      </c>
      <c r="DA83" s="18">
        <f t="shared" si="105"/>
        <v>701378809.86937582</v>
      </c>
      <c r="DB83" s="19">
        <f t="shared" si="112"/>
        <v>826681180.45476532</v>
      </c>
    </row>
    <row r="84" spans="2:106" x14ac:dyDescent="0.25">
      <c r="B84" s="83"/>
      <c r="C84" s="37" t="s">
        <v>15</v>
      </c>
      <c r="D84" s="37" t="s">
        <v>15</v>
      </c>
      <c r="E84" s="37" t="s">
        <v>15</v>
      </c>
      <c r="F84" s="6">
        <v>43061</v>
      </c>
      <c r="G84" s="38">
        <v>0.47916666666666669</v>
      </c>
      <c r="H84" s="7">
        <f t="shared" si="71"/>
        <v>169.53333333333333</v>
      </c>
      <c r="I84" s="16">
        <v>26.4</v>
      </c>
      <c r="J84" s="9">
        <f t="shared" si="113"/>
        <v>440.81855999999993</v>
      </c>
      <c r="K84" s="21">
        <v>494500000000</v>
      </c>
      <c r="L84" s="19">
        <v>199700000000</v>
      </c>
      <c r="M84" s="21"/>
      <c r="N84" s="19"/>
      <c r="O84" s="21">
        <f t="shared" si="99"/>
        <v>1121776723.7386739</v>
      </c>
      <c r="P84" s="19">
        <f t="shared" si="106"/>
        <v>453020852.84249383</v>
      </c>
      <c r="Q84" s="35"/>
      <c r="R84" s="37" t="s">
        <v>15</v>
      </c>
      <c r="S84" s="37" t="s">
        <v>15</v>
      </c>
      <c r="T84" s="37" t="s">
        <v>15</v>
      </c>
      <c r="U84" s="6">
        <v>43061</v>
      </c>
      <c r="V84" s="38">
        <v>0.48125000000000001</v>
      </c>
      <c r="W84" s="7">
        <f t="shared" si="72"/>
        <v>169.56666666666666</v>
      </c>
      <c r="X84" s="16">
        <v>22.4</v>
      </c>
      <c r="Y84" s="9">
        <f t="shared" si="114"/>
        <v>774.80000000000007</v>
      </c>
      <c r="Z84" s="21">
        <v>725300000000</v>
      </c>
      <c r="AA84" s="19">
        <v>233500000000</v>
      </c>
      <c r="AB84" s="21"/>
      <c r="AC84" s="19"/>
      <c r="AD84" s="21">
        <f t="shared" si="100"/>
        <v>936112545.17294776</v>
      </c>
      <c r="AE84" s="19">
        <f t="shared" si="107"/>
        <v>301368094.99225605</v>
      </c>
      <c r="AF84" s="35"/>
      <c r="AG84" s="37" t="s">
        <v>15</v>
      </c>
      <c r="AH84" s="37" t="s">
        <v>15</v>
      </c>
      <c r="AI84" s="37" t="s">
        <v>15</v>
      </c>
      <c r="AJ84" s="6">
        <v>43061</v>
      </c>
      <c r="AK84" s="38">
        <v>0.48125000000000001</v>
      </c>
      <c r="AL84" s="7">
        <f t="shared" si="73"/>
        <v>169.53333333333333</v>
      </c>
      <c r="AM84" s="16">
        <v>29.4</v>
      </c>
      <c r="AN84" s="9">
        <f t="shared" si="115"/>
        <v>1226.875</v>
      </c>
      <c r="AO84" s="21">
        <v>905000000000</v>
      </c>
      <c r="AP84" s="19">
        <v>336100000000</v>
      </c>
      <c r="AQ84" s="21"/>
      <c r="AR84" s="19"/>
      <c r="AS84" s="21">
        <f t="shared" si="101"/>
        <v>737646459.50076413</v>
      </c>
      <c r="AT84" s="19">
        <f t="shared" si="108"/>
        <v>273948038.71625066</v>
      </c>
      <c r="AV84" s="3" t="s">
        <v>15</v>
      </c>
      <c r="AW84" s="3" t="s">
        <v>15</v>
      </c>
      <c r="AX84" s="3" t="s">
        <v>15</v>
      </c>
      <c r="AY84" s="6">
        <v>43045</v>
      </c>
      <c r="AZ84" s="4">
        <v>0.48680555555555555</v>
      </c>
      <c r="BA84" s="7">
        <f t="shared" si="74"/>
        <v>170.06666666666666</v>
      </c>
      <c r="BB84" s="50">
        <v>31.1</v>
      </c>
      <c r="BC84" s="9">
        <f t="shared" si="116"/>
        <v>703.31039999999985</v>
      </c>
      <c r="BD84" s="18">
        <v>719200000000</v>
      </c>
      <c r="BE84" s="19">
        <v>749700000000</v>
      </c>
      <c r="BF84" s="18">
        <v>648800000000</v>
      </c>
      <c r="BG84" s="19">
        <v>678100000000</v>
      </c>
      <c r="BH84" s="18">
        <f t="shared" si="102"/>
        <v>1022592585.0094072</v>
      </c>
      <c r="BI84" s="19">
        <f t="shared" si="109"/>
        <v>1065958927.9498785</v>
      </c>
      <c r="BK84" s="3" t="s">
        <v>15</v>
      </c>
      <c r="BL84" s="3" t="s">
        <v>15</v>
      </c>
      <c r="BM84" s="3" t="s">
        <v>15</v>
      </c>
      <c r="BN84" s="6">
        <v>43045</v>
      </c>
      <c r="BO84" s="4">
        <v>0.48680555555555555</v>
      </c>
      <c r="BP84" s="7">
        <f t="shared" si="76"/>
        <v>170.05</v>
      </c>
      <c r="BQ84" s="50">
        <f t="shared" si="117"/>
        <v>23.2</v>
      </c>
      <c r="BR84" s="9">
        <f t="shared" si="118"/>
        <v>641.84691999999995</v>
      </c>
      <c r="BS84" s="18">
        <v>864300000000</v>
      </c>
      <c r="BT84" s="19">
        <v>980000000000</v>
      </c>
      <c r="BU84" s="18">
        <v>835800000000</v>
      </c>
      <c r="BV84" s="19">
        <v>947000000000</v>
      </c>
      <c r="BW84" s="18">
        <f t="shared" si="103"/>
        <v>1346582764.6255591</v>
      </c>
      <c r="BX84" s="19">
        <f t="shared" si="110"/>
        <v>1526843815.03303</v>
      </c>
      <c r="BZ84" s="3" t="s">
        <v>15</v>
      </c>
      <c r="CA84" s="3" t="s">
        <v>15</v>
      </c>
      <c r="CB84" s="3" t="s">
        <v>15</v>
      </c>
      <c r="CC84" s="6">
        <v>43045</v>
      </c>
      <c r="CD84" s="4">
        <v>0.48819444444444443</v>
      </c>
      <c r="CE84" s="7">
        <f t="shared" si="78"/>
        <v>170.15</v>
      </c>
      <c r="CF84" s="50">
        <v>25.3</v>
      </c>
      <c r="CG84" s="9">
        <f t="shared" si="119"/>
        <v>634.2481600000001</v>
      </c>
      <c r="CH84" s="18">
        <v>1107000000000</v>
      </c>
      <c r="CI84" s="19">
        <v>1105000000000</v>
      </c>
      <c r="CJ84" s="18">
        <v>932500000000</v>
      </c>
      <c r="CK84" s="19">
        <v>933900000000</v>
      </c>
      <c r="CL84" s="18">
        <f t="shared" si="104"/>
        <v>1745373608.96719</v>
      </c>
      <c r="CM84" s="19">
        <f t="shared" si="111"/>
        <v>1742220269.113591</v>
      </c>
      <c r="CO84" s="3" t="s">
        <v>15</v>
      </c>
      <c r="CP84" s="3" t="s">
        <v>15</v>
      </c>
      <c r="CQ84" s="3" t="s">
        <v>15</v>
      </c>
      <c r="CR84" s="6">
        <v>43045</v>
      </c>
      <c r="CS84" s="4">
        <v>0.48819444444444443</v>
      </c>
      <c r="CT84" s="7">
        <f t="shared" si="80"/>
        <v>170.13333333333333</v>
      </c>
      <c r="CU84" s="50">
        <v>30</v>
      </c>
      <c r="CV84" s="9">
        <f t="shared" si="120"/>
        <v>826.80000000000007</v>
      </c>
      <c r="CW84" s="18">
        <v>670200000000</v>
      </c>
      <c r="CX84" s="19">
        <v>789100000000</v>
      </c>
      <c r="CY84" s="18">
        <v>679900000000</v>
      </c>
      <c r="CZ84" s="19">
        <v>800500000000</v>
      </c>
      <c r="DA84" s="18">
        <f t="shared" si="105"/>
        <v>810595065.31204641</v>
      </c>
      <c r="DB84" s="19">
        <f t="shared" si="112"/>
        <v>954402515.72327042</v>
      </c>
    </row>
    <row r="85" spans="2:106" x14ac:dyDescent="0.25">
      <c r="B85" s="83"/>
      <c r="C85" s="37" t="s">
        <v>15</v>
      </c>
      <c r="D85" s="37" t="s">
        <v>15</v>
      </c>
      <c r="E85" s="37" t="s">
        <v>15</v>
      </c>
      <c r="F85" s="6">
        <v>43061</v>
      </c>
      <c r="G85" s="38">
        <v>0.53541666666666665</v>
      </c>
      <c r="H85" s="7">
        <f t="shared" si="71"/>
        <v>170.88333333333333</v>
      </c>
      <c r="I85" s="16">
        <v>26.4</v>
      </c>
      <c r="J85" s="9">
        <f t="shared" si="113"/>
        <v>440.81855999999993</v>
      </c>
      <c r="K85" s="21">
        <v>610100000000</v>
      </c>
      <c r="L85" s="19">
        <v>216400000000</v>
      </c>
      <c r="M85" s="21"/>
      <c r="N85" s="19"/>
      <c r="O85" s="21">
        <f t="shared" si="99"/>
        <v>1384016135.799727</v>
      </c>
      <c r="P85" s="19">
        <f t="shared" si="106"/>
        <v>490904920.15581203</v>
      </c>
      <c r="Q85" s="35"/>
      <c r="R85" s="37" t="s">
        <v>15</v>
      </c>
      <c r="S85" s="37" t="s">
        <v>15</v>
      </c>
      <c r="T85" s="37" t="s">
        <v>15</v>
      </c>
      <c r="U85" s="6">
        <v>43061</v>
      </c>
      <c r="V85" s="38">
        <v>0.53749999999999998</v>
      </c>
      <c r="W85" s="7">
        <f t="shared" si="72"/>
        <v>170.91666666666666</v>
      </c>
      <c r="X85" s="16">
        <v>22.4</v>
      </c>
      <c r="Y85" s="9">
        <f t="shared" si="114"/>
        <v>774.80000000000007</v>
      </c>
      <c r="Z85" s="21">
        <v>757900000000</v>
      </c>
      <c r="AA85" s="19">
        <v>244500000000</v>
      </c>
      <c r="AB85" s="21"/>
      <c r="AC85" s="19"/>
      <c r="AD85" s="21">
        <f t="shared" si="100"/>
        <v>978187919.4630872</v>
      </c>
      <c r="AE85" s="19">
        <f t="shared" si="107"/>
        <v>315565307.17604542</v>
      </c>
      <c r="AF85" s="35"/>
      <c r="AG85" s="37" t="s">
        <v>15</v>
      </c>
      <c r="AH85" s="37" t="s">
        <v>15</v>
      </c>
      <c r="AI85" s="37" t="s">
        <v>15</v>
      </c>
      <c r="AJ85" s="6">
        <v>43061</v>
      </c>
      <c r="AK85" s="38">
        <v>0.53749999999999998</v>
      </c>
      <c r="AL85" s="7">
        <f t="shared" si="73"/>
        <v>170.88333333333333</v>
      </c>
      <c r="AM85" s="16">
        <v>29.4</v>
      </c>
      <c r="AN85" s="9">
        <f t="shared" si="115"/>
        <v>1226.875</v>
      </c>
      <c r="AO85" s="21">
        <v>929100000000</v>
      </c>
      <c r="AP85" s="19">
        <v>351800000000</v>
      </c>
      <c r="AQ85" s="21"/>
      <c r="AR85" s="19"/>
      <c r="AS85" s="21">
        <f t="shared" si="101"/>
        <v>757289862.45542538</v>
      </c>
      <c r="AT85" s="19">
        <f t="shared" si="108"/>
        <v>286744778.40040755</v>
      </c>
      <c r="AV85" s="3" t="s">
        <v>15</v>
      </c>
      <c r="AW85" s="3" t="s">
        <v>15</v>
      </c>
      <c r="AX85" s="3" t="s">
        <v>15</v>
      </c>
      <c r="AY85" s="6">
        <v>43045</v>
      </c>
      <c r="AZ85" s="4">
        <v>0.54305555555555551</v>
      </c>
      <c r="BA85" s="7">
        <f t="shared" si="74"/>
        <v>171.41666666666666</v>
      </c>
      <c r="BB85" s="50">
        <v>31.1</v>
      </c>
      <c r="BC85" s="9">
        <f t="shared" si="116"/>
        <v>703.31039999999985</v>
      </c>
      <c r="BD85" s="18">
        <v>620800000000</v>
      </c>
      <c r="BE85" s="19">
        <v>740100000000</v>
      </c>
      <c r="BF85" s="18">
        <v>586100000000</v>
      </c>
      <c r="BG85" s="19">
        <v>699600000000</v>
      </c>
      <c r="BH85" s="18">
        <f t="shared" si="102"/>
        <v>882682809.75228024</v>
      </c>
      <c r="BI85" s="19">
        <f t="shared" si="109"/>
        <v>1052309193.7784514</v>
      </c>
      <c r="BK85" s="3" t="s">
        <v>15</v>
      </c>
      <c r="BL85" s="3" t="s">
        <v>15</v>
      </c>
      <c r="BM85" s="3" t="s">
        <v>15</v>
      </c>
      <c r="BN85" s="6">
        <v>43045</v>
      </c>
      <c r="BO85" s="4">
        <v>0.54305555555555551</v>
      </c>
      <c r="BP85" s="7">
        <f t="shared" si="76"/>
        <v>171.4</v>
      </c>
      <c r="BQ85" s="50">
        <f t="shared" si="117"/>
        <v>23.2</v>
      </c>
      <c r="BR85" s="9">
        <f t="shared" si="118"/>
        <v>641.84691999999995</v>
      </c>
      <c r="BS85" s="18">
        <v>853100000000</v>
      </c>
      <c r="BT85" s="19">
        <v>972300000000</v>
      </c>
      <c r="BU85" s="18">
        <v>801600000000</v>
      </c>
      <c r="BV85" s="19">
        <v>914000000000</v>
      </c>
      <c r="BW85" s="18">
        <f t="shared" si="103"/>
        <v>1329133121.0251815</v>
      </c>
      <c r="BX85" s="19">
        <f t="shared" si="110"/>
        <v>1514847185.0577705</v>
      </c>
      <c r="BZ85" s="3" t="s">
        <v>15</v>
      </c>
      <c r="CA85" s="3" t="s">
        <v>15</v>
      </c>
      <c r="CB85" s="3" t="s">
        <v>15</v>
      </c>
      <c r="CC85" s="6">
        <v>43045</v>
      </c>
      <c r="CD85" s="4">
        <v>0.54513888888888895</v>
      </c>
      <c r="CE85" s="7">
        <f t="shared" si="78"/>
        <v>171.51666666666668</v>
      </c>
      <c r="CF85" s="50">
        <v>25.3</v>
      </c>
      <c r="CG85" s="9">
        <f t="shared" si="119"/>
        <v>634.2481600000001</v>
      </c>
      <c r="CH85" s="18">
        <v>1093000000000</v>
      </c>
      <c r="CI85" s="19">
        <v>1103000000000</v>
      </c>
      <c r="CJ85" s="18">
        <v>921200000000</v>
      </c>
      <c r="CK85" s="19">
        <v>932400000000</v>
      </c>
      <c r="CL85" s="18">
        <f t="shared" si="104"/>
        <v>1723300229.9919953</v>
      </c>
      <c r="CM85" s="19">
        <f t="shared" si="111"/>
        <v>1739066929.2599916</v>
      </c>
      <c r="CO85" s="3" t="s">
        <v>15</v>
      </c>
      <c r="CP85" s="3" t="s">
        <v>15</v>
      </c>
      <c r="CQ85" s="3" t="s">
        <v>15</v>
      </c>
      <c r="CR85" s="6">
        <v>43045</v>
      </c>
      <c r="CS85" s="4">
        <v>0.54513888888888895</v>
      </c>
      <c r="CT85" s="7">
        <f t="shared" si="80"/>
        <v>171.5</v>
      </c>
      <c r="CU85" s="50">
        <v>30</v>
      </c>
      <c r="CV85" s="9">
        <f t="shared" si="120"/>
        <v>826.80000000000007</v>
      </c>
      <c r="CW85" s="18">
        <v>567100000000</v>
      </c>
      <c r="CX85" s="19">
        <v>755900000000</v>
      </c>
      <c r="CY85" s="18">
        <v>575600000000</v>
      </c>
      <c r="CZ85" s="19">
        <v>767300000000</v>
      </c>
      <c r="DA85" s="18">
        <f t="shared" si="105"/>
        <v>685897435.89743578</v>
      </c>
      <c r="DB85" s="19">
        <f t="shared" si="112"/>
        <v>914247701.98355091</v>
      </c>
    </row>
    <row r="86" spans="2:106" x14ac:dyDescent="0.25">
      <c r="B86" s="83"/>
      <c r="C86" s="37" t="s">
        <v>15</v>
      </c>
      <c r="D86" s="37" t="s">
        <v>15</v>
      </c>
      <c r="E86" s="37" t="s">
        <v>15</v>
      </c>
      <c r="F86" s="6">
        <v>43061</v>
      </c>
      <c r="G86" s="38">
        <v>0.67569444444444438</v>
      </c>
      <c r="H86" s="7">
        <f t="shared" si="71"/>
        <v>174.25</v>
      </c>
      <c r="I86" s="16">
        <v>26.4</v>
      </c>
      <c r="J86" s="9">
        <f t="shared" si="113"/>
        <v>440.81855999999993</v>
      </c>
      <c r="K86" s="21">
        <v>632400000000</v>
      </c>
      <c r="L86" s="19">
        <v>243600000000</v>
      </c>
      <c r="M86" s="21"/>
      <c r="N86" s="19"/>
      <c r="O86" s="21">
        <f t="shared" si="99"/>
        <v>1434603842.451643</v>
      </c>
      <c r="P86" s="19">
        <f t="shared" si="106"/>
        <v>552608311.22900093</v>
      </c>
      <c r="Q86" s="35"/>
      <c r="R86" s="37" t="s">
        <v>15</v>
      </c>
      <c r="S86" s="37" t="s">
        <v>15</v>
      </c>
      <c r="T86" s="37" t="s">
        <v>15</v>
      </c>
      <c r="U86" s="6">
        <v>43061</v>
      </c>
      <c r="V86" s="38">
        <v>0.6777777777777777</v>
      </c>
      <c r="W86" s="7">
        <f t="shared" si="72"/>
        <v>174.28333333333333</v>
      </c>
      <c r="X86" s="16">
        <v>22.4</v>
      </c>
      <c r="Y86" s="9">
        <f t="shared" si="114"/>
        <v>774.80000000000007</v>
      </c>
      <c r="Z86" s="21">
        <v>728300000000</v>
      </c>
      <c r="AA86" s="19">
        <v>224700000000</v>
      </c>
      <c r="AB86" s="21"/>
      <c r="AC86" s="19"/>
      <c r="AD86" s="21">
        <f t="shared" si="100"/>
        <v>939984512.13216305</v>
      </c>
      <c r="AE86" s="19">
        <f t="shared" si="107"/>
        <v>290010325.24522454</v>
      </c>
      <c r="AF86" s="35"/>
      <c r="AG86" s="37" t="s">
        <v>15</v>
      </c>
      <c r="AH86" s="37" t="s">
        <v>15</v>
      </c>
      <c r="AI86" s="37" t="s">
        <v>15</v>
      </c>
      <c r="AJ86" s="6">
        <v>43061</v>
      </c>
      <c r="AK86" s="38">
        <v>0.6777777777777777</v>
      </c>
      <c r="AL86" s="7">
        <f t="shared" si="73"/>
        <v>174.25</v>
      </c>
      <c r="AM86" s="16">
        <v>29.4</v>
      </c>
      <c r="AN86" s="9">
        <f t="shared" si="115"/>
        <v>1226.875</v>
      </c>
      <c r="AO86" s="21">
        <v>1049000000000</v>
      </c>
      <c r="AP86" s="19">
        <v>422300000000</v>
      </c>
      <c r="AQ86" s="21"/>
      <c r="AR86" s="19"/>
      <c r="AS86" s="21">
        <f t="shared" si="101"/>
        <v>855017829.85226691</v>
      </c>
      <c r="AT86" s="19">
        <f t="shared" si="108"/>
        <v>344207845.13499743</v>
      </c>
      <c r="AV86" s="3" t="s">
        <v>15</v>
      </c>
      <c r="AW86" s="3" t="s">
        <v>15</v>
      </c>
      <c r="AX86" s="3" t="s">
        <v>15</v>
      </c>
      <c r="AY86" s="6">
        <v>43045</v>
      </c>
      <c r="AZ86" s="4">
        <v>0.68958333333333333</v>
      </c>
      <c r="BA86" s="7">
        <f t="shared" si="74"/>
        <v>174.93333333333334</v>
      </c>
      <c r="BB86" s="50">
        <v>31.1</v>
      </c>
      <c r="BC86" s="9">
        <f t="shared" si="116"/>
        <v>703.31039999999985</v>
      </c>
      <c r="BD86" s="18">
        <v>573700000000</v>
      </c>
      <c r="BE86" s="19">
        <v>675300000000</v>
      </c>
      <c r="BF86" s="18">
        <v>526200000000</v>
      </c>
      <c r="BG86" s="19">
        <v>620400000000</v>
      </c>
      <c r="BH86" s="18">
        <f t="shared" si="102"/>
        <v>815713801.4737165</v>
      </c>
      <c r="BI86" s="19">
        <f t="shared" si="109"/>
        <v>960173488.12131906</v>
      </c>
      <c r="BK86" s="3" t="s">
        <v>15</v>
      </c>
      <c r="BL86" s="3" t="s">
        <v>15</v>
      </c>
      <c r="BM86" s="3" t="s">
        <v>15</v>
      </c>
      <c r="BN86" s="6">
        <v>43045</v>
      </c>
      <c r="BO86" s="4">
        <v>0.68958333333333333</v>
      </c>
      <c r="BP86" s="7">
        <f t="shared" si="76"/>
        <v>174.91666666666666</v>
      </c>
      <c r="BQ86" s="50">
        <f t="shared" si="117"/>
        <v>23.2</v>
      </c>
      <c r="BR86" s="9">
        <f t="shared" si="118"/>
        <v>641.84691999999995</v>
      </c>
      <c r="BS86" s="18">
        <v>759000000000</v>
      </c>
      <c r="BT86" s="19">
        <v>852600000000</v>
      </c>
      <c r="BU86" s="18">
        <v>697300000000</v>
      </c>
      <c r="BV86" s="19">
        <v>784100000000</v>
      </c>
      <c r="BW86" s="18">
        <f t="shared" si="103"/>
        <v>1182524954.7041528</v>
      </c>
      <c r="BX86" s="19">
        <f t="shared" si="110"/>
        <v>1328354119.0787363</v>
      </c>
      <c r="BZ86" s="3" t="s">
        <v>15</v>
      </c>
      <c r="CA86" s="3" t="s">
        <v>15</v>
      </c>
      <c r="CB86" s="3" t="s">
        <v>15</v>
      </c>
      <c r="CC86" s="6">
        <v>43045</v>
      </c>
      <c r="CD86" s="4">
        <v>0.69097222222222221</v>
      </c>
      <c r="CE86" s="7">
        <f t="shared" si="78"/>
        <v>175.01666666666668</v>
      </c>
      <c r="CF86" s="50">
        <v>25.3</v>
      </c>
      <c r="CG86" s="9">
        <f t="shared" si="119"/>
        <v>634.2481600000001</v>
      </c>
      <c r="CH86" s="18">
        <v>1186000000000</v>
      </c>
      <c r="CI86" s="19">
        <v>1263000000000</v>
      </c>
      <c r="CJ86" s="18">
        <v>1014000000000</v>
      </c>
      <c r="CK86" s="19">
        <v>1084000000000</v>
      </c>
      <c r="CL86" s="18">
        <f t="shared" si="104"/>
        <v>1869930533.1843607</v>
      </c>
      <c r="CM86" s="19">
        <f t="shared" si="111"/>
        <v>1991334117.5479324</v>
      </c>
      <c r="CO86" s="3" t="s">
        <v>15</v>
      </c>
      <c r="CP86" s="3" t="s">
        <v>15</v>
      </c>
      <c r="CQ86" s="3" t="s">
        <v>15</v>
      </c>
      <c r="CR86" s="6">
        <v>43045</v>
      </c>
      <c r="CS86" s="4">
        <v>0.69097222222222221</v>
      </c>
      <c r="CT86" s="7">
        <f t="shared" si="80"/>
        <v>175</v>
      </c>
      <c r="CU86" s="50">
        <v>30</v>
      </c>
      <c r="CV86" s="9">
        <f t="shared" si="120"/>
        <v>826.80000000000007</v>
      </c>
      <c r="CW86" s="18">
        <v>660400000000</v>
      </c>
      <c r="CX86" s="19">
        <v>801100000000</v>
      </c>
      <c r="CY86" s="18">
        <v>664900000000</v>
      </c>
      <c r="CZ86" s="19">
        <v>806600000000</v>
      </c>
      <c r="DA86" s="18">
        <f t="shared" si="105"/>
        <v>798742138.36477983</v>
      </c>
      <c r="DB86" s="19">
        <f t="shared" si="112"/>
        <v>968916303.82196414</v>
      </c>
    </row>
    <row r="87" spans="2:106" x14ac:dyDescent="0.25">
      <c r="B87" s="83"/>
      <c r="C87" s="37" t="s">
        <v>15</v>
      </c>
      <c r="D87" s="37" t="s">
        <v>15</v>
      </c>
      <c r="E87" s="37" t="s">
        <v>15</v>
      </c>
      <c r="F87" s="6">
        <v>43061</v>
      </c>
      <c r="G87" s="38">
        <v>0.74930555555555556</v>
      </c>
      <c r="H87" s="7">
        <f t="shared" si="71"/>
        <v>176.01666666666665</v>
      </c>
      <c r="I87" s="16">
        <v>26.4</v>
      </c>
      <c r="J87" s="9">
        <f t="shared" si="113"/>
        <v>440.81855999999993</v>
      </c>
      <c r="K87" s="21">
        <v>556100000000</v>
      </c>
      <c r="L87" s="19">
        <v>217900000000</v>
      </c>
      <c r="M87" s="21"/>
      <c r="N87" s="19"/>
      <c r="O87" s="21">
        <f t="shared" si="99"/>
        <v>1261516756.463249</v>
      </c>
      <c r="P87" s="19">
        <f t="shared" si="106"/>
        <v>494307680.69293642</v>
      </c>
      <c r="Q87" s="35"/>
      <c r="R87" s="37" t="s">
        <v>15</v>
      </c>
      <c r="S87" s="37" t="s">
        <v>15</v>
      </c>
      <c r="T87" s="37" t="s">
        <v>15</v>
      </c>
      <c r="U87" s="6">
        <v>43061</v>
      </c>
      <c r="V87" s="38">
        <v>0.75069444444444444</v>
      </c>
      <c r="W87" s="7">
        <f t="shared" si="72"/>
        <v>176.03333333333333</v>
      </c>
      <c r="X87" s="16">
        <v>22.4</v>
      </c>
      <c r="Y87" s="9">
        <f t="shared" si="114"/>
        <v>774.80000000000007</v>
      </c>
      <c r="Z87" s="21">
        <v>636600000000</v>
      </c>
      <c r="AA87" s="19">
        <v>193200000000</v>
      </c>
      <c r="AB87" s="21"/>
      <c r="AC87" s="19"/>
      <c r="AD87" s="21">
        <f t="shared" si="100"/>
        <v>821631388.74548268</v>
      </c>
      <c r="AE87" s="19">
        <f t="shared" si="107"/>
        <v>249354672.17346409</v>
      </c>
      <c r="AF87" s="35"/>
      <c r="AG87" s="37" t="s">
        <v>15</v>
      </c>
      <c r="AH87" s="37" t="s">
        <v>15</v>
      </c>
      <c r="AI87" s="37" t="s">
        <v>15</v>
      </c>
      <c r="AJ87" s="6">
        <v>43061</v>
      </c>
      <c r="AK87" s="38">
        <v>0.75069444444444444</v>
      </c>
      <c r="AL87" s="7">
        <f t="shared" si="73"/>
        <v>176</v>
      </c>
      <c r="AM87" s="16">
        <v>29.4</v>
      </c>
      <c r="AN87" s="9">
        <f t="shared" si="115"/>
        <v>1226.875</v>
      </c>
      <c r="AO87" s="21">
        <v>1001000000000</v>
      </c>
      <c r="AP87" s="19">
        <v>398400000000</v>
      </c>
      <c r="AQ87" s="21"/>
      <c r="AR87" s="19"/>
      <c r="AS87" s="21">
        <f t="shared" si="101"/>
        <v>815894039.73509932</v>
      </c>
      <c r="AT87" s="19">
        <f t="shared" si="108"/>
        <v>324727457.97249109</v>
      </c>
      <c r="AV87" s="3" t="s">
        <v>15</v>
      </c>
      <c r="AW87" s="3" t="s">
        <v>15</v>
      </c>
      <c r="AX87" s="3" t="s">
        <v>15</v>
      </c>
      <c r="AY87" s="6">
        <v>43045</v>
      </c>
      <c r="AZ87" s="4">
        <v>0.76736111111111116</v>
      </c>
      <c r="BA87" s="7">
        <f t="shared" si="74"/>
        <v>176.8</v>
      </c>
      <c r="BB87" s="50">
        <v>31.1</v>
      </c>
      <c r="BC87" s="9">
        <f t="shared" si="116"/>
        <v>703.31039999999985</v>
      </c>
      <c r="BD87" s="18">
        <v>588800000000</v>
      </c>
      <c r="BE87" s="19">
        <v>666300000000</v>
      </c>
      <c r="BF87" s="18">
        <v>535100000000</v>
      </c>
      <c r="BG87" s="19">
        <v>606700000000</v>
      </c>
      <c r="BH87" s="18">
        <f t="shared" si="102"/>
        <v>837183695.84752357</v>
      </c>
      <c r="BI87" s="19">
        <f t="shared" si="109"/>
        <v>947376862.33560622</v>
      </c>
      <c r="BK87" s="3" t="s">
        <v>15</v>
      </c>
      <c r="BL87" s="3" t="s">
        <v>15</v>
      </c>
      <c r="BM87" s="3" t="s">
        <v>15</v>
      </c>
      <c r="BN87" s="6">
        <v>43045</v>
      </c>
      <c r="BO87" s="4">
        <v>0.76736111111111116</v>
      </c>
      <c r="BP87" s="7">
        <f t="shared" si="76"/>
        <v>176.78333333333333</v>
      </c>
      <c r="BQ87" s="50">
        <f t="shared" si="117"/>
        <v>23.2</v>
      </c>
      <c r="BR87" s="9">
        <f t="shared" si="118"/>
        <v>641.84691999999995</v>
      </c>
      <c r="BS87" s="18">
        <v>864100000000</v>
      </c>
      <c r="BT87" s="19">
        <v>972200000000</v>
      </c>
      <c r="BU87" s="18">
        <v>811500000000</v>
      </c>
      <c r="BV87" s="19">
        <v>913700000000</v>
      </c>
      <c r="BW87" s="18">
        <f t="shared" si="103"/>
        <v>1346271163.846981</v>
      </c>
      <c r="BX87" s="19">
        <f t="shared" si="110"/>
        <v>1514691384.6684816</v>
      </c>
      <c r="BZ87" s="3" t="s">
        <v>15</v>
      </c>
      <c r="CA87" s="3" t="s">
        <v>15</v>
      </c>
      <c r="CB87" s="3" t="s">
        <v>15</v>
      </c>
      <c r="CC87" s="6">
        <v>43045</v>
      </c>
      <c r="CD87" s="4">
        <v>0.76944444444444438</v>
      </c>
      <c r="CE87" s="7">
        <f t="shared" si="78"/>
        <v>176.9</v>
      </c>
      <c r="CF87" s="50">
        <v>25.3</v>
      </c>
      <c r="CG87" s="9">
        <f t="shared" si="119"/>
        <v>634.2481600000001</v>
      </c>
      <c r="CH87" s="18">
        <v>1143000000000</v>
      </c>
      <c r="CI87" s="19">
        <v>1191000000000</v>
      </c>
      <c r="CJ87" s="18">
        <v>979100000000</v>
      </c>
      <c r="CK87" s="19">
        <v>1023000000000</v>
      </c>
      <c r="CL87" s="18">
        <f t="shared" si="104"/>
        <v>1802133726.3319769</v>
      </c>
      <c r="CM87" s="19">
        <f t="shared" si="111"/>
        <v>1877813882.8183589</v>
      </c>
      <c r="CO87" s="3" t="s">
        <v>15</v>
      </c>
      <c r="CP87" s="3" t="s">
        <v>15</v>
      </c>
      <c r="CQ87" s="3" t="s">
        <v>15</v>
      </c>
      <c r="CR87" s="6">
        <v>43045</v>
      </c>
      <c r="CS87" s="4">
        <v>0.76944444444444438</v>
      </c>
      <c r="CT87" s="7">
        <f t="shared" si="80"/>
        <v>176.88333333333333</v>
      </c>
      <c r="CU87" s="50">
        <v>30</v>
      </c>
      <c r="CV87" s="9">
        <f t="shared" si="120"/>
        <v>826.80000000000007</v>
      </c>
      <c r="CW87" s="18">
        <v>590300000000</v>
      </c>
      <c r="CX87" s="19">
        <v>743100000000</v>
      </c>
      <c r="CY87" s="18">
        <v>598800000000</v>
      </c>
      <c r="CZ87" s="19">
        <v>754100000000</v>
      </c>
      <c r="DA87" s="18">
        <f t="shared" si="105"/>
        <v>713957426.22157705</v>
      </c>
      <c r="DB87" s="19">
        <f t="shared" si="112"/>
        <v>898766328.01161098</v>
      </c>
    </row>
    <row r="88" spans="2:106" x14ac:dyDescent="0.25">
      <c r="B88" s="83"/>
      <c r="C88" s="37" t="s">
        <v>15</v>
      </c>
      <c r="D88" s="37" t="s">
        <v>15</v>
      </c>
      <c r="E88" s="37" t="s">
        <v>15</v>
      </c>
      <c r="F88" s="6">
        <v>43061</v>
      </c>
      <c r="G88" s="38">
        <v>0.92361111111111116</v>
      </c>
      <c r="H88" s="7">
        <f t="shared" si="71"/>
        <v>180.2</v>
      </c>
      <c r="I88" s="16">
        <v>26.4</v>
      </c>
      <c r="J88" s="9">
        <f t="shared" si="113"/>
        <v>440.81855999999993</v>
      </c>
      <c r="K88" s="21">
        <v>490600000000</v>
      </c>
      <c r="L88" s="19">
        <v>200800000000</v>
      </c>
      <c r="M88" s="21"/>
      <c r="N88" s="19"/>
      <c r="O88" s="21">
        <f t="shared" si="99"/>
        <v>1112929546.3421504</v>
      </c>
      <c r="P88" s="19">
        <f t="shared" si="106"/>
        <v>455516210.56971836</v>
      </c>
      <c r="Q88" s="35"/>
      <c r="R88" s="37" t="s">
        <v>15</v>
      </c>
      <c r="S88" s="37" t="s">
        <v>15</v>
      </c>
      <c r="T88" s="37" t="s">
        <v>15</v>
      </c>
      <c r="U88" s="6">
        <v>43061</v>
      </c>
      <c r="V88" s="38">
        <v>0.92569444444444438</v>
      </c>
      <c r="W88" s="7">
        <f t="shared" si="72"/>
        <v>180.23333333333332</v>
      </c>
      <c r="X88" s="16">
        <v>22.4</v>
      </c>
      <c r="Y88" s="9">
        <f t="shared" si="114"/>
        <v>774.80000000000007</v>
      </c>
      <c r="Z88" s="21">
        <v>722500000000</v>
      </c>
      <c r="AA88" s="19">
        <v>222800000000</v>
      </c>
      <c r="AB88" s="21"/>
      <c r="AC88" s="19"/>
      <c r="AD88" s="21">
        <f t="shared" si="100"/>
        <v>932498709.34434688</v>
      </c>
      <c r="AE88" s="19">
        <f t="shared" si="107"/>
        <v>287558079.50438821</v>
      </c>
      <c r="AF88" s="35"/>
      <c r="AG88" s="37" t="s">
        <v>15</v>
      </c>
      <c r="AH88" s="37" t="s">
        <v>15</v>
      </c>
      <c r="AI88" s="37" t="s">
        <v>15</v>
      </c>
      <c r="AJ88" s="6">
        <v>43061</v>
      </c>
      <c r="AK88" s="38">
        <v>0.84236111111111101</v>
      </c>
      <c r="AL88" s="7">
        <f t="shared" si="73"/>
        <v>178.2</v>
      </c>
      <c r="AM88" s="16">
        <v>29.4</v>
      </c>
      <c r="AN88" s="9">
        <f t="shared" si="115"/>
        <v>1226.875</v>
      </c>
      <c r="AO88" s="21">
        <v>991200000000</v>
      </c>
      <c r="AP88" s="19">
        <v>376600000000</v>
      </c>
      <c r="AQ88" s="21"/>
      <c r="AR88" s="19"/>
      <c r="AS88" s="21">
        <f t="shared" si="101"/>
        <v>807906265.91951096</v>
      </c>
      <c r="AT88" s="19">
        <f t="shared" si="108"/>
        <v>306958736.6276108</v>
      </c>
      <c r="AV88" s="3" t="s">
        <v>15</v>
      </c>
      <c r="AW88" s="3" t="s">
        <v>15</v>
      </c>
      <c r="AX88" s="3" t="s">
        <v>15</v>
      </c>
      <c r="AY88" s="6">
        <v>43045</v>
      </c>
      <c r="AZ88" s="4">
        <v>0.94374999999999998</v>
      </c>
      <c r="BA88" s="7">
        <f t="shared" si="74"/>
        <v>181.03333333333333</v>
      </c>
      <c r="BB88" s="50">
        <v>31.1</v>
      </c>
      <c r="BC88" s="9">
        <f t="shared" si="116"/>
        <v>703.31039999999985</v>
      </c>
      <c r="BD88" s="18">
        <v>555000000000</v>
      </c>
      <c r="BE88" s="19">
        <v>637600000000</v>
      </c>
      <c r="BF88" s="18">
        <v>506500000000</v>
      </c>
      <c r="BG88" s="19">
        <v>582300000000</v>
      </c>
      <c r="BH88" s="18">
        <f t="shared" si="102"/>
        <v>789125256.78562427</v>
      </c>
      <c r="BI88" s="19">
        <f t="shared" si="109"/>
        <v>906569844.55227757</v>
      </c>
      <c r="BK88" s="3" t="s">
        <v>15</v>
      </c>
      <c r="BL88" s="3" t="s">
        <v>15</v>
      </c>
      <c r="BM88" s="3" t="s">
        <v>15</v>
      </c>
      <c r="BN88" s="6">
        <v>43045</v>
      </c>
      <c r="BO88" s="4">
        <v>0.94374999999999998</v>
      </c>
      <c r="BP88" s="7">
        <f t="shared" si="76"/>
        <v>181.01666666666665</v>
      </c>
      <c r="BQ88" s="50">
        <f t="shared" si="117"/>
        <v>23.2</v>
      </c>
      <c r="BR88" s="9">
        <f t="shared" si="118"/>
        <v>641.84691999999995</v>
      </c>
      <c r="BS88" s="18">
        <v>821000000000</v>
      </c>
      <c r="BT88" s="19">
        <v>965900000000</v>
      </c>
      <c r="BU88" s="18">
        <v>791600000000</v>
      </c>
      <c r="BV88" s="19">
        <v>931000000000</v>
      </c>
      <c r="BW88" s="18">
        <f t="shared" si="103"/>
        <v>1279121196.0633855</v>
      </c>
      <c r="BX88" s="19">
        <f t="shared" si="110"/>
        <v>1504875960.1432691</v>
      </c>
      <c r="BZ88" s="3" t="s">
        <v>15</v>
      </c>
      <c r="CA88" s="3" t="s">
        <v>15</v>
      </c>
      <c r="CB88" s="3" t="s">
        <v>15</v>
      </c>
      <c r="CC88" s="6">
        <v>43045</v>
      </c>
      <c r="CD88" s="4">
        <v>0.9458333333333333</v>
      </c>
      <c r="CE88" s="7">
        <f t="shared" si="78"/>
        <v>181.13333333333333</v>
      </c>
      <c r="CF88" s="50">
        <v>25.3</v>
      </c>
      <c r="CG88" s="9">
        <f t="shared" si="119"/>
        <v>634.2481600000001</v>
      </c>
      <c r="CH88" s="18">
        <v>1045000000000</v>
      </c>
      <c r="CI88" s="19">
        <v>1064000000000</v>
      </c>
      <c r="CJ88" s="18">
        <v>902000000000</v>
      </c>
      <c r="CK88" s="19">
        <v>921100000000</v>
      </c>
      <c r="CL88" s="18">
        <f t="shared" si="104"/>
        <v>1647620073.5056131</v>
      </c>
      <c r="CM88" s="19">
        <f t="shared" si="111"/>
        <v>1677576802.1148059</v>
      </c>
      <c r="CO88" s="3" t="s">
        <v>15</v>
      </c>
      <c r="CP88" s="3" t="s">
        <v>15</v>
      </c>
      <c r="CQ88" s="3" t="s">
        <v>15</v>
      </c>
      <c r="CR88" s="6">
        <v>43045</v>
      </c>
      <c r="CS88" s="4">
        <v>0.9458333333333333</v>
      </c>
      <c r="CT88" s="7">
        <f t="shared" si="80"/>
        <v>181.11666666666667</v>
      </c>
      <c r="CU88" s="50">
        <v>30</v>
      </c>
      <c r="CV88" s="9">
        <f t="shared" si="120"/>
        <v>826.80000000000007</v>
      </c>
      <c r="CW88" s="18">
        <v>668100000000</v>
      </c>
      <c r="CX88" s="19">
        <v>763300000000</v>
      </c>
      <c r="CY88" s="18">
        <v>669800000000</v>
      </c>
      <c r="CZ88" s="19">
        <v>765100000000</v>
      </c>
      <c r="DA88" s="18">
        <f t="shared" si="105"/>
        <v>808055152.39477491</v>
      </c>
      <c r="DB88" s="19">
        <f t="shared" si="112"/>
        <v>923197871.31107879</v>
      </c>
    </row>
    <row r="89" spans="2:106" x14ac:dyDescent="0.25">
      <c r="B89" s="83"/>
      <c r="C89" s="37" t="s">
        <v>15</v>
      </c>
      <c r="D89" s="37" t="s">
        <v>15</v>
      </c>
      <c r="E89" s="37" t="s">
        <v>15</v>
      </c>
      <c r="F89" s="6">
        <v>43062</v>
      </c>
      <c r="G89" s="38">
        <v>0.40833333333333338</v>
      </c>
      <c r="H89" s="7">
        <f t="shared" si="71"/>
        <v>191.83333333333334</v>
      </c>
      <c r="I89" s="16">
        <v>27.8</v>
      </c>
      <c r="J89" s="9">
        <f>12.2*8.8*8.8*0.52</f>
        <v>491.27936000000005</v>
      </c>
      <c r="K89" s="21">
        <v>595500000000</v>
      </c>
      <c r="L89" s="19">
        <v>230200000000</v>
      </c>
      <c r="M89" s="21"/>
      <c r="N89" s="19"/>
      <c r="O89" s="21">
        <f t="shared" si="99"/>
        <v>1212141295.7385385</v>
      </c>
      <c r="P89" s="19">
        <f t="shared" si="106"/>
        <v>468572504.24687082</v>
      </c>
      <c r="Q89" s="35"/>
      <c r="R89" s="37" t="s">
        <v>15</v>
      </c>
      <c r="S89" s="37" t="s">
        <v>15</v>
      </c>
      <c r="T89" s="37" t="s">
        <v>15</v>
      </c>
      <c r="U89" s="6">
        <v>43062</v>
      </c>
      <c r="V89" s="38">
        <v>0.40972222222222227</v>
      </c>
      <c r="W89" s="7">
        <f t="shared" si="72"/>
        <v>191.85</v>
      </c>
      <c r="X89" s="16">
        <v>22.1</v>
      </c>
      <c r="Y89" s="9">
        <f>14.8*8.1*8.1*0.52</f>
        <v>504.93455999999998</v>
      </c>
      <c r="Z89" s="21">
        <v>674400000000</v>
      </c>
      <c r="AA89" s="19">
        <v>196900000000</v>
      </c>
      <c r="AB89" s="21"/>
      <c r="AC89" s="19"/>
      <c r="AD89" s="21">
        <f t="shared" si="100"/>
        <v>1335618619.569237</v>
      </c>
      <c r="AE89" s="19">
        <f t="shared" si="107"/>
        <v>389951521.63876444</v>
      </c>
      <c r="AF89" s="35"/>
      <c r="AG89" s="37" t="s">
        <v>15</v>
      </c>
      <c r="AH89" s="37" t="s">
        <v>15</v>
      </c>
      <c r="AI89" s="37" t="s">
        <v>15</v>
      </c>
      <c r="AJ89" s="6">
        <v>43062</v>
      </c>
      <c r="AK89" s="38">
        <v>0.40972222222222227</v>
      </c>
      <c r="AL89" s="7">
        <f t="shared" si="73"/>
        <v>191.81666666666666</v>
      </c>
      <c r="AM89" s="16">
        <v>30</v>
      </c>
      <c r="AN89" s="9">
        <f>15*12.2*12.2*0.52</f>
        <v>1160.952</v>
      </c>
      <c r="AO89" s="21">
        <v>884900000000</v>
      </c>
      <c r="AP89" s="19">
        <v>343500000000</v>
      </c>
      <c r="AQ89" s="21"/>
      <c r="AR89" s="19"/>
      <c r="AS89" s="21">
        <f t="shared" si="101"/>
        <v>762219282.10640919</v>
      </c>
      <c r="AT89" s="19">
        <f t="shared" si="108"/>
        <v>295877865.75155562</v>
      </c>
      <c r="AV89" s="3" t="s">
        <v>15</v>
      </c>
      <c r="AW89" s="3" t="s">
        <v>15</v>
      </c>
      <c r="AX89" s="3" t="s">
        <v>15</v>
      </c>
      <c r="AY89" s="6">
        <v>43046</v>
      </c>
      <c r="AZ89" s="4">
        <v>0.40277777777777773</v>
      </c>
      <c r="BA89" s="7">
        <f t="shared" si="74"/>
        <v>192.05</v>
      </c>
      <c r="BB89" s="50">
        <v>29.4</v>
      </c>
      <c r="BC89" s="9">
        <f>13*9.6*9.6*0.52</f>
        <v>623.00159999999994</v>
      </c>
      <c r="BD89" s="18">
        <v>663700000000</v>
      </c>
      <c r="BE89" s="19">
        <v>709400000000</v>
      </c>
      <c r="BF89" s="18">
        <v>611900000000</v>
      </c>
      <c r="BG89" s="19">
        <v>654400000000</v>
      </c>
      <c r="BH89" s="18">
        <f t="shared" si="102"/>
        <v>1065326316.9789613</v>
      </c>
      <c r="BI89" s="19">
        <f t="shared" si="109"/>
        <v>1138680863.7409601</v>
      </c>
      <c r="BK89" s="3" t="s">
        <v>15</v>
      </c>
      <c r="BL89" s="3" t="s">
        <v>15</v>
      </c>
      <c r="BM89" s="3" t="s">
        <v>15</v>
      </c>
      <c r="BN89" s="6">
        <v>43046</v>
      </c>
      <c r="BO89" s="4">
        <v>0.40277777777777773</v>
      </c>
      <c r="BP89" s="7">
        <f t="shared" si="76"/>
        <v>192.03333333333333</v>
      </c>
      <c r="BQ89" s="50">
        <v>23.2</v>
      </c>
      <c r="BR89" s="9">
        <f>12.9*9.1*9.1*0.52+8.2*8*8*0.52</f>
        <v>828.38548000000003</v>
      </c>
      <c r="BS89" s="18">
        <v>910300000000</v>
      </c>
      <c r="BT89" s="19">
        <v>1002000000000</v>
      </c>
      <c r="BU89" s="18">
        <v>872800000000</v>
      </c>
      <c r="BV89" s="19">
        <v>960800000000</v>
      </c>
      <c r="BW89" s="18">
        <f t="shared" si="103"/>
        <v>1098884543.4615779</v>
      </c>
      <c r="BX89" s="19">
        <f t="shared" si="110"/>
        <v>1209581800.0093386</v>
      </c>
      <c r="BZ89" s="3" t="s">
        <v>15</v>
      </c>
      <c r="CA89" s="3" t="s">
        <v>15</v>
      </c>
      <c r="CB89" s="3" t="s">
        <v>15</v>
      </c>
      <c r="CC89" s="6">
        <v>43046</v>
      </c>
      <c r="CD89" s="4">
        <v>0.40486111111111112</v>
      </c>
      <c r="CE89" s="7">
        <f t="shared" si="78"/>
        <v>192.15</v>
      </c>
      <c r="CF89" s="50">
        <v>24.4</v>
      </c>
      <c r="CG89" s="9">
        <f>13.8*11.2*11.2*0.52</f>
        <v>900.15743999999995</v>
      </c>
      <c r="CH89" s="18">
        <v>966500000000</v>
      </c>
      <c r="CI89" s="19">
        <v>972300000000</v>
      </c>
      <c r="CJ89" s="18">
        <v>846400000000</v>
      </c>
      <c r="CK89" s="19">
        <v>853700000000</v>
      </c>
      <c r="CL89" s="18">
        <f t="shared" si="104"/>
        <v>1073701062.7829728</v>
      </c>
      <c r="CM89" s="19">
        <f t="shared" si="111"/>
        <v>1080144380.0764453</v>
      </c>
      <c r="CO89" s="3" t="s">
        <v>15</v>
      </c>
      <c r="CP89" s="3" t="s">
        <v>15</v>
      </c>
      <c r="CQ89" s="3" t="s">
        <v>15</v>
      </c>
      <c r="CR89" s="6">
        <v>43046</v>
      </c>
      <c r="CS89" s="4">
        <v>0.40486111111111112</v>
      </c>
      <c r="CT89" s="7">
        <f t="shared" si="80"/>
        <v>192.13333333333333</v>
      </c>
      <c r="CU89" s="50">
        <v>28.7</v>
      </c>
      <c r="CV89" s="9">
        <f>15.3*11.2*11.2*0.52</f>
        <v>998.00063999999986</v>
      </c>
      <c r="CW89" s="18">
        <v>544000000000</v>
      </c>
      <c r="CX89" s="19">
        <v>707900000000</v>
      </c>
      <c r="CY89" s="18">
        <v>551700000000</v>
      </c>
      <c r="CZ89" s="19">
        <v>717900000000</v>
      </c>
      <c r="DA89" s="18">
        <f t="shared" si="105"/>
        <v>545089830.80411661</v>
      </c>
      <c r="DB89" s="19">
        <f t="shared" si="112"/>
        <v>709318182.40116572</v>
      </c>
    </row>
    <row r="90" spans="2:106" x14ac:dyDescent="0.25">
      <c r="B90" s="83"/>
      <c r="C90" s="56" t="s">
        <v>15</v>
      </c>
      <c r="D90" s="37" t="s">
        <v>15</v>
      </c>
      <c r="E90" s="37" t="s">
        <v>15</v>
      </c>
      <c r="F90" s="6">
        <v>43063</v>
      </c>
      <c r="G90" s="38">
        <v>0.47500000000000003</v>
      </c>
      <c r="H90" s="7">
        <f t="shared" si="71"/>
        <v>217.43333333333334</v>
      </c>
      <c r="I90" s="16">
        <v>28.1</v>
      </c>
      <c r="J90" s="9">
        <f>12*9.7*9.7*0.52</f>
        <v>587.12159999999994</v>
      </c>
      <c r="K90" s="21">
        <v>461800000000</v>
      </c>
      <c r="L90" s="19">
        <v>172300000000</v>
      </c>
      <c r="M90" s="21"/>
      <c r="N90" s="19"/>
      <c r="O90" s="21">
        <f t="shared" si="99"/>
        <v>786549157.78945971</v>
      </c>
      <c r="P90" s="19">
        <f t="shared" si="106"/>
        <v>293465612.57497597</v>
      </c>
      <c r="Q90" s="35"/>
      <c r="R90" s="37" t="s">
        <v>15</v>
      </c>
      <c r="S90" s="37" t="s">
        <v>15</v>
      </c>
      <c r="T90" s="37" t="s">
        <v>15</v>
      </c>
      <c r="U90" s="6">
        <v>43063</v>
      </c>
      <c r="V90" s="38">
        <v>0.4770833333333333</v>
      </c>
      <c r="W90" s="7">
        <f t="shared" si="72"/>
        <v>217.46666666666667</v>
      </c>
      <c r="X90" s="16">
        <v>23.1</v>
      </c>
      <c r="Y90" s="9">
        <f>15.5*10.9*10.9*0.52</f>
        <v>957.60860000000014</v>
      </c>
      <c r="Z90" s="21">
        <v>786700000000</v>
      </c>
      <c r="AA90" s="19">
        <v>228800000000</v>
      </c>
      <c r="AB90" s="21"/>
      <c r="AC90" s="19"/>
      <c r="AD90" s="21">
        <f t="shared" si="100"/>
        <v>821525621.21935821</v>
      </c>
      <c r="AE90" s="19">
        <f t="shared" si="107"/>
        <v>238928514.2176041</v>
      </c>
      <c r="AF90" s="35"/>
      <c r="AG90" s="37" t="s">
        <v>15</v>
      </c>
      <c r="AH90" s="37" t="s">
        <v>15</v>
      </c>
      <c r="AI90" s="37" t="s">
        <v>15</v>
      </c>
      <c r="AJ90" s="6">
        <v>43063</v>
      </c>
      <c r="AK90" s="38">
        <v>0.4770833333333333</v>
      </c>
      <c r="AL90" s="7">
        <f t="shared" si="73"/>
        <v>217.43333333333334</v>
      </c>
      <c r="AM90" s="16">
        <v>30</v>
      </c>
      <c r="AN90" s="9">
        <f>16.8*13.9*13.9*0.52</f>
        <v>1687.8825600000002</v>
      </c>
      <c r="AO90" s="21">
        <v>982700000000</v>
      </c>
      <c r="AP90" s="19">
        <v>339500000000</v>
      </c>
      <c r="AQ90" s="21"/>
      <c r="AR90" s="19"/>
      <c r="AS90" s="21">
        <f t="shared" si="101"/>
        <v>582208752.72270119</v>
      </c>
      <c r="AT90" s="19">
        <f t="shared" si="108"/>
        <v>201139586.39397278</v>
      </c>
      <c r="AU90" s="35"/>
      <c r="AV90" s="37" t="s">
        <v>15</v>
      </c>
      <c r="AW90" s="37" t="s">
        <v>15</v>
      </c>
      <c r="AX90" s="37" t="s">
        <v>15</v>
      </c>
      <c r="AY90" s="6">
        <v>43047</v>
      </c>
      <c r="AZ90" s="38">
        <v>0.42222222222222222</v>
      </c>
      <c r="BA90" s="7">
        <f t="shared" si="74"/>
        <v>216.51666666666668</v>
      </c>
      <c r="BB90" s="16"/>
      <c r="BC90" s="9">
        <f>14.9*10.3*10.3*0.52</f>
        <v>821.98532000000023</v>
      </c>
      <c r="BD90" s="21">
        <v>560100000000</v>
      </c>
      <c r="BE90" s="19">
        <v>613400000000</v>
      </c>
      <c r="BF90" s="21">
        <v>531500000000</v>
      </c>
      <c r="BG90" s="19">
        <v>582500000000</v>
      </c>
      <c r="BH90" s="21">
        <f t="shared" si="102"/>
        <v>681399030.33791387</v>
      </c>
      <c r="BI90" s="19">
        <f t="shared" si="109"/>
        <v>746242037.50986671</v>
      </c>
      <c r="BJ90" s="35"/>
      <c r="BK90" s="37" t="s">
        <v>15</v>
      </c>
      <c r="BL90" s="37" t="s">
        <v>15</v>
      </c>
      <c r="BM90" s="37" t="s">
        <v>15</v>
      </c>
      <c r="BN90" s="6">
        <v>43047</v>
      </c>
      <c r="BO90" s="38">
        <v>0.42222222222222222</v>
      </c>
      <c r="BP90" s="7">
        <f t="shared" si="76"/>
        <v>216.5</v>
      </c>
      <c r="BQ90" s="16"/>
      <c r="BR90" s="9">
        <f>13.1*10.6*10.6*0.52+8.2*8.2*8.2*0.52</f>
        <v>1052.1076799999998</v>
      </c>
      <c r="BS90" s="21">
        <v>716500000000</v>
      </c>
      <c r="BT90" s="19">
        <v>810100000000</v>
      </c>
      <c r="BU90" s="21">
        <v>718200000000</v>
      </c>
      <c r="BV90" s="19">
        <v>811800000000</v>
      </c>
      <c r="BW90" s="21">
        <f t="shared" si="103"/>
        <v>681013943.36366796</v>
      </c>
      <c r="BX90" s="19">
        <f t="shared" si="110"/>
        <v>769978221.24062443</v>
      </c>
      <c r="BY90" s="35"/>
      <c r="BZ90" s="37" t="s">
        <v>15</v>
      </c>
      <c r="CA90" s="37" t="s">
        <v>15</v>
      </c>
      <c r="CB90" s="37" t="s">
        <v>15</v>
      </c>
      <c r="CC90" s="6">
        <v>43047</v>
      </c>
      <c r="CD90" s="38">
        <v>0.4284722222222222</v>
      </c>
      <c r="CE90" s="7">
        <f t="shared" si="78"/>
        <v>216.71666666666667</v>
      </c>
      <c r="CF90" s="16"/>
      <c r="CG90" s="9">
        <f>17*10.8*10.8*0.52</f>
        <v>1031.0976000000003</v>
      </c>
      <c r="CH90" s="21">
        <v>855900000000</v>
      </c>
      <c r="CI90" s="19">
        <v>858900000000</v>
      </c>
      <c r="CJ90" s="21">
        <v>783400000000</v>
      </c>
      <c r="CK90" s="19">
        <v>787400000000</v>
      </c>
      <c r="CL90" s="21">
        <f t="shared" si="104"/>
        <v>830086308.0274843</v>
      </c>
      <c r="CM90" s="19">
        <f t="shared" si="111"/>
        <v>832995828.91086137</v>
      </c>
      <c r="CN90" s="35"/>
      <c r="CO90" s="37" t="s">
        <v>15</v>
      </c>
      <c r="CP90" s="37" t="s">
        <v>15</v>
      </c>
      <c r="CQ90" s="37" t="s">
        <v>15</v>
      </c>
      <c r="CR90" s="6">
        <v>43047</v>
      </c>
      <c r="CS90" s="38">
        <v>0.4284722222222222</v>
      </c>
      <c r="CT90" s="7">
        <f t="shared" si="80"/>
        <v>216.7</v>
      </c>
      <c r="CU90" s="16"/>
      <c r="CV90" s="9">
        <f>16.4*11.9*11.9*0.52</f>
        <v>1207.6500800000001</v>
      </c>
      <c r="CW90" s="21">
        <v>478700000000</v>
      </c>
      <c r="CX90" s="19">
        <v>547000000000</v>
      </c>
      <c r="CY90" s="21">
        <v>485900000000</v>
      </c>
      <c r="CZ90" s="19">
        <v>555300000000</v>
      </c>
      <c r="DA90" s="21">
        <f t="shared" si="105"/>
        <v>396389656.18252593</v>
      </c>
      <c r="DB90" s="19">
        <f t="shared" si="112"/>
        <v>452945773.82878983</v>
      </c>
    </row>
    <row r="91" spans="2:106" ht="15.75" thickBot="1" x14ac:dyDescent="0.3">
      <c r="B91" s="84"/>
      <c r="C91" s="54" t="s">
        <v>15</v>
      </c>
      <c r="D91" s="39" t="s">
        <v>15</v>
      </c>
      <c r="E91" s="39" t="s">
        <v>15</v>
      </c>
      <c r="F91" s="40">
        <v>43064</v>
      </c>
      <c r="G91" s="41">
        <v>0.46597222222222223</v>
      </c>
      <c r="H91" s="42">
        <f t="shared" si="71"/>
        <v>241.21666666666667</v>
      </c>
      <c r="I91" s="43">
        <v>27.6</v>
      </c>
      <c r="J91" s="44">
        <f>13.9*10.8*10.8*0.52</f>
        <v>843.07392000000004</v>
      </c>
      <c r="K91" s="45">
        <v>454400000000</v>
      </c>
      <c r="L91" s="46">
        <v>179500000000</v>
      </c>
      <c r="M91" s="45"/>
      <c r="N91" s="46"/>
      <c r="O91" s="45">
        <f>K91/J91</f>
        <v>538980022.06022453</v>
      </c>
      <c r="P91" s="46">
        <f t="shared" si="106"/>
        <v>212911342.34113184</v>
      </c>
      <c r="Q91" s="13" t="s">
        <v>25</v>
      </c>
      <c r="R91" s="39" t="s">
        <v>15</v>
      </c>
      <c r="S91" s="39" t="s">
        <v>15</v>
      </c>
      <c r="T91" s="39" t="s">
        <v>15</v>
      </c>
      <c r="U91" s="40">
        <v>43064</v>
      </c>
      <c r="V91" s="41">
        <v>0.4680555555555555</v>
      </c>
      <c r="W91" s="42">
        <f t="shared" si="72"/>
        <v>241.25</v>
      </c>
      <c r="X91" s="43">
        <v>25</v>
      </c>
      <c r="Y91" s="44">
        <f>17.6*12.8*12.8*0.52</f>
        <v>1499.4636800000005</v>
      </c>
      <c r="Z91" s="45">
        <v>727300000000</v>
      </c>
      <c r="AA91" s="46">
        <v>219900000000</v>
      </c>
      <c r="AB91" s="45"/>
      <c r="AC91" s="46"/>
      <c r="AD91" s="45">
        <f t="shared" si="100"/>
        <v>485040091.13445133</v>
      </c>
      <c r="AE91" s="46">
        <f t="shared" si="107"/>
        <v>146652435.08932468</v>
      </c>
      <c r="AF91" s="13"/>
      <c r="AG91" s="39" t="s">
        <v>15</v>
      </c>
      <c r="AH91" s="39" t="s">
        <v>15</v>
      </c>
      <c r="AI91" s="39" t="s">
        <v>15</v>
      </c>
      <c r="AJ91" s="40">
        <v>43064</v>
      </c>
      <c r="AK91" s="41">
        <v>0.4680555555555555</v>
      </c>
      <c r="AL91" s="42">
        <f t="shared" si="73"/>
        <v>241.21666666666667</v>
      </c>
      <c r="AM91" s="43">
        <v>30.1</v>
      </c>
      <c r="AN91" s="44">
        <f>17.9*14*14*0.52</f>
        <v>1824.3679999999999</v>
      </c>
      <c r="AO91" s="45">
        <v>976400000000</v>
      </c>
      <c r="AP91" s="46">
        <v>358400000000</v>
      </c>
      <c r="AQ91" s="45"/>
      <c r="AR91" s="46"/>
      <c r="AS91" s="45">
        <f t="shared" si="101"/>
        <v>535199038.79041952</v>
      </c>
      <c r="AT91" s="46">
        <f t="shared" si="108"/>
        <v>196451593.09963781</v>
      </c>
      <c r="AU91" s="13"/>
      <c r="AV91" s="39" t="s">
        <v>15</v>
      </c>
      <c r="AW91" s="39" t="s">
        <v>15</v>
      </c>
      <c r="AX91" s="39" t="s">
        <v>15</v>
      </c>
      <c r="AY91" s="40">
        <v>43048</v>
      </c>
      <c r="AZ91" s="41">
        <v>0.4993055555555555</v>
      </c>
      <c r="BA91" s="42">
        <f t="shared" si="74"/>
        <v>242.36666666666667</v>
      </c>
      <c r="BB91" s="43">
        <v>30.2</v>
      </c>
      <c r="BC91" s="44">
        <f>15.5*11.6*11.6*0.52</f>
        <v>1084.5536</v>
      </c>
      <c r="BD91" s="45">
        <v>489700000000</v>
      </c>
      <c r="BE91" s="46">
        <v>546500000000</v>
      </c>
      <c r="BF91" s="45">
        <v>487800000000</v>
      </c>
      <c r="BG91" s="46">
        <v>544600000000</v>
      </c>
      <c r="BH91" s="45">
        <f t="shared" si="102"/>
        <v>451522174.65323985</v>
      </c>
      <c r="BI91" s="46">
        <f t="shared" si="109"/>
        <v>503893952.3136524</v>
      </c>
      <c r="BJ91" s="57" t="s">
        <v>25</v>
      </c>
      <c r="BK91" s="39" t="s">
        <v>15</v>
      </c>
      <c r="BL91" s="39" t="s">
        <v>15</v>
      </c>
      <c r="BM91" s="39" t="s">
        <v>15</v>
      </c>
      <c r="BN91" s="40">
        <v>43048</v>
      </c>
      <c r="BO91" s="41">
        <v>0.4993055555555555</v>
      </c>
      <c r="BP91" s="42">
        <f t="shared" si="76"/>
        <v>242.35</v>
      </c>
      <c r="BQ91" s="43">
        <v>23.8</v>
      </c>
      <c r="BR91" s="44">
        <f>13.7*11.3*11.3*0.52+10*9.3*9.3*0.52</f>
        <v>1359.41156</v>
      </c>
      <c r="BS91" s="45">
        <v>621600000000</v>
      </c>
      <c r="BT91" s="46">
        <v>725900000000</v>
      </c>
      <c r="BU91" s="45">
        <v>628800000000</v>
      </c>
      <c r="BV91" s="46">
        <v>734800000000</v>
      </c>
      <c r="BW91" s="45">
        <f t="shared" si="103"/>
        <v>457256667.73055834</v>
      </c>
      <c r="BX91" s="46">
        <f t="shared" si="110"/>
        <v>533981041.03219485</v>
      </c>
      <c r="BY91" s="13"/>
      <c r="BZ91" s="39" t="s">
        <v>15</v>
      </c>
      <c r="CA91" s="39" t="s">
        <v>15</v>
      </c>
      <c r="CB91" s="39" t="s">
        <v>15</v>
      </c>
      <c r="CC91" s="40">
        <v>43048</v>
      </c>
      <c r="CD91" s="41">
        <v>0.50069444444444444</v>
      </c>
      <c r="CE91" s="42">
        <f t="shared" si="78"/>
        <v>242.45</v>
      </c>
      <c r="CF91" s="43">
        <v>25.6</v>
      </c>
      <c r="CG91" s="44">
        <f>17.3*11.9*11.9*0.52</f>
        <v>1273.9235600000002</v>
      </c>
      <c r="CH91" s="45">
        <v>811500000000</v>
      </c>
      <c r="CI91" s="46">
        <v>871700000000</v>
      </c>
      <c r="CJ91" s="45">
        <v>794700000000</v>
      </c>
      <c r="CK91" s="46">
        <v>853700000000</v>
      </c>
      <c r="CL91" s="45">
        <f t="shared" si="104"/>
        <v>637008393.18804955</v>
      </c>
      <c r="CM91" s="46">
        <f t="shared" si="111"/>
        <v>684263975.77575207</v>
      </c>
      <c r="CN91" s="13"/>
      <c r="CO91" s="39" t="s">
        <v>15</v>
      </c>
      <c r="CP91" s="39" t="s">
        <v>15</v>
      </c>
      <c r="CQ91" s="39" t="s">
        <v>15</v>
      </c>
      <c r="CR91" s="40">
        <v>43048</v>
      </c>
      <c r="CS91" s="41">
        <v>0.50069444444444444</v>
      </c>
      <c r="CT91" s="42">
        <f t="shared" si="80"/>
        <v>242.43333333333334</v>
      </c>
      <c r="CU91" s="43">
        <v>28.8</v>
      </c>
      <c r="CV91" s="44">
        <f>17.4*12.4*12.4*0.52</f>
        <v>1391.22048</v>
      </c>
      <c r="CW91" s="45">
        <v>547900000000</v>
      </c>
      <c r="CX91" s="46">
        <v>658400000000</v>
      </c>
      <c r="CY91" s="45">
        <v>556500000000</v>
      </c>
      <c r="CZ91" s="46">
        <v>668800000000</v>
      </c>
      <c r="DA91" s="45">
        <f t="shared" si="105"/>
        <v>393826864.88341516</v>
      </c>
      <c r="DB91" s="46">
        <f t="shared" si="112"/>
        <v>473253527.72265112</v>
      </c>
    </row>
    <row r="96" spans="2:106" ht="21" x14ac:dyDescent="0.35">
      <c r="B96" s="25" t="s">
        <v>37</v>
      </c>
      <c r="C96" s="24"/>
      <c r="D96" s="24"/>
      <c r="E96" s="24"/>
      <c r="F96" s="24"/>
      <c r="H96"/>
      <c r="I96" s="25" t="s">
        <v>37</v>
      </c>
      <c r="J96" s="24"/>
      <c r="K96" s="24"/>
      <c r="L96" s="24"/>
      <c r="M96" s="24"/>
    </row>
    <row r="97" spans="2:69" s="58" customFormat="1" ht="18.75" x14ac:dyDescent="0.3">
      <c r="B97" s="58" t="s">
        <v>59</v>
      </c>
      <c r="C97" s="59"/>
      <c r="D97" s="59"/>
      <c r="E97" s="59"/>
      <c r="F97" s="59"/>
      <c r="I97" s="58" t="s">
        <v>65</v>
      </c>
      <c r="J97" s="59"/>
      <c r="K97" s="59"/>
      <c r="L97" s="59"/>
      <c r="M97" s="59"/>
      <c r="W97" s="60"/>
      <c r="X97" s="60"/>
      <c r="AL97" s="60"/>
      <c r="AM97" s="60"/>
      <c r="BA97" s="60"/>
      <c r="BB97" s="60"/>
      <c r="BP97" s="60"/>
      <c r="BQ97" s="60"/>
    </row>
    <row r="98" spans="2:69" x14ac:dyDescent="0.25">
      <c r="B98" s="93" t="s">
        <v>35</v>
      </c>
      <c r="C98" s="95" t="s">
        <v>38</v>
      </c>
      <c r="D98" s="96"/>
      <c r="E98" s="97"/>
      <c r="F98" s="97"/>
      <c r="H98"/>
      <c r="I98" s="98" t="s">
        <v>35</v>
      </c>
      <c r="J98" s="95" t="s">
        <v>60</v>
      </c>
      <c r="K98" s="96"/>
      <c r="L98" s="100"/>
      <c r="M98" s="100"/>
    </row>
    <row r="99" spans="2:69" ht="45" x14ac:dyDescent="0.25">
      <c r="B99" s="94"/>
      <c r="C99" s="26" t="s">
        <v>6</v>
      </c>
      <c r="D99" s="27" t="s">
        <v>36</v>
      </c>
      <c r="E99" s="22" t="s">
        <v>39</v>
      </c>
      <c r="F99" s="22" t="s">
        <v>40</v>
      </c>
      <c r="H99"/>
      <c r="I99" s="99"/>
      <c r="J99" s="26" t="s">
        <v>6</v>
      </c>
      <c r="K99" s="27" t="s">
        <v>36</v>
      </c>
      <c r="L99" s="22" t="s">
        <v>61</v>
      </c>
      <c r="M99" s="22" t="s">
        <v>62</v>
      </c>
    </row>
    <row r="100" spans="2:69" x14ac:dyDescent="0.25">
      <c r="B100" s="23" t="s">
        <v>2</v>
      </c>
      <c r="C100" s="28">
        <v>7976000000</v>
      </c>
      <c r="D100" s="29">
        <v>2438000000</v>
      </c>
      <c r="E100" s="24">
        <v>56809116.809116803</v>
      </c>
      <c r="F100" s="24">
        <v>17364672.364672363</v>
      </c>
      <c r="H100"/>
      <c r="I100" t="s">
        <v>50</v>
      </c>
      <c r="J100" s="28">
        <v>810900000</v>
      </c>
      <c r="K100" s="29">
        <v>1811000000</v>
      </c>
      <c r="L100" s="24">
        <v>3727083.8806678657</v>
      </c>
      <c r="M100" s="24">
        <v>8323774.7045128923</v>
      </c>
    </row>
    <row r="101" spans="2:69" x14ac:dyDescent="0.25">
      <c r="B101" s="23" t="s">
        <v>17</v>
      </c>
      <c r="C101" s="28">
        <v>6126000000</v>
      </c>
      <c r="D101" s="29">
        <v>2180000000</v>
      </c>
      <c r="E101" s="24">
        <v>35585427.331838816</v>
      </c>
      <c r="F101" s="24">
        <v>12663439.696932519</v>
      </c>
      <c r="H101"/>
      <c r="I101" t="s">
        <v>51</v>
      </c>
      <c r="J101" s="28">
        <v>1266000000</v>
      </c>
      <c r="K101" s="29">
        <v>2114000000</v>
      </c>
      <c r="L101" s="24">
        <v>28576639.56776591</v>
      </c>
      <c r="M101" s="24">
        <v>47718022.153441653</v>
      </c>
    </row>
    <row r="102" spans="2:69" x14ac:dyDescent="0.25">
      <c r="B102" s="23" t="s">
        <v>18</v>
      </c>
      <c r="C102" s="28">
        <v>10360000000</v>
      </c>
      <c r="D102" s="29">
        <v>3183000000</v>
      </c>
      <c r="E102" s="24">
        <v>84987722.719515249</v>
      </c>
      <c r="F102" s="24">
        <v>26111575.426275779</v>
      </c>
      <c r="H102"/>
      <c r="I102" t="s">
        <v>52</v>
      </c>
      <c r="J102" s="28">
        <v>496300000</v>
      </c>
      <c r="K102" s="29">
        <v>1209000000</v>
      </c>
      <c r="L102" s="24">
        <v>2809043.4558966025</v>
      </c>
      <c r="M102" s="24">
        <v>6842904.5701772971</v>
      </c>
    </row>
    <row r="103" spans="2:69" x14ac:dyDescent="0.25">
      <c r="B103" s="23" t="s">
        <v>19</v>
      </c>
      <c r="C103" s="28">
        <v>6076000000</v>
      </c>
      <c r="D103" s="29">
        <v>2259000000</v>
      </c>
      <c r="E103" s="24">
        <v>54272329.186865456</v>
      </c>
      <c r="F103" s="24">
        <v>20177944.640080489</v>
      </c>
      <c r="H103"/>
      <c r="I103" t="s">
        <v>53</v>
      </c>
      <c r="J103" s="28">
        <v>829400000</v>
      </c>
      <c r="K103" s="29">
        <v>1884000000</v>
      </c>
      <c r="L103" s="24">
        <v>4619131.6032585884</v>
      </c>
      <c r="M103" s="24">
        <v>10492457.126283072</v>
      </c>
    </row>
    <row r="104" spans="2:69" x14ac:dyDescent="0.25">
      <c r="B104" s="23" t="s">
        <v>21</v>
      </c>
      <c r="C104" s="28">
        <v>11540000000</v>
      </c>
      <c r="D104" s="29">
        <v>3210000000</v>
      </c>
      <c r="E104" s="24">
        <v>66806872.331488051</v>
      </c>
      <c r="F104" s="24">
        <v>18583194.123403523</v>
      </c>
      <c r="H104"/>
      <c r="I104" t="s">
        <v>54</v>
      </c>
      <c r="J104" s="28">
        <v>391200000</v>
      </c>
      <c r="K104" s="29">
        <v>979200000</v>
      </c>
      <c r="L104" s="24">
        <v>3406804.9012009162</v>
      </c>
      <c r="M104" s="24">
        <v>8527462.5747851152</v>
      </c>
    </row>
    <row r="105" spans="2:69" x14ac:dyDescent="0.25">
      <c r="B105" s="23" t="s">
        <v>22</v>
      </c>
      <c r="C105" s="28">
        <v>7737000000</v>
      </c>
      <c r="D105" s="29">
        <v>2716000000</v>
      </c>
      <c r="E105" s="24">
        <v>73412340.712205023</v>
      </c>
      <c r="F105" s="24">
        <v>25770701.483048838</v>
      </c>
      <c r="H105"/>
      <c r="I105" t="s">
        <v>55</v>
      </c>
      <c r="J105" s="28">
        <v>663300000</v>
      </c>
      <c r="K105" s="29">
        <v>1475000000</v>
      </c>
      <c r="L105" s="24">
        <v>3470249.3996515623</v>
      </c>
      <c r="M105" s="24">
        <v>7716897.1272215508</v>
      </c>
    </row>
    <row r="106" spans="2:69" x14ac:dyDescent="0.25">
      <c r="B106" s="23" t="s">
        <v>23</v>
      </c>
      <c r="C106" s="28">
        <v>9361000000</v>
      </c>
      <c r="D106" s="29">
        <v>2806000000</v>
      </c>
      <c r="E106" s="24">
        <v>71351260.709167957</v>
      </c>
      <c r="F106" s="24">
        <v>21387847.190463126</v>
      </c>
      <c r="H106"/>
      <c r="I106" t="s">
        <v>56</v>
      </c>
      <c r="J106" s="28">
        <v>2026000000</v>
      </c>
      <c r="K106" s="29">
        <v>3375000000</v>
      </c>
      <c r="L106" s="24">
        <v>11822648.600072362</v>
      </c>
      <c r="M106" s="24">
        <v>19694688.561324887</v>
      </c>
    </row>
    <row r="107" spans="2:69" x14ac:dyDescent="0.25">
      <c r="B107" s="23" t="s">
        <v>24</v>
      </c>
      <c r="C107" s="28">
        <v>8382000000</v>
      </c>
      <c r="D107" s="29">
        <v>3181000000</v>
      </c>
      <c r="E107" s="24">
        <v>49339549.33954934</v>
      </c>
      <c r="F107" s="24">
        <v>18724541.451814182</v>
      </c>
      <c r="H107"/>
      <c r="I107" t="s">
        <v>57</v>
      </c>
      <c r="J107" s="28">
        <v>802800000</v>
      </c>
      <c r="K107" s="29">
        <v>1962000000</v>
      </c>
      <c r="L107" s="24">
        <v>5234938.4014423061</v>
      </c>
      <c r="M107" s="24">
        <v>12793907.752403844</v>
      </c>
    </row>
    <row r="108" spans="2:69" x14ac:dyDescent="0.25">
      <c r="B108" s="23"/>
      <c r="C108" s="28"/>
      <c r="D108" s="29"/>
      <c r="E108" s="24"/>
      <c r="F108" s="24"/>
      <c r="H108"/>
      <c r="I108" t="s">
        <v>58</v>
      </c>
      <c r="J108" s="28">
        <v>1197000000</v>
      </c>
      <c r="K108" s="29">
        <v>2789000000</v>
      </c>
      <c r="L108" s="24">
        <v>9724737.1314998921</v>
      </c>
      <c r="M108" s="24">
        <v>22658556.273812197</v>
      </c>
    </row>
    <row r="109" spans="2:69" x14ac:dyDescent="0.25">
      <c r="B109" s="23"/>
      <c r="C109" s="28"/>
      <c r="D109" s="29"/>
      <c r="E109" s="24"/>
      <c r="F109" s="24"/>
      <c r="H109"/>
      <c r="I109" t="s">
        <v>63</v>
      </c>
      <c r="J109" s="28">
        <v>728100000</v>
      </c>
      <c r="K109" s="29">
        <v>1770000000</v>
      </c>
      <c r="L109" s="24"/>
      <c r="M109" s="24"/>
      <c r="N109" t="s">
        <v>64</v>
      </c>
    </row>
    <row r="110" spans="2:69" x14ac:dyDescent="0.25">
      <c r="C110" s="24"/>
      <c r="D110" s="24"/>
      <c r="E110" s="24"/>
      <c r="F110" s="24"/>
      <c r="H110"/>
      <c r="I110"/>
      <c r="J110" s="28"/>
      <c r="K110" s="29"/>
      <c r="L110" s="24"/>
      <c r="M110" s="24"/>
    </row>
  </sheetData>
  <mergeCells count="366">
    <mergeCell ref="CY68:CY69"/>
    <mergeCell ref="CZ68:CZ69"/>
    <mergeCell ref="DA68:DA69"/>
    <mergeCell ref="DB68:DB69"/>
    <mergeCell ref="B98:B99"/>
    <mergeCell ref="C98:D98"/>
    <mergeCell ref="E98:F98"/>
    <mergeCell ref="I98:I99"/>
    <mergeCell ref="J98:K98"/>
    <mergeCell ref="L98:M98"/>
    <mergeCell ref="CO68:CO69"/>
    <mergeCell ref="CP68:CQ68"/>
    <mergeCell ref="CR68:CR69"/>
    <mergeCell ref="CS68:CS69"/>
    <mergeCell ref="CT68:CT69"/>
    <mergeCell ref="CU68:CU69"/>
    <mergeCell ref="CV68:CV69"/>
    <mergeCell ref="CW68:CW69"/>
    <mergeCell ref="CX68:CX69"/>
    <mergeCell ref="CE68:CE69"/>
    <mergeCell ref="CF68:CF69"/>
    <mergeCell ref="CG68:CG69"/>
    <mergeCell ref="CH68:CH69"/>
    <mergeCell ref="CI68:CI69"/>
    <mergeCell ref="CJ68:CJ69"/>
    <mergeCell ref="CK68:CK69"/>
    <mergeCell ref="CL68:CL69"/>
    <mergeCell ref="CM68:CM69"/>
    <mergeCell ref="BT68:BT69"/>
    <mergeCell ref="BU68:BU69"/>
    <mergeCell ref="BV68:BV69"/>
    <mergeCell ref="BW68:BW69"/>
    <mergeCell ref="BX68:BX69"/>
    <mergeCell ref="BZ68:BZ69"/>
    <mergeCell ref="CA68:CB68"/>
    <mergeCell ref="CC68:CC69"/>
    <mergeCell ref="CD68:CD69"/>
    <mergeCell ref="CW67:CX67"/>
    <mergeCell ref="CY67:CZ67"/>
    <mergeCell ref="DA67:DB67"/>
    <mergeCell ref="AV68:AV69"/>
    <mergeCell ref="AW68:AX68"/>
    <mergeCell ref="AY68:AY69"/>
    <mergeCell ref="AZ68:AZ69"/>
    <mergeCell ref="BA68:BA69"/>
    <mergeCell ref="BB68:BB69"/>
    <mergeCell ref="BC68:BC69"/>
    <mergeCell ref="BD68:BD69"/>
    <mergeCell ref="BE68:BE69"/>
    <mergeCell ref="BF68:BF69"/>
    <mergeCell ref="BG68:BG69"/>
    <mergeCell ref="BH68:BH69"/>
    <mergeCell ref="BI68:BI69"/>
    <mergeCell ref="BK68:BK69"/>
    <mergeCell ref="BL68:BM68"/>
    <mergeCell ref="BN68:BN69"/>
    <mergeCell ref="BO68:BO69"/>
    <mergeCell ref="BP68:BP69"/>
    <mergeCell ref="BQ68:BQ69"/>
    <mergeCell ref="BR68:BR69"/>
    <mergeCell ref="BS68:BS69"/>
    <mergeCell ref="BD67:BE67"/>
    <mergeCell ref="BF67:BG67"/>
    <mergeCell ref="BH67:BI67"/>
    <mergeCell ref="BS67:BT67"/>
    <mergeCell ref="BU67:BV67"/>
    <mergeCell ref="BW67:BX67"/>
    <mergeCell ref="CH67:CI67"/>
    <mergeCell ref="CJ67:CK67"/>
    <mergeCell ref="CL67:CM67"/>
    <mergeCell ref="CA64:CK64"/>
    <mergeCell ref="CP64:CZ64"/>
    <mergeCell ref="AW65:BG65"/>
    <mergeCell ref="BL65:BV65"/>
    <mergeCell ref="CA65:CK65"/>
    <mergeCell ref="CP65:CZ65"/>
    <mergeCell ref="AW66:BC66"/>
    <mergeCell ref="BD66:BE66"/>
    <mergeCell ref="BF66:BG66"/>
    <mergeCell ref="BL66:BR66"/>
    <mergeCell ref="BS66:BT66"/>
    <mergeCell ref="BU66:BV66"/>
    <mergeCell ref="CA66:CG66"/>
    <mergeCell ref="CH66:CI66"/>
    <mergeCell ref="CJ66:CK66"/>
    <mergeCell ref="CP66:CV66"/>
    <mergeCell ref="CW66:CX66"/>
    <mergeCell ref="CY66:CZ66"/>
    <mergeCell ref="BS37:BS38"/>
    <mergeCell ref="BT37:BT38"/>
    <mergeCell ref="BU37:BU38"/>
    <mergeCell ref="BV37:BV38"/>
    <mergeCell ref="BW37:BW38"/>
    <mergeCell ref="BX37:BX38"/>
    <mergeCell ref="B33:B60"/>
    <mergeCell ref="AW64:BI64"/>
    <mergeCell ref="BL64:BV64"/>
    <mergeCell ref="BH37:BH38"/>
    <mergeCell ref="BI37:BI38"/>
    <mergeCell ref="BK37:BK38"/>
    <mergeCell ref="BL37:BM37"/>
    <mergeCell ref="BN37:BN38"/>
    <mergeCell ref="BO37:BO38"/>
    <mergeCell ref="BP37:BP38"/>
    <mergeCell ref="BQ37:BQ38"/>
    <mergeCell ref="BR37:BR38"/>
    <mergeCell ref="AY37:AY38"/>
    <mergeCell ref="AZ37:AZ38"/>
    <mergeCell ref="BA37:BA38"/>
    <mergeCell ref="BB37:BB38"/>
    <mergeCell ref="BC37:BC38"/>
    <mergeCell ref="BD37:BD38"/>
    <mergeCell ref="BE37:BE38"/>
    <mergeCell ref="BF37:BF38"/>
    <mergeCell ref="BG37:BG38"/>
    <mergeCell ref="AN37:AN38"/>
    <mergeCell ref="AO37:AO38"/>
    <mergeCell ref="AP37:AP38"/>
    <mergeCell ref="AQ37:AQ38"/>
    <mergeCell ref="AR37:AR38"/>
    <mergeCell ref="AS37:AS38"/>
    <mergeCell ref="AT37:AT38"/>
    <mergeCell ref="AV37:AV38"/>
    <mergeCell ref="AW37:AX37"/>
    <mergeCell ref="BS36:BT36"/>
    <mergeCell ref="BU36:BV36"/>
    <mergeCell ref="BW36:BX36"/>
    <mergeCell ref="C37:C38"/>
    <mergeCell ref="D37:E37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R37:R38"/>
    <mergeCell ref="S37:T37"/>
    <mergeCell ref="U37:U38"/>
    <mergeCell ref="V37:V38"/>
    <mergeCell ref="W37:W38"/>
    <mergeCell ref="X37:X38"/>
    <mergeCell ref="Y37:Y38"/>
    <mergeCell ref="Z37:Z38"/>
    <mergeCell ref="BL33:BX33"/>
    <mergeCell ref="D34:N34"/>
    <mergeCell ref="S34:AC34"/>
    <mergeCell ref="AH34:AR34"/>
    <mergeCell ref="AW34:BG34"/>
    <mergeCell ref="BL34:BV34"/>
    <mergeCell ref="D35:J35"/>
    <mergeCell ref="K35:L35"/>
    <mergeCell ref="M35:N35"/>
    <mergeCell ref="S35:Y35"/>
    <mergeCell ref="Z35:AA35"/>
    <mergeCell ref="AB35:AC35"/>
    <mergeCell ref="AH35:AN35"/>
    <mergeCell ref="AO35:AP35"/>
    <mergeCell ref="AQ35:AR35"/>
    <mergeCell ref="AW35:BC35"/>
    <mergeCell ref="BD35:BE35"/>
    <mergeCell ref="BF35:BG35"/>
    <mergeCell ref="BL35:BR35"/>
    <mergeCell ref="BS35:BT35"/>
    <mergeCell ref="BU35:BV35"/>
    <mergeCell ref="AR68:AR69"/>
    <mergeCell ref="AS68:AS69"/>
    <mergeCell ref="AT68:AT69"/>
    <mergeCell ref="B64:B91"/>
    <mergeCell ref="D33:P33"/>
    <mergeCell ref="S33:AE33"/>
    <mergeCell ref="AH33:AT33"/>
    <mergeCell ref="AW33:BI33"/>
    <mergeCell ref="K36:L36"/>
    <mergeCell ref="M36:N36"/>
    <mergeCell ref="O36:P36"/>
    <mergeCell ref="Z36:AA36"/>
    <mergeCell ref="AB36:AC36"/>
    <mergeCell ref="AD36:AE36"/>
    <mergeCell ref="AO36:AP36"/>
    <mergeCell ref="AQ36:AR36"/>
    <mergeCell ref="AS36:AT36"/>
    <mergeCell ref="BD36:BE36"/>
    <mergeCell ref="BF36:BG36"/>
    <mergeCell ref="BH36:BI36"/>
    <mergeCell ref="AA37:AA38"/>
    <mergeCell ref="AB37:AB38"/>
    <mergeCell ref="AC37:AC38"/>
    <mergeCell ref="AH68:AI68"/>
    <mergeCell ref="AJ68:AJ69"/>
    <mergeCell ref="AK68:AK69"/>
    <mergeCell ref="AL68:AL69"/>
    <mergeCell ref="AM68:AM69"/>
    <mergeCell ref="AN68:AN69"/>
    <mergeCell ref="AO68:AO69"/>
    <mergeCell ref="AP68:AP69"/>
    <mergeCell ref="AQ68:AQ69"/>
    <mergeCell ref="X68:X69"/>
    <mergeCell ref="Y68:Y69"/>
    <mergeCell ref="Z68:Z69"/>
    <mergeCell ref="AA68:AA69"/>
    <mergeCell ref="AB68:AB69"/>
    <mergeCell ref="AC68:AC69"/>
    <mergeCell ref="AD68:AD69"/>
    <mergeCell ref="AE68:AE69"/>
    <mergeCell ref="AG68:AG69"/>
    <mergeCell ref="M68:M69"/>
    <mergeCell ref="N68:N69"/>
    <mergeCell ref="O68:O69"/>
    <mergeCell ref="P68:P69"/>
    <mergeCell ref="R68:R69"/>
    <mergeCell ref="S68:T68"/>
    <mergeCell ref="U68:U69"/>
    <mergeCell ref="V68:V69"/>
    <mergeCell ref="W68:W69"/>
    <mergeCell ref="C68:C69"/>
    <mergeCell ref="D68:E68"/>
    <mergeCell ref="F68:F69"/>
    <mergeCell ref="G68:G69"/>
    <mergeCell ref="H68:H69"/>
    <mergeCell ref="I68:I69"/>
    <mergeCell ref="J68:J69"/>
    <mergeCell ref="K68:K69"/>
    <mergeCell ref="L68:L69"/>
    <mergeCell ref="K67:L67"/>
    <mergeCell ref="M67:N67"/>
    <mergeCell ref="O67:P67"/>
    <mergeCell ref="Z67:AA67"/>
    <mergeCell ref="AB67:AC67"/>
    <mergeCell ref="AD67:AE67"/>
    <mergeCell ref="AO67:AP67"/>
    <mergeCell ref="AQ67:AR67"/>
    <mergeCell ref="AS67:AT67"/>
    <mergeCell ref="B4:B31"/>
    <mergeCell ref="D64:P64"/>
    <mergeCell ref="S64:AC64"/>
    <mergeCell ref="AH64:AR64"/>
    <mergeCell ref="D65:N65"/>
    <mergeCell ref="S65:AC65"/>
    <mergeCell ref="AH65:AR65"/>
    <mergeCell ref="D66:J66"/>
    <mergeCell ref="K66:L66"/>
    <mergeCell ref="M66:N66"/>
    <mergeCell ref="S66:Y66"/>
    <mergeCell ref="Z66:AA66"/>
    <mergeCell ref="AB66:AC66"/>
    <mergeCell ref="AH66:AN66"/>
    <mergeCell ref="AO66:AP66"/>
    <mergeCell ref="AQ66:AR66"/>
    <mergeCell ref="AD37:AD38"/>
    <mergeCell ref="AE37:AE38"/>
    <mergeCell ref="AG37:AG38"/>
    <mergeCell ref="AH37:AI37"/>
    <mergeCell ref="AJ37:AJ38"/>
    <mergeCell ref="AK37:AK38"/>
    <mergeCell ref="AL37:AL38"/>
    <mergeCell ref="AM37:AM38"/>
    <mergeCell ref="BL5:BV5"/>
    <mergeCell ref="BU7:BV7"/>
    <mergeCell ref="BK8:BK9"/>
    <mergeCell ref="BL8:BM8"/>
    <mergeCell ref="BN8:BN9"/>
    <mergeCell ref="BO8:BO9"/>
    <mergeCell ref="BP8:BP9"/>
    <mergeCell ref="BS6:BT6"/>
    <mergeCell ref="BS7:BT7"/>
    <mergeCell ref="BS8:BS9"/>
    <mergeCell ref="BT8:BT9"/>
    <mergeCell ref="BL6:BR6"/>
    <mergeCell ref="BQ8:BQ9"/>
    <mergeCell ref="BR8:BR9"/>
    <mergeCell ref="BU8:BU9"/>
    <mergeCell ref="BV8:BV9"/>
    <mergeCell ref="BU6:BV6"/>
    <mergeCell ref="AW5:BG5"/>
    <mergeCell ref="BF7:BG7"/>
    <mergeCell ref="AV8:AV9"/>
    <mergeCell ref="AW8:AX8"/>
    <mergeCell ref="BD6:BE6"/>
    <mergeCell ref="BD7:BE7"/>
    <mergeCell ref="BD8:BD9"/>
    <mergeCell ref="BE8:BE9"/>
    <mergeCell ref="AW6:BC6"/>
    <mergeCell ref="BF8:BF9"/>
    <mergeCell ref="BG8:BG9"/>
    <mergeCell ref="AY8:AY9"/>
    <mergeCell ref="AZ8:AZ9"/>
    <mergeCell ref="BA8:BA9"/>
    <mergeCell ref="BB8:BB9"/>
    <mergeCell ref="BC8:BC9"/>
    <mergeCell ref="BF6:BG6"/>
    <mergeCell ref="AH5:AR5"/>
    <mergeCell ref="AQ7:AR7"/>
    <mergeCell ref="AG8:AG9"/>
    <mergeCell ref="AH8:AI8"/>
    <mergeCell ref="AJ8:AJ9"/>
    <mergeCell ref="AK8:AK9"/>
    <mergeCell ref="AL8:AL9"/>
    <mergeCell ref="AO6:AP6"/>
    <mergeCell ref="AO7:AP7"/>
    <mergeCell ref="AO8:AO9"/>
    <mergeCell ref="AP8:AP9"/>
    <mergeCell ref="AH6:AN6"/>
    <mergeCell ref="AM8:AM9"/>
    <mergeCell ref="AN8:AN9"/>
    <mergeCell ref="AQ6:AR6"/>
    <mergeCell ref="AQ8:AQ9"/>
    <mergeCell ref="AR8:AR9"/>
    <mergeCell ref="AB8:AB9"/>
    <mergeCell ref="S5:AC5"/>
    <mergeCell ref="AB7:AC7"/>
    <mergeCell ref="R8:R9"/>
    <mergeCell ref="S8:T8"/>
    <mergeCell ref="Z6:AA6"/>
    <mergeCell ref="Z7:AA7"/>
    <mergeCell ref="Z8:Z9"/>
    <mergeCell ref="AA8:AA9"/>
    <mergeCell ref="S6:Y6"/>
    <mergeCell ref="U8:U9"/>
    <mergeCell ref="V8:V9"/>
    <mergeCell ref="W8:W9"/>
    <mergeCell ref="X8:X9"/>
    <mergeCell ref="Y8:Y9"/>
    <mergeCell ref="AC8:AC9"/>
    <mergeCell ref="AB6:AC6"/>
    <mergeCell ref="K7:L7"/>
    <mergeCell ref="K8:K9"/>
    <mergeCell ref="L8:L9"/>
    <mergeCell ref="D6:J6"/>
    <mergeCell ref="M8:M9"/>
    <mergeCell ref="N8:N9"/>
    <mergeCell ref="C8:C9"/>
    <mergeCell ref="F8:F9"/>
    <mergeCell ref="G8:G9"/>
    <mergeCell ref="H8:H9"/>
    <mergeCell ref="I8:I9"/>
    <mergeCell ref="D8:E8"/>
    <mergeCell ref="M6:N6"/>
    <mergeCell ref="BW7:BX7"/>
    <mergeCell ref="BW8:BW9"/>
    <mergeCell ref="BX8:BX9"/>
    <mergeCell ref="BL4:BX4"/>
    <mergeCell ref="D4:P4"/>
    <mergeCell ref="S4:AE4"/>
    <mergeCell ref="AH4:AT4"/>
    <mergeCell ref="AW4:BI4"/>
    <mergeCell ref="AS7:AT7"/>
    <mergeCell ref="AS8:AS9"/>
    <mergeCell ref="AT8:AT9"/>
    <mergeCell ref="BH7:BI7"/>
    <mergeCell ref="BH8:BH9"/>
    <mergeCell ref="BI8:BI9"/>
    <mergeCell ref="O8:O9"/>
    <mergeCell ref="P8:P9"/>
    <mergeCell ref="O7:P7"/>
    <mergeCell ref="AD7:AE7"/>
    <mergeCell ref="AD8:AD9"/>
    <mergeCell ref="AE8:AE9"/>
    <mergeCell ref="D5:N5"/>
    <mergeCell ref="J8:J9"/>
    <mergeCell ref="M7:N7"/>
    <mergeCell ref="K6:L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39867-9691-403D-9AC6-B2E187FF5967}">
  <dimension ref="A1:E9"/>
  <sheetViews>
    <sheetView workbookViewId="0">
      <selection activeCell="C18" sqref="C18"/>
    </sheetView>
  </sheetViews>
  <sheetFormatPr defaultRowHeight="15" x14ac:dyDescent="0.25"/>
  <cols>
    <col min="2" max="2" width="12.42578125" bestFit="1" customWidth="1"/>
    <col min="3" max="3" width="16.42578125" customWidth="1"/>
    <col min="4" max="4" width="19.5703125" customWidth="1"/>
    <col min="5" max="5" width="16.5703125" customWidth="1"/>
  </cols>
  <sheetData>
    <row r="1" spans="1:5" ht="23.25" x14ac:dyDescent="0.35">
      <c r="A1" s="61" t="s">
        <v>72</v>
      </c>
    </row>
    <row r="3" spans="1:5" ht="18.75" x14ac:dyDescent="0.3">
      <c r="B3" s="101" t="s">
        <v>71</v>
      </c>
      <c r="C3" s="101"/>
      <c r="D3" s="101"/>
      <c r="E3" s="101"/>
    </row>
    <row r="4" spans="1:5" x14ac:dyDescent="0.25">
      <c r="B4" s="63" t="s">
        <v>67</v>
      </c>
      <c r="C4" s="63" t="s">
        <v>69</v>
      </c>
      <c r="D4" s="63" t="s">
        <v>68</v>
      </c>
      <c r="E4" s="63" t="s">
        <v>70</v>
      </c>
    </row>
    <row r="5" spans="1:5" x14ac:dyDescent="0.25">
      <c r="B5" s="62">
        <v>410860534266</v>
      </c>
      <c r="C5" s="62">
        <v>519260921850</v>
      </c>
      <c r="D5" s="62">
        <v>265740871862</v>
      </c>
      <c r="E5" s="62">
        <v>298361368850</v>
      </c>
    </row>
    <row r="6" spans="1:5" x14ac:dyDescent="0.25">
      <c r="B6" s="62">
        <v>540371164764</v>
      </c>
      <c r="C6" s="62">
        <v>554556347350</v>
      </c>
      <c r="D6" s="62">
        <v>265436732666</v>
      </c>
      <c r="E6" s="62">
        <v>507104734850</v>
      </c>
    </row>
    <row r="7" spans="1:5" x14ac:dyDescent="0.25">
      <c r="B7" s="62">
        <v>270817146434</v>
      </c>
      <c r="C7" s="62">
        <v>811065887350</v>
      </c>
      <c r="D7" s="62">
        <v>381186474667</v>
      </c>
      <c r="E7" s="62">
        <v>216597171100</v>
      </c>
    </row>
    <row r="8" spans="1:5" x14ac:dyDescent="0.25">
      <c r="B8" s="62">
        <v>308055398556</v>
      </c>
      <c r="C8" s="62">
        <v>684758655350</v>
      </c>
      <c r="D8" s="62">
        <v>194617718682</v>
      </c>
      <c r="E8" s="62"/>
    </row>
    <row r="9" spans="1:5" x14ac:dyDescent="0.25">
      <c r="B9" s="62">
        <v>269862209082</v>
      </c>
      <c r="C9" s="62">
        <v>812047141850</v>
      </c>
      <c r="D9" s="62"/>
      <c r="E9" s="62"/>
    </row>
  </sheetData>
  <mergeCells count="1">
    <mergeCell ref="B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FIG5F Fluor Uptake</vt:lpstr>
      <vt:lpstr>FIG5G - AUC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Schaal</dc:creator>
  <cp:lastModifiedBy>Jeff Schaal</cp:lastModifiedBy>
  <dcterms:created xsi:type="dcterms:W3CDTF">2017-11-08T18:34:27Z</dcterms:created>
  <dcterms:modified xsi:type="dcterms:W3CDTF">2022-07-11T21:07:14Z</dcterms:modified>
</cp:coreProperties>
</file>