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gicvxxxxx/Desktop/"/>
    </mc:Choice>
  </mc:AlternateContent>
  <bookViews>
    <workbookView xWindow="2640" yWindow="460" windowWidth="20900" windowHeight="16480" tabRatio="500"/>
  </bookViews>
  <sheets>
    <sheet name="ChIP-seq" sheetId="1" r:id="rId1"/>
    <sheet name="RNA-seq" sheetId="2" r:id="rId2"/>
    <sheet name="WGBS-seq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0" i="1" l="1"/>
  <c r="D99" i="1"/>
  <c r="C99" i="1"/>
  <c r="B99" i="1"/>
  <c r="D98" i="1"/>
  <c r="C98" i="1"/>
  <c r="B98" i="1"/>
  <c r="D97" i="1"/>
  <c r="B97" i="1"/>
  <c r="F97" i="1"/>
  <c r="F98" i="1"/>
  <c r="F99" i="1"/>
  <c r="B100" i="1"/>
  <c r="F100" i="1"/>
  <c r="C97" i="1"/>
  <c r="E97" i="1"/>
  <c r="E98" i="1"/>
  <c r="E99" i="1"/>
  <c r="C100" i="1"/>
  <c r="E100" i="1"/>
  <c r="F6" i="1"/>
  <c r="E6" i="1"/>
  <c r="F5" i="1"/>
  <c r="E5" i="1"/>
  <c r="F4" i="1"/>
  <c r="E4" i="1"/>
  <c r="D38" i="1"/>
  <c r="B38" i="1"/>
  <c r="F38" i="1"/>
  <c r="C38" i="1"/>
  <c r="E38" i="1"/>
  <c r="D37" i="1"/>
  <c r="B37" i="1"/>
  <c r="F37" i="1"/>
  <c r="C37" i="1"/>
  <c r="E37" i="1"/>
  <c r="D36" i="1"/>
  <c r="B36" i="1"/>
  <c r="F36" i="1"/>
  <c r="C36" i="1"/>
  <c r="E36" i="1"/>
  <c r="D41" i="1"/>
  <c r="B41" i="1"/>
  <c r="F41" i="1"/>
  <c r="C41" i="1"/>
  <c r="E41" i="1"/>
  <c r="D40" i="1"/>
  <c r="B40" i="1"/>
  <c r="F40" i="1"/>
  <c r="C40" i="1"/>
  <c r="E40" i="1"/>
  <c r="D39" i="1"/>
  <c r="B39" i="1"/>
  <c r="F39" i="1"/>
  <c r="C39" i="1"/>
  <c r="E39" i="1"/>
  <c r="D43" i="1"/>
  <c r="B43" i="1"/>
  <c r="F43" i="1"/>
  <c r="C43" i="1"/>
  <c r="E43" i="1"/>
  <c r="D42" i="1"/>
  <c r="B42" i="1"/>
  <c r="F42" i="1"/>
  <c r="C42" i="1"/>
  <c r="E42" i="1"/>
  <c r="B51" i="1"/>
  <c r="F51" i="1"/>
  <c r="C51" i="1"/>
  <c r="E51" i="1"/>
  <c r="B50" i="1"/>
  <c r="F50" i="1"/>
  <c r="C50" i="1"/>
  <c r="E50" i="1"/>
  <c r="D49" i="1"/>
  <c r="B49" i="1"/>
  <c r="F49" i="1"/>
  <c r="C49" i="1"/>
  <c r="E49" i="1"/>
  <c r="D48" i="1"/>
  <c r="B48" i="1"/>
  <c r="F48" i="1"/>
  <c r="C48" i="1"/>
  <c r="E48" i="1"/>
  <c r="D47" i="1"/>
  <c r="B47" i="1"/>
  <c r="F47" i="1"/>
  <c r="C47" i="1"/>
  <c r="E47" i="1"/>
  <c r="D46" i="1"/>
  <c r="B46" i="1"/>
  <c r="F46" i="1"/>
  <c r="C46" i="1"/>
  <c r="E46" i="1"/>
  <c r="D45" i="1"/>
  <c r="B45" i="1"/>
  <c r="F45" i="1"/>
  <c r="C45" i="1"/>
  <c r="E45" i="1"/>
  <c r="D44" i="1"/>
  <c r="B44" i="1"/>
  <c r="F44" i="1"/>
  <c r="C44" i="1"/>
  <c r="E44" i="1"/>
  <c r="F52" i="1"/>
  <c r="E52" i="1"/>
  <c r="F55" i="1"/>
  <c r="E55" i="1"/>
  <c r="F54" i="1"/>
  <c r="E54" i="1"/>
  <c r="F53" i="1"/>
  <c r="E53" i="1"/>
  <c r="F57" i="1"/>
  <c r="E57" i="1"/>
  <c r="F56" i="1"/>
  <c r="E56" i="1"/>
  <c r="F61" i="1"/>
  <c r="E61" i="1"/>
  <c r="F60" i="1"/>
  <c r="E60" i="1"/>
  <c r="F59" i="1"/>
  <c r="E59" i="1"/>
  <c r="F58" i="1"/>
  <c r="E58" i="1"/>
  <c r="D68" i="1"/>
  <c r="F68" i="1"/>
  <c r="E68" i="1"/>
  <c r="D67" i="1"/>
  <c r="F67" i="1"/>
  <c r="E67" i="1"/>
  <c r="D66" i="1"/>
  <c r="F66" i="1"/>
  <c r="E66" i="1"/>
  <c r="D65" i="1"/>
  <c r="F65" i="1"/>
  <c r="E65" i="1"/>
  <c r="D64" i="1"/>
  <c r="F64" i="1"/>
  <c r="E64" i="1"/>
  <c r="D63" i="1"/>
  <c r="F63" i="1"/>
  <c r="E63" i="1"/>
  <c r="F62" i="1"/>
  <c r="E62" i="1"/>
  <c r="D70" i="1"/>
  <c r="F70" i="1"/>
  <c r="E70" i="1"/>
  <c r="D69" i="1"/>
  <c r="F69" i="1"/>
  <c r="E69" i="1"/>
  <c r="F71" i="1"/>
  <c r="E71" i="1"/>
  <c r="F73" i="1"/>
  <c r="E73" i="1"/>
  <c r="F72" i="1"/>
  <c r="E72" i="1"/>
  <c r="F76" i="1"/>
  <c r="E76" i="1"/>
  <c r="F75" i="1"/>
  <c r="E75" i="1"/>
  <c r="F74" i="1"/>
  <c r="E74" i="1"/>
  <c r="D78" i="1"/>
  <c r="F78" i="1"/>
  <c r="E78" i="1"/>
  <c r="D77" i="1"/>
  <c r="F77" i="1"/>
  <c r="E77" i="1"/>
  <c r="F113" i="1"/>
  <c r="E113" i="1"/>
  <c r="F112" i="1"/>
  <c r="E112" i="1"/>
  <c r="F111" i="1"/>
  <c r="E111" i="1"/>
  <c r="B110" i="1"/>
  <c r="F110" i="1"/>
  <c r="C110" i="1"/>
  <c r="E110" i="1"/>
  <c r="B109" i="1"/>
  <c r="F109" i="1"/>
  <c r="C109" i="1"/>
  <c r="E109" i="1"/>
  <c r="B108" i="1"/>
  <c r="F108" i="1"/>
  <c r="C108" i="1"/>
  <c r="E108" i="1"/>
  <c r="F107" i="1"/>
  <c r="E107" i="1"/>
  <c r="D106" i="1"/>
  <c r="F106" i="1"/>
  <c r="E106" i="1"/>
  <c r="D105" i="1"/>
  <c r="F105" i="1"/>
  <c r="E105" i="1"/>
  <c r="F104" i="1"/>
  <c r="E104" i="1"/>
  <c r="D103" i="1"/>
  <c r="B103" i="1"/>
  <c r="F103" i="1"/>
  <c r="C103" i="1"/>
  <c r="E103" i="1"/>
  <c r="D102" i="1"/>
  <c r="B102" i="1"/>
  <c r="F102" i="1"/>
  <c r="C102" i="1"/>
  <c r="E102" i="1"/>
  <c r="D101" i="1"/>
  <c r="B101" i="1"/>
  <c r="F101" i="1"/>
  <c r="C101" i="1"/>
  <c r="E101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D35" i="1"/>
  <c r="B35" i="1"/>
  <c r="F35" i="1"/>
  <c r="C35" i="1"/>
  <c r="E35" i="1"/>
  <c r="D34" i="1"/>
  <c r="B34" i="1"/>
  <c r="F34" i="1"/>
  <c r="C34" i="1"/>
  <c r="E34" i="1"/>
  <c r="D33" i="1"/>
  <c r="B33" i="1"/>
  <c r="F33" i="1"/>
  <c r="C33" i="1"/>
  <c r="E33" i="1"/>
  <c r="D32" i="1"/>
  <c r="B32" i="1"/>
  <c r="F32" i="1"/>
  <c r="C32" i="1"/>
  <c r="E32" i="1"/>
  <c r="D31" i="1"/>
  <c r="B31" i="1"/>
  <c r="F31" i="1"/>
  <c r="C31" i="1"/>
  <c r="E31" i="1"/>
  <c r="D30" i="1"/>
  <c r="B30" i="1"/>
  <c r="F30" i="1"/>
  <c r="C30" i="1"/>
  <c r="E30" i="1"/>
  <c r="D29" i="1"/>
  <c r="B29" i="1"/>
  <c r="F29" i="1"/>
  <c r="C29" i="1"/>
  <c r="E29" i="1"/>
  <c r="D28" i="1"/>
  <c r="B28" i="1"/>
  <c r="F28" i="1"/>
  <c r="C28" i="1"/>
  <c r="E28" i="1"/>
  <c r="D27" i="1"/>
  <c r="B27" i="1"/>
  <c r="F27" i="1"/>
  <c r="C27" i="1"/>
  <c r="E27" i="1"/>
  <c r="D26" i="1"/>
  <c r="B26" i="1"/>
  <c r="F26" i="1"/>
  <c r="C26" i="1"/>
  <c r="E26" i="1"/>
  <c r="D25" i="1"/>
  <c r="B25" i="1"/>
  <c r="F25" i="1"/>
  <c r="C25" i="1"/>
  <c r="E25" i="1"/>
  <c r="D24" i="1"/>
  <c r="B24" i="1"/>
  <c r="F24" i="1"/>
  <c r="C24" i="1"/>
  <c r="E24" i="1"/>
  <c r="D23" i="1"/>
  <c r="B23" i="1"/>
  <c r="F23" i="1"/>
  <c r="C23" i="1"/>
  <c r="E23" i="1"/>
  <c r="D22" i="1"/>
  <c r="B22" i="1"/>
  <c r="F22" i="1"/>
  <c r="C22" i="1"/>
  <c r="E22" i="1"/>
  <c r="D21" i="1"/>
  <c r="B21" i="1"/>
  <c r="F21" i="1"/>
  <c r="C21" i="1"/>
  <c r="E21" i="1"/>
  <c r="D20" i="1"/>
  <c r="B20" i="1"/>
  <c r="F20" i="1"/>
  <c r="C20" i="1"/>
  <c r="E20" i="1"/>
  <c r="D19" i="1"/>
  <c r="B19" i="1"/>
  <c r="F19" i="1"/>
  <c r="C19" i="1"/>
  <c r="E19" i="1"/>
  <c r="D18" i="1"/>
  <c r="B18" i="1"/>
  <c r="F18" i="1"/>
  <c r="C18" i="1"/>
  <c r="E18" i="1"/>
  <c r="D17" i="1"/>
  <c r="B17" i="1"/>
  <c r="F17" i="1"/>
  <c r="C17" i="1"/>
  <c r="E17" i="1"/>
  <c r="D16" i="1"/>
  <c r="B16" i="1"/>
  <c r="F16" i="1"/>
  <c r="C16" i="1"/>
  <c r="E16" i="1"/>
  <c r="D15" i="1"/>
  <c r="B15" i="1"/>
  <c r="F15" i="1"/>
  <c r="C15" i="1"/>
  <c r="E15" i="1"/>
  <c r="D14" i="1"/>
  <c r="B14" i="1"/>
  <c r="F14" i="1"/>
  <c r="C14" i="1"/>
  <c r="E14" i="1"/>
  <c r="D13" i="1"/>
  <c r="B13" i="1"/>
  <c r="F13" i="1"/>
  <c r="C13" i="1"/>
  <c r="E13" i="1"/>
  <c r="D12" i="1"/>
  <c r="B12" i="1"/>
  <c r="F12" i="1"/>
  <c r="C12" i="1"/>
  <c r="E12" i="1"/>
  <c r="D11" i="1"/>
  <c r="B11" i="1"/>
  <c r="F11" i="1"/>
  <c r="C11" i="1"/>
  <c r="E11" i="1"/>
  <c r="D10" i="1"/>
  <c r="B10" i="1"/>
  <c r="F10" i="1"/>
  <c r="C10" i="1"/>
  <c r="E10" i="1"/>
  <c r="D9" i="1"/>
  <c r="B9" i="1"/>
  <c r="F9" i="1"/>
  <c r="C9" i="1"/>
  <c r="E9" i="1"/>
  <c r="D8" i="1"/>
  <c r="B8" i="1"/>
  <c r="F8" i="1"/>
  <c r="C8" i="1"/>
  <c r="E8" i="1"/>
  <c r="D7" i="1"/>
  <c r="B7" i="1"/>
  <c r="F7" i="1"/>
  <c r="C7" i="1"/>
  <c r="E7" i="1"/>
  <c r="D3" i="1"/>
  <c r="B3" i="1"/>
  <c r="F3" i="1"/>
  <c r="C3" i="1"/>
  <c r="E3" i="1"/>
  <c r="D2" i="1"/>
  <c r="B2" i="1"/>
  <c r="F2" i="1"/>
  <c r="C2" i="1"/>
  <c r="E2" i="1"/>
</calcChain>
</file>

<file path=xl/sharedStrings.xml><?xml version="1.0" encoding="utf-8"?>
<sst xmlns="http://schemas.openxmlformats.org/spreadsheetml/2006/main" count="185" uniqueCount="181">
  <si>
    <t>MII Oocyte 2</t>
  </si>
  <si>
    <t>2-cell 1</t>
    <phoneticPr fontId="2" type="noConversion"/>
  </si>
  <si>
    <t>2-cell 2</t>
  </si>
  <si>
    <t>2-cell 3</t>
  </si>
  <si>
    <t>2-cell 4</t>
  </si>
  <si>
    <t>4-cell 1</t>
    <phoneticPr fontId="2" type="noConversion"/>
  </si>
  <si>
    <t>4-cell 2</t>
  </si>
  <si>
    <t>4-cell 3</t>
  </si>
  <si>
    <t>4-cell 4</t>
  </si>
  <si>
    <t>8-cell 1</t>
    <phoneticPr fontId="2" type="noConversion"/>
  </si>
  <si>
    <t>8-cell 2</t>
    <phoneticPr fontId="2" type="noConversion"/>
  </si>
  <si>
    <t>8-cell 3</t>
    <phoneticPr fontId="2" type="noConversion"/>
  </si>
  <si>
    <t>morula 1</t>
    <phoneticPr fontId="2" type="noConversion"/>
  </si>
  <si>
    <t>morula 2</t>
  </si>
  <si>
    <t>ICM 1</t>
    <phoneticPr fontId="2" type="noConversion"/>
  </si>
  <si>
    <t>ICM 2</t>
  </si>
  <si>
    <t>ICM 3</t>
  </si>
  <si>
    <t>ICM 4</t>
  </si>
  <si>
    <t>TE 1</t>
    <phoneticPr fontId="2" type="noConversion"/>
  </si>
  <si>
    <t>TE 2</t>
  </si>
  <si>
    <t>TE 3</t>
  </si>
  <si>
    <t>TE 4</t>
  </si>
  <si>
    <t>morula ctrl 1</t>
    <phoneticPr fontId="2" type="noConversion"/>
  </si>
  <si>
    <t>morula ctrl 2</t>
  </si>
  <si>
    <t>morula siChaf1a 1</t>
    <phoneticPr fontId="2" type="noConversion"/>
  </si>
  <si>
    <t>morula siChaf1a 2</t>
  </si>
  <si>
    <t>morula siSumo2 2</t>
  </si>
  <si>
    <t>morula siSetdb1 1</t>
    <phoneticPr fontId="2" type="noConversion"/>
  </si>
  <si>
    <t>morula siSetdb1 2</t>
  </si>
  <si>
    <t>morula siUbe2i 2</t>
  </si>
  <si>
    <t>morula siUbe2i 3</t>
  </si>
  <si>
    <t>morula siZfp809 2</t>
  </si>
  <si>
    <t>MII Oocyte 1</t>
    <phoneticPr fontId="2" type="noConversion"/>
  </si>
  <si>
    <t>morula siSumo2 1</t>
    <phoneticPr fontId="2" type="noConversion"/>
  </si>
  <si>
    <t>morula siUbe2i 1</t>
    <phoneticPr fontId="2" type="noConversion"/>
  </si>
  <si>
    <t>morula siZfp809 1</t>
    <phoneticPr fontId="2" type="noConversion"/>
  </si>
  <si>
    <t>Zygote</t>
    <phoneticPr fontId="2" type="noConversion"/>
  </si>
  <si>
    <t>Early 2-cell</t>
    <phoneticPr fontId="2" type="noConversion"/>
  </si>
  <si>
    <t>Late 2-cell</t>
    <phoneticPr fontId="2" type="noConversion"/>
  </si>
  <si>
    <t>4-cell</t>
    <phoneticPr fontId="2" type="noConversion"/>
  </si>
  <si>
    <t>8-cell</t>
    <phoneticPr fontId="2" type="noConversion"/>
  </si>
  <si>
    <t>morula</t>
    <phoneticPr fontId="2" type="noConversion"/>
  </si>
  <si>
    <t>ICM</t>
    <phoneticPr fontId="2" type="noConversion"/>
  </si>
  <si>
    <t>TE</t>
    <phoneticPr fontId="2" type="noConversion"/>
  </si>
  <si>
    <t>MII Oocyte H3K9me3 rep1</t>
  </si>
  <si>
    <t>MII Oocyte H3K9me3 rep2</t>
  </si>
  <si>
    <t>sperm Input</t>
  </si>
  <si>
    <t>sperm H3K9me3 rep1</t>
  </si>
  <si>
    <t>sperm H3K9me3 rep2</t>
  </si>
  <si>
    <t>zygote Input</t>
  </si>
  <si>
    <t>zygote H3K4me3 rep1</t>
  </si>
  <si>
    <t>zygote H3K4me3 rep2</t>
  </si>
  <si>
    <t>zygote H3K27me3 rep1</t>
  </si>
  <si>
    <t>zygote H3K27me3 rep2</t>
  </si>
  <si>
    <t>zygote H3K27me3 rep3</t>
  </si>
  <si>
    <t>zygote H3K9me3 rep1</t>
  </si>
  <si>
    <t>zygote H3K9me3 rep2</t>
  </si>
  <si>
    <t>2-cell H3K9me3 rep1</t>
    <phoneticPr fontId="3" type="noConversion"/>
  </si>
  <si>
    <t>2-cell H3K9me3 rep2</t>
    <phoneticPr fontId="3" type="noConversion"/>
  </si>
  <si>
    <t>4-cell H3K9me3 rep1</t>
    <phoneticPr fontId="3" type="noConversion"/>
  </si>
  <si>
    <t>4-cell H3K9me3 rep2</t>
    <phoneticPr fontId="3" type="noConversion"/>
  </si>
  <si>
    <t>8-cell H3K9me3 rep1</t>
    <phoneticPr fontId="3" type="noConversion"/>
  </si>
  <si>
    <t>8-cell H3K9me3 rep2</t>
    <phoneticPr fontId="3" type="noConversion"/>
  </si>
  <si>
    <t>morula H3K9me3 rep1</t>
  </si>
  <si>
    <t>morula H3K9me3 rep2</t>
  </si>
  <si>
    <t>ICM H3K9me3 rep1</t>
  </si>
  <si>
    <t>ICM H3K9me3 rep2</t>
  </si>
  <si>
    <t>TE H3K9me3 rep1</t>
  </si>
  <si>
    <t>TE H3K9me3 rep2</t>
  </si>
  <si>
    <t>ESC H3K4me3 rep1</t>
    <phoneticPr fontId="3" type="noConversion"/>
  </si>
  <si>
    <t>ESC H3K4me3 rep2</t>
    <phoneticPr fontId="3" type="noConversion"/>
  </si>
  <si>
    <t>ESC H3K27me3 rep1</t>
  </si>
  <si>
    <t>ESC H3K27me3 rep2</t>
  </si>
  <si>
    <t>ESC H3K9me3 rep1</t>
  </si>
  <si>
    <t>ESC H3K9me3 rep2</t>
  </si>
  <si>
    <t>TSC H3K9me3 rep1</t>
  </si>
  <si>
    <t>TSC H3K9me3 rep2</t>
  </si>
  <si>
    <t>TSC H3K9me3 rep3</t>
  </si>
  <si>
    <t>morula ctrl H3K9me3 rep1</t>
  </si>
  <si>
    <t>morula ctrl H3K9me3 rep2</t>
  </si>
  <si>
    <t>morula ctrl input</t>
    <phoneticPr fontId="3" type="noConversion"/>
  </si>
  <si>
    <t>morula siChaf1a H3K9me3 rep1</t>
  </si>
  <si>
    <t>morula siChaf1a H3K9me3 rep2</t>
  </si>
  <si>
    <t>morula siChaf1a input</t>
  </si>
  <si>
    <t>morula siSumo2 H3K9me3 rep1</t>
  </si>
  <si>
    <t>morula siSumo2 H3K9me3 rep2</t>
  </si>
  <si>
    <t>morula siSumo2 input</t>
  </si>
  <si>
    <t>morula siSetdb1 H3K9me3 rep1</t>
  </si>
  <si>
    <t>morula siSetdb1 H3K9me3 rep2</t>
  </si>
  <si>
    <t>morula siSetdb1 input</t>
  </si>
  <si>
    <t>morula siUbe2i H3K9me3 rep1</t>
  </si>
  <si>
    <t>morula siUbe2i H3K9me3 rep2</t>
  </si>
  <si>
    <t>morula siUbe2i input</t>
  </si>
  <si>
    <t>morula siZfp809 H3K9me3 rep1</t>
  </si>
  <si>
    <t>morula siZfp809 H3K9me3 rep2</t>
  </si>
  <si>
    <t>morula siZfp809 input</t>
  </si>
  <si>
    <t>zygote C57BL/DBA input</t>
    <phoneticPr fontId="3" type="noConversion"/>
  </si>
  <si>
    <t>zygote C57BL/DBA H3K9me3 1</t>
    <phoneticPr fontId="3" type="noConversion"/>
  </si>
  <si>
    <t>zygote C57BL/DBA H3K9me3 2</t>
  </si>
  <si>
    <t>Early 2-cell C57BL/DBA input</t>
    <phoneticPr fontId="3" type="noConversion"/>
  </si>
  <si>
    <t>Early 2-cell C57BL/DBA H3K9me3 1</t>
    <phoneticPr fontId="3" type="noConversion"/>
  </si>
  <si>
    <t>Early 2-cell C57BL/DBA H3K9me3 2</t>
    <phoneticPr fontId="3" type="noConversion"/>
  </si>
  <si>
    <t>Late 2-cell C57BL/DBA input</t>
    <phoneticPr fontId="3" type="noConversion"/>
  </si>
  <si>
    <t>Late 2-cell C57BL/DBA H3K9me3 1</t>
    <phoneticPr fontId="3" type="noConversion"/>
  </si>
  <si>
    <t>Late 2-cell C57BL/DBA H3K9me3 2</t>
    <phoneticPr fontId="3" type="noConversion"/>
  </si>
  <si>
    <t>Late 2-cell C57BL/DBA H3K9me3 3</t>
    <phoneticPr fontId="3" type="noConversion"/>
  </si>
  <si>
    <t>ICM C57BL/DBA input</t>
    <phoneticPr fontId="3" type="noConversion"/>
  </si>
  <si>
    <t>ICM C57BL/DBA H3K9me3 1</t>
    <phoneticPr fontId="3" type="noConversion"/>
  </si>
  <si>
    <t>ICM C57BL/DBA H3K9me3 2</t>
    <phoneticPr fontId="3" type="noConversion"/>
  </si>
  <si>
    <t>Analysis ID</t>
  </si>
  <si>
    <t>Total Reads Pairs</t>
  </si>
  <si>
    <t>Mapped Reads Pairs</t>
  </si>
  <si>
    <t>High Quality Mapped Reads Pairs(Q&gt;30)</t>
  </si>
  <si>
    <t>Mapped Percentage</t>
  </si>
  <si>
    <t>High Quality Mapped Percentage</t>
  </si>
  <si>
    <t>Total Reads</t>
    <phoneticPr fontId="1" type="noConversion"/>
  </si>
  <si>
    <t>Mapped Reads</t>
    <phoneticPr fontId="1" type="noConversion"/>
  </si>
  <si>
    <t>Unique Mapped Reads</t>
    <phoneticPr fontId="1" type="noConversion"/>
  </si>
  <si>
    <t>Unique Mapped Percentage</t>
    <phoneticPr fontId="1" type="noConversion"/>
  </si>
  <si>
    <t>Unique Mapped Reads Pairs</t>
    <phoneticPr fontId="1" type="noConversion"/>
  </si>
  <si>
    <t>Unique Mapped Percentage</t>
    <phoneticPr fontId="1" type="noConversion"/>
  </si>
  <si>
    <t>Averaged CpG Coverage</t>
    <phoneticPr fontId="1" type="noConversion"/>
  </si>
  <si>
    <t>Bilsulfite conversion ratio</t>
    <phoneticPr fontId="1" type="noConversion"/>
  </si>
  <si>
    <t>Numbers of CpGs covered</t>
    <phoneticPr fontId="1" type="noConversion"/>
  </si>
  <si>
    <t>morula siTrim28 1</t>
    <phoneticPr fontId="1" type="noConversion"/>
  </si>
  <si>
    <t>morula siTrim28 2</t>
    <phoneticPr fontId="1" type="noConversion"/>
  </si>
  <si>
    <t>morula siZfp809 input</t>
    <phoneticPr fontId="1" type="noConversion"/>
  </si>
  <si>
    <t>morula siTrim28 H3K9me3 rep1</t>
    <phoneticPr fontId="1" type="noConversion"/>
  </si>
  <si>
    <t>morula siTrim28 H3K9me3 rep2</t>
    <phoneticPr fontId="1" type="noConversion"/>
  </si>
  <si>
    <t>morula siTrim28 H3K9me3 rep3</t>
    <phoneticPr fontId="1" type="noConversion"/>
  </si>
  <si>
    <t>E6.5 Epi</t>
    <phoneticPr fontId="3" type="noConversion"/>
  </si>
  <si>
    <t>E6.5 Exe</t>
    <phoneticPr fontId="3" type="noConversion"/>
  </si>
  <si>
    <t>E7.5 Epi</t>
    <phoneticPr fontId="3" type="noConversion"/>
  </si>
  <si>
    <t>E7.5 Exe</t>
    <phoneticPr fontId="3" type="noConversion"/>
  </si>
  <si>
    <t>E6.5 Epi 1</t>
    <phoneticPr fontId="2" type="noConversion"/>
  </si>
  <si>
    <t>E6.5 Epi 2</t>
    <phoneticPr fontId="1" type="noConversion"/>
  </si>
  <si>
    <t>E6.5 Exe 1</t>
    <phoneticPr fontId="2" type="noConversion"/>
  </si>
  <si>
    <t>E6.5 Exe 2</t>
    <phoneticPr fontId="1" type="noConversion"/>
  </si>
  <si>
    <t>E6.5 Epi H3K4me3 rep1</t>
    <phoneticPr fontId="1" type="noConversion"/>
  </si>
  <si>
    <t>E6.5 Epi H3K4me3 rep2</t>
  </si>
  <si>
    <t>E6.5 Epi H3K27me3 rep1</t>
    <phoneticPr fontId="1" type="noConversion"/>
  </si>
  <si>
    <t>E6.5 Epi H3K27me3 rep2</t>
  </si>
  <si>
    <t>E6.5 Epi H3K27me3 rep3</t>
  </si>
  <si>
    <t>E6.5 Epi H3K9me3 rep1</t>
    <phoneticPr fontId="1" type="noConversion"/>
  </si>
  <si>
    <t>E6.5 Epi H3K9me3 rep2</t>
  </si>
  <si>
    <t>E6.5 Epi Input</t>
    <phoneticPr fontId="1" type="noConversion"/>
  </si>
  <si>
    <t>E6.5 Exe Input</t>
    <phoneticPr fontId="1" type="noConversion"/>
  </si>
  <si>
    <t>E6.5 Exe H3K4me3 rep1</t>
    <phoneticPr fontId="1" type="noConversion"/>
  </si>
  <si>
    <t>E6.5 Exe H3K4me3 rep2</t>
  </si>
  <si>
    <t>E6.5 Exe H3K27me3 rep1</t>
    <phoneticPr fontId="1" type="noConversion"/>
  </si>
  <si>
    <t>E6.5 Exe H3K27me3 rep2</t>
    <phoneticPr fontId="1" type="noConversion"/>
  </si>
  <si>
    <t>E6.5 Exe H3K27me3 rep3</t>
  </si>
  <si>
    <t>E6.5 Exe H3K9me3 rep1</t>
    <phoneticPr fontId="1" type="noConversion"/>
  </si>
  <si>
    <t>E6.5 Exe H3K9me3 rep2</t>
  </si>
  <si>
    <t>E7.5 Epi Input</t>
    <phoneticPr fontId="1" type="noConversion"/>
  </si>
  <si>
    <t>E7.5 Epi H3K4me3 rep1</t>
    <phoneticPr fontId="1" type="noConversion"/>
  </si>
  <si>
    <t>E7.5 Epi H3K4me3 rep2</t>
  </si>
  <si>
    <t>E7.5 Epi H3K4me3 rep3</t>
  </si>
  <si>
    <t>E7.5 Epi H3K27me3 rep1</t>
    <phoneticPr fontId="1" type="noConversion"/>
  </si>
  <si>
    <t>E7.5 Epi H3K27me3 rep2</t>
  </si>
  <si>
    <t>E7.5 Epi H3K9me3 rep1</t>
    <phoneticPr fontId="1" type="noConversion"/>
  </si>
  <si>
    <t>E7.5 Epi H3K9me3 rep2</t>
  </si>
  <si>
    <t>E7.5 Epi H3K9me3 rep3</t>
  </si>
  <si>
    <t>E7.5 Epi H3K9me3 rep4</t>
  </si>
  <si>
    <t>E7.5 Exe Input</t>
    <phoneticPr fontId="1" type="noConversion"/>
  </si>
  <si>
    <t>E7.5 Exe H3K4me3 rep1</t>
    <phoneticPr fontId="1" type="noConversion"/>
  </si>
  <si>
    <t>E7.5 Exe H3K4me3 rep2</t>
  </si>
  <si>
    <t>E7.5 Exe H3K4me3 rep3</t>
  </si>
  <si>
    <t>E7.5 Exe H3K27me3 rep1</t>
    <phoneticPr fontId="1" type="noConversion"/>
  </si>
  <si>
    <t>E7.5 Exe H3K27me3 rep2</t>
  </si>
  <si>
    <t>E7.5 Exe H3K27me3 rep3</t>
  </si>
  <si>
    <t>E7.5 Exe H3K9me3 rep1</t>
    <phoneticPr fontId="1" type="noConversion"/>
  </si>
  <si>
    <t>E7.5 Exe H3K9me3 rep2</t>
  </si>
  <si>
    <t>E8.5 Epi Input</t>
    <phoneticPr fontId="1" type="noConversion"/>
  </si>
  <si>
    <t>E8.5 Epi H3K4me3 rep1</t>
    <phoneticPr fontId="1" type="noConversion"/>
  </si>
  <si>
    <t>E8.5 Epi H3K4me3 rep2</t>
  </si>
  <si>
    <t>E8.5 Epi H3K27me3 rep1</t>
    <phoneticPr fontId="1" type="noConversion"/>
  </si>
  <si>
    <t>E8.5 Epi H3K27me3 rep2</t>
  </si>
  <si>
    <t>E8.5 Epi H3K27me3 rep3</t>
    <phoneticPr fontId="1" type="noConversion"/>
  </si>
  <si>
    <t>E8.5 Epi H3K9me3 rep1</t>
    <phoneticPr fontId="1" type="noConversion"/>
  </si>
  <si>
    <t>E8.5 Epi H3K9me3 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</si>
</sst>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11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Arial"/>
    </font>
    <font>
      <sz val="9"/>
      <name val="宋体"/>
      <charset val="134"/>
    </font>
    <font>
      <b/>
      <sz val="14"/>
      <name val="Arial"/>
    </font>
    <font>
      <sz val="12"/>
      <color theme="1"/>
      <name val="Arial"/>
    </font>
    <font>
      <sz val="14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4"/>
      <color theme="1"/>
      <name val="Arial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38" fontId="4" fillId="2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38" fontId="4" fillId="2" borderId="1" xfId="0" applyNumberFormat="1" applyFont="1" applyFill="1" applyBorder="1" applyAlignment="1">
      <alignment horizontal="center" vertical="top"/>
    </xf>
    <xf numFmtId="10" fontId="4" fillId="2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 vertical="top"/>
    </xf>
    <xf numFmtId="38" fontId="5" fillId="0" borderId="1" xfId="0" applyNumberFormat="1" applyFont="1" applyBorder="1" applyAlignment="1">
      <alignment horizontal="center" vertical="top"/>
    </xf>
    <xf numFmtId="176" fontId="5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38" fontId="10" fillId="0" borderId="1" xfId="0" applyNumberFormat="1" applyFont="1" applyFill="1" applyBorder="1" applyAlignment="1">
      <alignment horizontal="center"/>
    </xf>
    <xf numFmtId="10" fontId="10" fillId="3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8" fontId="10" fillId="3" borderId="1" xfId="0" applyNumberFormat="1" applyFont="1" applyFill="1" applyBorder="1" applyAlignment="1">
      <alignment horizontal="center"/>
    </xf>
    <xf numFmtId="3" fontId="10" fillId="3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4" workbookViewId="0">
      <selection activeCell="A78" sqref="A78"/>
    </sheetView>
  </sheetViews>
  <sheetFormatPr baseColWidth="10" defaultColWidth="28.1640625" defaultRowHeight="17" customHeight="1" x14ac:dyDescent="0.2"/>
  <cols>
    <col min="1" max="1" width="34" style="5" customWidth="1"/>
    <col min="2" max="16384" width="28.1640625" style="5"/>
  </cols>
  <sheetData>
    <row r="1" spans="1:6" ht="17" customHeight="1" x14ac:dyDescent="0.2">
      <c r="A1" s="1" t="s">
        <v>109</v>
      </c>
      <c r="B1" s="3" t="s">
        <v>110</v>
      </c>
      <c r="C1" s="3" t="s">
        <v>111</v>
      </c>
      <c r="D1" s="3" t="s">
        <v>112</v>
      </c>
      <c r="E1" s="4" t="s">
        <v>113</v>
      </c>
      <c r="F1" s="4" t="s">
        <v>114</v>
      </c>
    </row>
    <row r="2" spans="1:6" s="11" customFormat="1" ht="17" customHeight="1" x14ac:dyDescent="0.2">
      <c r="A2" s="10" t="s">
        <v>44</v>
      </c>
      <c r="B2" s="19">
        <f>44524484/2</f>
        <v>22262242</v>
      </c>
      <c r="C2" s="19">
        <f>43583630/2</f>
        <v>21791815</v>
      </c>
      <c r="D2" s="19">
        <f>34656976/2</f>
        <v>17328488</v>
      </c>
      <c r="E2" s="20">
        <f t="shared" ref="E2:E6" si="0">C2/B2</f>
        <v>0.97886883989492168</v>
      </c>
      <c r="F2" s="20">
        <f t="shared" ref="F2:F6" si="1">D2/B2</f>
        <v>0.77838018291239486</v>
      </c>
    </row>
    <row r="3" spans="1:6" s="11" customFormat="1" ht="17" customHeight="1" x14ac:dyDescent="0.2">
      <c r="A3" s="10" t="s">
        <v>45</v>
      </c>
      <c r="B3" s="19">
        <f>48606678/2</f>
        <v>24303339</v>
      </c>
      <c r="C3" s="19">
        <f>47856168/2</f>
        <v>23928084</v>
      </c>
      <c r="D3" s="19">
        <f>38614345/2</f>
        <v>19307172.5</v>
      </c>
      <c r="E3" s="20">
        <f t="shared" si="0"/>
        <v>0.98455952904249078</v>
      </c>
      <c r="F3" s="20">
        <f t="shared" si="1"/>
        <v>0.79442468789988074</v>
      </c>
    </row>
    <row r="4" spans="1:6" s="11" customFormat="1" ht="17" customHeight="1" x14ac:dyDescent="0.2">
      <c r="A4" s="10" t="s">
        <v>46</v>
      </c>
      <c r="B4" s="19">
        <v>26504319.5</v>
      </c>
      <c r="C4" s="19">
        <v>26351336</v>
      </c>
      <c r="D4" s="19">
        <v>22918920</v>
      </c>
      <c r="E4" s="20">
        <f t="shared" si="0"/>
        <v>0.99422797857534129</v>
      </c>
      <c r="F4" s="20">
        <f t="shared" si="1"/>
        <v>0.86472395565560545</v>
      </c>
    </row>
    <row r="5" spans="1:6" s="11" customFormat="1" ht="17" customHeight="1" x14ac:dyDescent="0.2">
      <c r="A5" s="10" t="s">
        <v>47</v>
      </c>
      <c r="B5" s="19">
        <v>23022440</v>
      </c>
      <c r="C5" s="19">
        <v>15336202.5</v>
      </c>
      <c r="D5" s="19">
        <v>10843118</v>
      </c>
      <c r="E5" s="20">
        <f t="shared" si="0"/>
        <v>0.66614149064999195</v>
      </c>
      <c r="F5" s="20">
        <f t="shared" si="1"/>
        <v>0.4709803999923553</v>
      </c>
    </row>
    <row r="6" spans="1:6" s="11" customFormat="1" ht="17" customHeight="1" x14ac:dyDescent="0.2">
      <c r="A6" s="10" t="s">
        <v>48</v>
      </c>
      <c r="B6" s="19">
        <v>21838063</v>
      </c>
      <c r="C6" s="19">
        <v>12219369</v>
      </c>
      <c r="D6" s="19">
        <v>8747018.5</v>
      </c>
      <c r="E6" s="20">
        <f t="shared" si="0"/>
        <v>0.55954454385446184</v>
      </c>
      <c r="F6" s="20">
        <f t="shared" si="1"/>
        <v>0.40054003415962303</v>
      </c>
    </row>
    <row r="7" spans="1:6" s="11" customFormat="1" ht="17" customHeight="1" x14ac:dyDescent="0.2">
      <c r="A7" s="10" t="s">
        <v>49</v>
      </c>
      <c r="B7" s="21">
        <f>25937539/2</f>
        <v>12968769.5</v>
      </c>
      <c r="C7" s="21">
        <f>25818601/2</f>
        <v>12909300.5</v>
      </c>
      <c r="D7" s="21">
        <f>22475328/2</f>
        <v>11237664</v>
      </c>
      <c r="E7" s="20">
        <f t="shared" ref="E7:E35" si="2">C7/B7</f>
        <v>0.99541444544912294</v>
      </c>
      <c r="F7" s="20">
        <f t="shared" ref="F7:F35" si="3">D7/B7</f>
        <v>0.86651736697147719</v>
      </c>
    </row>
    <row r="8" spans="1:6" s="11" customFormat="1" ht="17" customHeight="1" x14ac:dyDescent="0.2">
      <c r="A8" s="10" t="s">
        <v>50</v>
      </c>
      <c r="B8" s="21">
        <f>31707037/2</f>
        <v>15853518.5</v>
      </c>
      <c r="C8" s="21">
        <f>31649217/2</f>
        <v>15824608.5</v>
      </c>
      <c r="D8" s="21">
        <f>27690888/2</f>
        <v>13845444</v>
      </c>
      <c r="E8" s="20">
        <f t="shared" si="2"/>
        <v>0.99817643004611245</v>
      </c>
      <c r="F8" s="20">
        <f t="shared" si="3"/>
        <v>0.87333572039544405</v>
      </c>
    </row>
    <row r="9" spans="1:6" s="11" customFormat="1" ht="17" customHeight="1" x14ac:dyDescent="0.2">
      <c r="A9" s="10" t="s">
        <v>51</v>
      </c>
      <c r="B9" s="21">
        <f>46608842/2</f>
        <v>23304421</v>
      </c>
      <c r="C9" s="21">
        <f>46278492/2</f>
        <v>23139246</v>
      </c>
      <c r="D9" s="21">
        <f>43092921/2</f>
        <v>21546460.5</v>
      </c>
      <c r="E9" s="20">
        <f t="shared" si="2"/>
        <v>0.99291228904592821</v>
      </c>
      <c r="F9" s="20">
        <f t="shared" si="3"/>
        <v>0.92456536465763295</v>
      </c>
    </row>
    <row r="10" spans="1:6" s="11" customFormat="1" ht="17" customHeight="1" x14ac:dyDescent="0.2">
      <c r="A10" s="10" t="s">
        <v>52</v>
      </c>
      <c r="B10" s="21">
        <f>45732775/2</f>
        <v>22866387.5</v>
      </c>
      <c r="C10" s="21">
        <f>45408815/2</f>
        <v>22704407.5</v>
      </c>
      <c r="D10" s="21">
        <f>38956371/2</f>
        <v>19478185.5</v>
      </c>
      <c r="E10" s="20">
        <f t="shared" si="2"/>
        <v>0.99291624004884904</v>
      </c>
      <c r="F10" s="20">
        <f t="shared" si="3"/>
        <v>0.85182609190017444</v>
      </c>
    </row>
    <row r="11" spans="1:6" s="11" customFormat="1" ht="17" customHeight="1" x14ac:dyDescent="0.2">
      <c r="A11" s="10" t="s">
        <v>53</v>
      </c>
      <c r="B11" s="22">
        <f>42662722/2</f>
        <v>21331361</v>
      </c>
      <c r="C11" s="22">
        <f>42526363/2</f>
        <v>21263181.5</v>
      </c>
      <c r="D11" s="22">
        <f>36228826/2</f>
        <v>18114413</v>
      </c>
      <c r="E11" s="20">
        <f t="shared" si="2"/>
        <v>0.99680379043793788</v>
      </c>
      <c r="F11" s="20">
        <f t="shared" si="3"/>
        <v>0.84919161979397373</v>
      </c>
    </row>
    <row r="12" spans="1:6" s="11" customFormat="1" ht="17" customHeight="1" x14ac:dyDescent="0.2">
      <c r="A12" s="10" t="s">
        <v>54</v>
      </c>
      <c r="B12" s="22">
        <f>34403341/2</f>
        <v>17201670.5</v>
      </c>
      <c r="C12" s="22">
        <f>34244207/2</f>
        <v>17122103.5</v>
      </c>
      <c r="D12" s="22">
        <f>29279947/2</f>
        <v>14639973.5</v>
      </c>
      <c r="E12" s="20">
        <f t="shared" si="2"/>
        <v>0.99537446086994863</v>
      </c>
      <c r="F12" s="20">
        <f t="shared" si="3"/>
        <v>0.85107859146586951</v>
      </c>
    </row>
    <row r="13" spans="1:6" s="11" customFormat="1" ht="17" customHeight="1" x14ac:dyDescent="0.2">
      <c r="A13" s="10" t="s">
        <v>55</v>
      </c>
      <c r="B13" s="23">
        <f>48431498/2</f>
        <v>24215749</v>
      </c>
      <c r="C13" s="23">
        <f>48251200/2</f>
        <v>24125600</v>
      </c>
      <c r="D13" s="23">
        <f>37532532/2</f>
        <v>18766266</v>
      </c>
      <c r="E13" s="20">
        <f t="shared" si="2"/>
        <v>0.99627725741623763</v>
      </c>
      <c r="F13" s="20">
        <f t="shared" si="3"/>
        <v>0.7749612039668895</v>
      </c>
    </row>
    <row r="14" spans="1:6" s="11" customFormat="1" ht="17" customHeight="1" x14ac:dyDescent="0.2">
      <c r="A14" s="10" t="s">
        <v>56</v>
      </c>
      <c r="B14" s="23">
        <f>66476940/2</f>
        <v>33238470</v>
      </c>
      <c r="C14" s="23">
        <f>66210085/2</f>
        <v>33105042.5</v>
      </c>
      <c r="D14" s="23">
        <f>51972664/2</f>
        <v>25986332</v>
      </c>
      <c r="E14" s="20">
        <f t="shared" si="2"/>
        <v>0.99598575084833929</v>
      </c>
      <c r="F14" s="20">
        <f t="shared" si="3"/>
        <v>0.78181492710103684</v>
      </c>
    </row>
    <row r="15" spans="1:6" s="11" customFormat="1" ht="17" customHeight="1" x14ac:dyDescent="0.2">
      <c r="A15" s="10" t="s">
        <v>57</v>
      </c>
      <c r="B15" s="22">
        <f>73014006/2</f>
        <v>36507003</v>
      </c>
      <c r="C15" s="22">
        <f>72193614/2</f>
        <v>36096807</v>
      </c>
      <c r="D15" s="22">
        <f>53510296/2</f>
        <v>26755148</v>
      </c>
      <c r="E15" s="20">
        <f t="shared" si="2"/>
        <v>0.98876390921489776</v>
      </c>
      <c r="F15" s="20">
        <f t="shared" si="3"/>
        <v>0.73287714140763627</v>
      </c>
    </row>
    <row r="16" spans="1:6" s="11" customFormat="1" ht="17" customHeight="1" x14ac:dyDescent="0.2">
      <c r="A16" s="10" t="s">
        <v>58</v>
      </c>
      <c r="B16" s="22">
        <f>79043438/2</f>
        <v>39521719</v>
      </c>
      <c r="C16" s="22">
        <f>78300405/2</f>
        <v>39150202.5</v>
      </c>
      <c r="D16" s="22">
        <f>60292192/2</f>
        <v>30146096</v>
      </c>
      <c r="E16" s="20">
        <f t="shared" si="2"/>
        <v>0.99059968773119411</v>
      </c>
      <c r="F16" s="20">
        <f t="shared" si="3"/>
        <v>0.76277289456969222</v>
      </c>
    </row>
    <row r="17" spans="1:6" s="11" customFormat="1" ht="17" customHeight="1" x14ac:dyDescent="0.2">
      <c r="A17" s="10" t="s">
        <v>59</v>
      </c>
      <c r="B17" s="23">
        <f>44690984/2</f>
        <v>22345492</v>
      </c>
      <c r="C17" s="23">
        <f>42648878/2</f>
        <v>21324439</v>
      </c>
      <c r="D17" s="23">
        <f>33913758/2</f>
        <v>16956879</v>
      </c>
      <c r="E17" s="20">
        <f t="shared" si="2"/>
        <v>0.95430608554065399</v>
      </c>
      <c r="F17" s="20">
        <f t="shared" si="3"/>
        <v>0.75885010721625645</v>
      </c>
    </row>
    <row r="18" spans="1:6" s="11" customFormat="1" ht="17" customHeight="1" x14ac:dyDescent="0.2">
      <c r="A18" s="10" t="s">
        <v>60</v>
      </c>
      <c r="B18" s="23">
        <f>39829426/2</f>
        <v>19914713</v>
      </c>
      <c r="C18" s="23">
        <f>37095422/2</f>
        <v>18547711</v>
      </c>
      <c r="D18" s="23">
        <f>29499324/2</f>
        <v>14749662</v>
      </c>
      <c r="E18" s="20">
        <f t="shared" si="2"/>
        <v>0.93135718300334025</v>
      </c>
      <c r="F18" s="20">
        <f t="shared" si="3"/>
        <v>0.74064145438601103</v>
      </c>
    </row>
    <row r="19" spans="1:6" s="11" customFormat="1" ht="17" customHeight="1" x14ac:dyDescent="0.2">
      <c r="A19" s="10" t="s">
        <v>61</v>
      </c>
      <c r="B19" s="23">
        <f>34515658/2</f>
        <v>17257829</v>
      </c>
      <c r="C19" s="23">
        <f>34358021/2</f>
        <v>17179010.5</v>
      </c>
      <c r="D19" s="23">
        <f>26851693/2</f>
        <v>13425846.5</v>
      </c>
      <c r="E19" s="20">
        <f t="shared" si="2"/>
        <v>0.99543288440278321</v>
      </c>
      <c r="F19" s="20">
        <f t="shared" si="3"/>
        <v>0.77795686236084505</v>
      </c>
    </row>
    <row r="20" spans="1:6" s="11" customFormat="1" ht="17" customHeight="1" x14ac:dyDescent="0.2">
      <c r="A20" s="10" t="s">
        <v>62</v>
      </c>
      <c r="B20" s="23">
        <f>44744577/2</f>
        <v>22372288.5</v>
      </c>
      <c r="C20" s="23">
        <f>44546844/2</f>
        <v>22273422</v>
      </c>
      <c r="D20" s="23">
        <f>34986954/2</f>
        <v>17493477</v>
      </c>
      <c r="E20" s="20">
        <f t="shared" si="2"/>
        <v>0.99558084994299978</v>
      </c>
      <c r="F20" s="20">
        <f t="shared" si="3"/>
        <v>0.78192613151756918</v>
      </c>
    </row>
    <row r="21" spans="1:6" s="11" customFormat="1" ht="17" customHeight="1" x14ac:dyDescent="0.2">
      <c r="A21" s="10" t="s">
        <v>63</v>
      </c>
      <c r="B21" s="23">
        <f>36318600/2</f>
        <v>18159300</v>
      </c>
      <c r="C21" s="23">
        <f>36061032/2</f>
        <v>18030516</v>
      </c>
      <c r="D21" s="23">
        <f>27558981/2</f>
        <v>13779490.5</v>
      </c>
      <c r="E21" s="20">
        <f t="shared" si="2"/>
        <v>0.99290809667773539</v>
      </c>
      <c r="F21" s="20">
        <f t="shared" si="3"/>
        <v>0.75881176587203247</v>
      </c>
    </row>
    <row r="22" spans="1:6" s="11" customFormat="1" ht="17" customHeight="1" x14ac:dyDescent="0.2">
      <c r="A22" s="10" t="s">
        <v>64</v>
      </c>
      <c r="B22" s="23">
        <f>50034737/2</f>
        <v>25017368.5</v>
      </c>
      <c r="C22" s="23">
        <f>49712880/2</f>
        <v>24856440</v>
      </c>
      <c r="D22" s="23">
        <f>38027392/2</f>
        <v>19013696</v>
      </c>
      <c r="E22" s="20">
        <f t="shared" si="2"/>
        <v>0.99356732903382705</v>
      </c>
      <c r="F22" s="20">
        <f t="shared" si="3"/>
        <v>0.76001982382759403</v>
      </c>
    </row>
    <row r="23" spans="1:6" s="11" customFormat="1" ht="17" customHeight="1" x14ac:dyDescent="0.2">
      <c r="A23" s="10" t="s">
        <v>65</v>
      </c>
      <c r="B23" s="23">
        <f>42599949/2</f>
        <v>21299974.5</v>
      </c>
      <c r="C23" s="23">
        <f>42387950/2</f>
        <v>21193975</v>
      </c>
      <c r="D23" s="23">
        <f>31176834/2</f>
        <v>15588417</v>
      </c>
      <c r="E23" s="20">
        <f t="shared" si="2"/>
        <v>0.99502349169479054</v>
      </c>
      <c r="F23" s="20">
        <f t="shared" si="3"/>
        <v>0.73185143954045584</v>
      </c>
    </row>
    <row r="24" spans="1:6" s="11" customFormat="1" ht="17" customHeight="1" x14ac:dyDescent="0.2">
      <c r="A24" s="10" t="s">
        <v>66</v>
      </c>
      <c r="B24" s="23">
        <f>40937979/2</f>
        <v>20468989.5</v>
      </c>
      <c r="C24" s="23">
        <f>40619693/2</f>
        <v>20309846.5</v>
      </c>
      <c r="D24" s="23">
        <f>29664123/2</f>
        <v>14832061.5</v>
      </c>
      <c r="E24" s="20">
        <f t="shared" si="2"/>
        <v>0.99222516578065567</v>
      </c>
      <c r="F24" s="20">
        <f t="shared" si="3"/>
        <v>0.72461131996770045</v>
      </c>
    </row>
    <row r="25" spans="1:6" s="11" customFormat="1" ht="17" customHeight="1" x14ac:dyDescent="0.2">
      <c r="A25" s="10" t="s">
        <v>67</v>
      </c>
      <c r="B25" s="23">
        <f>43519549/2</f>
        <v>21759774.5</v>
      </c>
      <c r="C25" s="23">
        <f>43380791/2</f>
        <v>21690395.5</v>
      </c>
      <c r="D25" s="23">
        <f>31278120/2</f>
        <v>15639060</v>
      </c>
      <c r="E25" s="20">
        <f t="shared" si="2"/>
        <v>0.99681159379661766</v>
      </c>
      <c r="F25" s="20">
        <f t="shared" si="3"/>
        <v>0.71871424954334895</v>
      </c>
    </row>
    <row r="26" spans="1:6" s="11" customFormat="1" ht="17" customHeight="1" x14ac:dyDescent="0.2">
      <c r="A26" s="10" t="s">
        <v>68</v>
      </c>
      <c r="B26" s="23">
        <f>41383931/2</f>
        <v>20691965.5</v>
      </c>
      <c r="C26" s="23">
        <f>41201536/2</f>
        <v>20600768</v>
      </c>
      <c r="D26" s="23">
        <f>28626020/2</f>
        <v>14313010</v>
      </c>
      <c r="E26" s="20">
        <f t="shared" si="2"/>
        <v>0.99559261298787682</v>
      </c>
      <c r="F26" s="20">
        <f t="shared" si="3"/>
        <v>0.69171824203940413</v>
      </c>
    </row>
    <row r="27" spans="1:6" s="11" customFormat="1" ht="17" customHeight="1" x14ac:dyDescent="0.2">
      <c r="A27" s="10" t="s">
        <v>69</v>
      </c>
      <c r="B27" s="24">
        <f>108292322/2</f>
        <v>54146161</v>
      </c>
      <c r="C27" s="24">
        <f>107395478/2</f>
        <v>53697739</v>
      </c>
      <c r="D27" s="24">
        <f>89690553/2</f>
        <v>44845276.5</v>
      </c>
      <c r="E27" s="25">
        <f t="shared" si="2"/>
        <v>0.99171830483051238</v>
      </c>
      <c r="F27" s="25">
        <f t="shared" si="3"/>
        <v>0.82822633538137636</v>
      </c>
    </row>
    <row r="28" spans="1:6" s="11" customFormat="1" ht="17" customHeight="1" x14ac:dyDescent="0.2">
      <c r="A28" s="10" t="s">
        <v>70</v>
      </c>
      <c r="B28" s="24">
        <f>98804699/2</f>
        <v>49402349.5</v>
      </c>
      <c r="C28" s="24">
        <f>98184535/2</f>
        <v>49092267.5</v>
      </c>
      <c r="D28" s="24">
        <f>82288576/2</f>
        <v>41144288</v>
      </c>
      <c r="E28" s="25">
        <f t="shared" si="2"/>
        <v>0.99372333496001031</v>
      </c>
      <c r="F28" s="25">
        <f t="shared" si="3"/>
        <v>0.83284071337538312</v>
      </c>
    </row>
    <row r="29" spans="1:6" s="11" customFormat="1" ht="17" customHeight="1" x14ac:dyDescent="0.2">
      <c r="A29" s="10" t="s">
        <v>71</v>
      </c>
      <c r="B29" s="24">
        <f>88499121/2</f>
        <v>44249560.5</v>
      </c>
      <c r="C29" s="24">
        <f>87552457/2</f>
        <v>43776228.5</v>
      </c>
      <c r="D29" s="24">
        <f>78291246/2</f>
        <v>39145623</v>
      </c>
      <c r="E29" s="25">
        <f t="shared" si="2"/>
        <v>0.98930312539488385</v>
      </c>
      <c r="F29" s="25">
        <f t="shared" si="3"/>
        <v>0.88465563403731429</v>
      </c>
    </row>
    <row r="30" spans="1:6" s="11" customFormat="1" ht="17" customHeight="1" x14ac:dyDescent="0.2">
      <c r="A30" s="10" t="s">
        <v>72</v>
      </c>
      <c r="B30" s="24">
        <f>106589090/2</f>
        <v>53294545</v>
      </c>
      <c r="C30" s="24">
        <f>105846071/2</f>
        <v>52923035.5</v>
      </c>
      <c r="D30" s="24">
        <f>95022399/2</f>
        <v>47511199.5</v>
      </c>
      <c r="E30" s="25">
        <f t="shared" si="2"/>
        <v>0.99302912708983626</v>
      </c>
      <c r="F30" s="25">
        <f t="shared" si="3"/>
        <v>0.89148334974996035</v>
      </c>
    </row>
    <row r="31" spans="1:6" s="11" customFormat="1" ht="17" customHeight="1" x14ac:dyDescent="0.2">
      <c r="A31" s="10" t="s">
        <v>73</v>
      </c>
      <c r="B31" s="24">
        <f>81143889/2</f>
        <v>40571944.5</v>
      </c>
      <c r="C31" s="24">
        <f>80571067/2</f>
        <v>40285533.5</v>
      </c>
      <c r="D31" s="24">
        <f>58357030/2</f>
        <v>29178515</v>
      </c>
      <c r="E31" s="25">
        <f t="shared" si="2"/>
        <v>0.99294066371405987</v>
      </c>
      <c r="F31" s="25">
        <f t="shared" si="3"/>
        <v>0.71917960451710661</v>
      </c>
    </row>
    <row r="32" spans="1:6" s="11" customFormat="1" ht="17" customHeight="1" x14ac:dyDescent="0.2">
      <c r="A32" s="10" t="s">
        <v>74</v>
      </c>
      <c r="B32" s="24">
        <f>89731002/2</f>
        <v>44865501</v>
      </c>
      <c r="C32" s="24">
        <f>87581980/2</f>
        <v>43790990</v>
      </c>
      <c r="D32" s="24">
        <f>64355230/2</f>
        <v>32177615</v>
      </c>
      <c r="E32" s="25">
        <f t="shared" si="2"/>
        <v>0.97605039560351725</v>
      </c>
      <c r="F32" s="25">
        <f t="shared" si="3"/>
        <v>0.71720173145954613</v>
      </c>
    </row>
    <row r="33" spans="1:6" s="11" customFormat="1" ht="17" customHeight="1" x14ac:dyDescent="0.2">
      <c r="A33" s="10" t="s">
        <v>75</v>
      </c>
      <c r="B33" s="23">
        <f>32261646/2</f>
        <v>16130823</v>
      </c>
      <c r="C33" s="23">
        <f>32070657/2</f>
        <v>16035328.5</v>
      </c>
      <c r="D33" s="23">
        <f>22602944/2</f>
        <v>11301472</v>
      </c>
      <c r="E33" s="20">
        <f t="shared" si="2"/>
        <v>0.99407999827411164</v>
      </c>
      <c r="F33" s="20">
        <f t="shared" si="3"/>
        <v>0.70061347768802618</v>
      </c>
    </row>
    <row r="34" spans="1:6" s="11" customFormat="1" ht="17" customHeight="1" x14ac:dyDescent="0.2">
      <c r="A34" s="10" t="s">
        <v>76</v>
      </c>
      <c r="B34" s="23">
        <f>29179407/2</f>
        <v>14589703.5</v>
      </c>
      <c r="C34" s="23">
        <f>28998496/2</f>
        <v>14499248</v>
      </c>
      <c r="D34" s="23">
        <f>19718038/2</f>
        <v>9859019</v>
      </c>
      <c r="E34" s="20">
        <f t="shared" si="2"/>
        <v>0.99380004535390321</v>
      </c>
      <c r="F34" s="20">
        <f t="shared" si="3"/>
        <v>0.6757518410158232</v>
      </c>
    </row>
    <row r="35" spans="1:6" s="11" customFormat="1" ht="17" customHeight="1" x14ac:dyDescent="0.2">
      <c r="A35" s="10" t="s">
        <v>77</v>
      </c>
      <c r="B35" s="23">
        <f>33268608/2</f>
        <v>16634304</v>
      </c>
      <c r="C35" s="23">
        <f>33025466/2</f>
        <v>16512733</v>
      </c>
      <c r="D35" s="23">
        <f>22660623/2</f>
        <v>11330311.5</v>
      </c>
      <c r="E35" s="20">
        <f t="shared" si="2"/>
        <v>0.99269154874168464</v>
      </c>
      <c r="F35" s="20">
        <f t="shared" si="3"/>
        <v>0.68114130293638975</v>
      </c>
    </row>
    <row r="36" spans="1:6" s="11" customFormat="1" ht="17" customHeight="1" x14ac:dyDescent="0.2">
      <c r="A36" s="10" t="s">
        <v>145</v>
      </c>
      <c r="B36" s="23">
        <f>86795119/2</f>
        <v>43397559.5</v>
      </c>
      <c r="C36" s="23">
        <f>86127425/2</f>
        <v>43063712.5</v>
      </c>
      <c r="D36" s="23">
        <f>76348684/2</f>
        <v>38174342</v>
      </c>
      <c r="E36" s="25">
        <f t="shared" ref="E36:E41" si="4">C36/B36</f>
        <v>0.99230724022626204</v>
      </c>
      <c r="F36" s="25">
        <f t="shared" ref="F36:F41" si="5">D36/B36</f>
        <v>0.87964259833551239</v>
      </c>
    </row>
    <row r="37" spans="1:6" s="11" customFormat="1" ht="17" customHeight="1" x14ac:dyDescent="0.2">
      <c r="A37" s="10" t="s">
        <v>138</v>
      </c>
      <c r="B37" s="23">
        <f>73291296/2</f>
        <v>36645648</v>
      </c>
      <c r="C37" s="23">
        <f>72664644/2</f>
        <v>36332322</v>
      </c>
      <c r="D37" s="23">
        <f>57178694/2</f>
        <v>28589347</v>
      </c>
      <c r="E37" s="25">
        <f t="shared" si="4"/>
        <v>0.99144984419432292</v>
      </c>
      <c r="F37" s="25">
        <f t="shared" si="5"/>
        <v>0.78015667781342002</v>
      </c>
    </row>
    <row r="38" spans="1:6" s="11" customFormat="1" ht="17" customHeight="1" x14ac:dyDescent="0.2">
      <c r="A38" s="10" t="s">
        <v>139</v>
      </c>
      <c r="B38" s="23">
        <f>79069348/2</f>
        <v>39534674</v>
      </c>
      <c r="C38" s="23">
        <f>78201978/2</f>
        <v>39100989</v>
      </c>
      <c r="D38" s="23">
        <f>66381084/2</f>
        <v>33190542</v>
      </c>
      <c r="E38" s="25">
        <f t="shared" si="4"/>
        <v>0.98903026239700376</v>
      </c>
      <c r="F38" s="25">
        <f t="shared" si="5"/>
        <v>0.8395299275769923</v>
      </c>
    </row>
    <row r="39" spans="1:6" s="11" customFormat="1" ht="17" customHeight="1" x14ac:dyDescent="0.2">
      <c r="A39" s="10" t="s">
        <v>140</v>
      </c>
      <c r="B39" s="23">
        <f>86250425/2</f>
        <v>43125212.5</v>
      </c>
      <c r="C39" s="23">
        <f>85608525/2</f>
        <v>42804262.5</v>
      </c>
      <c r="D39" s="23">
        <f>73296057/2</f>
        <v>36648028.5</v>
      </c>
      <c r="E39" s="25">
        <f t="shared" si="4"/>
        <v>0.99255771783153535</v>
      </c>
      <c r="F39" s="25">
        <f t="shared" si="5"/>
        <v>0.84980516907597847</v>
      </c>
    </row>
    <row r="40" spans="1:6" s="11" customFormat="1" ht="17" customHeight="1" x14ac:dyDescent="0.2">
      <c r="A40" s="10" t="s">
        <v>141</v>
      </c>
      <c r="B40" s="23">
        <f>100673095/2</f>
        <v>50336547.5</v>
      </c>
      <c r="C40" s="23">
        <f>99901135/2</f>
        <v>49950567.5</v>
      </c>
      <c r="D40" s="23">
        <f>86346332/2</f>
        <v>43173166</v>
      </c>
      <c r="E40" s="25">
        <f t="shared" si="4"/>
        <v>0.99233201283818684</v>
      </c>
      <c r="F40" s="25">
        <f t="shared" si="5"/>
        <v>0.857690249813021</v>
      </c>
    </row>
    <row r="41" spans="1:6" s="11" customFormat="1" ht="17" customHeight="1" x14ac:dyDescent="0.2">
      <c r="A41" s="10" t="s">
        <v>142</v>
      </c>
      <c r="B41" s="23">
        <f>84049122/2</f>
        <v>42024561</v>
      </c>
      <c r="C41" s="23">
        <f>83410363/2</f>
        <v>41705181.5</v>
      </c>
      <c r="D41" s="23">
        <f>65667168/2</f>
        <v>32833584</v>
      </c>
      <c r="E41" s="25">
        <f t="shared" si="4"/>
        <v>0.99240017046222084</v>
      </c>
      <c r="F41" s="25">
        <f t="shared" si="5"/>
        <v>0.78129510978115868</v>
      </c>
    </row>
    <row r="42" spans="1:6" s="11" customFormat="1" ht="17" customHeight="1" x14ac:dyDescent="0.2">
      <c r="A42" s="10" t="s">
        <v>143</v>
      </c>
      <c r="B42" s="23">
        <f>41198671/2</f>
        <v>20599335.5</v>
      </c>
      <c r="C42" s="23">
        <f>40973655/2</f>
        <v>20486827.5</v>
      </c>
      <c r="D42" s="23">
        <f>25020898/2</f>
        <v>12510449</v>
      </c>
      <c r="E42" s="25">
        <f t="shared" ref="E42:E43" si="6">C42/B42</f>
        <v>0.99453827042139298</v>
      </c>
      <c r="F42" s="25">
        <f t="shared" ref="F42:F43" si="7">D42/B42</f>
        <v>0.60732294010163579</v>
      </c>
    </row>
    <row r="43" spans="1:6" s="11" customFormat="1" ht="17" customHeight="1" x14ac:dyDescent="0.2">
      <c r="A43" s="10" t="s">
        <v>144</v>
      </c>
      <c r="B43" s="23">
        <f>36370728/2</f>
        <v>18185364</v>
      </c>
      <c r="C43" s="23">
        <f>36074745/2</f>
        <v>18037372.5</v>
      </c>
      <c r="D43" s="23">
        <f>19090779/2</f>
        <v>9545389.5</v>
      </c>
      <c r="E43" s="25">
        <f t="shared" si="6"/>
        <v>0.99186205456211929</v>
      </c>
      <c r="F43" s="25">
        <f t="shared" si="7"/>
        <v>0.52489405766087494</v>
      </c>
    </row>
    <row r="44" spans="1:6" s="11" customFormat="1" ht="17" customHeight="1" x14ac:dyDescent="0.2">
      <c r="A44" s="10" t="s">
        <v>146</v>
      </c>
      <c r="B44" s="23">
        <f>38109414/2</f>
        <v>19054707</v>
      </c>
      <c r="C44" s="23">
        <f>37985997/2</f>
        <v>18992998.5</v>
      </c>
      <c r="D44" s="23">
        <f>33323585/2</f>
        <v>16661792.5</v>
      </c>
      <c r="E44" s="25">
        <f t="shared" ref="E44" si="8">C44/B44</f>
        <v>0.99676150884923076</v>
      </c>
      <c r="F44" s="25">
        <f t="shared" ref="F44" si="9">D44/B44</f>
        <v>0.87441871974205643</v>
      </c>
    </row>
    <row r="45" spans="1:6" s="11" customFormat="1" ht="17" customHeight="1" x14ac:dyDescent="0.2">
      <c r="A45" s="10" t="s">
        <v>147</v>
      </c>
      <c r="B45" s="23">
        <f>87505199/2</f>
        <v>43752599.5</v>
      </c>
      <c r="C45" s="23">
        <f>86241480/2</f>
        <v>43120740</v>
      </c>
      <c r="D45" s="23">
        <f>62867657/2</f>
        <v>31433828.5</v>
      </c>
      <c r="E45" s="25">
        <f>C45/B45</f>
        <v>0.98555835522412794</v>
      </c>
      <c r="F45" s="25">
        <f>D45/B45</f>
        <v>0.71844482063288606</v>
      </c>
    </row>
    <row r="46" spans="1:6" s="11" customFormat="1" ht="17" customHeight="1" x14ac:dyDescent="0.2">
      <c r="A46" s="10" t="s">
        <v>148</v>
      </c>
      <c r="B46" s="23">
        <f>63836396/2</f>
        <v>31918198</v>
      </c>
      <c r="C46" s="23">
        <f>63066427/2</f>
        <v>31533213.5</v>
      </c>
      <c r="D46" s="23">
        <f>47079012/2</f>
        <v>23539506</v>
      </c>
      <c r="E46" s="25">
        <f>C46/B46</f>
        <v>0.98793840115911302</v>
      </c>
      <c r="F46" s="25">
        <f>D46/B46</f>
        <v>0.73749482975198033</v>
      </c>
    </row>
    <row r="47" spans="1:6" s="11" customFormat="1" ht="17" customHeight="1" x14ac:dyDescent="0.2">
      <c r="A47" s="10" t="s">
        <v>149</v>
      </c>
      <c r="B47" s="23">
        <f>36183572/2</f>
        <v>18091786</v>
      </c>
      <c r="C47" s="23">
        <f>34780779/2</f>
        <v>17390389.5</v>
      </c>
      <c r="D47" s="23">
        <f>29899875/2</f>
        <v>14949937.5</v>
      </c>
      <c r="E47" s="25">
        <f>C47/B47</f>
        <v>0.96123121841038806</v>
      </c>
      <c r="F47" s="25">
        <f>D47/B47</f>
        <v>0.82633840019995819</v>
      </c>
    </row>
    <row r="48" spans="1:6" s="11" customFormat="1" ht="17" customHeight="1" x14ac:dyDescent="0.2">
      <c r="A48" s="10" t="s">
        <v>150</v>
      </c>
      <c r="B48" s="23">
        <f>42839932/2</f>
        <v>21419966</v>
      </c>
      <c r="C48" s="23">
        <f>41352794/2</f>
        <v>20676397</v>
      </c>
      <c r="D48" s="23">
        <f>35351928/2</f>
        <v>17675964</v>
      </c>
      <c r="E48" s="25">
        <f>C48/B48</f>
        <v>0.96528617272314998</v>
      </c>
      <c r="F48" s="25">
        <f>D48/B48</f>
        <v>0.82520971321803216</v>
      </c>
    </row>
    <row r="49" spans="1:6" s="11" customFormat="1" ht="17" customHeight="1" x14ac:dyDescent="0.2">
      <c r="A49" s="10" t="s">
        <v>151</v>
      </c>
      <c r="B49" s="23">
        <f>82081946/2</f>
        <v>41040973</v>
      </c>
      <c r="C49" s="23">
        <f>79347426/2</f>
        <v>39673713</v>
      </c>
      <c r="D49" s="23">
        <f>64159249/2</f>
        <v>32079624.5</v>
      </c>
      <c r="E49" s="25">
        <f>C49/B49</f>
        <v>0.96668548769543061</v>
      </c>
      <c r="F49" s="25">
        <f>D49/B49</f>
        <v>0.7816487318660793</v>
      </c>
    </row>
    <row r="50" spans="1:6" s="11" customFormat="1" ht="17" customHeight="1" x14ac:dyDescent="0.2">
      <c r="A50" s="10" t="s">
        <v>152</v>
      </c>
      <c r="B50" s="23">
        <f>53011244/2</f>
        <v>26505622</v>
      </c>
      <c r="C50" s="23">
        <f>52832806/2</f>
        <v>26416403</v>
      </c>
      <c r="D50" s="23">
        <v>15668901.5</v>
      </c>
      <c r="E50" s="25">
        <f t="shared" ref="E50:E51" si="10">C50/B50</f>
        <v>0.9966339593917094</v>
      </c>
      <c r="F50" s="25">
        <f t="shared" ref="F50:F51" si="11">D50/B50</f>
        <v>0.59115388803175417</v>
      </c>
    </row>
    <row r="51" spans="1:6" s="11" customFormat="1" ht="17" customHeight="1" x14ac:dyDescent="0.2">
      <c r="A51" s="10" t="s">
        <v>153</v>
      </c>
      <c r="B51" s="23">
        <f>47151512/2</f>
        <v>23575756</v>
      </c>
      <c r="C51" s="23">
        <f>46817417/2</f>
        <v>23408708.5</v>
      </c>
      <c r="D51" s="23">
        <v>12577211.5</v>
      </c>
      <c r="E51" s="25">
        <f t="shared" si="10"/>
        <v>0.99291443718708317</v>
      </c>
      <c r="F51" s="25">
        <f t="shared" si="11"/>
        <v>0.53348072910153976</v>
      </c>
    </row>
    <row r="52" spans="1:6" s="11" customFormat="1" ht="17" customHeight="1" x14ac:dyDescent="0.2">
      <c r="A52" s="10" t="s">
        <v>154</v>
      </c>
      <c r="B52" s="23">
        <v>29664115.5</v>
      </c>
      <c r="C52" s="23">
        <v>29595651.5</v>
      </c>
      <c r="D52" s="23">
        <v>25782662</v>
      </c>
      <c r="E52" s="25">
        <f t="shared" ref="E52" si="12">C52/B52</f>
        <v>0.99769202624632447</v>
      </c>
      <c r="F52" s="25">
        <f t="shared" ref="F52" si="13">D52/B52</f>
        <v>0.86915323667749333</v>
      </c>
    </row>
    <row r="53" spans="1:6" s="11" customFormat="1" ht="17" customHeight="1" x14ac:dyDescent="0.2">
      <c r="A53" s="10" t="s">
        <v>155</v>
      </c>
      <c r="B53" s="23">
        <v>15868279.5</v>
      </c>
      <c r="C53" s="23">
        <v>15795898.5</v>
      </c>
      <c r="D53" s="23">
        <v>12714175.5</v>
      </c>
      <c r="E53" s="25">
        <f t="shared" ref="E53:E55" si="14">C53/B53</f>
        <v>0.99543863592773241</v>
      </c>
      <c r="F53" s="25">
        <f t="shared" ref="F53:F55" si="15">D53/B53</f>
        <v>0.80123213735931487</v>
      </c>
    </row>
    <row r="54" spans="1:6" s="11" customFormat="1" ht="17" customHeight="1" x14ac:dyDescent="0.2">
      <c r="A54" s="10" t="s">
        <v>156</v>
      </c>
      <c r="B54" s="23">
        <v>19728739</v>
      </c>
      <c r="C54" s="23">
        <v>19683108</v>
      </c>
      <c r="D54" s="23">
        <v>15631175</v>
      </c>
      <c r="E54" s="25">
        <f t="shared" si="14"/>
        <v>0.99768707974696202</v>
      </c>
      <c r="F54" s="25">
        <f t="shared" si="15"/>
        <v>0.79230481988737345</v>
      </c>
    </row>
    <row r="55" spans="1:6" s="11" customFormat="1" ht="17" customHeight="1" x14ac:dyDescent="0.2">
      <c r="A55" s="10" t="s">
        <v>157</v>
      </c>
      <c r="B55" s="23">
        <v>16793269.5</v>
      </c>
      <c r="C55" s="23">
        <v>16761447.5</v>
      </c>
      <c r="D55" s="23">
        <v>11268539</v>
      </c>
      <c r="E55" s="25">
        <f t="shared" si="14"/>
        <v>0.99810507417867611</v>
      </c>
      <c r="F55" s="25">
        <f t="shared" si="15"/>
        <v>0.67101519450991953</v>
      </c>
    </row>
    <row r="56" spans="1:6" s="11" customFormat="1" ht="17" customHeight="1" x14ac:dyDescent="0.2">
      <c r="A56" s="10" t="s">
        <v>158</v>
      </c>
      <c r="B56" s="23">
        <v>19133588.5</v>
      </c>
      <c r="C56" s="23">
        <v>19070805.5</v>
      </c>
      <c r="D56" s="23">
        <v>16769861</v>
      </c>
      <c r="E56" s="25">
        <f t="shared" ref="E56:E57" si="16">C56/B56</f>
        <v>0.99671870229674897</v>
      </c>
      <c r="F56" s="25">
        <f t="shared" ref="F56:F57" si="17">D56/B56</f>
        <v>0.87646188272523995</v>
      </c>
    </row>
    <row r="57" spans="1:6" s="11" customFormat="1" ht="17" customHeight="1" x14ac:dyDescent="0.2">
      <c r="A57" s="10" t="s">
        <v>159</v>
      </c>
      <c r="B57" s="23">
        <v>20330394</v>
      </c>
      <c r="C57" s="23">
        <v>20292746</v>
      </c>
      <c r="D57" s="23">
        <v>18066995.5</v>
      </c>
      <c r="E57" s="25">
        <f t="shared" si="16"/>
        <v>0.9981481913237884</v>
      </c>
      <c r="F57" s="25">
        <f t="shared" si="17"/>
        <v>0.88866922598745501</v>
      </c>
    </row>
    <row r="58" spans="1:6" s="11" customFormat="1" ht="17" customHeight="1" x14ac:dyDescent="0.2">
      <c r="A58" s="10" t="s">
        <v>160</v>
      </c>
      <c r="B58" s="23">
        <v>20795828.5</v>
      </c>
      <c r="C58" s="23">
        <v>20750037.5</v>
      </c>
      <c r="D58" s="23">
        <v>13973087.5</v>
      </c>
      <c r="E58" s="25">
        <f t="shared" ref="E58:E61" si="18">C58/B58</f>
        <v>0.99779806801157256</v>
      </c>
      <c r="F58" s="25">
        <f t="shared" ref="F58:F61" si="19">D58/B58</f>
        <v>0.67191780793922207</v>
      </c>
    </row>
    <row r="59" spans="1:6" s="11" customFormat="1" ht="17" customHeight="1" x14ac:dyDescent="0.2">
      <c r="A59" s="10" t="s">
        <v>161</v>
      </c>
      <c r="B59" s="23">
        <v>18930501.5</v>
      </c>
      <c r="C59" s="23">
        <v>18881106.5</v>
      </c>
      <c r="D59" s="23">
        <v>12801046.5</v>
      </c>
      <c r="E59" s="25">
        <f t="shared" si="18"/>
        <v>0.99739071888824493</v>
      </c>
      <c r="F59" s="25">
        <f t="shared" si="19"/>
        <v>0.67621275115189106</v>
      </c>
    </row>
    <row r="60" spans="1:6" s="11" customFormat="1" ht="17" customHeight="1" x14ac:dyDescent="0.2">
      <c r="A60" s="10" t="s">
        <v>162</v>
      </c>
      <c r="B60" s="23">
        <v>20590920.5</v>
      </c>
      <c r="C60" s="23">
        <v>20501269.5</v>
      </c>
      <c r="D60" s="23">
        <v>12978246.5</v>
      </c>
      <c r="E60" s="25">
        <f t="shared" si="18"/>
        <v>0.99564609071265175</v>
      </c>
      <c r="F60" s="25">
        <f t="shared" si="19"/>
        <v>0.63028976776438916</v>
      </c>
    </row>
    <row r="61" spans="1:6" s="11" customFormat="1" ht="17" customHeight="1" x14ac:dyDescent="0.2">
      <c r="A61" s="10" t="s">
        <v>163</v>
      </c>
      <c r="B61" s="23">
        <v>17938917.5</v>
      </c>
      <c r="C61" s="23">
        <v>17833110</v>
      </c>
      <c r="D61" s="23">
        <v>10777038.5</v>
      </c>
      <c r="E61" s="25">
        <f t="shared" si="18"/>
        <v>0.99410179014424926</v>
      </c>
      <c r="F61" s="25">
        <f t="shared" si="19"/>
        <v>0.60076303377837603</v>
      </c>
    </row>
    <row r="62" spans="1:6" s="11" customFormat="1" ht="17" customHeight="1" x14ac:dyDescent="0.2">
      <c r="A62" s="10" t="s">
        <v>164</v>
      </c>
      <c r="B62" s="23">
        <v>21933648.5</v>
      </c>
      <c r="C62" s="23">
        <v>21886190</v>
      </c>
      <c r="D62" s="23">
        <v>18893768.5</v>
      </c>
      <c r="E62" s="25">
        <f t="shared" ref="E62:E68" si="20">C62/B62</f>
        <v>0.99783626969311556</v>
      </c>
      <c r="F62" s="25">
        <f t="shared" ref="F62:F68" si="21">D62/B62</f>
        <v>0.86140563892049238</v>
      </c>
    </row>
    <row r="63" spans="1:6" s="11" customFormat="1" ht="17" customHeight="1" x14ac:dyDescent="0.2">
      <c r="A63" s="10" t="s">
        <v>165</v>
      </c>
      <c r="B63" s="23">
        <v>17809350.5</v>
      </c>
      <c r="C63" s="23">
        <v>17752485</v>
      </c>
      <c r="D63" s="23">
        <f>27695409/2</f>
        <v>13847704.5</v>
      </c>
      <c r="E63" s="25">
        <f t="shared" si="20"/>
        <v>0.99680698630755793</v>
      </c>
      <c r="F63" s="25">
        <f t="shared" si="21"/>
        <v>0.77755247166369146</v>
      </c>
    </row>
    <row r="64" spans="1:6" s="11" customFormat="1" ht="17" customHeight="1" x14ac:dyDescent="0.2">
      <c r="A64" s="10" t="s">
        <v>166</v>
      </c>
      <c r="B64" s="23">
        <v>19521369.5</v>
      </c>
      <c r="C64" s="23">
        <v>19477068.5</v>
      </c>
      <c r="D64" s="23">
        <f>27655848/2</f>
        <v>13827924</v>
      </c>
      <c r="E64" s="25">
        <f t="shared" si="20"/>
        <v>0.99773064077292328</v>
      </c>
      <c r="F64" s="25">
        <f t="shared" si="21"/>
        <v>0.70834804904440751</v>
      </c>
    </row>
    <row r="65" spans="1:6" s="11" customFormat="1" ht="17" customHeight="1" x14ac:dyDescent="0.2">
      <c r="A65" s="10" t="s">
        <v>167</v>
      </c>
      <c r="B65" s="23">
        <v>22185545</v>
      </c>
      <c r="C65" s="23">
        <v>22124360.5</v>
      </c>
      <c r="D65" s="23">
        <f>28728093/2</f>
        <v>14364046.5</v>
      </c>
      <c r="E65" s="25">
        <f t="shared" si="20"/>
        <v>0.99724214573047454</v>
      </c>
      <c r="F65" s="25">
        <f t="shared" si="21"/>
        <v>0.64745069368365749</v>
      </c>
    </row>
    <row r="66" spans="1:6" s="11" customFormat="1" ht="17" customHeight="1" x14ac:dyDescent="0.2">
      <c r="A66" s="10" t="s">
        <v>168</v>
      </c>
      <c r="B66" s="23">
        <v>20513812.5</v>
      </c>
      <c r="C66" s="23">
        <v>20451033.5</v>
      </c>
      <c r="D66" s="23">
        <f>34601293/2</f>
        <v>17300646.5</v>
      </c>
      <c r="E66" s="25">
        <f t="shared" si="20"/>
        <v>0.99693967174556164</v>
      </c>
      <c r="F66" s="25">
        <f t="shared" si="21"/>
        <v>0.84336573223529265</v>
      </c>
    </row>
    <row r="67" spans="1:6" s="11" customFormat="1" ht="17" customHeight="1" x14ac:dyDescent="0.2">
      <c r="A67" s="10" t="s">
        <v>169</v>
      </c>
      <c r="B67" s="23">
        <v>21490936</v>
      </c>
      <c r="C67" s="23">
        <v>21444108.5</v>
      </c>
      <c r="D67" s="23">
        <f>32677281/2</f>
        <v>16338640.5</v>
      </c>
      <c r="E67" s="25">
        <f t="shared" si="20"/>
        <v>0.9978210581428375</v>
      </c>
      <c r="F67" s="25">
        <f t="shared" si="21"/>
        <v>0.76025727776584506</v>
      </c>
    </row>
    <row r="68" spans="1:6" s="11" customFormat="1" ht="17" customHeight="1" x14ac:dyDescent="0.2">
      <c r="A68" s="10" t="s">
        <v>170</v>
      </c>
      <c r="B68" s="23">
        <v>20671124.5</v>
      </c>
      <c r="C68" s="23">
        <v>20611519</v>
      </c>
      <c r="D68" s="23">
        <f>32019694/2</f>
        <v>16009847</v>
      </c>
      <c r="E68" s="25">
        <f t="shared" si="20"/>
        <v>0.99711648488208759</v>
      </c>
      <c r="F68" s="25">
        <f t="shared" si="21"/>
        <v>0.77450295459252838</v>
      </c>
    </row>
    <row r="69" spans="1:6" s="11" customFormat="1" ht="17" customHeight="1" x14ac:dyDescent="0.2">
      <c r="A69" s="10" t="s">
        <v>171</v>
      </c>
      <c r="B69" s="23">
        <v>20891468</v>
      </c>
      <c r="C69" s="23">
        <v>20616736</v>
      </c>
      <c r="D69" s="23">
        <f>22792530/2</f>
        <v>11396265</v>
      </c>
      <c r="E69" s="25">
        <f t="shared" ref="E69:E70" si="22">C69/B69</f>
        <v>0.98684955982987888</v>
      </c>
      <c r="F69" s="25">
        <f t="shared" ref="F69:F70" si="23">D69/B69</f>
        <v>0.54549852600114079</v>
      </c>
    </row>
    <row r="70" spans="1:6" s="11" customFormat="1" ht="17" customHeight="1" x14ac:dyDescent="0.2">
      <c r="A70" s="10" t="s">
        <v>172</v>
      </c>
      <c r="B70" s="23">
        <v>23302724.5</v>
      </c>
      <c r="C70" s="23">
        <v>23146406.5</v>
      </c>
      <c r="D70" s="23">
        <f>18526842/2</f>
        <v>9263421</v>
      </c>
      <c r="E70" s="25">
        <f t="shared" si="22"/>
        <v>0.99329185735341807</v>
      </c>
      <c r="F70" s="25">
        <f t="shared" si="23"/>
        <v>0.39752523358373826</v>
      </c>
    </row>
    <row r="71" spans="1:6" s="11" customFormat="1" ht="17" customHeight="1" x14ac:dyDescent="0.2">
      <c r="A71" s="10" t="s">
        <v>173</v>
      </c>
      <c r="B71" s="23">
        <v>26329204</v>
      </c>
      <c r="C71" s="23">
        <v>26276629.5</v>
      </c>
      <c r="D71" s="23">
        <v>22767529</v>
      </c>
      <c r="E71" s="25">
        <f t="shared" ref="E71" si="24">C71/B71</f>
        <v>0.99800318687948186</v>
      </c>
      <c r="F71" s="25">
        <f t="shared" ref="F71" si="25">D71/B71</f>
        <v>0.86472530654553781</v>
      </c>
    </row>
    <row r="72" spans="1:6" s="11" customFormat="1" ht="17" customHeight="1" x14ac:dyDescent="0.2">
      <c r="A72" s="10" t="s">
        <v>174</v>
      </c>
      <c r="B72" s="23">
        <v>21465027</v>
      </c>
      <c r="C72" s="23">
        <v>21417898</v>
      </c>
      <c r="D72" s="23">
        <v>17137362</v>
      </c>
      <c r="E72" s="25">
        <f t="shared" ref="E72:E73" si="26">C72/B72</f>
        <v>0.99780438198377297</v>
      </c>
      <c r="F72" s="25">
        <f t="shared" ref="F72:F73" si="27">D72/B72</f>
        <v>0.79838529902617872</v>
      </c>
    </row>
    <row r="73" spans="1:6" s="11" customFormat="1" ht="17" customHeight="1" x14ac:dyDescent="0.2">
      <c r="A73" s="10" t="s">
        <v>175</v>
      </c>
      <c r="B73" s="23">
        <v>19850387.5</v>
      </c>
      <c r="C73" s="23">
        <v>19792207.5</v>
      </c>
      <c r="D73" s="23">
        <v>15538375</v>
      </c>
      <c r="E73" s="25">
        <f t="shared" si="26"/>
        <v>0.99706907484803509</v>
      </c>
      <c r="F73" s="25">
        <f t="shared" si="27"/>
        <v>0.78277439168378959</v>
      </c>
    </row>
    <row r="74" spans="1:6" s="11" customFormat="1" ht="17" customHeight="1" x14ac:dyDescent="0.2">
      <c r="A74" s="10" t="s">
        <v>176</v>
      </c>
      <c r="B74" s="23">
        <v>19003915.5</v>
      </c>
      <c r="C74" s="23">
        <v>18964181.5</v>
      </c>
      <c r="D74" s="23">
        <v>16581768.5</v>
      </c>
      <c r="E74" s="25">
        <f t="shared" ref="E74:E76" si="28">C74/B74</f>
        <v>0.99790916771862093</v>
      </c>
      <c r="F74" s="25">
        <f t="shared" ref="F74:F76" si="29">D74/B74</f>
        <v>0.87254484477159455</v>
      </c>
    </row>
    <row r="75" spans="1:6" s="11" customFormat="1" ht="17" customHeight="1" x14ac:dyDescent="0.2">
      <c r="A75" s="10" t="s">
        <v>177</v>
      </c>
      <c r="B75" s="23">
        <v>29589018</v>
      </c>
      <c r="C75" s="23">
        <v>29461950.5</v>
      </c>
      <c r="D75" s="23">
        <v>22441847</v>
      </c>
      <c r="E75" s="25">
        <f t="shared" si="28"/>
        <v>0.99570558576834145</v>
      </c>
      <c r="F75" s="25">
        <f t="shared" si="29"/>
        <v>0.75845190266199436</v>
      </c>
    </row>
    <row r="76" spans="1:6" s="11" customFormat="1" ht="17" customHeight="1" x14ac:dyDescent="0.2">
      <c r="A76" s="10" t="s">
        <v>178</v>
      </c>
      <c r="B76" s="23">
        <v>22950450.5</v>
      </c>
      <c r="C76" s="23">
        <v>22908779.5</v>
      </c>
      <c r="D76" s="23">
        <v>20659288</v>
      </c>
      <c r="E76" s="25">
        <f t="shared" si="28"/>
        <v>0.99818430579391026</v>
      </c>
      <c r="F76" s="25">
        <f t="shared" si="29"/>
        <v>0.90016917097117544</v>
      </c>
    </row>
    <row r="77" spans="1:6" s="11" customFormat="1" ht="17" customHeight="1" x14ac:dyDescent="0.2">
      <c r="A77" s="10" t="s">
        <v>179</v>
      </c>
      <c r="B77" s="23">
        <v>15489944</v>
      </c>
      <c r="C77" s="23">
        <v>15459155</v>
      </c>
      <c r="D77" s="23">
        <f>15995266/2</f>
        <v>7997633</v>
      </c>
      <c r="E77" s="25">
        <f t="shared" ref="E77:E78" si="30">C77/B77</f>
        <v>0.99801232334991008</v>
      </c>
      <c r="F77" s="20">
        <f t="shared" ref="F77:F78" si="31">D77/B77</f>
        <v>0.51631129202274717</v>
      </c>
    </row>
    <row r="78" spans="1:6" s="11" customFormat="1" ht="17" customHeight="1" x14ac:dyDescent="0.2">
      <c r="A78" s="10" t="s">
        <v>180</v>
      </c>
      <c r="B78" s="23">
        <v>19277426.5</v>
      </c>
      <c r="C78" s="23">
        <v>19235526</v>
      </c>
      <c r="D78" s="23">
        <f>31531421/2</f>
        <v>15765710.5</v>
      </c>
      <c r="E78" s="25">
        <f t="shared" si="30"/>
        <v>0.99782644742543825</v>
      </c>
      <c r="F78" s="20">
        <f t="shared" si="31"/>
        <v>0.81783273820289237</v>
      </c>
    </row>
    <row r="79" spans="1:6" s="11" customFormat="1" ht="17" customHeight="1" x14ac:dyDescent="0.2">
      <c r="A79" s="10" t="s">
        <v>78</v>
      </c>
      <c r="B79" s="22">
        <v>23695188.5</v>
      </c>
      <c r="C79" s="22">
        <v>22363409</v>
      </c>
      <c r="D79" s="22">
        <v>17622800.5</v>
      </c>
      <c r="E79" s="20">
        <f t="shared" ref="E79:E100" si="32">C79/B79</f>
        <v>0.94379536166171452</v>
      </c>
      <c r="F79" s="20">
        <f t="shared" ref="F79:F100" si="33">D79/B79</f>
        <v>0.74372906972231934</v>
      </c>
    </row>
    <row r="80" spans="1:6" s="11" customFormat="1" ht="17" customHeight="1" x14ac:dyDescent="0.2">
      <c r="A80" s="10" t="s">
        <v>79</v>
      </c>
      <c r="B80" s="22">
        <v>23227649.5</v>
      </c>
      <c r="C80" s="22">
        <v>21563565</v>
      </c>
      <c r="D80" s="22">
        <v>17196048.5</v>
      </c>
      <c r="E80" s="20">
        <f t="shared" si="32"/>
        <v>0.92835760243411625</v>
      </c>
      <c r="F80" s="20">
        <f t="shared" si="33"/>
        <v>0.74032667403561436</v>
      </c>
    </row>
    <row r="81" spans="1:6" s="11" customFormat="1" ht="17" customHeight="1" x14ac:dyDescent="0.2">
      <c r="A81" s="10" t="s">
        <v>80</v>
      </c>
      <c r="B81" s="22">
        <v>27178865</v>
      </c>
      <c r="C81" s="22">
        <v>27028844</v>
      </c>
      <c r="D81" s="22">
        <v>24174133.5</v>
      </c>
      <c r="E81" s="20">
        <f t="shared" si="32"/>
        <v>0.99448023307816569</v>
      </c>
      <c r="F81" s="20">
        <f t="shared" si="33"/>
        <v>0.8894460272715583</v>
      </c>
    </row>
    <row r="82" spans="1:6" s="11" customFormat="1" ht="17" customHeight="1" x14ac:dyDescent="0.2">
      <c r="A82" s="10" t="s">
        <v>81</v>
      </c>
      <c r="B82" s="22">
        <v>26547904.5</v>
      </c>
      <c r="C82" s="22">
        <v>24244311.5</v>
      </c>
      <c r="D82" s="22">
        <v>18943376</v>
      </c>
      <c r="E82" s="20">
        <f t="shared" si="32"/>
        <v>0.91322881999971028</v>
      </c>
      <c r="F82" s="20">
        <f t="shared" si="33"/>
        <v>0.71355447282100926</v>
      </c>
    </row>
    <row r="83" spans="1:6" s="11" customFormat="1" ht="17" customHeight="1" x14ac:dyDescent="0.2">
      <c r="A83" s="10" t="s">
        <v>82</v>
      </c>
      <c r="B83" s="22">
        <v>22320796.5</v>
      </c>
      <c r="C83" s="22">
        <v>19994329</v>
      </c>
      <c r="D83" s="22">
        <v>15196100</v>
      </c>
      <c r="E83" s="20">
        <f t="shared" si="32"/>
        <v>0.89577130457687748</v>
      </c>
      <c r="F83" s="20">
        <f t="shared" si="33"/>
        <v>0.68080455820651387</v>
      </c>
    </row>
    <row r="84" spans="1:6" s="11" customFormat="1" ht="17" customHeight="1" x14ac:dyDescent="0.2">
      <c r="A84" s="10" t="s">
        <v>83</v>
      </c>
      <c r="B84" s="22">
        <v>25023728</v>
      </c>
      <c r="C84" s="22">
        <v>24813734</v>
      </c>
      <c r="D84" s="22">
        <v>22166652</v>
      </c>
      <c r="E84" s="20">
        <f t="shared" si="32"/>
        <v>0.9916082048206406</v>
      </c>
      <c r="F84" s="20">
        <f t="shared" si="33"/>
        <v>0.88582532546709269</v>
      </c>
    </row>
    <row r="85" spans="1:6" s="11" customFormat="1" ht="17" customHeight="1" x14ac:dyDescent="0.2">
      <c r="A85" s="10" t="s">
        <v>84</v>
      </c>
      <c r="B85" s="22">
        <v>22870387</v>
      </c>
      <c r="C85" s="22">
        <v>22425999</v>
      </c>
      <c r="D85" s="22">
        <v>17397290</v>
      </c>
      <c r="E85" s="20">
        <f t="shared" si="32"/>
        <v>0.98056928376419694</v>
      </c>
      <c r="F85" s="20">
        <f t="shared" si="33"/>
        <v>0.76069066955447673</v>
      </c>
    </row>
    <row r="86" spans="1:6" s="11" customFormat="1" ht="17" customHeight="1" x14ac:dyDescent="0.2">
      <c r="A86" s="10" t="s">
        <v>85</v>
      </c>
      <c r="B86" s="22">
        <v>20197869</v>
      </c>
      <c r="C86" s="22">
        <v>19822767</v>
      </c>
      <c r="D86" s="22">
        <v>15440075</v>
      </c>
      <c r="E86" s="20">
        <f t="shared" si="32"/>
        <v>0.98142863487232246</v>
      </c>
      <c r="F86" s="20">
        <f t="shared" si="33"/>
        <v>0.76444079323417735</v>
      </c>
    </row>
    <row r="87" spans="1:6" s="11" customFormat="1" ht="17" customHeight="1" x14ac:dyDescent="0.2">
      <c r="A87" s="10" t="s">
        <v>86</v>
      </c>
      <c r="B87" s="22">
        <v>20605980.5</v>
      </c>
      <c r="C87" s="22">
        <v>20401742</v>
      </c>
      <c r="D87" s="22">
        <v>18569115</v>
      </c>
      <c r="E87" s="20">
        <f t="shared" si="32"/>
        <v>0.99008838720389936</v>
      </c>
      <c r="F87" s="20">
        <f t="shared" si="33"/>
        <v>0.90115173116853142</v>
      </c>
    </row>
    <row r="88" spans="1:6" s="11" customFormat="1" ht="17" customHeight="1" x14ac:dyDescent="0.2">
      <c r="A88" s="10" t="s">
        <v>87</v>
      </c>
      <c r="B88" s="22">
        <v>16911003.5</v>
      </c>
      <c r="C88" s="22">
        <v>16504416</v>
      </c>
      <c r="D88" s="22">
        <v>13007203.5</v>
      </c>
      <c r="E88" s="20">
        <f t="shared" si="32"/>
        <v>0.9759572221719427</v>
      </c>
      <c r="F88" s="20">
        <f t="shared" si="33"/>
        <v>0.76915621831667169</v>
      </c>
    </row>
    <row r="89" spans="1:6" s="11" customFormat="1" ht="17" customHeight="1" x14ac:dyDescent="0.2">
      <c r="A89" s="10" t="s">
        <v>88</v>
      </c>
      <c r="B89" s="22">
        <v>18495015</v>
      </c>
      <c r="C89" s="22">
        <v>17902311</v>
      </c>
      <c r="D89" s="22">
        <v>14017850</v>
      </c>
      <c r="E89" s="20">
        <f t="shared" si="32"/>
        <v>0.96795331066235957</v>
      </c>
      <c r="F89" s="20">
        <f t="shared" si="33"/>
        <v>0.75792585191198814</v>
      </c>
    </row>
    <row r="90" spans="1:6" s="11" customFormat="1" ht="17" customHeight="1" x14ac:dyDescent="0.2">
      <c r="A90" s="10" t="s">
        <v>89</v>
      </c>
      <c r="B90" s="22">
        <v>19225412</v>
      </c>
      <c r="C90" s="22">
        <v>19108089.5</v>
      </c>
      <c r="D90" s="22">
        <v>16941184</v>
      </c>
      <c r="E90" s="20">
        <f t="shared" si="32"/>
        <v>0.99389752999831682</v>
      </c>
      <c r="F90" s="20">
        <f t="shared" si="33"/>
        <v>0.88118704556240457</v>
      </c>
    </row>
    <row r="91" spans="1:6" s="11" customFormat="1" ht="17" customHeight="1" x14ac:dyDescent="0.2">
      <c r="A91" s="10" t="s">
        <v>90</v>
      </c>
      <c r="B91" s="22">
        <v>22734529.5</v>
      </c>
      <c r="C91" s="22">
        <v>21577360</v>
      </c>
      <c r="D91" s="22">
        <v>17147915</v>
      </c>
      <c r="E91" s="20">
        <f t="shared" si="32"/>
        <v>0.94910079401467273</v>
      </c>
      <c r="F91" s="20">
        <f t="shared" si="33"/>
        <v>0.75426742392007717</v>
      </c>
    </row>
    <row r="92" spans="1:6" s="11" customFormat="1" ht="17" customHeight="1" x14ac:dyDescent="0.2">
      <c r="A92" s="10" t="s">
        <v>91</v>
      </c>
      <c r="B92" s="22">
        <v>17558460</v>
      </c>
      <c r="C92" s="22">
        <v>16822307.5</v>
      </c>
      <c r="D92" s="22">
        <v>13408689</v>
      </c>
      <c r="E92" s="20">
        <f t="shared" si="32"/>
        <v>0.95807419899011648</v>
      </c>
      <c r="F92" s="20">
        <f t="shared" si="33"/>
        <v>0.76365974009110138</v>
      </c>
    </row>
    <row r="93" spans="1:6" s="11" customFormat="1" ht="17" customHeight="1" x14ac:dyDescent="0.2">
      <c r="A93" s="10" t="s">
        <v>92</v>
      </c>
      <c r="B93" s="22">
        <v>18850359.5</v>
      </c>
      <c r="C93" s="22">
        <v>18766093</v>
      </c>
      <c r="D93" s="22">
        <v>16659603</v>
      </c>
      <c r="E93" s="20">
        <f t="shared" si="32"/>
        <v>0.99552971390280387</v>
      </c>
      <c r="F93" s="20">
        <f t="shared" si="33"/>
        <v>0.88378171249200843</v>
      </c>
    </row>
    <row r="94" spans="1:6" s="11" customFormat="1" ht="17" customHeight="1" x14ac:dyDescent="0.2">
      <c r="A94" s="10" t="s">
        <v>93</v>
      </c>
      <c r="B94" s="22">
        <v>20343802</v>
      </c>
      <c r="C94" s="22">
        <v>19989841</v>
      </c>
      <c r="D94" s="22">
        <v>15365529</v>
      </c>
      <c r="E94" s="20">
        <f t="shared" si="32"/>
        <v>0.9826010398646231</v>
      </c>
      <c r="F94" s="20">
        <f t="shared" si="33"/>
        <v>0.75529288969682262</v>
      </c>
    </row>
    <row r="95" spans="1:6" s="11" customFormat="1" ht="17" customHeight="1" x14ac:dyDescent="0.2">
      <c r="A95" s="10" t="s">
        <v>94</v>
      </c>
      <c r="B95" s="22">
        <v>20357112.5</v>
      </c>
      <c r="C95" s="22">
        <v>20009471</v>
      </c>
      <c r="D95" s="22">
        <v>15423500</v>
      </c>
      <c r="E95" s="20">
        <f t="shared" si="32"/>
        <v>0.98292284821828246</v>
      </c>
      <c r="F95" s="20">
        <f t="shared" si="33"/>
        <v>0.75764674385917941</v>
      </c>
    </row>
    <row r="96" spans="1:6" s="11" customFormat="1" ht="17" customHeight="1" x14ac:dyDescent="0.2">
      <c r="A96" s="10" t="s">
        <v>95</v>
      </c>
      <c r="B96" s="22">
        <v>20791633.5</v>
      </c>
      <c r="C96" s="22">
        <v>20608958</v>
      </c>
      <c r="D96" s="22">
        <v>18398369</v>
      </c>
      <c r="E96" s="20">
        <f t="shared" si="32"/>
        <v>0.99121398999265742</v>
      </c>
      <c r="F96" s="20">
        <f t="shared" si="33"/>
        <v>0.88489290656263253</v>
      </c>
    </row>
    <row r="97" spans="1:6" s="11" customFormat="1" ht="17" customHeight="1" x14ac:dyDescent="0.2">
      <c r="A97" s="10" t="s">
        <v>127</v>
      </c>
      <c r="B97" s="22">
        <f>56071292/2</f>
        <v>28035646</v>
      </c>
      <c r="C97" s="22">
        <f>51663191/2</f>
        <v>25831595.5</v>
      </c>
      <c r="D97" s="22">
        <f>40588271/2</f>
        <v>20294135.5</v>
      </c>
      <c r="E97" s="20">
        <f t="shared" si="32"/>
        <v>0.9213839945047102</v>
      </c>
      <c r="F97" s="20">
        <f t="shared" si="33"/>
        <v>0.72386901660835634</v>
      </c>
    </row>
    <row r="98" spans="1:6" s="11" customFormat="1" ht="17" customHeight="1" x14ac:dyDescent="0.2">
      <c r="A98" s="10" t="s">
        <v>128</v>
      </c>
      <c r="B98" s="22">
        <f>52405992/2</f>
        <v>26202996</v>
      </c>
      <c r="C98" s="22">
        <f>49519132/2</f>
        <v>24759566</v>
      </c>
      <c r="D98" s="22">
        <f>38956208/2</f>
        <v>19478104</v>
      </c>
      <c r="E98" s="20">
        <f t="shared" si="32"/>
        <v>0.944913551106904</v>
      </c>
      <c r="F98" s="20">
        <f t="shared" si="33"/>
        <v>0.74335408057918262</v>
      </c>
    </row>
    <row r="99" spans="1:6" s="11" customFormat="1" ht="17" customHeight="1" x14ac:dyDescent="0.2">
      <c r="A99" s="10" t="s">
        <v>129</v>
      </c>
      <c r="B99" s="22">
        <f>54560835/2</f>
        <v>27280417.5</v>
      </c>
      <c r="C99" s="22">
        <f>51532819/2</f>
        <v>25766409.5</v>
      </c>
      <c r="D99" s="22">
        <f>37727230/2</f>
        <v>18863615</v>
      </c>
      <c r="E99" s="20">
        <f t="shared" si="32"/>
        <v>0.94450202237557401</v>
      </c>
      <c r="F99" s="20">
        <f t="shared" si="33"/>
        <v>0.69147090582466342</v>
      </c>
    </row>
    <row r="100" spans="1:6" s="11" customFormat="1" ht="17" customHeight="1" x14ac:dyDescent="0.2">
      <c r="A100" s="10" t="s">
        <v>126</v>
      </c>
      <c r="B100" s="22">
        <f>53381253/2</f>
        <v>26690626.5</v>
      </c>
      <c r="C100" s="22">
        <f>52194778/2</f>
        <v>26097389</v>
      </c>
      <c r="D100" s="22">
        <f>46164019/2</f>
        <v>23082009.5</v>
      </c>
      <c r="E100" s="20">
        <f t="shared" si="32"/>
        <v>0.97777356406377347</v>
      </c>
      <c r="F100" s="20">
        <f t="shared" si="33"/>
        <v>0.86479834034618863</v>
      </c>
    </row>
    <row r="101" spans="1:6" s="11" customFormat="1" ht="17" customHeight="1" x14ac:dyDescent="0.2">
      <c r="A101" s="10" t="s">
        <v>96</v>
      </c>
      <c r="B101" s="24">
        <f>17829269/2</f>
        <v>8914634.5</v>
      </c>
      <c r="C101" s="24">
        <f>16686181/2</f>
        <v>8343090.5</v>
      </c>
      <c r="D101" s="24">
        <f>13213285/2</f>
        <v>6606642.5</v>
      </c>
      <c r="E101" s="25">
        <f>C101/B101</f>
        <v>0.93588699570352551</v>
      </c>
      <c r="F101" s="25">
        <f>D101/B101</f>
        <v>0.74110077087288329</v>
      </c>
    </row>
    <row r="102" spans="1:6" s="11" customFormat="1" ht="17" customHeight="1" x14ac:dyDescent="0.2">
      <c r="A102" s="10" t="s">
        <v>97</v>
      </c>
      <c r="B102" s="24">
        <f>91081982/2</f>
        <v>45540991</v>
      </c>
      <c r="C102" s="24">
        <f>89771830/2</f>
        <v>44885915</v>
      </c>
      <c r="D102" s="24">
        <f>71204341/2</f>
        <v>35602170.5</v>
      </c>
      <c r="E102" s="25">
        <f>C102/B102</f>
        <v>0.98561568412070788</v>
      </c>
      <c r="F102" s="25">
        <f>D102/B102</f>
        <v>0.78176099637357477</v>
      </c>
    </row>
    <row r="103" spans="1:6" s="11" customFormat="1" ht="17" customHeight="1" x14ac:dyDescent="0.2">
      <c r="A103" s="10" t="s">
        <v>98</v>
      </c>
      <c r="B103" s="24">
        <f>83204979/2</f>
        <v>41602489.5</v>
      </c>
      <c r="C103" s="24">
        <f>81263278/2</f>
        <v>40631639</v>
      </c>
      <c r="D103" s="24">
        <f>63882808/2</f>
        <v>31941404</v>
      </c>
      <c r="E103" s="25">
        <f>C103/B103</f>
        <v>0.97666364413120033</v>
      </c>
      <c r="F103" s="25">
        <f>D103/B103</f>
        <v>0.76777626492760731</v>
      </c>
    </row>
    <row r="104" spans="1:6" s="11" customFormat="1" ht="17" customHeight="1" x14ac:dyDescent="0.2">
      <c r="A104" s="10" t="s">
        <v>99</v>
      </c>
      <c r="B104" s="22">
        <v>26826231</v>
      </c>
      <c r="C104" s="22">
        <v>26600700</v>
      </c>
      <c r="D104" s="22">
        <v>23573676.5</v>
      </c>
      <c r="E104" s="25">
        <f t="shared" ref="E104:E113" si="34">C104/B104</f>
        <v>0.99159289279213314</v>
      </c>
      <c r="F104" s="25">
        <f t="shared" ref="F104:F113" si="35">D104/B104</f>
        <v>0.87875469722153665</v>
      </c>
    </row>
    <row r="105" spans="1:6" s="11" customFormat="1" ht="17" customHeight="1" x14ac:dyDescent="0.2">
      <c r="A105" s="10" t="s">
        <v>100</v>
      </c>
      <c r="B105" s="22">
        <v>42734903</v>
      </c>
      <c r="C105" s="22">
        <v>41655710</v>
      </c>
      <c r="D105" s="22">
        <f>(33657635+33636032)/2</f>
        <v>33646833.5</v>
      </c>
      <c r="E105" s="25">
        <f t="shared" si="34"/>
        <v>0.97474680122709068</v>
      </c>
      <c r="F105" s="25">
        <f t="shared" si="35"/>
        <v>0.78733847833935644</v>
      </c>
    </row>
    <row r="106" spans="1:6" s="11" customFormat="1" ht="17" customHeight="1" x14ac:dyDescent="0.2">
      <c r="A106" s="10" t="s">
        <v>101</v>
      </c>
      <c r="B106" s="22">
        <v>48400817</v>
      </c>
      <c r="C106" s="22">
        <v>46740659.5</v>
      </c>
      <c r="D106" s="22">
        <f>(36009301+41381787)/2</f>
        <v>38695544</v>
      </c>
      <c r="E106" s="25">
        <f t="shared" si="34"/>
        <v>0.96569980419958612</v>
      </c>
      <c r="F106" s="25">
        <f t="shared" si="35"/>
        <v>0.79948121536874062</v>
      </c>
    </row>
    <row r="107" spans="1:6" s="11" customFormat="1" ht="17" customHeight="1" x14ac:dyDescent="0.2">
      <c r="A107" s="10" t="s">
        <v>102</v>
      </c>
      <c r="B107" s="22">
        <v>23131822</v>
      </c>
      <c r="C107" s="22">
        <v>22796182.5</v>
      </c>
      <c r="D107" s="22">
        <v>20450966.5</v>
      </c>
      <c r="E107" s="25">
        <f t="shared" si="34"/>
        <v>0.98549013994660684</v>
      </c>
      <c r="F107" s="25">
        <f t="shared" si="35"/>
        <v>0.88410530307556401</v>
      </c>
    </row>
    <row r="108" spans="1:6" s="11" customFormat="1" ht="17" customHeight="1" x14ac:dyDescent="0.2">
      <c r="A108" s="10" t="s">
        <v>103</v>
      </c>
      <c r="B108" s="22">
        <f>51531473/2</f>
        <v>25765736.5</v>
      </c>
      <c r="C108" s="22">
        <f>49857706/2</f>
        <v>24928853</v>
      </c>
      <c r="D108" s="22">
        <v>19470471.5</v>
      </c>
      <c r="E108" s="25">
        <f t="shared" si="34"/>
        <v>0.96751951957592985</v>
      </c>
      <c r="F108" s="25">
        <f t="shared" si="35"/>
        <v>0.75567300395236126</v>
      </c>
    </row>
    <row r="109" spans="1:6" s="11" customFormat="1" ht="17" customHeight="1" x14ac:dyDescent="0.2">
      <c r="A109" s="10" t="s">
        <v>104</v>
      </c>
      <c r="B109" s="22">
        <f>39958991/2</f>
        <v>19979495.5</v>
      </c>
      <c r="C109" s="22">
        <f>39308192/2</f>
        <v>19654096</v>
      </c>
      <c r="D109" s="22">
        <v>15108636.5</v>
      </c>
      <c r="E109" s="25">
        <f t="shared" si="34"/>
        <v>0.98371332749618223</v>
      </c>
      <c r="F109" s="25">
        <f t="shared" si="35"/>
        <v>0.75620710743171671</v>
      </c>
    </row>
    <row r="110" spans="1:6" s="11" customFormat="1" ht="17" customHeight="1" x14ac:dyDescent="0.2">
      <c r="A110" s="10" t="s">
        <v>105</v>
      </c>
      <c r="B110" s="22">
        <f>41147856/2</f>
        <v>20573928</v>
      </c>
      <c r="C110" s="22">
        <f>40173550/2</f>
        <v>20086775</v>
      </c>
      <c r="D110" s="22">
        <v>15908615</v>
      </c>
      <c r="E110" s="25">
        <f t="shared" si="34"/>
        <v>0.97632182828675207</v>
      </c>
      <c r="F110" s="25">
        <f t="shared" si="35"/>
        <v>0.77324150254632951</v>
      </c>
    </row>
    <row r="111" spans="1:6" s="11" customFormat="1" ht="17" customHeight="1" x14ac:dyDescent="0.2">
      <c r="A111" s="10" t="s">
        <v>106</v>
      </c>
      <c r="B111" s="22">
        <v>46361636</v>
      </c>
      <c r="C111" s="22">
        <v>45762403.5</v>
      </c>
      <c r="D111" s="22">
        <v>41034036.5</v>
      </c>
      <c r="E111" s="25">
        <f t="shared" si="34"/>
        <v>0.9870748197928132</v>
      </c>
      <c r="F111" s="25">
        <f t="shared" si="35"/>
        <v>0.88508603320210699</v>
      </c>
    </row>
    <row r="112" spans="1:6" s="11" customFormat="1" ht="17" customHeight="1" x14ac:dyDescent="0.2">
      <c r="A112" s="10" t="s">
        <v>107</v>
      </c>
      <c r="B112" s="22">
        <v>39174050.5</v>
      </c>
      <c r="C112" s="22">
        <v>36436015.5</v>
      </c>
      <c r="D112" s="22">
        <v>28689729</v>
      </c>
      <c r="E112" s="25">
        <f t="shared" si="34"/>
        <v>0.93010590007790994</v>
      </c>
      <c r="F112" s="25">
        <f t="shared" si="35"/>
        <v>0.73236565108323426</v>
      </c>
    </row>
    <row r="113" spans="1:6" s="11" customFormat="1" ht="17" customHeight="1" x14ac:dyDescent="0.2">
      <c r="A113" s="10" t="s">
        <v>108</v>
      </c>
      <c r="B113" s="22">
        <v>46151673</v>
      </c>
      <c r="C113" s="22">
        <v>43168208</v>
      </c>
      <c r="D113" s="22">
        <v>34164115</v>
      </c>
      <c r="E113" s="25">
        <f t="shared" si="34"/>
        <v>0.9353552145336097</v>
      </c>
      <c r="F113" s="25">
        <f t="shared" si="35"/>
        <v>0.74025734668383525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7" workbookViewId="0">
      <selection activeCell="A25" sqref="A25:A28"/>
    </sheetView>
  </sheetViews>
  <sheetFormatPr baseColWidth="10" defaultColWidth="33" defaultRowHeight="18" customHeight="1" x14ac:dyDescent="0.15"/>
  <cols>
    <col min="1" max="1" width="33" style="8"/>
    <col min="2" max="3" width="33" style="13"/>
    <col min="4" max="16384" width="33" style="8"/>
  </cols>
  <sheetData>
    <row r="1" spans="1:4" ht="18" customHeight="1" x14ac:dyDescent="0.15">
      <c r="A1" s="2" t="s">
        <v>109</v>
      </c>
      <c r="B1" s="6" t="s">
        <v>110</v>
      </c>
      <c r="C1" s="6" t="s">
        <v>119</v>
      </c>
      <c r="D1" s="7" t="s">
        <v>120</v>
      </c>
    </row>
    <row r="2" spans="1:4" ht="18" customHeight="1" x14ac:dyDescent="0.15">
      <c r="A2" s="9" t="s">
        <v>32</v>
      </c>
      <c r="B2" s="14">
        <v>30660274</v>
      </c>
      <c r="C2" s="13">
        <v>26182211</v>
      </c>
      <c r="D2" s="12">
        <v>0.85389999999999999</v>
      </c>
    </row>
    <row r="3" spans="1:4" ht="18" customHeight="1" x14ac:dyDescent="0.15">
      <c r="A3" s="9" t="s">
        <v>0</v>
      </c>
      <c r="B3" s="14">
        <v>26591830</v>
      </c>
      <c r="C3" s="13">
        <v>22632617</v>
      </c>
      <c r="D3" s="12">
        <v>0.85109999999999997</v>
      </c>
    </row>
    <row r="4" spans="1:4" ht="18" customHeight="1" x14ac:dyDescent="0.15">
      <c r="A4" s="9" t="s">
        <v>1</v>
      </c>
      <c r="B4" s="14">
        <v>24025124</v>
      </c>
      <c r="C4" s="13">
        <v>17288243</v>
      </c>
      <c r="D4" s="12">
        <v>0.71960000000000002</v>
      </c>
    </row>
    <row r="5" spans="1:4" ht="18" customHeight="1" x14ac:dyDescent="0.15">
      <c r="A5" s="9" t="s">
        <v>2</v>
      </c>
      <c r="B5" s="14">
        <v>24790586</v>
      </c>
      <c r="C5" s="13">
        <v>17953320</v>
      </c>
      <c r="D5" s="12">
        <v>0.72419999999999995</v>
      </c>
    </row>
    <row r="6" spans="1:4" ht="18" customHeight="1" x14ac:dyDescent="0.15">
      <c r="A6" s="9" t="s">
        <v>3</v>
      </c>
      <c r="B6" s="14">
        <v>37218858</v>
      </c>
      <c r="C6" s="13">
        <v>28550285</v>
      </c>
      <c r="D6" s="12">
        <v>0.7671</v>
      </c>
    </row>
    <row r="7" spans="1:4" ht="18" customHeight="1" x14ac:dyDescent="0.15">
      <c r="A7" s="9" t="s">
        <v>4</v>
      </c>
      <c r="B7" s="14">
        <v>30645016</v>
      </c>
      <c r="C7" s="13">
        <v>23163194</v>
      </c>
      <c r="D7" s="12">
        <v>0.75590000000000002</v>
      </c>
    </row>
    <row r="8" spans="1:4" ht="18" customHeight="1" x14ac:dyDescent="0.15">
      <c r="A8" s="9" t="s">
        <v>5</v>
      </c>
      <c r="B8" s="14">
        <v>26475646</v>
      </c>
      <c r="C8" s="13">
        <v>20453482</v>
      </c>
      <c r="D8" s="12">
        <v>0.77249999999999996</v>
      </c>
    </row>
    <row r="9" spans="1:4" ht="18" customHeight="1" x14ac:dyDescent="0.15">
      <c r="A9" s="9" t="s">
        <v>6</v>
      </c>
      <c r="B9" s="14">
        <v>24548560</v>
      </c>
      <c r="C9" s="13">
        <v>19115977</v>
      </c>
      <c r="D9" s="12">
        <v>0.77869999999999995</v>
      </c>
    </row>
    <row r="10" spans="1:4" ht="18" customHeight="1" x14ac:dyDescent="0.15">
      <c r="A10" s="9" t="s">
        <v>7</v>
      </c>
      <c r="B10" s="14">
        <v>28449237</v>
      </c>
      <c r="C10" s="13">
        <v>22878288</v>
      </c>
      <c r="D10" s="12">
        <v>0.80420000000000003</v>
      </c>
    </row>
    <row r="11" spans="1:4" ht="18" customHeight="1" x14ac:dyDescent="0.15">
      <c r="A11" s="9" t="s">
        <v>8</v>
      </c>
      <c r="B11" s="14">
        <v>33791629</v>
      </c>
      <c r="C11" s="13">
        <v>27200299</v>
      </c>
      <c r="D11" s="12">
        <v>0.80489999999999995</v>
      </c>
    </row>
    <row r="12" spans="1:4" ht="18" customHeight="1" x14ac:dyDescent="0.15">
      <c r="A12" s="9" t="s">
        <v>9</v>
      </c>
      <c r="B12" s="14">
        <v>9867643</v>
      </c>
      <c r="C12" s="13">
        <v>6969099</v>
      </c>
      <c r="D12" s="12">
        <v>0.70630000000000004</v>
      </c>
    </row>
    <row r="13" spans="1:4" ht="18" customHeight="1" x14ac:dyDescent="0.15">
      <c r="A13" s="8" t="s">
        <v>10</v>
      </c>
      <c r="B13" s="14">
        <v>12218244</v>
      </c>
      <c r="C13" s="13">
        <v>8678109</v>
      </c>
      <c r="D13" s="12">
        <v>0.71030000000000004</v>
      </c>
    </row>
    <row r="14" spans="1:4" ht="18" customHeight="1" x14ac:dyDescent="0.15">
      <c r="A14" s="8" t="s">
        <v>11</v>
      </c>
      <c r="B14" s="14">
        <v>31190913</v>
      </c>
      <c r="C14" s="13">
        <v>25450983</v>
      </c>
      <c r="D14" s="12">
        <v>0.81599999999999995</v>
      </c>
    </row>
    <row r="15" spans="1:4" ht="18" customHeight="1" x14ac:dyDescent="0.15">
      <c r="A15" s="9" t="s">
        <v>12</v>
      </c>
      <c r="B15" s="14">
        <v>23778118</v>
      </c>
      <c r="C15" s="13">
        <v>18912817</v>
      </c>
      <c r="D15" s="12">
        <v>0.7954</v>
      </c>
    </row>
    <row r="16" spans="1:4" ht="18" customHeight="1" x14ac:dyDescent="0.15">
      <c r="A16" s="9" t="s">
        <v>13</v>
      </c>
      <c r="B16" s="14">
        <v>24089853</v>
      </c>
      <c r="C16" s="13">
        <v>19370380</v>
      </c>
      <c r="D16" s="12">
        <v>0.80410000000000004</v>
      </c>
    </row>
    <row r="17" spans="1:4" ht="18" customHeight="1" x14ac:dyDescent="0.15">
      <c r="A17" s="9" t="s">
        <v>14</v>
      </c>
      <c r="B17" s="14">
        <v>30205836</v>
      </c>
      <c r="C17" s="13">
        <v>24663259</v>
      </c>
      <c r="D17" s="12">
        <v>0.8165</v>
      </c>
    </row>
    <row r="18" spans="1:4" ht="18" customHeight="1" x14ac:dyDescent="0.15">
      <c r="A18" s="9" t="s">
        <v>15</v>
      </c>
      <c r="B18" s="14">
        <v>23859193</v>
      </c>
      <c r="C18" s="13">
        <v>19243312</v>
      </c>
      <c r="D18" s="12">
        <v>0.80649999999999999</v>
      </c>
    </row>
    <row r="19" spans="1:4" ht="18" customHeight="1" x14ac:dyDescent="0.15">
      <c r="A19" s="9" t="s">
        <v>16</v>
      </c>
      <c r="B19" s="14">
        <v>31667683</v>
      </c>
      <c r="C19" s="13">
        <v>27148159</v>
      </c>
      <c r="D19" s="12">
        <v>0.85729999999999995</v>
      </c>
    </row>
    <row r="20" spans="1:4" ht="18" customHeight="1" x14ac:dyDescent="0.15">
      <c r="A20" s="9" t="s">
        <v>17</v>
      </c>
      <c r="B20" s="14">
        <v>34103581</v>
      </c>
      <c r="C20" s="13">
        <v>29154875</v>
      </c>
      <c r="D20" s="12">
        <v>0.85489999999999999</v>
      </c>
    </row>
    <row r="21" spans="1:4" ht="18" customHeight="1" x14ac:dyDescent="0.15">
      <c r="A21" s="9" t="s">
        <v>18</v>
      </c>
      <c r="B21" s="14">
        <v>23306942</v>
      </c>
      <c r="C21" s="13">
        <v>19320423</v>
      </c>
      <c r="D21" s="12">
        <v>0.82899999999999996</v>
      </c>
    </row>
    <row r="22" spans="1:4" ht="18" customHeight="1" x14ac:dyDescent="0.15">
      <c r="A22" s="9" t="s">
        <v>19</v>
      </c>
      <c r="B22" s="14">
        <v>9344835</v>
      </c>
      <c r="C22" s="13">
        <v>7075218</v>
      </c>
      <c r="D22" s="12">
        <v>0.7571</v>
      </c>
    </row>
    <row r="23" spans="1:4" ht="18" customHeight="1" x14ac:dyDescent="0.15">
      <c r="A23" s="9" t="s">
        <v>20</v>
      </c>
      <c r="B23" s="14">
        <v>37618831</v>
      </c>
      <c r="C23" s="13">
        <v>31961255</v>
      </c>
      <c r="D23" s="12">
        <v>0.84960000000000002</v>
      </c>
    </row>
    <row r="24" spans="1:4" ht="18" customHeight="1" x14ac:dyDescent="0.15">
      <c r="A24" s="9" t="s">
        <v>21</v>
      </c>
      <c r="B24" s="14">
        <v>30890615</v>
      </c>
      <c r="C24" s="13">
        <v>25983052</v>
      </c>
      <c r="D24" s="12">
        <v>0.84109999999999996</v>
      </c>
    </row>
    <row r="25" spans="1:4" ht="18" customHeight="1" x14ac:dyDescent="0.15">
      <c r="A25" s="9" t="s">
        <v>134</v>
      </c>
      <c r="B25" s="14">
        <v>26085978</v>
      </c>
      <c r="C25" s="13">
        <v>21852454</v>
      </c>
      <c r="D25" s="12">
        <v>0.8377</v>
      </c>
    </row>
    <row r="26" spans="1:4" ht="18" customHeight="1" x14ac:dyDescent="0.15">
      <c r="A26" s="9" t="s">
        <v>135</v>
      </c>
      <c r="B26" s="14">
        <v>34226589</v>
      </c>
      <c r="C26" s="13">
        <v>28667127</v>
      </c>
      <c r="D26" s="12">
        <v>0.83760000000000001</v>
      </c>
    </row>
    <row r="27" spans="1:4" ht="18" customHeight="1" x14ac:dyDescent="0.15">
      <c r="A27" s="9" t="s">
        <v>136</v>
      </c>
      <c r="B27" s="14">
        <v>34369641</v>
      </c>
      <c r="C27" s="13">
        <v>28836578</v>
      </c>
      <c r="D27" s="12">
        <v>0.83899999999999997</v>
      </c>
    </row>
    <row r="28" spans="1:4" ht="18" customHeight="1" x14ac:dyDescent="0.15">
      <c r="A28" s="9" t="s">
        <v>137</v>
      </c>
      <c r="B28" s="14">
        <v>24659330</v>
      </c>
      <c r="C28" s="13">
        <v>20558038</v>
      </c>
      <c r="D28" s="12">
        <v>0.8337</v>
      </c>
    </row>
    <row r="29" spans="1:4" ht="18" customHeight="1" x14ac:dyDescent="0.15">
      <c r="A29" s="9" t="s">
        <v>22</v>
      </c>
      <c r="B29" s="13">
        <v>20627756</v>
      </c>
      <c r="C29" s="13">
        <v>17358610</v>
      </c>
      <c r="D29" s="12">
        <v>0.84150000000000003</v>
      </c>
    </row>
    <row r="30" spans="1:4" ht="18" customHeight="1" x14ac:dyDescent="0.15">
      <c r="A30" s="9" t="s">
        <v>23</v>
      </c>
      <c r="B30" s="13">
        <v>14373751</v>
      </c>
      <c r="C30" s="13">
        <v>11978217</v>
      </c>
      <c r="D30" s="12">
        <v>0.83330000000000004</v>
      </c>
    </row>
    <row r="31" spans="1:4" ht="18" customHeight="1" x14ac:dyDescent="0.15">
      <c r="A31" s="9" t="s">
        <v>24</v>
      </c>
      <c r="B31" s="13">
        <v>15461363</v>
      </c>
      <c r="C31" s="13">
        <v>12443455</v>
      </c>
      <c r="D31" s="12">
        <v>0.80479999999999996</v>
      </c>
    </row>
    <row r="32" spans="1:4" ht="18" customHeight="1" x14ac:dyDescent="0.15">
      <c r="A32" s="9" t="s">
        <v>25</v>
      </c>
      <c r="B32" s="13">
        <v>33836344</v>
      </c>
      <c r="C32" s="13">
        <v>19826341</v>
      </c>
      <c r="D32" s="12">
        <v>0.58589999999999998</v>
      </c>
    </row>
    <row r="33" spans="1:4" ht="18" customHeight="1" x14ac:dyDescent="0.15">
      <c r="A33" s="9" t="s">
        <v>33</v>
      </c>
      <c r="B33" s="13">
        <v>18725828</v>
      </c>
      <c r="C33" s="13">
        <v>15746520</v>
      </c>
      <c r="D33" s="12">
        <v>0.84089999999999998</v>
      </c>
    </row>
    <row r="34" spans="1:4" ht="18" customHeight="1" x14ac:dyDescent="0.15">
      <c r="A34" s="9" t="s">
        <v>26</v>
      </c>
      <c r="B34" s="13">
        <v>16472011</v>
      </c>
      <c r="C34" s="13">
        <v>13884851</v>
      </c>
      <c r="D34" s="12">
        <v>0.84289999999999998</v>
      </c>
    </row>
    <row r="35" spans="1:4" ht="18" customHeight="1" x14ac:dyDescent="0.15">
      <c r="A35" s="9" t="s">
        <v>27</v>
      </c>
      <c r="B35" s="13">
        <v>7686940</v>
      </c>
      <c r="C35" s="13">
        <v>6131090</v>
      </c>
      <c r="D35" s="12">
        <v>0.79759999999999998</v>
      </c>
    </row>
    <row r="36" spans="1:4" ht="18" customHeight="1" x14ac:dyDescent="0.15">
      <c r="A36" s="9" t="s">
        <v>28</v>
      </c>
      <c r="B36" s="13">
        <v>19261354</v>
      </c>
      <c r="C36" s="13">
        <v>16223229</v>
      </c>
      <c r="D36" s="12">
        <v>0.84230000000000005</v>
      </c>
    </row>
    <row r="37" spans="1:4" ht="18" customHeight="1" x14ac:dyDescent="0.15">
      <c r="A37" s="9" t="s">
        <v>34</v>
      </c>
      <c r="B37" s="13">
        <v>16683314</v>
      </c>
      <c r="C37" s="13">
        <v>14131576</v>
      </c>
      <c r="D37" s="12">
        <v>0.84699999999999998</v>
      </c>
    </row>
    <row r="38" spans="1:4" ht="18" customHeight="1" x14ac:dyDescent="0.15">
      <c r="A38" s="9" t="s">
        <v>29</v>
      </c>
      <c r="B38" s="13">
        <v>20479899</v>
      </c>
      <c r="C38" s="13">
        <v>17323600</v>
      </c>
      <c r="D38" s="12">
        <v>0.84589999999999999</v>
      </c>
    </row>
    <row r="39" spans="1:4" ht="18" customHeight="1" x14ac:dyDescent="0.15">
      <c r="A39" s="9" t="s">
        <v>30</v>
      </c>
      <c r="B39" s="13">
        <v>12814774</v>
      </c>
      <c r="C39" s="13">
        <v>10673520</v>
      </c>
      <c r="D39" s="12">
        <v>0.83289999999999997</v>
      </c>
    </row>
    <row r="40" spans="1:4" ht="18" customHeight="1" x14ac:dyDescent="0.15">
      <c r="A40" s="9" t="s">
        <v>35</v>
      </c>
      <c r="B40" s="13">
        <v>14828608</v>
      </c>
      <c r="C40" s="13">
        <v>12106277</v>
      </c>
      <c r="D40" s="12">
        <v>0.81640000000000001</v>
      </c>
    </row>
    <row r="41" spans="1:4" ht="18" customHeight="1" x14ac:dyDescent="0.15">
      <c r="A41" s="9" t="s">
        <v>31</v>
      </c>
      <c r="B41" s="13">
        <v>21247616</v>
      </c>
      <c r="C41" s="13">
        <v>17700996</v>
      </c>
      <c r="D41" s="12">
        <v>0.83309999999999995</v>
      </c>
    </row>
    <row r="42" spans="1:4" ht="18" customHeight="1" x14ac:dyDescent="0.15">
      <c r="A42" s="8" t="s">
        <v>124</v>
      </c>
      <c r="B42" s="13">
        <v>24790428</v>
      </c>
      <c r="C42" s="13">
        <v>14197137</v>
      </c>
      <c r="D42" s="12">
        <v>0.57269999999999999</v>
      </c>
    </row>
    <row r="43" spans="1:4" ht="18" customHeight="1" x14ac:dyDescent="0.15">
      <c r="A43" s="8" t="s">
        <v>125</v>
      </c>
      <c r="B43" s="13">
        <v>21199507</v>
      </c>
      <c r="C43" s="13">
        <v>12685348</v>
      </c>
      <c r="D43" s="12">
        <v>0.59840000000000004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15" sqref="B15"/>
    </sheetView>
  </sheetViews>
  <sheetFormatPr baseColWidth="10" defaultColWidth="23" defaultRowHeight="18" customHeight="1" x14ac:dyDescent="0.2"/>
  <cols>
    <col min="1" max="16384" width="23" style="5"/>
  </cols>
  <sheetData>
    <row r="1" spans="1:9" ht="18" customHeight="1" x14ac:dyDescent="0.2">
      <c r="A1" s="1" t="s">
        <v>109</v>
      </c>
      <c r="B1" s="3" t="s">
        <v>115</v>
      </c>
      <c r="C1" s="3" t="s">
        <v>116</v>
      </c>
      <c r="D1" s="3" t="s">
        <v>117</v>
      </c>
      <c r="E1" s="4" t="s">
        <v>113</v>
      </c>
      <c r="F1" s="4" t="s">
        <v>118</v>
      </c>
      <c r="G1" s="4" t="s">
        <v>123</v>
      </c>
      <c r="H1" s="15" t="s">
        <v>121</v>
      </c>
      <c r="I1" s="15" t="s">
        <v>122</v>
      </c>
    </row>
    <row r="2" spans="1:9" s="11" customFormat="1" ht="18" customHeight="1" x14ac:dyDescent="0.2">
      <c r="A2" s="10" t="s">
        <v>36</v>
      </c>
      <c r="B2" s="16">
        <v>379339734</v>
      </c>
      <c r="C2" s="16">
        <v>258923806</v>
      </c>
      <c r="D2" s="16">
        <v>215304735</v>
      </c>
      <c r="E2" s="17">
        <v>0.68300000000000005</v>
      </c>
      <c r="F2" s="17">
        <v>0.56799999999999995</v>
      </c>
      <c r="G2" s="16">
        <v>28208644</v>
      </c>
      <c r="H2" s="18">
        <v>10.9009301901</v>
      </c>
      <c r="I2" s="17">
        <v>0.94637822569800001</v>
      </c>
    </row>
    <row r="3" spans="1:9" s="11" customFormat="1" ht="18" customHeight="1" x14ac:dyDescent="0.2">
      <c r="A3" s="10" t="s">
        <v>37</v>
      </c>
      <c r="B3" s="16">
        <v>352891046</v>
      </c>
      <c r="C3" s="16">
        <v>239351350</v>
      </c>
      <c r="D3" s="16">
        <v>202352614</v>
      </c>
      <c r="E3" s="17">
        <v>0.67800000000000005</v>
      </c>
      <c r="F3" s="17">
        <v>0.57299999999999995</v>
      </c>
      <c r="G3" s="16">
        <v>28147963</v>
      </c>
      <c r="H3" s="18">
        <v>8.6102344244199998</v>
      </c>
      <c r="I3" s="17">
        <v>0.93734018164199995</v>
      </c>
    </row>
    <row r="4" spans="1:9" s="11" customFormat="1" ht="18" customHeight="1" x14ac:dyDescent="0.2">
      <c r="A4" s="10" t="s">
        <v>38</v>
      </c>
      <c r="B4" s="16">
        <v>342952172</v>
      </c>
      <c r="C4" s="16">
        <v>232148175</v>
      </c>
      <c r="D4" s="16">
        <v>196450364</v>
      </c>
      <c r="E4" s="17">
        <v>0.67700000000000005</v>
      </c>
      <c r="F4" s="17">
        <v>0.57299999999999995</v>
      </c>
      <c r="G4" s="16">
        <v>30677536</v>
      </c>
      <c r="H4" s="18">
        <v>7.4496656120000004</v>
      </c>
      <c r="I4" s="17">
        <v>0.95355552509099994</v>
      </c>
    </row>
    <row r="5" spans="1:9" s="11" customFormat="1" ht="18" customHeight="1" x14ac:dyDescent="0.2">
      <c r="A5" s="10" t="s">
        <v>39</v>
      </c>
      <c r="B5" s="16">
        <v>392000036</v>
      </c>
      <c r="C5" s="16">
        <v>258498600</v>
      </c>
      <c r="D5" s="16">
        <v>223409087</v>
      </c>
      <c r="E5" s="17">
        <v>0.65900000000000003</v>
      </c>
      <c r="F5" s="17">
        <v>0.56999999999999995</v>
      </c>
      <c r="G5" s="16">
        <v>30929713</v>
      </c>
      <c r="H5" s="18">
        <v>8.6288019872700001</v>
      </c>
      <c r="I5" s="17">
        <v>0.94302448400100003</v>
      </c>
    </row>
    <row r="6" spans="1:9" s="11" customFormat="1" ht="18" customHeight="1" x14ac:dyDescent="0.2">
      <c r="A6" s="10" t="s">
        <v>40</v>
      </c>
      <c r="B6" s="16">
        <v>365038250</v>
      </c>
      <c r="C6" s="16">
        <v>245993503</v>
      </c>
      <c r="D6" s="16">
        <v>214352166</v>
      </c>
      <c r="E6" s="17">
        <v>0.67400000000000004</v>
      </c>
      <c r="F6" s="17">
        <v>0.58699999999999997</v>
      </c>
      <c r="G6" s="16">
        <v>31138517</v>
      </c>
      <c r="H6" s="18">
        <v>8.0360235524399997</v>
      </c>
      <c r="I6" s="17">
        <v>0.94559028082600005</v>
      </c>
    </row>
    <row r="7" spans="1:9" s="11" customFormat="1" ht="18" customHeight="1" x14ac:dyDescent="0.2">
      <c r="A7" s="10" t="s">
        <v>41</v>
      </c>
      <c r="B7" s="16">
        <v>346132864</v>
      </c>
      <c r="C7" s="16">
        <v>228535727</v>
      </c>
      <c r="D7" s="16">
        <v>199120364</v>
      </c>
      <c r="E7" s="17">
        <v>0.66</v>
      </c>
      <c r="F7" s="17">
        <v>0.57499999999999996</v>
      </c>
      <c r="G7" s="16">
        <v>30573218</v>
      </c>
      <c r="H7" s="18">
        <v>7.5982904710900003</v>
      </c>
      <c r="I7" s="17">
        <v>0.94078888703300001</v>
      </c>
    </row>
    <row r="8" spans="1:9" s="11" customFormat="1" ht="18" customHeight="1" x14ac:dyDescent="0.2">
      <c r="A8" s="10" t="s">
        <v>42</v>
      </c>
      <c r="B8" s="16">
        <v>349779212</v>
      </c>
      <c r="C8" s="16">
        <v>218202498</v>
      </c>
      <c r="D8" s="16">
        <v>188957810</v>
      </c>
      <c r="E8" s="17">
        <v>0.624</v>
      </c>
      <c r="F8" s="17">
        <v>0.54</v>
      </c>
      <c r="G8" s="16">
        <v>30703127</v>
      </c>
      <c r="H8" s="18">
        <v>6.6357453428099999</v>
      </c>
      <c r="I8" s="17">
        <v>0.94231998683899998</v>
      </c>
    </row>
    <row r="9" spans="1:9" s="11" customFormat="1" ht="18" customHeight="1" x14ac:dyDescent="0.2">
      <c r="A9" s="10" t="s">
        <v>43</v>
      </c>
      <c r="B9" s="16">
        <v>392363918</v>
      </c>
      <c r="C9" s="16">
        <v>265294010</v>
      </c>
      <c r="D9" s="16">
        <v>230796252</v>
      </c>
      <c r="E9" s="17">
        <v>0.67600000000000005</v>
      </c>
      <c r="F9" s="17">
        <v>0.58799999999999997</v>
      </c>
      <c r="G9" s="16">
        <v>31400763</v>
      </c>
      <c r="H9" s="18">
        <v>8.3243282655299993</v>
      </c>
      <c r="I9" s="17">
        <v>0.94421526314799997</v>
      </c>
    </row>
    <row r="10" spans="1:9" s="11" customFormat="1" ht="18" customHeight="1" x14ac:dyDescent="0.2">
      <c r="A10" s="10" t="s">
        <v>130</v>
      </c>
      <c r="B10" s="16">
        <v>406156758</v>
      </c>
      <c r="C10" s="16">
        <v>269840684</v>
      </c>
      <c r="D10" s="16">
        <v>235009526</v>
      </c>
      <c r="E10" s="17">
        <v>0.66400000000000003</v>
      </c>
      <c r="F10" s="17">
        <v>0.57899999999999996</v>
      </c>
      <c r="G10" s="16">
        <v>32272279</v>
      </c>
      <c r="H10" s="18">
        <v>7.96581025468</v>
      </c>
      <c r="I10" s="17">
        <v>0.93898492625800001</v>
      </c>
    </row>
    <row r="11" spans="1:9" s="11" customFormat="1" ht="18" customHeight="1" x14ac:dyDescent="0.2">
      <c r="A11" s="10" t="s">
        <v>131</v>
      </c>
      <c r="B11" s="16">
        <v>384079544</v>
      </c>
      <c r="C11" s="16">
        <v>244720010</v>
      </c>
      <c r="D11" s="16">
        <v>213088538</v>
      </c>
      <c r="E11" s="17">
        <v>0.63700000000000001</v>
      </c>
      <c r="F11" s="17">
        <v>0.55500000000000005</v>
      </c>
      <c r="G11" s="16">
        <v>32202522</v>
      </c>
      <c r="H11" s="18">
        <v>7.4158280522300002</v>
      </c>
      <c r="I11" s="17">
        <v>0.94947689270000002</v>
      </c>
    </row>
    <row r="12" spans="1:9" s="11" customFormat="1" ht="18" customHeight="1" x14ac:dyDescent="0.2">
      <c r="A12" s="10" t="s">
        <v>132</v>
      </c>
      <c r="B12" s="16">
        <v>392221134</v>
      </c>
      <c r="C12" s="16">
        <v>248932567</v>
      </c>
      <c r="D12" s="16">
        <v>218546552</v>
      </c>
      <c r="E12" s="17">
        <v>0.63500000000000001</v>
      </c>
      <c r="F12" s="17">
        <v>0.55700000000000005</v>
      </c>
      <c r="G12" s="16">
        <v>31592794</v>
      </c>
      <c r="H12" s="18">
        <v>8.0108697255500001</v>
      </c>
      <c r="I12" s="17">
        <v>0.93699182211400001</v>
      </c>
    </row>
    <row r="13" spans="1:9" s="11" customFormat="1" ht="18" customHeight="1" x14ac:dyDescent="0.2">
      <c r="A13" s="10" t="s">
        <v>133</v>
      </c>
      <c r="B13" s="16">
        <v>346188046</v>
      </c>
      <c r="C13" s="16">
        <v>219099904</v>
      </c>
      <c r="D13" s="16">
        <v>192573903</v>
      </c>
      <c r="E13" s="17">
        <v>0.63300000000000001</v>
      </c>
      <c r="F13" s="17">
        <v>0.55600000000000005</v>
      </c>
      <c r="G13" s="16">
        <v>32188361</v>
      </c>
      <c r="H13" s="18">
        <v>7.0095335391600004</v>
      </c>
      <c r="I13" s="17">
        <v>0.95750168230900001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ChIP-seq</vt:lpstr>
      <vt:lpstr>RNA-seq</vt:lpstr>
      <vt:lpstr>WGBS-seq</vt:lpstr>
    </vt:vector>
  </TitlesOfParts>
  <Company>Tongji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Chenfei Wang</dc:creator>
  <cp:lastModifiedBy>Chenfei Wang</cp:lastModifiedBy>
  <dcterms:created xsi:type="dcterms:W3CDTF">2017-04-08T05:55:46Z</dcterms:created>
  <dcterms:modified xsi:type="dcterms:W3CDTF">2018-03-17T12:04:15Z</dcterms:modified>
</cp:coreProperties>
</file>