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M\Dropbox\documents\UC Davis\Research (Alone)\Air Pollutants\drafts\NCC\Editorial\"/>
    </mc:Choice>
  </mc:AlternateContent>
  <bookViews>
    <workbookView xWindow="2295" yWindow="0" windowWidth="25035" windowHeight="15495" tabRatio="916"/>
  </bookViews>
  <sheets>
    <sheet name="Outline" sheetId="1" r:id="rId1"/>
    <sheet name="Supplementary Data Sheet 1" sheetId="2" r:id="rId2"/>
    <sheet name="Supplementary Data Sheet 2" sheetId="4" r:id="rId3"/>
    <sheet name="Supplementary Data Sheet 3" sheetId="9" r:id="rId4"/>
    <sheet name="Supplementary Data Sheet 4" sheetId="10" r:id="rId5"/>
    <sheet name="Supplementary Data Sheet 5" sheetId="6" r:id="rId6"/>
    <sheet name="Supplementary Data Sheet 6" sheetId="3" r:id="rId7"/>
    <sheet name="Supplementary Data Sheet 7" sheetId="8" r:id="rId8"/>
    <sheet name="Supplementary Data Sheet 8" sheetId="7" r:id="rId9"/>
    <sheet name="Supplementary Data Sheet 9" sheetId="11" r:id="rId10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9" i="6" l="1"/>
  <c r="F39" i="6"/>
  <c r="E39" i="6"/>
  <c r="C39" i="6"/>
  <c r="B39" i="6"/>
  <c r="D33" i="6"/>
  <c r="F33" i="6"/>
  <c r="E32" i="6"/>
  <c r="C32" i="6"/>
  <c r="B32" i="6"/>
  <c r="I40" i="8"/>
  <c r="H40" i="8"/>
  <c r="G40" i="8"/>
  <c r="H39" i="8"/>
  <c r="G39" i="8"/>
  <c r="G38" i="8"/>
  <c r="H37" i="8"/>
  <c r="G37" i="8"/>
  <c r="H36" i="8"/>
  <c r="G36" i="8"/>
  <c r="H35" i="8"/>
  <c r="G35" i="8"/>
  <c r="H34" i="8"/>
  <c r="F40" i="8"/>
  <c r="E40" i="8"/>
  <c r="D40" i="8"/>
  <c r="E39" i="8"/>
  <c r="D39" i="8"/>
  <c r="D38" i="8"/>
  <c r="D37" i="8"/>
  <c r="E37" i="8"/>
  <c r="E36" i="8"/>
  <c r="D36" i="8"/>
  <c r="E35" i="8"/>
  <c r="D35" i="8"/>
  <c r="E34" i="8"/>
  <c r="F26" i="8"/>
  <c r="D26" i="8"/>
  <c r="F25" i="8"/>
  <c r="D25" i="8"/>
  <c r="F24" i="8"/>
  <c r="D24" i="8"/>
  <c r="F23" i="8"/>
  <c r="D23" i="8"/>
  <c r="I12" i="8"/>
  <c r="I11" i="8"/>
  <c r="I10" i="8"/>
  <c r="I9" i="8"/>
  <c r="I8" i="8"/>
  <c r="I7" i="8"/>
  <c r="K12" i="8"/>
  <c r="K11" i="8"/>
  <c r="K10" i="8"/>
  <c r="K9" i="8"/>
  <c r="K8" i="8"/>
  <c r="K7" i="8"/>
  <c r="AJ7" i="7"/>
  <c r="AI7" i="7"/>
  <c r="AH7" i="7"/>
  <c r="AI8" i="7"/>
  <c r="AE8" i="7"/>
  <c r="AD8" i="7"/>
  <c r="AA8" i="7"/>
  <c r="Z8" i="7"/>
  <c r="W8" i="7"/>
  <c r="AJ15" i="6"/>
  <c r="AI15" i="6"/>
  <c r="AJ11" i="6"/>
  <c r="AI11" i="6"/>
  <c r="AK9" i="6"/>
  <c r="AJ9" i="6"/>
  <c r="AI9" i="6"/>
  <c r="AF9" i="6"/>
  <c r="AE9" i="6"/>
  <c r="AD9" i="6"/>
  <c r="AE11" i="6"/>
  <c r="AD11" i="6"/>
  <c r="AE15" i="6"/>
  <c r="AD15" i="6"/>
  <c r="AA11" i="6"/>
  <c r="AA15" i="6"/>
  <c r="Z15" i="6"/>
  <c r="Y15" i="6"/>
  <c r="Z14" i="6"/>
  <c r="Y14" i="6"/>
  <c r="Z11" i="6"/>
  <c r="Y11" i="6"/>
  <c r="AA9" i="6"/>
  <c r="Z9" i="6"/>
  <c r="Y9" i="6"/>
  <c r="V15" i="6"/>
  <c r="U15" i="6"/>
  <c r="T15" i="6"/>
  <c r="U14" i="6"/>
  <c r="T14" i="6"/>
  <c r="T11" i="6"/>
  <c r="V11" i="6"/>
  <c r="U11" i="6"/>
  <c r="U10" i="6"/>
  <c r="T10" i="6"/>
  <c r="Q14" i="6"/>
  <c r="P14" i="6"/>
  <c r="O14" i="6"/>
  <c r="L14" i="6"/>
  <c r="K14" i="6"/>
  <c r="J14" i="6"/>
  <c r="I26" i="11"/>
  <c r="I23" i="11"/>
  <c r="I4" i="11"/>
  <c r="N19" i="11"/>
  <c r="M20" i="11"/>
  <c r="I19" i="11"/>
  <c r="M19" i="11"/>
  <c r="M18" i="11"/>
  <c r="M17" i="11"/>
  <c r="I20" i="11"/>
  <c r="I24" i="11"/>
  <c r="I25" i="11"/>
  <c r="I17" i="11"/>
  <c r="I18" i="11"/>
  <c r="M11" i="11"/>
  <c r="I11" i="11"/>
  <c r="M10" i="11"/>
  <c r="I10" i="11"/>
  <c r="M9" i="11"/>
  <c r="I9" i="11"/>
  <c r="I16" i="11"/>
  <c r="C17" i="9"/>
  <c r="C16" i="9"/>
  <c r="C15" i="9"/>
  <c r="C14" i="9"/>
  <c r="C13" i="9"/>
  <c r="C12" i="9"/>
  <c r="C11" i="9"/>
  <c r="C10" i="9"/>
  <c r="C9" i="9"/>
  <c r="C8" i="9"/>
  <c r="C7" i="9"/>
  <c r="C6" i="9"/>
  <c r="C5" i="9"/>
</calcChain>
</file>

<file path=xl/sharedStrings.xml><?xml version="1.0" encoding="utf-8"?>
<sst xmlns="http://schemas.openxmlformats.org/spreadsheetml/2006/main" count="906" uniqueCount="461">
  <si>
    <t>Outline of Sheets</t>
  </si>
  <si>
    <t>Supplementary Data Sheet 1</t>
  </si>
  <si>
    <t>Supplementary Data Sheet 2</t>
  </si>
  <si>
    <t>Supplementary Data Sheet 3</t>
  </si>
  <si>
    <t>Supplementary Data Sheet 4</t>
  </si>
  <si>
    <t>Supplementary Data Sheet 5</t>
  </si>
  <si>
    <t>Supplementary Data Sheet 6</t>
  </si>
  <si>
    <t>Supplementary Data Sheet 7</t>
  </si>
  <si>
    <t>Supplementary Data Sheet 8</t>
  </si>
  <si>
    <t>Supplementary Data Sheet 9</t>
  </si>
  <si>
    <t>Use of cement in the production of concrete and mortar by region</t>
  </si>
  <si>
    <t>Concrete and mortar mixtures assessed</t>
  </si>
  <si>
    <t>Cement consumption and countries assessed by region</t>
  </si>
  <si>
    <t>Electricity by fuel type by region</t>
  </si>
  <si>
    <t>Electricity by fuel type</t>
  </si>
  <si>
    <t>Natural Gas</t>
  </si>
  <si>
    <t>Biomass</t>
  </si>
  <si>
    <t>Africa</t>
  </si>
  <si>
    <t>Region</t>
  </si>
  <si>
    <t>Australia &amp; New Zealand</t>
  </si>
  <si>
    <t>Brazil</t>
  </si>
  <si>
    <t>Canada</t>
  </si>
  <si>
    <t>China</t>
  </si>
  <si>
    <t>Commonwealth of Independent States</t>
  </si>
  <si>
    <t>Europe</t>
  </si>
  <si>
    <t>India</t>
  </si>
  <si>
    <t>Japan</t>
  </si>
  <si>
    <t>Middle East</t>
  </si>
  <si>
    <t>Remaining Americas</t>
  </si>
  <si>
    <t>Remaining Asia and Oceania</t>
  </si>
  <si>
    <t>United States</t>
  </si>
  <si>
    <t>Data from:</t>
  </si>
  <si>
    <t>IEA. IEA Statistics: Electricity Information. (International Energy Agency, Paris, France, 2012).</t>
  </si>
  <si>
    <t xml:space="preserve">Legal disclaimer for data pertaining to electricity mixes: This work is partially based on the IEA. IEA Statistics: Electricity Information. (International Energy Agency, Paris, France, 2012) developed by the International Energy Agency, © OECD/IEA [2012] but the resulting work has been prepared by Sabbie Miller and does not necessarily reflect the views of the International Energy Agency </t>
  </si>
  <si>
    <t>Data in part from:</t>
  </si>
  <si>
    <t>Percent use by mass</t>
  </si>
  <si>
    <t>% fly ash</t>
  </si>
  <si>
    <t>% ground granulated blast furnace slag</t>
  </si>
  <si>
    <t>% limestone</t>
  </si>
  <si>
    <t>% other</t>
  </si>
  <si>
    <t>Australia and New Zealand</t>
  </si>
  <si>
    <t xml:space="preserve"> </t>
  </si>
  <si>
    <t>Approximate Ust of Mineral Admixtures and Filler</t>
  </si>
  <si>
    <t>Based on available data from:</t>
  </si>
  <si>
    <t>1 lb = 0.453592 kg</t>
  </si>
  <si>
    <t>1 ton = 0.907185 tonne</t>
  </si>
  <si>
    <t>1 BTU = 0.00105506 MJ</t>
  </si>
  <si>
    <t>Conversion Factors Applied</t>
  </si>
  <si>
    <t>Fuel</t>
  </si>
  <si>
    <t>Coal</t>
  </si>
  <si>
    <t>Oil</t>
  </si>
  <si>
    <t>PetCoke</t>
  </si>
  <si>
    <t>CO</t>
  </si>
  <si>
    <t>VOC</t>
  </si>
  <si>
    <t>-</t>
  </si>
  <si>
    <t>For HVFO: assumed to have the same range as oils</t>
  </si>
  <si>
    <t>For "Other" fuel: assumed to have the range of all fuels reported</t>
  </si>
  <si>
    <t>For Tires: assumed to have the same range as solid waste</t>
  </si>
  <si>
    <t>NOx</t>
  </si>
  <si>
    <t>Percent cement used in concrete</t>
  </si>
  <si>
    <t>Concrete mixtures used to assess water demand (based on [1]); units in kg/m3 unless otherwise noted</t>
  </si>
  <si>
    <t>Mortar mixtures used to assess water demand (based on [2, 3]); units in kg/m3 unless otherwise noted</t>
  </si>
  <si>
    <t>Mixtures containing fly ash</t>
  </si>
  <si>
    <t>Mixtures</t>
  </si>
  <si>
    <t>binder</t>
  </si>
  <si>
    <t>water</t>
  </si>
  <si>
    <t>fine aggregate</t>
  </si>
  <si>
    <t>cement</t>
  </si>
  <si>
    <t>coarse aggregate</t>
  </si>
  <si>
    <t>fly ash</t>
  </si>
  <si>
    <t>fcm (MPa)</t>
  </si>
  <si>
    <t>Mixtures containing ground granluated blast furnace slag</t>
  </si>
  <si>
    <t>ground granulated blast furnace slag</t>
  </si>
  <si>
    <t>Mixtures containing limestone</t>
  </si>
  <si>
    <t>superplasticizer</t>
  </si>
  <si>
    <t>limestone</t>
  </si>
  <si>
    <t>Mixtures containing natural pozzolans</t>
  </si>
  <si>
    <t>nat pozz</t>
  </si>
  <si>
    <t>[1] Miller, S. A., Horvath, A. &amp; Monteiro, P. J. M. Readily implementable techniques can cut annual CO2 emissions from the production of concrete by over 20%. Environmental Research Letters 11, 074029 (2016).</t>
  </si>
  <si>
    <t>[3] Dubovoy, V.S. &amp; Ribar, J.W.. Masonry Cement Mortars - A Laboraotry Invesntigation. (Portland Cement Association, 1990).</t>
  </si>
  <si>
    <t>% fly ash from local sources</t>
  </si>
  <si>
    <t>AU &amp; NZ*</t>
  </si>
  <si>
    <t>AU &amp; NZ</t>
  </si>
  <si>
    <t>US</t>
  </si>
  <si>
    <t>C.I.S.</t>
  </si>
  <si>
    <t>Europe/C.I.S.</t>
  </si>
  <si>
    <t>R. Americas</t>
  </si>
  <si>
    <t xml:space="preserve">R. Asia </t>
  </si>
  <si>
    <t>* note: 20% of cement is modeled as imported by freighter 7500km</t>
  </si>
  <si>
    <r>
      <t>a</t>
    </r>
    <r>
      <rPr>
        <sz val="10"/>
        <color theme="1"/>
        <rFont val="Times New Roman"/>
        <family val="1"/>
      </rPr>
      <t xml:space="preserve"> remaining SCMs assumed to be produced and shipped from the U.S.</t>
    </r>
  </si>
  <si>
    <r>
      <t>b</t>
    </r>
    <r>
      <rPr>
        <sz val="10"/>
        <color theme="1"/>
        <rFont val="Times New Roman"/>
        <family val="1"/>
      </rPr>
      <t xml:space="preserve"> transportation modeled as by rail</t>
    </r>
  </si>
  <si>
    <r>
      <t>c</t>
    </r>
    <r>
      <rPr>
        <sz val="10"/>
        <color theme="1"/>
        <rFont val="Times New Roman"/>
        <family val="1"/>
      </rPr>
      <t xml:space="preserve"> transportation modeled as by freighter</t>
    </r>
  </si>
  <si>
    <r>
      <t xml:space="preserve">d </t>
    </r>
    <r>
      <rPr>
        <sz val="10"/>
        <color theme="1"/>
        <rFont val="Times New Roman"/>
        <family val="1"/>
      </rPr>
      <t>remaining fly ash from Europe/C.I.S.</t>
    </r>
  </si>
  <si>
    <t>Coal*</t>
  </si>
  <si>
    <t>Gas**</t>
  </si>
  <si>
    <t>Biomass***</t>
  </si>
  <si>
    <t>*** modeled as wood and wood waste</t>
  </si>
  <si>
    <t>* modeled as an including bituminous, subbituminous, anthracite, and lignite</t>
  </si>
  <si>
    <t>** modeled as including natural gas and liquified gas; PM10 and PM2.5 given as same distributions as recommended for natural gas</t>
  </si>
  <si>
    <t>EPA. AP 42, Fifth Edition, Volume I Chapter 1: External Combustion Sources. (United States Environmental Protection Agency, Research Triangle Park, NC, 1995).</t>
  </si>
  <si>
    <t>Liquid Waste*****</t>
  </si>
  <si>
    <t>***** modeled based on waste oil</t>
  </si>
  <si>
    <t>Solid Waste****</t>
  </si>
  <si>
    <t>Fossil Waste*****</t>
  </si>
  <si>
    <t>For solid waste and waste oil, data based on:</t>
  </si>
  <si>
    <t>Note: for data sources with only unfiltered emissions, 80% filtering rate was estimated</t>
  </si>
  <si>
    <t>EPA. Air Emissions Inventories, Volume 2 Chapter 14: Uncontrolled Emission Factor Listing for Criteria Air Pollutants. (United States Environmental Protection Agency, Eastern Research Group Inc., 2001).</t>
  </si>
  <si>
    <t>GREET, The Greenhouse Gases, Regulated Emissions, and Energy Use In Transportation Model, GREET 1.8d.1, developed by Argonne National Laboratory, Argonne, IL, released August 26, 2010.</t>
  </si>
  <si>
    <t>Uncertainty factors</t>
  </si>
  <si>
    <t>Mode</t>
  </si>
  <si>
    <t>Water</t>
  </si>
  <si>
    <t>Rail</t>
  </si>
  <si>
    <t>Road</t>
  </si>
  <si>
    <t>IPCC Guidelines for National Greenhouse Gas Inventories: Volume 2: Energy. (Intergovernmental Panel on Climate Change, 2006)</t>
  </si>
  <si>
    <t>*non-methane VOC</t>
  </si>
  <si>
    <t>DRY WITH PREHEATER AND PRECALCINER</t>
  </si>
  <si>
    <t>DRY WITH PREHEATER WITHOUT PRECALCINER</t>
  </si>
  <si>
    <t>DRY WITHOUT PREHEATER (LONG DRY KILN)</t>
  </si>
  <si>
    <t>WET / SHAFT KILN</t>
  </si>
  <si>
    <t>"-" assumed to be negligible</t>
  </si>
  <si>
    <t>1 kWh = 3.6 MJ</t>
  </si>
  <si>
    <t>[1] ERMCO. Ready-mixed Concrete Industry Statistics Year 2013. (Brussels, Belgium, 2014).</t>
  </si>
  <si>
    <t>[2] van Oss, H. G. Minerals yearbook: cement 2012. 16.11-16.38. (Bureau of Mines, 2015).</t>
  </si>
  <si>
    <t>[3] Xi, F. et al. Substantial global carbon uptake by cement carbonation. Nature Geoscience 9, 880-883, doi:10.1038/NGEO2840 (2016).</t>
  </si>
  <si>
    <t>**** PM10 and PM2.5 emissions assumed to be equivalent due to lack of differentiating data; lower heating value approximated as equivalent to wood waste</t>
  </si>
  <si>
    <t>Process</t>
  </si>
  <si>
    <t>clinker (and 95% clinker cement) production</t>
  </si>
  <si>
    <t>aggregate production</t>
  </si>
  <si>
    <t>natural pozzolans and limestone production</t>
  </si>
  <si>
    <t>Process Related Air Emissions</t>
  </si>
  <si>
    <t>Energy Related Water Consumption</t>
  </si>
  <si>
    <t>components</t>
  </si>
  <si>
    <t>kilns</t>
  </si>
  <si>
    <t>kiln efficiency</t>
  </si>
  <si>
    <t>electricity</t>
  </si>
  <si>
    <t>Transportation</t>
  </si>
  <si>
    <t>Truck</t>
  </si>
  <si>
    <t>Frieght</t>
  </si>
  <si>
    <t>emissions for fuel combustion</t>
  </si>
  <si>
    <t>Mixture proportions</t>
  </si>
  <si>
    <t>electricity requirement*</t>
  </si>
  <si>
    <t>calculated using methods presented by [1,2]</t>
  </si>
  <si>
    <t>electricity requirement for plasticizers*</t>
  </si>
  <si>
    <t>* electricity requirement based on [3] with the exception of plasticizers, which is based on [4]</t>
  </si>
  <si>
    <t>uncertainty factor</t>
  </si>
  <si>
    <t>u1 (reliability)</t>
  </si>
  <si>
    <t>u2 (completeness)</t>
  </si>
  <si>
    <t>u3 (temporal correlation)</t>
  </si>
  <si>
    <t>u4 (geographical correlation)</t>
  </si>
  <si>
    <t>u5 (technological correlation)</t>
  </si>
  <si>
    <t>standard dev</t>
  </si>
  <si>
    <t>extra notes</t>
  </si>
  <si>
    <t>ub (basic uncertainty)**</t>
  </si>
  <si>
    <t>US (if different)</t>
  </si>
  <si>
    <t>Europe (if different)</t>
  </si>
  <si>
    <t>based on experimental mixtures and code, see data sheet 9</t>
  </si>
  <si>
    <r>
      <t xml:space="preserve">[2] Weidema, B. P. &amp; Wesnæs, M. S. Data quality management for life cycle inventories--an example of using data quality indicators. </t>
    </r>
    <r>
      <rPr>
        <i/>
        <sz val="10"/>
        <color theme="1"/>
        <rFont val="Times New Roman"/>
        <family val="1"/>
      </rPr>
      <t>Journal of Cleaner Production</t>
    </r>
    <r>
      <rPr>
        <sz val="10"/>
        <color theme="1"/>
        <rFont val="Times New Roman"/>
        <family val="1"/>
      </rPr>
      <t xml:space="preserve"> 4, 167-174, doi:10.1016/s0959-6526(96)00043-1 (1996).</t>
    </r>
  </si>
  <si>
    <t xml:space="preserve">[1] Frischknecht, R. et al. The ecoinvent Database: Overview and Methodological Framework (7pp). The International Journal of Life Cycle Assessment 10, 3-9, doi:10.1065/lca2004.10.181.1 (2005). </t>
  </si>
  <si>
    <t>[3] EPA. Air Emissions Inventories, Volume 2 Chapter 14: Uncontrolled Emission Factor Listing for Criteria Air Pollutants. (United States Environmental Protection Agency, Eastern Research Group Inc., 2001).</t>
  </si>
  <si>
    <t>uncertainty parameters based on data from [3]; therefore, US has a u2 and u4 of 1.0</t>
  </si>
  <si>
    <t>[4] GNR. Global Cement Database on CO₂ and Energy Information, &lt;http://www.wbcsdcement.org/GNR-2013/index.html&gt; (2014).</t>
  </si>
  <si>
    <t>uncertainty parameters based on data from [4]</t>
  </si>
  <si>
    <t>uncertainty parameters based on data from [3,5]; therefore, US has a u2 and u4 of 1.0 &amp; for lead, u3 = 1.2</t>
  </si>
  <si>
    <t>[5] EPA. Locating and Estimating Air Emissions From Sources of Lead and Lead Compounds, U.S. Environmental Protection Agency (1998).</t>
  </si>
  <si>
    <t xml:space="preserve">[6] Gursel, A. P. &amp; Horvath, A. GreenConcrete LCA Webtool, &lt;http://greenconcrete.berkeley.edu/concretewebtool.html&gt; (2012). </t>
  </si>
  <si>
    <t xml:space="preserve">uncertainty parameters based on data from [6]; therefore, US has a u2 and u4 of 1.0 </t>
  </si>
  <si>
    <t xml:space="preserve">[7] EFCA. Environmental Product Declaration: Concrete Admixtures – Plasticizers and Superplasticizers. (European Federation of Concrete Admixtures Association Ltd. , Berlin, Germany, 2015). </t>
  </si>
  <si>
    <t xml:space="preserve">uncertainty parameters based on data from [7]; therefore, Europe has a u4 of 1.0 </t>
  </si>
  <si>
    <t>distance</t>
  </si>
  <si>
    <t>emissions from energy demand</t>
  </si>
  <si>
    <t>Other (includes nuclear, hydro, geothermal, solar, and wind)</t>
  </si>
  <si>
    <t>European Commission. Joint Research Centre. 2017  [cited 2018 April 1]; Available from: http://eplca.jrc.ec.europa.eu/ELCD3/.</t>
  </si>
  <si>
    <t>NREL. U.S. Life Cycle Inventory Database. 2012  [cited 2012 November, 19]; Available from: https://www.lcacommons.gov/nrel/search.</t>
  </si>
  <si>
    <t>Limestone</t>
  </si>
  <si>
    <t>Natural pozzolans</t>
  </si>
  <si>
    <t>Fine aggregate</t>
  </si>
  <si>
    <t>Coarse aggregate</t>
  </si>
  <si>
    <t>kg emissions / kg material</t>
  </si>
  <si>
    <t>[5] EPA. Air Emissions Inventories, Volume 2 Chapter 14: Uncontrolled Emission Factor Listing for Criteria Air Pollutants. (United States Environmental Protection Agency, Eastern Research Group Inc., 2001).</t>
  </si>
  <si>
    <t>[4] PM10 and PM2.5 assumed to have equivalent process related emissions (includes controlled PM in processes for which data for PM10 were unavailable); emissions calculated based on total emissions data minus electricity-related emissions based on US data</t>
  </si>
  <si>
    <t>MIXED KILN TYPE*</t>
  </si>
  <si>
    <t>* modeled as an average of Dry with Preheater, Dry with Preheater and Precalciner, Long Dry, and Wet Kilns</t>
  </si>
  <si>
    <t>** modeled as an average of Long Dry and Wet Kilns</t>
  </si>
  <si>
    <t>SEMI-WET/SEMI DRY**</t>
  </si>
  <si>
    <t>Example formula for calculating average electricity fuel mixes</t>
  </si>
  <si>
    <t>Cement Production (kt)</t>
  </si>
  <si>
    <t>Apparent Cement Consumption (kt)</t>
  </si>
  <si>
    <t>Countries</t>
  </si>
  <si>
    <t>Algeria</t>
  </si>
  <si>
    <t>Angola</t>
  </si>
  <si>
    <t>Benin</t>
  </si>
  <si>
    <t>Burkina Faso</t>
  </si>
  <si>
    <t>Burundi</t>
  </si>
  <si>
    <t>Cameroon</t>
  </si>
  <si>
    <t>Eritrea</t>
  </si>
  <si>
    <t>Ethiopia</t>
  </si>
  <si>
    <t>Gabon</t>
  </si>
  <si>
    <t>Ghana</t>
  </si>
  <si>
    <t>Guinea</t>
  </si>
  <si>
    <t>Kenya</t>
  </si>
  <si>
    <t>Liberia</t>
  </si>
  <si>
    <t>Madagascar</t>
  </si>
  <si>
    <t>Malawi</t>
  </si>
  <si>
    <t>Mauritania</t>
  </si>
  <si>
    <t>Morocco</t>
  </si>
  <si>
    <t>Mozambique</t>
  </si>
  <si>
    <t>Namibia</t>
  </si>
  <si>
    <t>Niger</t>
  </si>
  <si>
    <t>Nigeria</t>
  </si>
  <si>
    <t>Senegal</t>
  </si>
  <si>
    <t>Togo</t>
  </si>
  <si>
    <t>Tunisia</t>
  </si>
  <si>
    <t>Uganda</t>
  </si>
  <si>
    <t>Zambia</t>
  </si>
  <si>
    <t>Zimbabwe</t>
  </si>
  <si>
    <t>Australia</t>
  </si>
  <si>
    <t>New Zealand</t>
  </si>
  <si>
    <r>
      <t xml:space="preserve">UN. </t>
    </r>
    <r>
      <rPr>
        <i/>
        <sz val="10"/>
        <color theme="1"/>
        <rFont val="Times New Roman"/>
        <family val="1"/>
      </rPr>
      <t>UN Comtrade Database: Cement (portland, aluminous, slag or hydraulic)</t>
    </r>
    <r>
      <rPr>
        <sz val="10"/>
        <color theme="1"/>
        <rFont val="Times New Roman"/>
        <family val="1"/>
      </rPr>
      <t>, &lt;comtrade.un.org/data/&gt; (2015).</t>
    </r>
  </si>
  <si>
    <t>Hong Kong</t>
  </si>
  <si>
    <t xml:space="preserve">Armenia  </t>
  </si>
  <si>
    <t xml:space="preserve">Azerbaijan </t>
  </si>
  <si>
    <t xml:space="preserve">Belarus </t>
  </si>
  <si>
    <t xml:space="preserve">Kazakhstan </t>
  </si>
  <si>
    <t>Kyrgyzstan</t>
  </si>
  <si>
    <t>Moldova</t>
  </si>
  <si>
    <t xml:space="preserve">Russia </t>
  </si>
  <si>
    <t>Tajikistan</t>
  </si>
  <si>
    <t>Turkmenistan</t>
  </si>
  <si>
    <t xml:space="preserve">Ukraine </t>
  </si>
  <si>
    <t>Uzbekistan</t>
  </si>
  <si>
    <t>Georgia</t>
  </si>
  <si>
    <t>Austria</t>
  </si>
  <si>
    <t>Belgium</t>
  </si>
  <si>
    <t>Bulgaria</t>
  </si>
  <si>
    <t>Czech Republic</t>
  </si>
  <si>
    <t xml:space="preserve">Denmark  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</si>
  <si>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</si>
  <si>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</si>
  <si>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</si>
  <si>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</si>
  <si>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</si>
  <si>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</si>
  <si>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</si>
  <si>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</si>
  <si>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</si>
  <si>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</si>
  <si>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Lithuania</t>
  </si>
  <si>
    <t>Luxembourg</t>
  </si>
  <si>
    <t>Netherlands</t>
  </si>
  <si>
    <t>Norway</t>
  </si>
  <si>
    <t>Poland</t>
  </si>
  <si>
    <t>Portugal</t>
  </si>
  <si>
    <t>Romania</t>
  </si>
  <si>
    <t>Slovenia</t>
  </si>
  <si>
    <t>Sweden</t>
  </si>
  <si>
    <t>Switzerland</t>
  </si>
  <si>
    <t>Turkey</t>
  </si>
  <si>
    <t>United Kingdom</t>
  </si>
  <si>
    <t>Kosovo</t>
  </si>
  <si>
    <t>Albania</t>
  </si>
  <si>
    <t>Remaining Asia &amp; Oceania</t>
  </si>
  <si>
    <t>Puerto Rico</t>
  </si>
  <si>
    <t>Iran</t>
  </si>
  <si>
    <t>Iraq</t>
  </si>
  <si>
    <t xml:space="preserve">Israel </t>
  </si>
  <si>
    <t>Jordan</t>
  </si>
  <si>
    <t>Kuwait</t>
  </si>
  <si>
    <t xml:space="preserve">Lebanon </t>
  </si>
  <si>
    <t>Oman</t>
  </si>
  <si>
    <t>Qatar</t>
  </si>
  <si>
    <t>Saudi Arabia</t>
  </si>
  <si>
    <t>Syria</t>
  </si>
  <si>
    <t>United Arab Emirates</t>
  </si>
  <si>
    <t>Yemen</t>
  </si>
  <si>
    <t>Argentina</t>
  </si>
  <si>
    <t>Bolivia</t>
  </si>
  <si>
    <t>Chile</t>
  </si>
  <si>
    <t>Colombia</t>
  </si>
  <si>
    <t>Costa Rica</t>
  </si>
  <si>
    <t>Cuba</t>
  </si>
  <si>
    <t>Dominican Republic</t>
  </si>
  <si>
    <t>Ecuador</t>
  </si>
  <si>
    <t>El Salvador</t>
  </si>
  <si>
    <t>Guadeloupe</t>
  </si>
  <si>
    <t>Guatemala</t>
  </si>
  <si>
    <t>Haiti</t>
  </si>
  <si>
    <t>Honduras</t>
  </si>
  <si>
    <t>Jamaica</t>
  </si>
  <si>
    <t>Mexico</t>
  </si>
  <si>
    <t>Nicaragua</t>
  </si>
  <si>
    <t>Panama</t>
  </si>
  <si>
    <t>Paraguay</t>
  </si>
  <si>
    <t>Peru</t>
  </si>
  <si>
    <t>Suriname</t>
  </si>
  <si>
    <t>Trinidad and Tobago</t>
  </si>
  <si>
    <t>Uruguay</t>
  </si>
  <si>
    <t>Venezuela</t>
  </si>
  <si>
    <t>Martinique</t>
  </si>
  <si>
    <t>French Guiana</t>
  </si>
  <si>
    <t>Barbados</t>
  </si>
  <si>
    <t>Afghanistan</t>
  </si>
  <si>
    <t>Bangladesh</t>
  </si>
  <si>
    <t>Bhutan</t>
  </si>
  <si>
    <t>Brunei</t>
  </si>
  <si>
    <t>Cambodia</t>
  </si>
  <si>
    <t>Indonesia</t>
  </si>
  <si>
    <t>Korea, North</t>
  </si>
  <si>
    <t>Korea, Republic of</t>
  </si>
  <si>
    <t>Laos</t>
  </si>
  <si>
    <t>Malaysia</t>
  </si>
  <si>
    <t>Mongolia</t>
  </si>
  <si>
    <t>Nepal</t>
  </si>
  <si>
    <t>Pakistan</t>
  </si>
  <si>
    <t>Philippines</t>
  </si>
  <si>
    <t>Sri Lanka</t>
  </si>
  <si>
    <t xml:space="preserve">Thailand </t>
  </si>
  <si>
    <t xml:space="preserve">Vietnam </t>
  </si>
  <si>
    <t xml:space="preserve">New Caledonia </t>
  </si>
  <si>
    <t>Fiji</t>
  </si>
  <si>
    <t>Taiwan</t>
  </si>
  <si>
    <t>Burma</t>
  </si>
  <si>
    <r>
      <t>[3] GNR. Global Cement Database on CO</t>
    </r>
    <r>
      <rPr>
        <sz val="10"/>
        <color theme="1"/>
        <rFont val="Noteworthy Bold"/>
      </rPr>
      <t>₂</t>
    </r>
    <r>
      <rPr>
        <sz val="10"/>
        <color theme="1"/>
        <rFont val="Times New Roman"/>
        <family val="1"/>
      </rPr>
      <t xml:space="preserve"> and Energy Information, &lt;http://www.wbcsdcement.org/GNR-2013/index.html&gt; (2014).</t>
    </r>
  </si>
  <si>
    <t>[1] EPA. Emission Factor Documentation for AP-42, Section 11.6: Portland Cement Manufacturing. (United States Environmental Protection Agency, Office of Air Quality Planning and Standards, Emission Inventory Branch, 1994).</t>
  </si>
  <si>
    <t>Percent cement used in mortar (assumed to be remainder, based on Xi et al. [3])</t>
  </si>
  <si>
    <t>Congo (Brazzaville)</t>
  </si>
  <si>
    <t xml:space="preserve">Congo (Kinshasa) </t>
  </si>
  <si>
    <t>Côte d'Ivoire</t>
  </si>
  <si>
    <t xml:space="preserve">Egypt  </t>
  </si>
  <si>
    <t>Libya</t>
  </si>
  <si>
    <t xml:space="preserve">Rwanda  </t>
  </si>
  <si>
    <t>Sierra Leon</t>
  </si>
  <si>
    <t xml:space="preserve">Sudan </t>
  </si>
  <si>
    <t xml:space="preserve">Tanzania </t>
  </si>
  <si>
    <t>van Oss, H. G. Minerals yearbook: cement 2012. 16.11-16.38. (Bureau of Mines, 2014).</t>
  </si>
  <si>
    <t xml:space="preserve">Croatia </t>
  </si>
  <si>
    <t>Serbia</t>
  </si>
  <si>
    <t xml:space="preserve">Slovakia  </t>
  </si>
  <si>
    <t>Spain, including Canary Islands</t>
  </si>
  <si>
    <t xml:space="preserve">Macedonia </t>
  </si>
  <si>
    <t xml:space="preserve">Bosnia and Herzegovina </t>
  </si>
  <si>
    <t>Cyprus</t>
  </si>
  <si>
    <t>Bahrain</t>
  </si>
  <si>
    <t>distribution</t>
  </si>
  <si>
    <t>parameters</t>
  </si>
  <si>
    <t>values</t>
  </si>
  <si>
    <t>lognormal</t>
  </si>
  <si>
    <t>triangular</t>
  </si>
  <si>
    <t>mu, sig</t>
  </si>
  <si>
    <t>high, low, med</t>
  </si>
  <si>
    <t>uniform</t>
  </si>
  <si>
    <t>min, max</t>
  </si>
  <si>
    <t>distribution input parameters for kg emissions/MJ</t>
  </si>
  <si>
    <t>distribution input parameters for kg emissions/tkm</t>
  </si>
  <si>
    <t>Note: PM10 and PM2.5 emissions modeled as a function of raw material aquistion as noted for other materials below</t>
  </si>
  <si>
    <t>South Africa</t>
  </si>
  <si>
    <t>kg / tonne clinker from kilns (for air pollutants values are based on the difference of values reported and those from fuel; for carbon dioxide emissions, values are based on calcination of a 65% lime-based clinker)</t>
  </si>
  <si>
    <t>"-" assumed to be negligible from non-fuel based sources based on [6]</t>
  </si>
  <si>
    <t>Other Materials [4-6]</t>
  </si>
  <si>
    <t>[7] EPA. AP 42, Fifth Edition, Volume I: Chapter 11: Mineral Products Industry: Concrete Batching. (United States Environmental Protection Agency, 2006).</t>
  </si>
  <si>
    <t>[6] EPA. AP 42, Fifth Edition, Volume I: Chapter 11: Mineral Products Industry: Sand and Gravel Processing. (United States Environmental Protection Agency, 1995).</t>
  </si>
  <si>
    <t>Batching Emissions [4, 5, 7]</t>
  </si>
  <si>
    <t>General Batching</t>
  </si>
  <si>
    <t>Coarse Aggregate Transfer</t>
  </si>
  <si>
    <t>Fine Aggregate Transfer</t>
  </si>
  <si>
    <t>Cement Unloading</t>
  </si>
  <si>
    <t>Mineral Admixture Unloading</t>
  </si>
  <si>
    <t>Hopper Loading</t>
  </si>
  <si>
    <t>Mixture Loading***</t>
  </si>
  <si>
    <t>* assumed to be mixed by truck</t>
  </si>
  <si>
    <t>kg emissions / kg material (except batching, which is kg of emssions / cubic meter of concrete or mortar)</t>
  </si>
  <si>
    <t>constant</t>
  </si>
  <si>
    <t>Note: due to limited availability in data, PM2.5 emissions modeled as equivalent to PM10 emissions</t>
  </si>
  <si>
    <t>[2] PCA. Masonry Information: Mortar Cement: Product Data Sheet. (Portland Cement Association, 2002).</t>
  </si>
  <si>
    <t>Supplementary mineral admixtures in cement by type for each region</t>
  </si>
  <si>
    <t>** basic uncertainty noted for CO2 emissions; for combustion emissions: Sox = 1.05; for NOx and N2O = 1.5; for CH4 = 1.4; for PM&lt;10 = 2; for PM2.5 = 3; otherwise assumed to be = 1.05; for process emissions: for PM10 = 2; for PM2.5 = 3; for Pb = 5; otherwise assumed to be 1.05; for transportation demand, ub = 2, and for thermal energy, electricity, and material demand, ub = 1.05</t>
  </si>
  <si>
    <t xml:space="preserve">Climate and Health Damages from Global Concrete Production </t>
  </si>
  <si>
    <t>Clinker Production [1-6]</t>
  </si>
  <si>
    <t>Regional Electricity Modeled for Fly Ash</t>
  </si>
  <si>
    <r>
      <t>NO</t>
    </r>
    <r>
      <rPr>
        <sz val="9"/>
        <color theme="1"/>
        <rFont val="Times New Roman"/>
        <family val="1"/>
      </rPr>
      <t>X</t>
    </r>
  </si>
  <si>
    <r>
      <t>SO</t>
    </r>
    <r>
      <rPr>
        <sz val="9"/>
        <color theme="1"/>
        <rFont val="Times New Roman"/>
        <family val="1"/>
      </rPr>
      <t>X</t>
    </r>
  </si>
  <si>
    <r>
      <t>PM</t>
    </r>
    <r>
      <rPr>
        <sz val="9"/>
        <color theme="1"/>
        <rFont val="Times New Roman"/>
        <family val="1"/>
      </rPr>
      <t>10</t>
    </r>
  </si>
  <si>
    <r>
      <t>PM</t>
    </r>
    <r>
      <rPr>
        <sz val="9"/>
        <color theme="1"/>
        <rFont val="Times New Roman"/>
        <family val="1"/>
      </rPr>
      <t>2.5</t>
    </r>
  </si>
  <si>
    <t>NOX</t>
  </si>
  <si>
    <t>SOX</t>
  </si>
  <si>
    <t>PM10</t>
  </si>
  <si>
    <t>PM2.5</t>
  </si>
  <si>
    <r>
      <t xml:space="preserve">Sabbie A. Miller 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*, Frances C. Moore </t>
    </r>
    <r>
      <rPr>
        <vertAlign val="superscript"/>
        <sz val="12"/>
        <color theme="1"/>
        <rFont val="Times New Roman"/>
        <family val="1"/>
      </rPr>
      <t>2</t>
    </r>
  </si>
  <si>
    <r>
      <t xml:space="preserve">1 </t>
    </r>
    <r>
      <rPr>
        <sz val="10"/>
        <color theme="1"/>
        <rFont val="Times New Roman"/>
        <family val="1"/>
      </rPr>
      <t>Department of Civil and Environmental Engineering, University of California, Davis</t>
    </r>
  </si>
  <si>
    <r>
      <t xml:space="preserve">1 </t>
    </r>
    <r>
      <rPr>
        <sz val="10"/>
        <color theme="1"/>
        <rFont val="Times New Roman"/>
        <family val="1"/>
      </rPr>
      <t>Department of Environmental Science and Policy, University of California, Davis</t>
    </r>
  </si>
  <si>
    <r>
      <t>*</t>
    </r>
    <r>
      <rPr>
        <sz val="10"/>
        <color theme="1"/>
        <rFont val="Times New Roman"/>
        <family val="1"/>
      </rPr>
      <t xml:space="preserve"> Corresponding Author: E sabmil@ucdavis.edu</t>
    </r>
  </si>
  <si>
    <t>Cement Consumption and Countries Assessed by Region</t>
  </si>
  <si>
    <t>[1] GNR. Global Cement Database on CO₂ and Energy Information, &lt;http://www.wbcsdcement.org/GNR-2013/index.html&gt; (2014).</t>
  </si>
  <si>
    <t>Supplementary Materials in Cement by Type for Each Region</t>
  </si>
  <si>
    <t>Use of Cement in the Production of Concrete and Mortar by Region</t>
  </si>
  <si>
    <r>
      <t>Africa</t>
    </r>
    <r>
      <rPr>
        <sz val="12"/>
        <color theme="1"/>
        <rFont val="Times New Roman"/>
        <family val="1"/>
      </rPr>
      <t xml:space="preserve"> </t>
    </r>
    <r>
      <rPr>
        <vertAlign val="superscript"/>
        <sz val="12"/>
        <color theme="1"/>
        <rFont val="Times New Roman"/>
        <family val="1"/>
      </rPr>
      <t>a</t>
    </r>
  </si>
  <si>
    <r>
      <t>Aus. &amp; N.Z.</t>
    </r>
    <r>
      <rPr>
        <sz val="12"/>
        <color theme="1"/>
        <rFont val="Times New Roman"/>
        <family val="1"/>
      </rPr>
      <t xml:space="preserve"> </t>
    </r>
    <r>
      <rPr>
        <vertAlign val="superscript"/>
        <sz val="12"/>
        <color theme="1"/>
        <rFont val="Times New Roman"/>
        <family val="1"/>
      </rPr>
      <t>a</t>
    </r>
  </si>
  <si>
    <r>
      <t>Brazil</t>
    </r>
    <r>
      <rPr>
        <sz val="12"/>
        <color theme="1"/>
        <rFont val="Times New Roman"/>
        <family val="1"/>
      </rPr>
      <t xml:space="preserve"> </t>
    </r>
    <r>
      <rPr>
        <vertAlign val="superscript"/>
        <sz val="12"/>
        <color theme="1"/>
        <rFont val="Times New Roman"/>
        <family val="1"/>
      </rPr>
      <t>a</t>
    </r>
  </si>
  <si>
    <r>
      <t xml:space="preserve">Canada </t>
    </r>
    <r>
      <rPr>
        <vertAlign val="superscript"/>
        <sz val="12"/>
        <color theme="1"/>
        <rFont val="Times New Roman"/>
        <family val="1"/>
      </rPr>
      <t>a</t>
    </r>
  </si>
  <si>
    <r>
      <t>China</t>
    </r>
    <r>
      <rPr>
        <sz val="12"/>
        <color theme="1"/>
        <rFont val="Times New Roman"/>
        <family val="1"/>
      </rPr>
      <t xml:space="preserve"> </t>
    </r>
    <r>
      <rPr>
        <vertAlign val="superscript"/>
        <sz val="12"/>
        <color theme="1"/>
        <rFont val="Times New Roman"/>
        <family val="1"/>
      </rPr>
      <t>b</t>
    </r>
  </si>
  <si>
    <r>
      <t xml:space="preserve">C.I.S. </t>
    </r>
    <r>
      <rPr>
        <vertAlign val="superscript"/>
        <sz val="12"/>
        <color rgb="FF000000"/>
        <rFont val="Times New Roman"/>
        <family val="1"/>
      </rPr>
      <t>c</t>
    </r>
  </si>
  <si>
    <r>
      <t xml:space="preserve">Europe </t>
    </r>
    <r>
      <rPr>
        <vertAlign val="superscript"/>
        <sz val="12"/>
        <color rgb="FF000000"/>
        <rFont val="Times New Roman"/>
        <family val="1"/>
      </rPr>
      <t>c</t>
    </r>
  </si>
  <si>
    <r>
      <t>India</t>
    </r>
    <r>
      <rPr>
        <sz val="12"/>
        <color theme="1"/>
        <rFont val="Times New Roman"/>
        <family val="1"/>
      </rPr>
      <t xml:space="preserve"> </t>
    </r>
    <r>
      <rPr>
        <vertAlign val="superscript"/>
        <sz val="12"/>
        <color theme="1"/>
        <rFont val="Times New Roman"/>
        <family val="1"/>
      </rPr>
      <t>a</t>
    </r>
  </si>
  <si>
    <r>
      <t xml:space="preserve">Japan </t>
    </r>
    <r>
      <rPr>
        <vertAlign val="superscript"/>
        <sz val="12"/>
        <color rgb="FF000000"/>
        <rFont val="Times New Roman"/>
        <family val="1"/>
      </rPr>
      <t>d</t>
    </r>
  </si>
  <si>
    <r>
      <t xml:space="preserve">Middle East </t>
    </r>
    <r>
      <rPr>
        <vertAlign val="superscript"/>
        <sz val="12"/>
        <color rgb="FF000000"/>
        <rFont val="Times New Roman"/>
        <family val="1"/>
      </rPr>
      <t>c</t>
    </r>
  </si>
  <si>
    <r>
      <t>R. Americas</t>
    </r>
    <r>
      <rPr>
        <sz val="12"/>
        <color theme="1"/>
        <rFont val="Times New Roman"/>
        <family val="1"/>
      </rPr>
      <t xml:space="preserve"> </t>
    </r>
    <r>
      <rPr>
        <vertAlign val="superscript"/>
        <sz val="12"/>
        <color theme="1"/>
        <rFont val="Times New Roman"/>
        <family val="1"/>
      </rPr>
      <t>a</t>
    </r>
  </si>
  <si>
    <r>
      <t xml:space="preserve">R. Asia </t>
    </r>
    <r>
      <rPr>
        <sz val="12"/>
        <color theme="1"/>
        <rFont val="Times New Roman"/>
        <family val="1"/>
      </rPr>
      <t xml:space="preserve">&amp; Oceania </t>
    </r>
    <r>
      <rPr>
        <vertAlign val="superscript"/>
        <sz val="12"/>
        <color theme="1"/>
        <rFont val="Times New Roman"/>
        <family val="1"/>
      </rPr>
      <t>a</t>
    </r>
  </si>
  <si>
    <r>
      <t>U.S.</t>
    </r>
    <r>
      <rPr>
        <sz val="12"/>
        <color theme="1"/>
        <rFont val="Times New Roman"/>
        <family val="1"/>
      </rPr>
      <t xml:space="preserve"> </t>
    </r>
    <r>
      <rPr>
        <vertAlign val="superscript"/>
        <sz val="12"/>
        <color theme="1"/>
        <rFont val="Times New Roman"/>
        <family val="1"/>
      </rPr>
      <t>e</t>
    </r>
  </si>
  <si>
    <r>
      <t>a</t>
    </r>
    <r>
      <rPr>
        <sz val="12"/>
        <color theme="1"/>
        <rFont val="Times New Roman"/>
        <family val="1"/>
      </rPr>
      <t xml:space="preserve"> Data based on weighted average of percent cement used in concrete and country production of cement for 2012 for country data available from ERMCO [1] (namely: Austria, Belgium, Czech Republic, Denmark, Finland, France, Germany, Ireland, Italy, Netherlands, Poland, Portugal, Slovakia, Spain, Sweden, Switzerland, United Kingdom, Israel, Norway, Turkey, Russia, Japan, U.S.A.)</t>
    </r>
  </si>
  <si>
    <r>
      <t>b</t>
    </r>
    <r>
      <rPr>
        <sz val="12"/>
        <color theme="1"/>
        <rFont val="Times New Roman"/>
        <family val="1"/>
      </rPr>
      <t xml:space="preserve"> Data based on country specific results from Xi et al. [3]</t>
    </r>
  </si>
  <si>
    <r>
      <t>c</t>
    </r>
    <r>
      <rPr>
        <sz val="12"/>
        <color theme="1"/>
        <rFont val="Times New Roman"/>
        <family val="1"/>
      </rPr>
      <t xml:space="preserve"> Data weighted by country specific data within the region and weighted average results (a) for remaining cement production</t>
    </r>
  </si>
  <si>
    <r>
      <t>d</t>
    </r>
    <r>
      <rPr>
        <sz val="12"/>
        <color theme="1"/>
        <rFont val="Times New Roman"/>
        <family val="1"/>
      </rPr>
      <t xml:space="preserve"> Data based on country specific results from ERMCO [1]</t>
    </r>
  </si>
  <si>
    <r>
      <t>e</t>
    </r>
    <r>
      <rPr>
        <sz val="12"/>
        <color theme="1"/>
        <rFont val="Times New Roman"/>
        <family val="1"/>
      </rPr>
      <t xml:space="preserve"> Data based on country specific results from USGS [2]</t>
    </r>
  </si>
  <si>
    <t>Concrete and Mortar Mixtures Assessed</t>
  </si>
  <si>
    <t>Process-related air pollutants for concrete constituents and batching</t>
  </si>
  <si>
    <t>Transportation distances and air pollutants for transportation fuel</t>
  </si>
  <si>
    <r>
      <t>CO</t>
    </r>
    <r>
      <rPr>
        <sz val="9"/>
        <color theme="1"/>
        <rFont val="Times New Roman"/>
        <family val="1"/>
      </rPr>
      <t>2</t>
    </r>
  </si>
  <si>
    <r>
      <t>CH</t>
    </r>
    <r>
      <rPr>
        <sz val="9"/>
        <color theme="1"/>
        <rFont val="Times New Roman"/>
        <family val="1"/>
      </rPr>
      <t>4</t>
    </r>
  </si>
  <si>
    <r>
      <t>N</t>
    </r>
    <r>
      <rPr>
        <sz val="9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</si>
  <si>
    <t>Electricity by Fuel Type by Region</t>
  </si>
  <si>
    <t>Process-related Air Pollutants for Concrete Constituents</t>
  </si>
  <si>
    <r>
      <t xml:space="preserve">Distance for Transportation </t>
    </r>
    <r>
      <rPr>
        <vertAlign val="superscript"/>
        <sz val="12"/>
        <color theme="1"/>
        <rFont val="Times New Roman"/>
        <family val="1"/>
      </rPr>
      <t>b</t>
    </r>
  </si>
  <si>
    <r>
      <t xml:space="preserve">150km </t>
    </r>
    <r>
      <rPr>
        <vertAlign val="superscript"/>
        <sz val="12"/>
        <color theme="1"/>
        <rFont val="Times New Roman"/>
        <family val="1"/>
      </rPr>
      <t>b</t>
    </r>
  </si>
  <si>
    <r>
      <t xml:space="preserve">31.1% </t>
    </r>
    <r>
      <rPr>
        <vertAlign val="superscript"/>
        <sz val="12"/>
        <color rgb="FF000000"/>
        <rFont val="Times New Roman"/>
        <family val="1"/>
      </rPr>
      <t>a</t>
    </r>
  </si>
  <si>
    <r>
      <t>31.1% transported 150km</t>
    </r>
    <r>
      <rPr>
        <sz val="12"/>
        <color theme="1"/>
        <rFont val="Times New Roman"/>
        <family val="1"/>
      </rPr>
      <t xml:space="preserve"> 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rgb="FF000000"/>
        <rFont val="Times New Roman"/>
        <family val="1"/>
      </rPr>
      <t xml:space="preserve">; </t>
    </r>
  </si>
  <si>
    <r>
      <t>68.9% transported 7320km</t>
    </r>
    <r>
      <rPr>
        <sz val="12"/>
        <color theme="1"/>
        <rFont val="Times New Roman"/>
        <family val="1"/>
      </rPr>
      <t xml:space="preserve"> </t>
    </r>
    <r>
      <rPr>
        <vertAlign val="superscript"/>
        <sz val="12"/>
        <color theme="1"/>
        <rFont val="Times New Roman"/>
        <family val="1"/>
      </rPr>
      <t>c</t>
    </r>
  </si>
  <si>
    <r>
      <t xml:space="preserve">88.9% </t>
    </r>
    <r>
      <rPr>
        <vertAlign val="superscript"/>
        <sz val="12"/>
        <color rgb="FF000000"/>
        <rFont val="Times New Roman"/>
        <family val="1"/>
      </rPr>
      <t>a</t>
    </r>
  </si>
  <si>
    <r>
      <t>88.9% transported 150km</t>
    </r>
    <r>
      <rPr>
        <sz val="12"/>
        <color theme="1"/>
        <rFont val="Times New Roman"/>
        <family val="1"/>
      </rPr>
      <t xml:space="preserve"> 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rgb="FF000000"/>
        <rFont val="Times New Roman"/>
        <family val="1"/>
      </rPr>
      <t xml:space="preserve">; </t>
    </r>
  </si>
  <si>
    <r>
      <t>11.1% transported 11660km</t>
    </r>
    <r>
      <rPr>
        <sz val="12"/>
        <color theme="1"/>
        <rFont val="Times New Roman"/>
        <family val="1"/>
      </rPr>
      <t xml:space="preserve"> </t>
    </r>
    <r>
      <rPr>
        <vertAlign val="superscript"/>
        <sz val="12"/>
        <color theme="1"/>
        <rFont val="Times New Roman"/>
        <family val="1"/>
      </rPr>
      <t>c</t>
    </r>
  </si>
  <si>
    <r>
      <t xml:space="preserve">35.1% </t>
    </r>
    <r>
      <rPr>
        <vertAlign val="superscript"/>
        <sz val="12"/>
        <color rgb="FF000000"/>
        <rFont val="Times New Roman"/>
        <family val="1"/>
      </rPr>
      <t>d</t>
    </r>
  </si>
  <si>
    <r>
      <t>35.1% transported 150km</t>
    </r>
    <r>
      <rPr>
        <sz val="12"/>
        <color theme="1"/>
        <rFont val="Times New Roman"/>
        <family val="1"/>
      </rPr>
      <t xml:space="preserve"> 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rgb="FF000000"/>
        <rFont val="Times New Roman"/>
        <family val="1"/>
      </rPr>
      <t xml:space="preserve">; </t>
    </r>
  </si>
  <si>
    <r>
      <t>64.9% transported 5735km</t>
    </r>
    <r>
      <rPr>
        <sz val="12"/>
        <color theme="1"/>
        <rFont val="Times New Roman"/>
        <family val="1"/>
      </rPr>
      <t xml:space="preserve"> </t>
    </r>
    <r>
      <rPr>
        <vertAlign val="superscript"/>
        <sz val="12"/>
        <color theme="1"/>
        <rFont val="Times New Roman"/>
        <family val="1"/>
      </rPr>
      <t>c</t>
    </r>
  </si>
  <si>
    <r>
      <t>30.5% transported 150km</t>
    </r>
    <r>
      <rPr>
        <sz val="12"/>
        <color theme="1"/>
        <rFont val="Times New Roman"/>
        <family val="1"/>
      </rPr>
      <t xml:space="preserve"> 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rgb="FF000000"/>
        <rFont val="Times New Roman"/>
        <family val="1"/>
      </rPr>
      <t xml:space="preserve">; </t>
    </r>
  </si>
  <si>
    <r>
      <t>69.5% transported 4320km</t>
    </r>
    <r>
      <rPr>
        <sz val="12"/>
        <color theme="1"/>
        <rFont val="Times New Roman"/>
        <family val="1"/>
      </rPr>
      <t xml:space="preserve"> 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rgb="FF000000"/>
        <rFont val="Times New Roman"/>
        <family val="1"/>
      </rPr>
      <t xml:space="preserve"> </t>
    </r>
  </si>
  <si>
    <r>
      <t xml:space="preserve">68.2% </t>
    </r>
    <r>
      <rPr>
        <vertAlign val="superscript"/>
        <sz val="12"/>
        <color rgb="FF000000"/>
        <rFont val="Times New Roman"/>
        <family val="1"/>
      </rPr>
      <t>a</t>
    </r>
  </si>
  <si>
    <r>
      <t>68.2% transported 150km</t>
    </r>
    <r>
      <rPr>
        <sz val="12"/>
        <color theme="1"/>
        <rFont val="Times New Roman"/>
        <family val="1"/>
      </rPr>
      <t xml:space="preserve"> 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rgb="FF000000"/>
        <rFont val="Times New Roman"/>
        <family val="1"/>
      </rPr>
      <t xml:space="preserve">; </t>
    </r>
  </si>
  <si>
    <r>
      <t>31.8% transported 7300km</t>
    </r>
    <r>
      <rPr>
        <sz val="12"/>
        <color theme="1"/>
        <rFont val="Times New Roman"/>
        <family val="1"/>
      </rPr>
      <t xml:space="preserve"> </t>
    </r>
    <r>
      <rPr>
        <vertAlign val="superscript"/>
        <sz val="12"/>
        <color theme="1"/>
        <rFont val="Times New Roman"/>
        <family val="1"/>
      </rPr>
      <t>c</t>
    </r>
  </si>
  <si>
    <r>
      <t xml:space="preserve">R. Asia </t>
    </r>
    <r>
      <rPr>
        <sz val="12"/>
        <color theme="1"/>
        <rFont val="Times New Roman"/>
        <family val="1"/>
      </rPr>
      <t>&amp; Oceania</t>
    </r>
  </si>
  <si>
    <t>Transportation Distances and Air Pollutants for Transportation Fuel</t>
  </si>
  <si>
    <t>% Fuel by Type</t>
  </si>
  <si>
    <t>Fossil Waste</t>
  </si>
  <si>
    <t>Solid Waste*</t>
  </si>
  <si>
    <t>* includes tire waste</t>
  </si>
  <si>
    <t>Liquid Waste</t>
  </si>
  <si>
    <t>Australia and New Zealand**</t>
  </si>
  <si>
    <t>Japan**</t>
  </si>
  <si>
    <t>** includes "other" energy sources as equivalent parts of the fuels listed</t>
  </si>
  <si>
    <t>GNR. Global Cement Database on CO₂ and Energy Information, &lt;http://www.wbcsdcement.org/GNR-2013/index.html&gt; (2014).</t>
  </si>
  <si>
    <t>van Oss, H. G. Minerals yearbook: cement 2012. 16.11-16.38. (Bureau of Mines, 2015).</t>
  </si>
  <si>
    <t>Air Pollutant Emissions by Fuel Type for Kilns, Regional Fuel Use by Type in Kilns, and Regional Kiln Technologies</t>
  </si>
  <si>
    <t>Air pollutant emissions by fuel type for kilns, regional fuel use by type in kilns, and regional kiln technologies</t>
  </si>
  <si>
    <t>% Kiln by Type</t>
  </si>
  <si>
    <t>MIXED KILN TYPE</t>
  </si>
  <si>
    <t>SEMI-WET/SEMI DRY</t>
  </si>
  <si>
    <t>MIXED KILN (estimated as average of others)</t>
  </si>
  <si>
    <t>Kiln Energy Efficiency</t>
  </si>
  <si>
    <t>med (GJ/t)</t>
  </si>
  <si>
    <t>low (GJ/t)</t>
  </si>
  <si>
    <t>high (GJ/t)</t>
  </si>
  <si>
    <t>CO2</t>
  </si>
  <si>
    <t>CH4</t>
  </si>
  <si>
    <t>N2O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</si>
</sst>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"/>
    <numFmt numFmtId="166" formatCode="0.000"/>
  </numFmts>
  <fonts count="25">
    <font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Times New Roman"/>
      <family val="1"/>
    </font>
    <font>
      <u/>
      <sz val="12"/>
      <color theme="10"/>
      <name val="Arial"/>
      <family val="2"/>
      <scheme val="minor"/>
    </font>
    <font>
      <u/>
      <sz val="12"/>
      <color theme="11"/>
      <name val="Arial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2"/>
      <color theme="1"/>
      <name val="TimesNewRomanPSMT"/>
    </font>
    <font>
      <sz val="10"/>
      <color theme="1"/>
      <name val="Noteworthy Bold"/>
    </font>
    <font>
      <sz val="10"/>
      <color rgb="FF151515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u/>
      <sz val="12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51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Border="1"/>
    <xf numFmtId="0" fontId="6" fillId="0" borderId="0" xfId="0" applyFont="1" applyAlignment="1">
      <alignment vertical="center"/>
    </xf>
    <xf numFmtId="0" fontId="7" fillId="0" borderId="0" xfId="0" applyFont="1"/>
    <xf numFmtId="164" fontId="0" fillId="0" borderId="0" xfId="0" applyNumberForma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/>
    <xf numFmtId="0" fontId="0" fillId="0" borderId="0" xfId="0" applyFont="1"/>
    <xf numFmtId="0" fontId="0" fillId="0" borderId="0" xfId="0" applyFill="1"/>
    <xf numFmtId="0" fontId="10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7" fillId="0" borderId="0" xfId="0" applyFont="1" applyFill="1"/>
    <xf numFmtId="10" fontId="0" fillId="0" borderId="0" xfId="0" applyNumberFormat="1" applyBorder="1"/>
    <xf numFmtId="0" fontId="7" fillId="0" borderId="0" xfId="0" applyFont="1" applyBorder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0" fillId="0" borderId="0" xfId="0" applyBorder="1" applyAlignme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 vertical="center"/>
    </xf>
    <xf numFmtId="2" fontId="13" fillId="0" borderId="0" xfId="0" applyNumberFormat="1" applyFont="1"/>
    <xf numFmtId="0" fontId="13" fillId="0" borderId="0" xfId="0" applyFont="1" applyAlignment="1">
      <alignment horizontal="center"/>
    </xf>
    <xf numFmtId="11" fontId="13" fillId="0" borderId="0" xfId="0" applyNumberFormat="1" applyFont="1"/>
    <xf numFmtId="0" fontId="13" fillId="0" borderId="0" xfId="0" applyFont="1" applyFill="1"/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3"/>
    </xf>
    <xf numFmtId="0" fontId="19" fillId="0" borderId="0" xfId="0" applyFont="1"/>
    <xf numFmtId="0" fontId="17" fillId="0" borderId="0" xfId="0" applyFont="1"/>
    <xf numFmtId="0" fontId="13" fillId="0" borderId="0" xfId="0" applyFont="1" applyFill="1" applyProtection="1"/>
    <xf numFmtId="1" fontId="13" fillId="0" borderId="0" xfId="0" applyNumberFormat="1" applyFont="1"/>
    <xf numFmtId="1" fontId="13" fillId="0" borderId="0" xfId="0" applyNumberFormat="1" applyFont="1" applyAlignment="1"/>
    <xf numFmtId="0" fontId="18" fillId="0" borderId="0" xfId="0" applyFont="1"/>
    <xf numFmtId="0" fontId="7" fillId="0" borderId="0" xfId="0" applyFont="1" applyFill="1" applyProtection="1"/>
    <xf numFmtId="0" fontId="18" fillId="0" borderId="0" xfId="0" applyFont="1" applyFill="1" applyProtection="1"/>
    <xf numFmtId="0" fontId="20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9" fontId="21" fillId="0" borderId="0" xfId="1" applyFont="1" applyAlignment="1">
      <alignment horizontal="center"/>
    </xf>
    <xf numFmtId="9" fontId="6" fillId="0" borderId="0" xfId="1" applyFont="1"/>
    <xf numFmtId="0" fontId="13" fillId="0" borderId="0" xfId="0" applyFont="1" applyAlignment="1">
      <alignment vertical="center" wrapText="1"/>
    </xf>
    <xf numFmtId="0" fontId="21" fillId="0" borderId="0" xfId="0" applyFont="1" applyBorder="1" applyAlignment="1">
      <alignment vertical="center" wrapText="1"/>
    </xf>
    <xf numFmtId="164" fontId="13" fillId="0" borderId="0" xfId="1" applyNumberFormat="1" applyFont="1"/>
    <xf numFmtId="164" fontId="13" fillId="0" borderId="0" xfId="0" applyNumberFormat="1" applyFont="1"/>
    <xf numFmtId="0" fontId="13" fillId="0" borderId="0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0" xfId="0" applyFont="1"/>
    <xf numFmtId="165" fontId="13" fillId="0" borderId="0" xfId="0" applyNumberFormat="1" applyFont="1"/>
    <xf numFmtId="2" fontId="13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/>
    </xf>
    <xf numFmtId="11" fontId="13" fillId="0" borderId="0" xfId="0" applyNumberFormat="1" applyFont="1" applyAlignment="1">
      <alignment horizontal="center"/>
    </xf>
    <xf numFmtId="0" fontId="13" fillId="0" borderId="0" xfId="0" applyFont="1" applyAlignment="1"/>
    <xf numFmtId="0" fontId="13" fillId="0" borderId="9" xfId="0" applyFont="1" applyBorder="1"/>
    <xf numFmtId="0" fontId="13" fillId="0" borderId="6" xfId="0" applyFont="1" applyBorder="1"/>
    <xf numFmtId="0" fontId="13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21" fillId="0" borderId="7" xfId="0" applyFont="1" applyBorder="1" applyAlignment="1">
      <alignment vertical="center" wrapText="1"/>
    </xf>
    <xf numFmtId="10" fontId="13" fillId="0" borderId="0" xfId="1" applyNumberFormat="1" applyFont="1" applyAlignment="1">
      <alignment horizontal="center"/>
    </xf>
    <xf numFmtId="10" fontId="13" fillId="0" borderId="8" xfId="1" applyNumberFormat="1" applyFont="1" applyBorder="1" applyAlignment="1">
      <alignment horizontal="center"/>
    </xf>
    <xf numFmtId="0" fontId="13" fillId="0" borderId="7" xfId="0" applyFont="1" applyBorder="1"/>
    <xf numFmtId="10" fontId="13" fillId="0" borderId="2" xfId="1" applyNumberFormat="1" applyFont="1" applyBorder="1" applyAlignment="1">
      <alignment horizontal="center"/>
    </xf>
    <xf numFmtId="10" fontId="13" fillId="0" borderId="0" xfId="1" applyNumberFormat="1" applyFont="1" applyBorder="1" applyAlignment="1">
      <alignment horizontal="center"/>
    </xf>
    <xf numFmtId="10" fontId="13" fillId="0" borderId="1" xfId="1" applyNumberFormat="1" applyFont="1" applyBorder="1" applyAlignment="1">
      <alignment horizontal="center"/>
    </xf>
    <xf numFmtId="10" fontId="13" fillId="0" borderId="3" xfId="1" applyNumberFormat="1" applyFont="1" applyBorder="1" applyAlignment="1">
      <alignment horizontal="center"/>
    </xf>
    <xf numFmtId="0" fontId="23" fillId="0" borderId="0" xfId="0" applyFont="1"/>
    <xf numFmtId="166" fontId="13" fillId="0" borderId="0" xfId="0" applyNumberFormat="1" applyFont="1" applyAlignment="1">
      <alignment horizontal="center"/>
    </xf>
    <xf numFmtId="9" fontId="21" fillId="0" borderId="0" xfId="0" applyNumberFormat="1" applyFont="1" applyBorder="1" applyAlignment="1">
      <alignment horizontal="right" vertical="center" wrapText="1"/>
    </xf>
    <xf numFmtId="9" fontId="21" fillId="0" borderId="0" xfId="0" applyNumberFormat="1" applyFont="1" applyBorder="1" applyAlignment="1">
      <alignment vertical="center" wrapText="1"/>
    </xf>
    <xf numFmtId="0" fontId="21" fillId="0" borderId="0" xfId="0" applyFont="1"/>
    <xf numFmtId="0" fontId="20" fillId="0" borderId="0" xfId="0" applyFont="1"/>
    <xf numFmtId="0" fontId="24" fillId="0" borderId="0" xfId="535" applyFont="1"/>
    <xf numFmtId="0" fontId="20" fillId="0" borderId="0" xfId="0" applyFont="1" applyAlignment="1">
      <alignment wrapText="1"/>
    </xf>
    <xf numFmtId="0" fontId="13" fillId="0" borderId="0" xfId="0" applyFont="1" applyAlignment="1">
      <alignment wrapText="1"/>
    </xf>
    <xf numFmtId="2" fontId="13" fillId="0" borderId="0" xfId="1" applyNumberFormat="1" applyFont="1"/>
    <xf numFmtId="0" fontId="17" fillId="0" borderId="0" xfId="0" applyFont="1" applyAlignment="1">
      <alignment horizontal="center"/>
    </xf>
    <xf numFmtId="1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164" fontId="20" fillId="0" borderId="1" xfId="1" applyNumberFormat="1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right" vertical="center" wrapText="1"/>
    </xf>
    <xf numFmtId="10" fontId="21" fillId="0" borderId="0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left" wrapText="1"/>
    </xf>
  </cellXfs>
  <cellStyles count="551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/>
    <cellStyle name="Normal" xfId="0" builtinId="0"/>
    <cellStyle name="Percent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2</xdr:col>
      <xdr:colOff>317500</xdr:colOff>
      <xdr:row>19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8500"/>
          <a:ext cx="54864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wbcsdcement.org/GNR-2013/index.htm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23" sqref="B23"/>
    </sheetView>
  </sheetViews>
  <sheetFormatPr defaultColWidth="11.5546875" defaultRowHeight="15"/>
  <cols>
    <col min="1" max="1" width="32.44140625" customWidth="1"/>
  </cols>
  <sheetData>
    <row r="1" spans="1:7" ht="18.75">
      <c r="A1" s="1" t="s">
        <v>375</v>
      </c>
    </row>
    <row r="2" spans="1:7" ht="18.75">
      <c r="A2" s="21" t="s">
        <v>386</v>
      </c>
      <c r="B2" s="5"/>
      <c r="C2" s="5"/>
      <c r="D2" s="5"/>
      <c r="E2" s="5"/>
      <c r="F2" s="14"/>
      <c r="G2" s="5"/>
    </row>
    <row r="3" spans="1:7" ht="15.75">
      <c r="A3" s="30" t="s">
        <v>387</v>
      </c>
      <c r="B3" s="5"/>
      <c r="C3" s="5"/>
      <c r="D3" s="5"/>
      <c r="E3" s="5"/>
      <c r="F3" s="14"/>
      <c r="G3" s="5"/>
    </row>
    <row r="4" spans="1:7" ht="15.75">
      <c r="A4" s="30" t="s">
        <v>388</v>
      </c>
      <c r="B4" s="5"/>
      <c r="C4" s="5"/>
      <c r="D4" s="5"/>
      <c r="E4" s="5"/>
      <c r="F4" s="14"/>
      <c r="G4" s="5"/>
    </row>
    <row r="5" spans="1:7" ht="15.75">
      <c r="A5" s="30" t="s">
        <v>389</v>
      </c>
      <c r="B5" s="5"/>
      <c r="C5" s="5" t="s">
        <v>41</v>
      </c>
      <c r="D5" s="5"/>
      <c r="E5" s="5"/>
      <c r="F5" s="5"/>
      <c r="G5" s="5"/>
    </row>
    <row r="6" spans="1:7" ht="15.75">
      <c r="A6" s="30"/>
      <c r="B6" s="5"/>
      <c r="C6" s="5" t="s">
        <v>41</v>
      </c>
      <c r="D6" s="5"/>
      <c r="E6" s="5"/>
      <c r="F6" s="5"/>
      <c r="G6" s="5"/>
    </row>
    <row r="7" spans="1:7" ht="15.75">
      <c r="A7" s="27" t="s">
        <v>0</v>
      </c>
      <c r="B7" s="21"/>
      <c r="C7" s="21"/>
      <c r="D7" s="21"/>
      <c r="E7" s="21"/>
      <c r="F7" s="5"/>
      <c r="G7" s="5"/>
    </row>
    <row r="8" spans="1:7" ht="15.75">
      <c r="A8" s="21" t="s">
        <v>1</v>
      </c>
      <c r="B8" s="21" t="s">
        <v>12</v>
      </c>
      <c r="C8" s="21"/>
      <c r="D8" s="21"/>
      <c r="E8" s="21"/>
      <c r="F8" s="5"/>
      <c r="G8" s="5"/>
    </row>
    <row r="9" spans="1:7" ht="15.75">
      <c r="A9" s="21" t="s">
        <v>2</v>
      </c>
      <c r="B9" s="21" t="s">
        <v>373</v>
      </c>
      <c r="C9" s="21"/>
      <c r="D9" s="21"/>
      <c r="E9" s="21"/>
      <c r="F9" s="5"/>
      <c r="G9" s="5"/>
    </row>
    <row r="10" spans="1:7" ht="15.75">
      <c r="A10" s="21" t="s">
        <v>3</v>
      </c>
      <c r="B10" s="21" t="s">
        <v>10</v>
      </c>
      <c r="C10" s="21"/>
      <c r="D10" s="21"/>
      <c r="E10" s="21"/>
      <c r="F10" s="5"/>
      <c r="G10" s="5"/>
    </row>
    <row r="11" spans="1:7" ht="15.75">
      <c r="A11" s="21" t="s">
        <v>4</v>
      </c>
      <c r="B11" s="21" t="s">
        <v>11</v>
      </c>
      <c r="C11" s="21"/>
      <c r="D11" s="21"/>
      <c r="E11" s="21"/>
      <c r="F11" s="5"/>
      <c r="G11" s="5"/>
    </row>
    <row r="12" spans="1:7" ht="15.75">
      <c r="A12" s="21" t="s">
        <v>5</v>
      </c>
      <c r="B12" s="21" t="s">
        <v>449</v>
      </c>
      <c r="C12" s="21"/>
      <c r="D12" s="21"/>
      <c r="E12" s="21"/>
      <c r="F12" s="5"/>
      <c r="G12" s="5"/>
    </row>
    <row r="13" spans="1:7" ht="15.75">
      <c r="A13" s="21" t="s">
        <v>6</v>
      </c>
      <c r="B13" s="21" t="s">
        <v>13</v>
      </c>
      <c r="C13" s="21"/>
      <c r="D13" s="21"/>
      <c r="E13" s="21"/>
      <c r="F13" s="5"/>
      <c r="G13" s="5"/>
    </row>
    <row r="14" spans="1:7" ht="15.75">
      <c r="A14" s="21" t="s">
        <v>7</v>
      </c>
      <c r="B14" s="21" t="s">
        <v>413</v>
      </c>
      <c r="C14" s="21"/>
      <c r="D14" s="21"/>
      <c r="E14" s="21"/>
      <c r="F14" s="5"/>
      <c r="G14" s="5"/>
    </row>
    <row r="15" spans="1:7" ht="15.75">
      <c r="A15" s="21" t="s">
        <v>8</v>
      </c>
      <c r="B15" s="21" t="s">
        <v>414</v>
      </c>
      <c r="C15" s="21"/>
      <c r="D15" s="21"/>
      <c r="E15" s="21"/>
      <c r="F15" s="5"/>
      <c r="G15" s="5"/>
    </row>
    <row r="16" spans="1:7" ht="15.75">
      <c r="A16" s="21" t="s">
        <v>9</v>
      </c>
      <c r="B16" s="21" t="s">
        <v>108</v>
      </c>
      <c r="C16" s="21"/>
      <c r="D16" s="21"/>
      <c r="E16" s="21"/>
      <c r="F16" s="5"/>
      <c r="G16" s="5"/>
    </row>
    <row r="17" spans="1:7" ht="15.75">
      <c r="A17" s="21"/>
      <c r="B17" s="21"/>
      <c r="C17" s="21"/>
      <c r="D17" s="21"/>
      <c r="E17" s="21"/>
      <c r="F17" s="5"/>
      <c r="G17" s="5"/>
    </row>
    <row r="18" spans="1:7" ht="15.75">
      <c r="A18" s="21"/>
      <c r="B18" s="21"/>
      <c r="C18" s="21"/>
      <c r="D18" s="21"/>
      <c r="E18" s="21"/>
      <c r="F18" s="5"/>
      <c r="G18" s="5"/>
    </row>
    <row r="19" spans="1:7" ht="15.75">
      <c r="A19" s="28" t="s">
        <v>47</v>
      </c>
      <c r="B19" s="21"/>
      <c r="C19" s="21"/>
      <c r="D19" s="21"/>
      <c r="E19" s="21"/>
      <c r="F19" s="5"/>
      <c r="G19" s="5"/>
    </row>
    <row r="20" spans="1:7" ht="15.75">
      <c r="A20" s="21" t="s">
        <v>44</v>
      </c>
      <c r="B20" s="21"/>
      <c r="C20" s="21"/>
      <c r="D20" s="21"/>
      <c r="E20" s="21"/>
      <c r="F20" s="5"/>
      <c r="G20" s="5"/>
    </row>
    <row r="21" spans="1:7" ht="15.75">
      <c r="A21" s="21" t="s">
        <v>45</v>
      </c>
      <c r="B21" s="21"/>
      <c r="C21" s="21"/>
      <c r="D21" s="21"/>
      <c r="E21" s="21"/>
      <c r="F21" s="5"/>
      <c r="G21" s="5"/>
    </row>
    <row r="22" spans="1:7" ht="15.75">
      <c r="A22" s="21" t="s">
        <v>46</v>
      </c>
      <c r="B22" s="21"/>
      <c r="C22" s="21"/>
      <c r="D22" s="21"/>
      <c r="E22" s="21"/>
      <c r="F22" s="5"/>
      <c r="G22" s="5"/>
    </row>
    <row r="23" spans="1:7" ht="15.75">
      <c r="A23" s="29" t="s">
        <v>120</v>
      </c>
      <c r="B23" s="21"/>
      <c r="C23" s="21"/>
      <c r="D23" s="21"/>
      <c r="E23" s="21"/>
      <c r="F23" s="5"/>
      <c r="G23" s="5"/>
    </row>
    <row r="24" spans="1:7">
      <c r="A24" s="31"/>
      <c r="B24" s="5"/>
      <c r="C24" s="5"/>
      <c r="D24" s="5"/>
      <c r="E24" s="5"/>
      <c r="F24" s="5"/>
      <c r="G24" s="5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workbookViewId="0">
      <selection activeCell="C20" sqref="C20"/>
    </sheetView>
  </sheetViews>
  <sheetFormatPr defaultColWidth="11.5546875" defaultRowHeight="15"/>
  <cols>
    <col min="2" max="2" width="29.88671875" bestFit="1" customWidth="1"/>
    <col min="3" max="3" width="11.33203125" bestFit="1" customWidth="1"/>
    <col min="4" max="4" width="15.109375" bestFit="1" customWidth="1"/>
    <col min="5" max="5" width="19.6640625" bestFit="1" customWidth="1"/>
    <col min="6" max="6" width="22.88671875" bestFit="1" customWidth="1"/>
    <col min="7" max="7" width="23.109375" bestFit="1" customWidth="1"/>
    <col min="8" max="8" width="18.109375" bestFit="1" customWidth="1"/>
    <col min="9" max="9" width="14.33203125" bestFit="1" customWidth="1"/>
    <col min="13" max="13" width="12.5546875" bestFit="1" customWidth="1"/>
    <col min="14" max="14" width="15.6640625" bestFit="1" customWidth="1"/>
  </cols>
  <sheetData>
    <row r="1" spans="1:18" ht="15.75">
      <c r="A1" s="2" t="s">
        <v>108</v>
      </c>
    </row>
    <row r="2" spans="1:18" ht="15.75">
      <c r="A2" s="21" t="s">
        <v>141</v>
      </c>
      <c r="B2" s="21"/>
      <c r="C2" s="21"/>
      <c r="D2" s="21"/>
      <c r="E2" s="21"/>
      <c r="F2" s="21"/>
      <c r="G2" s="21"/>
      <c r="H2" s="21"/>
      <c r="I2" s="21" t="s">
        <v>144</v>
      </c>
      <c r="J2" s="21"/>
      <c r="K2" s="21"/>
      <c r="L2" s="21"/>
      <c r="M2" s="21"/>
      <c r="N2" s="21"/>
      <c r="O2" s="21"/>
      <c r="P2" s="21"/>
      <c r="Q2" s="21"/>
      <c r="R2" s="21"/>
    </row>
    <row r="3" spans="1:18" ht="15.75">
      <c r="A3" s="21"/>
      <c r="B3" s="21"/>
      <c r="C3" s="21" t="s">
        <v>145</v>
      </c>
      <c r="D3" s="21" t="s">
        <v>146</v>
      </c>
      <c r="E3" s="21" t="s">
        <v>147</v>
      </c>
      <c r="F3" s="21" t="s">
        <v>148</v>
      </c>
      <c r="G3" s="21" t="s">
        <v>149</v>
      </c>
      <c r="H3" s="21" t="s">
        <v>152</v>
      </c>
      <c r="I3" s="21" t="s">
        <v>150</v>
      </c>
      <c r="J3" s="21" t="s">
        <v>151</v>
      </c>
      <c r="K3" s="21"/>
      <c r="L3" s="21"/>
      <c r="M3" s="21" t="s">
        <v>153</v>
      </c>
      <c r="N3" s="21" t="s">
        <v>154</v>
      </c>
      <c r="O3" s="21"/>
      <c r="P3" s="21"/>
      <c r="Q3" s="21"/>
      <c r="R3" s="21"/>
    </row>
    <row r="4" spans="1:18" ht="15.75">
      <c r="A4" s="21" t="s">
        <v>139</v>
      </c>
      <c r="B4" s="21"/>
      <c r="C4" s="21">
        <v>1</v>
      </c>
      <c r="D4" s="21">
        <v>1.2</v>
      </c>
      <c r="E4" s="21">
        <v>1.1000000000000001</v>
      </c>
      <c r="F4" s="21">
        <v>1.1000000000000001</v>
      </c>
      <c r="G4" s="21">
        <v>1.05</v>
      </c>
      <c r="H4" s="21">
        <v>1.05</v>
      </c>
      <c r="I4" s="21">
        <f>SQRT(EXP(SQRT((LN(C4))^2+(LN(D4))^2+(LN(E4))^2+(LN(F4))^2+(LN(G4))^2+(LN(H4))^2)))</f>
        <v>1.125808264799361</v>
      </c>
      <c r="J4" s="21" t="s">
        <v>155</v>
      </c>
      <c r="K4" s="21"/>
      <c r="L4" s="21"/>
      <c r="M4" s="21"/>
      <c r="N4" s="21"/>
      <c r="O4" s="21"/>
      <c r="P4" s="21"/>
      <c r="Q4" s="21"/>
      <c r="R4" s="21"/>
    </row>
    <row r="5" spans="1:18" ht="15.7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5.7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8" ht="15.75">
      <c r="A7" s="68" t="s">
        <v>129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pans="1:18" ht="15.75">
      <c r="A8" s="32" t="s">
        <v>125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</row>
    <row r="9" spans="1:18" ht="15.75">
      <c r="A9" s="21" t="s">
        <v>126</v>
      </c>
      <c r="B9" s="21"/>
      <c r="C9" s="21">
        <v>1</v>
      </c>
      <c r="D9" s="21">
        <v>1</v>
      </c>
      <c r="E9" s="21">
        <v>1.1000000000000001</v>
      </c>
      <c r="F9" s="21">
        <v>1.1000000000000001</v>
      </c>
      <c r="G9" s="21">
        <v>1.05</v>
      </c>
      <c r="H9" s="21">
        <v>1.05</v>
      </c>
      <c r="I9" s="21">
        <f>SQRT(EXP(SQRT((LN(C9))^2+(LN(D9))^2+(LN(E9))^2+(LN(F9))^2+(LN(G9))^2+(LN(H9))^2)))</f>
        <v>1.0786515094198652</v>
      </c>
      <c r="J9" s="21" t="s">
        <v>159</v>
      </c>
      <c r="K9" s="21"/>
      <c r="L9" s="21"/>
      <c r="M9" s="21">
        <f>SQRT(EXP(SQRT((LN(C9))^2+(LN(1))^2+(LN(E9))^2+(LN(1))^2+(LN(G9))^2+(LN(H9))^2)))</f>
        <v>1.0605974369305131</v>
      </c>
      <c r="N9" s="21"/>
      <c r="O9" s="21"/>
      <c r="P9" s="21"/>
      <c r="Q9" s="21"/>
      <c r="R9" s="21"/>
    </row>
    <row r="10" spans="1:18" ht="15.75">
      <c r="A10" s="21" t="s">
        <v>127</v>
      </c>
      <c r="B10" s="21"/>
      <c r="C10" s="21">
        <v>1</v>
      </c>
      <c r="D10" s="21">
        <v>1</v>
      </c>
      <c r="E10" s="21">
        <v>1.1000000000000001</v>
      </c>
      <c r="F10" s="21">
        <v>1.1000000000000001</v>
      </c>
      <c r="G10" s="21">
        <v>1.05</v>
      </c>
      <c r="H10" s="21">
        <v>1.05</v>
      </c>
      <c r="I10" s="21">
        <f>SQRT(EXP(SQRT((LN(C10))^2+(LN(D10))^2+(LN(E10))^2+(LN(F10))^2+(LN(G10))^2+(LN(H10))^2)))</f>
        <v>1.0786515094198652</v>
      </c>
      <c r="J10" s="21" t="s">
        <v>159</v>
      </c>
      <c r="K10" s="21"/>
      <c r="L10" s="21"/>
      <c r="M10" s="21">
        <f>SQRT(EXP(SQRT((LN(C10))^2+(LN(1))^2+(LN(E10))^2+(LN(1))^2+(LN(G10))^2+(LN(H10))^2)))</f>
        <v>1.0605974369305131</v>
      </c>
      <c r="N10" s="21"/>
      <c r="O10" s="21"/>
      <c r="P10" s="21"/>
      <c r="Q10" s="21"/>
      <c r="R10" s="21"/>
    </row>
    <row r="11" spans="1:18" ht="15.75">
      <c r="A11" s="21" t="s">
        <v>128</v>
      </c>
      <c r="B11" s="21"/>
      <c r="C11" s="21">
        <v>1</v>
      </c>
      <c r="D11" s="21">
        <v>1</v>
      </c>
      <c r="E11" s="21">
        <v>1.1000000000000001</v>
      </c>
      <c r="F11" s="21">
        <v>1.1000000000000001</v>
      </c>
      <c r="G11" s="21">
        <v>1.05</v>
      </c>
      <c r="H11" s="21">
        <v>1.05</v>
      </c>
      <c r="I11" s="21">
        <f>SQRT(EXP(SQRT((LN(C11))^2+(LN(D11))^2+(LN(E11))^2+(LN(F11))^2+(LN(G11))^2+(LN(H11))^2)))</f>
        <v>1.0786515094198652</v>
      </c>
      <c r="J11" s="21" t="s">
        <v>159</v>
      </c>
      <c r="K11" s="21"/>
      <c r="L11" s="21"/>
      <c r="M11" s="21">
        <f>SQRT(EXP(SQRT((LN(C11))^2+(LN(1))^2+(LN(E11))^2+(LN(1))^2+(LN(G11))^2+(LN(H11))^2)))</f>
        <v>1.0605974369305131</v>
      </c>
      <c r="N11" s="21"/>
      <c r="O11" s="21"/>
      <c r="P11" s="21"/>
      <c r="Q11" s="21"/>
      <c r="R11" s="21"/>
    </row>
    <row r="12" spans="1:18" ht="15.7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spans="1:18" ht="15.7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spans="1:18" ht="15.75">
      <c r="A14" s="68" t="s">
        <v>130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  <row r="15" spans="1:18" ht="15.75">
      <c r="A15" s="32" t="s">
        <v>125</v>
      </c>
      <c r="B15" s="32" t="s">
        <v>131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1:18" ht="15.75">
      <c r="A16" s="21" t="s">
        <v>132</v>
      </c>
      <c r="B16" s="21" t="s">
        <v>133</v>
      </c>
      <c r="C16" s="21">
        <v>1</v>
      </c>
      <c r="D16" s="21">
        <v>1.05</v>
      </c>
      <c r="E16" s="21">
        <v>1</v>
      </c>
      <c r="F16" s="21">
        <v>1.02</v>
      </c>
      <c r="G16" s="21">
        <v>1.05</v>
      </c>
      <c r="H16" s="21">
        <v>1.05</v>
      </c>
      <c r="I16" s="21">
        <f t="shared" ref="I16:I26" si="0">SQRT(EXP(SQRT((LN(C16))^2+(LN(D16))^2+(LN(E16))^2+(LN(F16))^2+(LN(G16))^2+(LN(H16))^2)))</f>
        <v>1.044353581511182</v>
      </c>
      <c r="J16" s="21" t="s">
        <v>161</v>
      </c>
      <c r="K16" s="21"/>
      <c r="L16" s="21"/>
      <c r="M16" s="21"/>
      <c r="N16" s="21"/>
      <c r="O16" s="21"/>
      <c r="P16" s="21"/>
      <c r="Q16" s="21"/>
      <c r="R16" s="21"/>
    </row>
    <row r="17" spans="1:18" ht="15.75">
      <c r="A17" s="21"/>
      <c r="B17" s="21" t="s">
        <v>138</v>
      </c>
      <c r="C17" s="21">
        <v>1</v>
      </c>
      <c r="D17" s="21">
        <v>1</v>
      </c>
      <c r="E17" s="21">
        <v>1.1000000000000001</v>
      </c>
      <c r="F17" s="21">
        <v>1.1000000000000001</v>
      </c>
      <c r="G17" s="21">
        <v>1.05</v>
      </c>
      <c r="H17" s="21">
        <v>1.05</v>
      </c>
      <c r="I17" s="21">
        <f t="shared" si="0"/>
        <v>1.0786515094198652</v>
      </c>
      <c r="J17" s="21" t="s">
        <v>162</v>
      </c>
      <c r="K17" s="21"/>
      <c r="L17" s="21"/>
      <c r="M17" s="21">
        <f>SQRT(EXP(SQRT((LN(C17))^2+(LN(1))^2+(LN(E17))^2+(LN(1))^2+(LN(G17))^2+(LN(H17))^2)))</f>
        <v>1.0605974369305131</v>
      </c>
      <c r="N17" s="21"/>
      <c r="O17" s="21"/>
      <c r="P17" s="21"/>
      <c r="Q17" s="21"/>
      <c r="R17" s="21"/>
    </row>
    <row r="18" spans="1:18" ht="15.75">
      <c r="A18" s="21" t="s">
        <v>134</v>
      </c>
      <c r="B18" s="21" t="s">
        <v>140</v>
      </c>
      <c r="C18" s="21">
        <v>1</v>
      </c>
      <c r="D18" s="21">
        <v>1</v>
      </c>
      <c r="E18" s="21">
        <v>1</v>
      </c>
      <c r="F18" s="21">
        <v>1.1000000000000001</v>
      </c>
      <c r="G18" s="21">
        <v>1.05</v>
      </c>
      <c r="H18" s="21">
        <v>1.05</v>
      </c>
      <c r="I18" s="21">
        <f t="shared" si="0"/>
        <v>1.0605974369305131</v>
      </c>
      <c r="J18" s="21" t="s">
        <v>165</v>
      </c>
      <c r="K18" s="21"/>
      <c r="L18" s="21"/>
      <c r="M18" s="21">
        <f>SQRT(EXP(SQRT((LN(C18))^2+(LN(1))^2+(LN(E18))^2+(LN(1))^2+(LN(G18))^2+(LN(H18))^2)))</f>
        <v>1.0351018792587166</v>
      </c>
      <c r="N18" s="21"/>
      <c r="O18" s="21"/>
      <c r="P18" s="21"/>
      <c r="Q18" s="21"/>
      <c r="R18" s="21"/>
    </row>
    <row r="19" spans="1:18" ht="15.75">
      <c r="A19" s="21"/>
      <c r="B19" s="21" t="s">
        <v>142</v>
      </c>
      <c r="C19" s="21">
        <v>1</v>
      </c>
      <c r="D19" s="21">
        <v>1.05</v>
      </c>
      <c r="E19" s="21">
        <v>1.03</v>
      </c>
      <c r="F19" s="21">
        <v>1.1000000000000001</v>
      </c>
      <c r="G19" s="21">
        <v>1.05</v>
      </c>
      <c r="H19" s="21">
        <v>1.05</v>
      </c>
      <c r="I19" s="21">
        <f>SQRT(EXP(SQRT((LN(C19))^2+(LN(D19))^2+(LN(E19))^2+(LN(F19))^2+(LN(G19))^2+(LN(H19))^2)))</f>
        <v>1.0675666954204845</v>
      </c>
      <c r="J19" s="21" t="s">
        <v>167</v>
      </c>
      <c r="K19" s="21"/>
      <c r="L19" s="21"/>
      <c r="M19" s="21">
        <f>SQRT(EXP(SQRT((LN(C19))^2+(LN(1))^2+(LN(E19))^2+(LN(1))^2+(LN(G19))^2+(LN(H19))^2)))</f>
        <v>1.0382454933372625</v>
      </c>
      <c r="N19" s="21">
        <f>SQRT(EXP(SQRT((LN(C19))^2+(LN(D19))^2+(LN(E19))^2+(LN(1))^2+(LN(G19))^2+(LN(H19))^2)))</f>
        <v>1.0457807355000437</v>
      </c>
      <c r="O19" s="21"/>
      <c r="P19" s="21"/>
      <c r="Q19" s="21"/>
      <c r="R19" s="21"/>
    </row>
    <row r="20" spans="1:18" ht="15.75">
      <c r="A20" s="21"/>
      <c r="B20" s="21" t="s">
        <v>138</v>
      </c>
      <c r="C20" s="21">
        <v>1</v>
      </c>
      <c r="D20" s="21">
        <v>1</v>
      </c>
      <c r="E20" s="21">
        <v>1</v>
      </c>
      <c r="F20" s="21">
        <v>1.1000000000000001</v>
      </c>
      <c r="G20" s="21">
        <v>1.05</v>
      </c>
      <c r="H20" s="21">
        <v>1.05</v>
      </c>
      <c r="I20" s="21">
        <f t="shared" ref="I20" si="1">SQRT(EXP(SQRT((LN(C20))^2+(LN(D20))^2+(LN(E20))^2+(LN(F20))^2+(LN(G20))^2+(LN(H20))^2)))</f>
        <v>1.0605974369305131</v>
      </c>
      <c r="J20" s="21" t="s">
        <v>162</v>
      </c>
      <c r="K20" s="21"/>
      <c r="L20" s="21"/>
      <c r="M20" s="21">
        <f>SQRT(EXP(SQRT((LN(C20))^2+(LN(1))^2+(LN(E20))^2+(LN(1))^2+(LN(G20))^2+(LN(H20))^2)))</f>
        <v>1.0351018792587166</v>
      </c>
      <c r="N20" s="21"/>
      <c r="O20" s="21"/>
      <c r="P20" s="21"/>
      <c r="Q20" s="21"/>
      <c r="R20" s="21"/>
    </row>
    <row r="21" spans="1:18" ht="15.7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1:18" ht="15.75">
      <c r="A22" s="32" t="s">
        <v>135</v>
      </c>
      <c r="B22" s="32" t="s">
        <v>131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8" ht="15.75">
      <c r="A23" s="21" t="s">
        <v>136</v>
      </c>
      <c r="B23" s="21" t="s">
        <v>169</v>
      </c>
      <c r="C23" s="21">
        <v>1.1000000000000001</v>
      </c>
      <c r="D23" s="21">
        <v>1.05</v>
      </c>
      <c r="E23" s="21">
        <v>1.1000000000000001</v>
      </c>
      <c r="F23" s="21">
        <v>1.1000000000000001</v>
      </c>
      <c r="G23" s="21">
        <v>1.05</v>
      </c>
      <c r="H23" s="21">
        <v>1.05</v>
      </c>
      <c r="I23" s="21">
        <f>SQRT(EXP(SQRT((LN(C23))^2+(LN(D23))^2+(LN(E23))^2+(LN(F23))^2+(LN(G23))^2+(LN(H23))^2)))</f>
        <v>1.0971626799097942</v>
      </c>
      <c r="J23" s="21"/>
      <c r="K23" s="21"/>
      <c r="L23" s="21"/>
      <c r="M23" s="21"/>
      <c r="N23" s="21"/>
      <c r="O23" s="21"/>
      <c r="P23" s="21"/>
      <c r="Q23" s="21"/>
      <c r="R23" s="21"/>
    </row>
    <row r="24" spans="1:18" ht="15.75">
      <c r="A24" s="21" t="s">
        <v>111</v>
      </c>
      <c r="B24" s="21" t="s">
        <v>169</v>
      </c>
      <c r="C24" s="21">
        <v>1.1000000000000001</v>
      </c>
      <c r="D24" s="21">
        <v>1.05</v>
      </c>
      <c r="E24" s="21">
        <v>1.1000000000000001</v>
      </c>
      <c r="F24" s="21">
        <v>1.1000000000000001</v>
      </c>
      <c r="G24" s="21">
        <v>1.05</v>
      </c>
      <c r="H24" s="21">
        <v>1.05</v>
      </c>
      <c r="I24" s="21">
        <f t="shared" si="0"/>
        <v>1.0971626799097942</v>
      </c>
      <c r="J24" s="21"/>
      <c r="K24" s="21"/>
      <c r="L24" s="21"/>
      <c r="M24" s="21"/>
      <c r="N24" s="21"/>
      <c r="O24" s="21"/>
      <c r="P24" s="21"/>
      <c r="Q24" s="21"/>
      <c r="R24" s="21"/>
    </row>
    <row r="25" spans="1:18" ht="15.75">
      <c r="A25" s="21" t="s">
        <v>137</v>
      </c>
      <c r="B25" s="21" t="s">
        <v>169</v>
      </c>
      <c r="C25" s="72">
        <v>1.1000000000000001</v>
      </c>
      <c r="D25" s="72">
        <v>1.05</v>
      </c>
      <c r="E25" s="72">
        <v>1.1000000000000001</v>
      </c>
      <c r="F25" s="72">
        <v>1.1000000000000001</v>
      </c>
      <c r="G25" s="72">
        <v>1.05</v>
      </c>
      <c r="H25" s="21">
        <v>1.05</v>
      </c>
      <c r="I25" s="21">
        <f t="shared" si="0"/>
        <v>1.0971626799097942</v>
      </c>
      <c r="J25" s="21"/>
      <c r="K25" s="21"/>
      <c r="L25" s="21"/>
      <c r="M25" s="21"/>
      <c r="N25" s="21"/>
      <c r="O25" s="21"/>
      <c r="P25" s="21"/>
      <c r="Q25" s="21"/>
      <c r="R25" s="21"/>
    </row>
    <row r="26" spans="1:18" ht="15.75">
      <c r="A26" s="21" t="s">
        <v>168</v>
      </c>
      <c r="B26" s="21"/>
      <c r="C26" s="72">
        <v>1.5</v>
      </c>
      <c r="D26" s="72">
        <v>1.05</v>
      </c>
      <c r="E26" s="72">
        <v>1</v>
      </c>
      <c r="F26" s="72">
        <v>1</v>
      </c>
      <c r="G26" s="72">
        <v>1</v>
      </c>
      <c r="H26" s="72">
        <v>2</v>
      </c>
      <c r="I26" s="21">
        <f t="shared" si="0"/>
        <v>1.4951921436430018</v>
      </c>
      <c r="J26" s="21"/>
      <c r="K26" s="21"/>
      <c r="L26" s="21"/>
      <c r="M26" s="21"/>
      <c r="N26" s="21"/>
      <c r="O26" s="21"/>
      <c r="P26" s="21"/>
      <c r="Q26" s="21"/>
      <c r="R26" s="21"/>
    </row>
    <row r="27" spans="1:18" ht="15.7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</row>
    <row r="28" spans="1:18" ht="15.75">
      <c r="A28" s="21" t="s">
        <v>143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</row>
    <row r="29" spans="1:18" ht="30" customHeight="1">
      <c r="A29" s="91" t="s">
        <v>374</v>
      </c>
      <c r="B29" s="91"/>
      <c r="C29" s="91"/>
      <c r="D29" s="91"/>
      <c r="E29" s="91"/>
      <c r="F29" s="91"/>
      <c r="G29" s="91"/>
      <c r="H29" s="91"/>
      <c r="I29" s="21"/>
      <c r="J29" s="21"/>
      <c r="K29" s="21"/>
      <c r="L29" s="21"/>
      <c r="M29" s="21"/>
      <c r="N29" s="21"/>
      <c r="O29" s="21"/>
      <c r="P29" s="21"/>
      <c r="Q29" s="21"/>
      <c r="R29" s="21"/>
    </row>
    <row r="30" spans="1:18" ht="15.7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</row>
    <row r="31" spans="1:18">
      <c r="A31" s="11"/>
    </row>
    <row r="32" spans="1:18">
      <c r="A32" s="14" t="s">
        <v>157</v>
      </c>
    </row>
    <row r="33" spans="1:2">
      <c r="A33" s="5" t="s">
        <v>156</v>
      </c>
    </row>
    <row r="34" spans="1:2">
      <c r="A34" s="5" t="s">
        <v>158</v>
      </c>
    </row>
    <row r="35" spans="1:2">
      <c r="A35" s="5" t="s">
        <v>160</v>
      </c>
    </row>
    <row r="36" spans="1:2">
      <c r="A36" s="5" t="s">
        <v>163</v>
      </c>
    </row>
    <row r="37" spans="1:2">
      <c r="A37" s="5" t="s">
        <v>164</v>
      </c>
    </row>
    <row r="38" spans="1:2">
      <c r="A38" s="5" t="s">
        <v>166</v>
      </c>
    </row>
    <row r="43" spans="1:2" ht="15.75">
      <c r="B43" s="12"/>
    </row>
    <row r="44" spans="1:2" ht="15.75">
      <c r="B44" s="12"/>
    </row>
    <row r="45" spans="1:2">
      <c r="B45" s="13"/>
    </row>
    <row r="46" spans="1:2" ht="15.75">
      <c r="B46" s="12"/>
    </row>
    <row r="47" spans="1:2">
      <c r="B47" s="13"/>
    </row>
    <row r="48" spans="1:2" ht="15.75">
      <c r="B48" s="12"/>
    </row>
  </sheetData>
  <mergeCells count="1">
    <mergeCell ref="A29:H2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9"/>
  <sheetViews>
    <sheetView workbookViewId="0"/>
  </sheetViews>
  <sheetFormatPr defaultColWidth="11.5546875" defaultRowHeight="15"/>
  <cols>
    <col min="1" max="1" width="31" customWidth="1"/>
    <col min="2" max="2" width="30.5546875" bestFit="1" customWidth="1"/>
    <col min="3" max="3" width="20" bestFit="1" customWidth="1"/>
    <col min="4" max="4" width="11.109375" bestFit="1" customWidth="1"/>
    <col min="5" max="5" width="20" bestFit="1" customWidth="1"/>
    <col min="6" max="6" width="9.109375" bestFit="1" customWidth="1"/>
    <col min="7" max="7" width="20" bestFit="1" customWidth="1"/>
    <col min="8" max="8" width="9.109375" bestFit="1" customWidth="1"/>
    <col min="9" max="9" width="20" bestFit="1" customWidth="1"/>
    <col min="10" max="10" width="9.5546875" bestFit="1" customWidth="1"/>
    <col min="11" max="11" width="20" bestFit="1" customWidth="1"/>
    <col min="12" max="12" width="11.6640625" customWidth="1"/>
    <col min="13" max="13" width="20.33203125" customWidth="1"/>
    <col min="14" max="14" width="34.6640625" bestFit="1" customWidth="1"/>
    <col min="15" max="15" width="20" bestFit="1" customWidth="1"/>
    <col min="16" max="16" width="9.109375" bestFit="1" customWidth="1"/>
    <col min="17" max="17" width="20" bestFit="1" customWidth="1"/>
    <col min="18" max="18" width="9.109375" bestFit="1" customWidth="1"/>
    <col min="19" max="19" width="20" bestFit="1" customWidth="1"/>
    <col min="20" max="20" width="17.33203125" bestFit="1" customWidth="1"/>
    <col min="21" max="21" width="20" bestFit="1" customWidth="1"/>
    <col min="22" max="22" width="26.6640625" bestFit="1" customWidth="1"/>
    <col min="23" max="23" width="20" bestFit="1" customWidth="1"/>
    <col min="24" max="24" width="16" bestFit="1" customWidth="1"/>
    <col min="25" max="25" width="20" bestFit="1" customWidth="1"/>
    <col min="26" max="26" width="11.33203125" bestFit="1" customWidth="1"/>
  </cols>
  <sheetData>
    <row r="1" spans="1:35" ht="15.75">
      <c r="A1" s="2" t="s">
        <v>390</v>
      </c>
    </row>
    <row r="4" spans="1:35" ht="15.75">
      <c r="A4" s="32" t="s">
        <v>18</v>
      </c>
      <c r="B4" s="78" t="s">
        <v>17</v>
      </c>
      <c r="C4" s="78"/>
      <c r="D4" s="78" t="s">
        <v>40</v>
      </c>
      <c r="E4" s="78"/>
      <c r="F4" s="78" t="s">
        <v>20</v>
      </c>
      <c r="G4" s="78"/>
      <c r="H4" s="78" t="s">
        <v>21</v>
      </c>
      <c r="I4" s="78"/>
      <c r="J4" s="78" t="s">
        <v>22</v>
      </c>
      <c r="K4" s="78"/>
      <c r="L4" s="78" t="s">
        <v>23</v>
      </c>
      <c r="M4" s="78"/>
      <c r="N4" s="78" t="s">
        <v>24</v>
      </c>
      <c r="O4" s="78"/>
      <c r="P4" s="78" t="s">
        <v>25</v>
      </c>
      <c r="Q4" s="78"/>
      <c r="R4" s="78" t="s">
        <v>26</v>
      </c>
      <c r="S4" s="78"/>
      <c r="T4" s="78" t="s">
        <v>27</v>
      </c>
      <c r="U4" s="78"/>
      <c r="V4" s="78" t="s">
        <v>28</v>
      </c>
      <c r="W4" s="78"/>
      <c r="X4" s="78" t="s">
        <v>260</v>
      </c>
      <c r="Y4" s="78"/>
      <c r="Z4" s="78" t="s">
        <v>30</v>
      </c>
      <c r="AA4" s="78"/>
      <c r="AB4" s="33"/>
      <c r="AC4" s="2"/>
      <c r="AD4" s="2"/>
      <c r="AE4" s="2"/>
      <c r="AF4" s="2"/>
      <c r="AG4" s="2"/>
      <c r="AH4" s="2"/>
      <c r="AI4" s="2"/>
    </row>
    <row r="5" spans="1:35" ht="15.75">
      <c r="A5" s="32" t="s">
        <v>185</v>
      </c>
      <c r="B5" s="79">
        <v>163828</v>
      </c>
      <c r="C5" s="79"/>
      <c r="D5" s="80">
        <v>9800</v>
      </c>
      <c r="E5" s="80"/>
      <c r="F5" s="79">
        <v>68787</v>
      </c>
      <c r="G5" s="79"/>
      <c r="H5" s="80">
        <v>12465</v>
      </c>
      <c r="I5" s="80"/>
      <c r="J5" s="80">
        <v>2211600</v>
      </c>
      <c r="K5" s="80"/>
      <c r="L5" s="79">
        <v>97275</v>
      </c>
      <c r="M5" s="79"/>
      <c r="N5" s="79">
        <v>263221</v>
      </c>
      <c r="O5" s="79"/>
      <c r="P5" s="80">
        <v>270000</v>
      </c>
      <c r="Q5" s="80"/>
      <c r="R5" s="80">
        <v>54737</v>
      </c>
      <c r="S5" s="80"/>
      <c r="T5" s="79">
        <v>186150</v>
      </c>
      <c r="U5" s="79"/>
      <c r="V5" s="79">
        <v>106758</v>
      </c>
      <c r="W5" s="79"/>
      <c r="X5" s="79">
        <v>311635</v>
      </c>
      <c r="Y5" s="79"/>
      <c r="Z5" s="79">
        <v>74934</v>
      </c>
      <c r="AA5" s="79"/>
      <c r="AB5" s="21"/>
    </row>
    <row r="6" spans="1:35" ht="15.75">
      <c r="A6" s="32" t="s">
        <v>186</v>
      </c>
      <c r="B6" s="79">
        <v>176603.38975500001</v>
      </c>
      <c r="C6" s="79"/>
      <c r="D6" s="79">
        <v>12155.62163</v>
      </c>
      <c r="E6" s="79"/>
      <c r="F6" s="79">
        <v>71699.316070999994</v>
      </c>
      <c r="G6" s="79"/>
      <c r="H6" s="79">
        <v>10210.871751999999</v>
      </c>
      <c r="I6" s="79"/>
      <c r="J6" s="79">
        <v>2202754.8693110002</v>
      </c>
      <c r="K6" s="79"/>
      <c r="L6" s="79">
        <v>103339.41038099999</v>
      </c>
      <c r="M6" s="79"/>
      <c r="N6" s="79">
        <v>235375.98123599999</v>
      </c>
      <c r="O6" s="79"/>
      <c r="P6" s="79">
        <v>268449.75335100002</v>
      </c>
      <c r="Q6" s="79"/>
      <c r="R6" s="79">
        <v>45853.799440000003</v>
      </c>
      <c r="S6" s="79"/>
      <c r="T6" s="79">
        <v>191349.41594199999</v>
      </c>
      <c r="U6" s="79"/>
      <c r="V6" s="79">
        <v>108466.785692</v>
      </c>
      <c r="W6" s="79"/>
      <c r="X6" s="79">
        <v>319464.70520999999</v>
      </c>
      <c r="Y6" s="79"/>
      <c r="Z6" s="79">
        <v>80225.562040000004</v>
      </c>
      <c r="AA6" s="79"/>
      <c r="AB6" s="21"/>
    </row>
    <row r="7" spans="1:35" ht="15.75">
      <c r="A7" s="21"/>
      <c r="B7" s="33" t="s">
        <v>187</v>
      </c>
      <c r="C7" s="33" t="s">
        <v>185</v>
      </c>
      <c r="D7" s="33" t="s">
        <v>187</v>
      </c>
      <c r="E7" s="33" t="s">
        <v>185</v>
      </c>
      <c r="F7" s="33" t="s">
        <v>187</v>
      </c>
      <c r="G7" s="33" t="s">
        <v>185</v>
      </c>
      <c r="H7" s="33" t="s">
        <v>187</v>
      </c>
      <c r="I7" s="33" t="s">
        <v>185</v>
      </c>
      <c r="J7" s="33" t="s">
        <v>187</v>
      </c>
      <c r="K7" s="33" t="s">
        <v>185</v>
      </c>
      <c r="L7" s="33" t="s">
        <v>187</v>
      </c>
      <c r="M7" s="33" t="s">
        <v>185</v>
      </c>
      <c r="N7" s="33" t="s">
        <v>187</v>
      </c>
      <c r="O7" s="33" t="s">
        <v>185</v>
      </c>
      <c r="P7" s="33" t="s">
        <v>187</v>
      </c>
      <c r="Q7" s="33" t="s">
        <v>185</v>
      </c>
      <c r="R7" s="33" t="s">
        <v>187</v>
      </c>
      <c r="S7" s="33" t="s">
        <v>185</v>
      </c>
      <c r="T7" s="33" t="s">
        <v>187</v>
      </c>
      <c r="U7" s="33" t="s">
        <v>185</v>
      </c>
      <c r="V7" s="33" t="s">
        <v>187</v>
      </c>
      <c r="W7" s="33" t="s">
        <v>185</v>
      </c>
      <c r="X7" s="33" t="s">
        <v>187</v>
      </c>
      <c r="Y7" s="33" t="s">
        <v>185</v>
      </c>
      <c r="Z7" s="33" t="s">
        <v>187</v>
      </c>
      <c r="AA7" s="33" t="s">
        <v>185</v>
      </c>
      <c r="AB7" s="33"/>
      <c r="AC7" s="2"/>
      <c r="AD7" s="2"/>
    </row>
    <row r="8" spans="1:35" ht="15.75">
      <c r="A8" s="21"/>
      <c r="B8" s="34" t="s">
        <v>188</v>
      </c>
      <c r="C8" s="21">
        <v>19000</v>
      </c>
      <c r="D8" s="34" t="s">
        <v>215</v>
      </c>
      <c r="E8" s="21">
        <v>8600</v>
      </c>
      <c r="F8" s="21" t="s">
        <v>20</v>
      </c>
      <c r="G8" s="35">
        <v>68787</v>
      </c>
      <c r="H8" s="21" t="s">
        <v>21</v>
      </c>
      <c r="I8" s="21">
        <v>12465</v>
      </c>
      <c r="J8" s="34" t="s">
        <v>22</v>
      </c>
      <c r="K8" s="21">
        <v>2210000</v>
      </c>
      <c r="L8" s="21" t="s">
        <v>219</v>
      </c>
      <c r="M8" s="21">
        <v>438</v>
      </c>
      <c r="N8" s="21" t="s">
        <v>231</v>
      </c>
      <c r="O8" s="21">
        <v>4455</v>
      </c>
      <c r="P8" s="21" t="s">
        <v>25</v>
      </c>
      <c r="Q8" s="21">
        <v>270000</v>
      </c>
      <c r="R8" s="21" t="s">
        <v>26</v>
      </c>
      <c r="S8" s="21">
        <v>54737</v>
      </c>
      <c r="T8" s="26" t="s">
        <v>341</v>
      </c>
      <c r="U8" s="21">
        <v>1300</v>
      </c>
      <c r="V8" s="21" t="s">
        <v>274</v>
      </c>
      <c r="W8" s="35">
        <v>10716</v>
      </c>
      <c r="X8" s="21" t="s">
        <v>300</v>
      </c>
      <c r="Y8" s="35">
        <v>37</v>
      </c>
      <c r="Z8" s="21" t="s">
        <v>30</v>
      </c>
      <c r="AA8" s="36">
        <v>74151</v>
      </c>
      <c r="AB8" s="36"/>
    </row>
    <row r="9" spans="1:35" ht="15.75">
      <c r="A9" s="21"/>
      <c r="B9" s="34" t="s">
        <v>189</v>
      </c>
      <c r="C9" s="21">
        <v>1600</v>
      </c>
      <c r="D9" s="34" t="s">
        <v>216</v>
      </c>
      <c r="E9" s="21">
        <v>1200</v>
      </c>
      <c r="F9" s="21"/>
      <c r="G9" s="21"/>
      <c r="H9" s="21"/>
      <c r="I9" s="21"/>
      <c r="J9" s="34" t="s">
        <v>218</v>
      </c>
      <c r="K9" s="21">
        <v>1600</v>
      </c>
      <c r="L9" s="21" t="s">
        <v>220</v>
      </c>
      <c r="M9" s="21">
        <v>1966</v>
      </c>
      <c r="N9" s="21" t="s">
        <v>259</v>
      </c>
      <c r="O9" s="21">
        <v>2000</v>
      </c>
      <c r="P9" s="21"/>
      <c r="Q9" s="21"/>
      <c r="R9" s="21"/>
      <c r="S9" s="21"/>
      <c r="T9" s="21" t="s">
        <v>262</v>
      </c>
      <c r="U9" s="21">
        <v>70000</v>
      </c>
      <c r="V9" s="21" t="s">
        <v>299</v>
      </c>
      <c r="W9" s="35">
        <v>176</v>
      </c>
      <c r="X9" s="21" t="s">
        <v>301</v>
      </c>
      <c r="Y9" s="35">
        <v>15000</v>
      </c>
      <c r="Z9" s="21" t="s">
        <v>261</v>
      </c>
      <c r="AA9" s="21">
        <v>783</v>
      </c>
      <c r="AB9" s="21"/>
    </row>
    <row r="10" spans="1:35" ht="15.75">
      <c r="A10" s="21"/>
      <c r="B10" s="34" t="s">
        <v>190</v>
      </c>
      <c r="C10" s="21">
        <v>1390</v>
      </c>
      <c r="D10" s="21"/>
      <c r="E10" s="21"/>
      <c r="F10" s="21"/>
      <c r="G10" s="21"/>
      <c r="H10" s="21"/>
      <c r="I10" s="21"/>
      <c r="J10" s="34"/>
      <c r="K10" s="21"/>
      <c r="L10" s="21" t="s">
        <v>221</v>
      </c>
      <c r="M10" s="21">
        <v>4906</v>
      </c>
      <c r="N10" s="21" t="s">
        <v>232</v>
      </c>
      <c r="O10" s="35">
        <v>7000</v>
      </c>
      <c r="P10" s="21"/>
      <c r="Q10" s="21"/>
      <c r="R10" s="21"/>
      <c r="S10" s="21"/>
      <c r="T10" s="21" t="s">
        <v>263</v>
      </c>
      <c r="U10" s="21">
        <v>10000</v>
      </c>
      <c r="V10" s="21" t="s">
        <v>275</v>
      </c>
      <c r="W10" s="35">
        <v>2714</v>
      </c>
      <c r="X10" s="21" t="s">
        <v>302</v>
      </c>
      <c r="Y10" s="35">
        <v>521</v>
      </c>
      <c r="Z10" s="21"/>
      <c r="AA10" s="21"/>
      <c r="AB10" s="21"/>
    </row>
    <row r="11" spans="1:35" ht="15.75">
      <c r="A11" s="21"/>
      <c r="B11" s="34" t="s">
        <v>191</v>
      </c>
      <c r="C11" s="21">
        <v>600</v>
      </c>
      <c r="D11" s="21"/>
      <c r="E11" s="21"/>
      <c r="F11" s="21"/>
      <c r="G11" s="21"/>
      <c r="H11" s="21"/>
      <c r="I11" s="21"/>
      <c r="J11" s="21"/>
      <c r="K11" s="21"/>
      <c r="L11" s="21" t="s">
        <v>230</v>
      </c>
      <c r="M11" s="21">
        <v>860</v>
      </c>
      <c r="N11" s="21" t="s">
        <v>339</v>
      </c>
      <c r="O11" s="35">
        <v>846</v>
      </c>
      <c r="P11" s="21"/>
      <c r="Q11" s="21"/>
      <c r="R11" s="21"/>
      <c r="S11" s="21"/>
      <c r="T11" s="21" t="s">
        <v>264</v>
      </c>
      <c r="U11" s="21">
        <v>5500</v>
      </c>
      <c r="V11" s="21" t="s">
        <v>276</v>
      </c>
      <c r="W11" s="35">
        <v>4722</v>
      </c>
      <c r="X11" s="21" t="s">
        <v>303</v>
      </c>
      <c r="Y11" s="35">
        <v>300</v>
      </c>
      <c r="Z11" s="21"/>
      <c r="AA11" s="21"/>
      <c r="AB11" s="21"/>
    </row>
    <row r="12" spans="1:35" ht="15.75">
      <c r="A12" s="21"/>
      <c r="B12" s="34" t="s">
        <v>192</v>
      </c>
      <c r="C12" s="34">
        <v>71</v>
      </c>
      <c r="D12" s="21"/>
      <c r="E12" s="21"/>
      <c r="F12" s="21"/>
      <c r="G12" s="21"/>
      <c r="H12" s="21"/>
      <c r="I12" s="21"/>
      <c r="J12" s="21"/>
      <c r="K12" s="21"/>
      <c r="L12" s="21" t="s">
        <v>222</v>
      </c>
      <c r="M12" s="21">
        <v>6392</v>
      </c>
      <c r="N12" s="21" t="s">
        <v>233</v>
      </c>
      <c r="O12" s="35">
        <v>2000</v>
      </c>
      <c r="P12" s="21"/>
      <c r="Q12" s="21"/>
      <c r="R12" s="21"/>
      <c r="S12" s="21"/>
      <c r="T12" s="21" t="s">
        <v>265</v>
      </c>
      <c r="U12" s="21">
        <v>4900</v>
      </c>
      <c r="V12" s="21" t="s">
        <v>277</v>
      </c>
      <c r="W12" s="35">
        <v>10925</v>
      </c>
      <c r="X12" s="21" t="s">
        <v>320</v>
      </c>
      <c r="Y12" s="35">
        <v>600</v>
      </c>
      <c r="Z12" s="21"/>
      <c r="AA12" s="21"/>
      <c r="AB12" s="21"/>
    </row>
    <row r="13" spans="1:35" ht="15.75">
      <c r="A13" s="21"/>
      <c r="B13" s="34" t="s">
        <v>193</v>
      </c>
      <c r="C13" s="21">
        <v>900</v>
      </c>
      <c r="D13" s="21"/>
      <c r="E13" s="21"/>
      <c r="F13" s="21"/>
      <c r="G13" s="21"/>
      <c r="H13" s="21"/>
      <c r="I13" s="21"/>
      <c r="J13" s="21"/>
      <c r="K13" s="21"/>
      <c r="L13" s="21" t="s">
        <v>223</v>
      </c>
      <c r="M13" s="21">
        <v>1050</v>
      </c>
      <c r="N13" s="21" t="s">
        <v>334</v>
      </c>
      <c r="O13" s="21">
        <v>2500</v>
      </c>
      <c r="P13" s="21"/>
      <c r="Q13" s="21"/>
      <c r="R13" s="21"/>
      <c r="S13" s="21"/>
      <c r="T13" s="21" t="s">
        <v>266</v>
      </c>
      <c r="U13" s="21">
        <v>2250</v>
      </c>
      <c r="V13" s="21" t="s">
        <v>278</v>
      </c>
      <c r="W13" s="35">
        <v>1500</v>
      </c>
      <c r="X13" s="21" t="s">
        <v>304</v>
      </c>
      <c r="Y13" s="35">
        <v>980</v>
      </c>
      <c r="Z13" s="21"/>
      <c r="AA13" s="21"/>
      <c r="AB13" s="21"/>
    </row>
    <row r="14" spans="1:35" ht="15.75">
      <c r="A14" s="21"/>
      <c r="B14" s="34" t="s">
        <v>324</v>
      </c>
      <c r="C14" s="21">
        <v>150</v>
      </c>
      <c r="D14" s="21"/>
      <c r="E14" s="21"/>
      <c r="F14" s="21"/>
      <c r="G14" s="21"/>
      <c r="H14" s="21"/>
      <c r="I14" s="21"/>
      <c r="J14" s="21"/>
      <c r="K14" s="21"/>
      <c r="L14" s="21" t="s">
        <v>224</v>
      </c>
      <c r="M14" s="21">
        <v>1230</v>
      </c>
      <c r="N14" s="21" t="s">
        <v>340</v>
      </c>
      <c r="O14" s="35">
        <v>1300</v>
      </c>
      <c r="P14" s="21"/>
      <c r="Q14" s="21"/>
      <c r="R14" s="21"/>
      <c r="S14" s="21"/>
      <c r="T14" s="21" t="s">
        <v>267</v>
      </c>
      <c r="U14" s="21">
        <v>5500</v>
      </c>
      <c r="V14" s="21" t="s">
        <v>279</v>
      </c>
      <c r="W14" s="35">
        <v>1833</v>
      </c>
      <c r="X14" s="21" t="s">
        <v>318</v>
      </c>
      <c r="Y14" s="35">
        <v>120</v>
      </c>
      <c r="Z14" s="21"/>
      <c r="AA14" s="21"/>
      <c r="AB14" s="21"/>
    </row>
    <row r="15" spans="1:35" ht="15.75">
      <c r="A15" s="21"/>
      <c r="B15" s="34" t="s">
        <v>325</v>
      </c>
      <c r="C15" s="21">
        <v>377</v>
      </c>
      <c r="D15" s="21"/>
      <c r="E15" s="21"/>
      <c r="F15" s="21"/>
      <c r="G15" s="21"/>
      <c r="H15" s="21"/>
      <c r="I15" s="21"/>
      <c r="J15" s="21"/>
      <c r="K15" s="21"/>
      <c r="L15" s="21" t="s">
        <v>225</v>
      </c>
      <c r="M15" s="21">
        <v>61700</v>
      </c>
      <c r="N15" s="21" t="s">
        <v>234</v>
      </c>
      <c r="O15" s="21">
        <v>3350</v>
      </c>
      <c r="P15" s="21"/>
      <c r="Q15" s="21"/>
      <c r="R15" s="21"/>
      <c r="S15" s="21"/>
      <c r="T15" s="21" t="s">
        <v>268</v>
      </c>
      <c r="U15" s="21">
        <v>5200</v>
      </c>
      <c r="V15" s="21" t="s">
        <v>280</v>
      </c>
      <c r="W15" s="35">
        <v>4130</v>
      </c>
      <c r="X15" s="21" t="s">
        <v>305</v>
      </c>
      <c r="Y15" s="21">
        <v>51000</v>
      </c>
      <c r="Z15" s="21"/>
      <c r="AA15" s="21"/>
      <c r="AB15" s="21"/>
    </row>
    <row r="16" spans="1:35" ht="15.75">
      <c r="A16" s="21"/>
      <c r="B16" s="34" t="s">
        <v>326</v>
      </c>
      <c r="C16" s="21">
        <v>78</v>
      </c>
      <c r="D16" s="21"/>
      <c r="E16" s="21"/>
      <c r="F16" s="21"/>
      <c r="G16" s="21"/>
      <c r="H16" s="21"/>
      <c r="I16" s="21"/>
      <c r="J16" s="21"/>
      <c r="K16" s="21"/>
      <c r="L16" s="21" t="s">
        <v>226</v>
      </c>
      <c r="M16" s="21">
        <v>232</v>
      </c>
      <c r="N16" s="21" t="s">
        <v>235</v>
      </c>
      <c r="O16" s="21">
        <v>1798</v>
      </c>
      <c r="P16" s="21"/>
      <c r="Q16" s="21"/>
      <c r="R16" s="21"/>
      <c r="S16" s="21"/>
      <c r="T16" s="21" t="s">
        <v>269</v>
      </c>
      <c r="U16" s="35">
        <v>5500</v>
      </c>
      <c r="V16" s="21" t="s">
        <v>281</v>
      </c>
      <c r="W16" s="35">
        <v>5700</v>
      </c>
      <c r="X16" s="21" t="s">
        <v>306</v>
      </c>
      <c r="Y16" s="21">
        <v>6400</v>
      </c>
      <c r="Z16" s="21"/>
      <c r="AA16" s="21"/>
      <c r="AB16" s="21"/>
    </row>
    <row r="17" spans="1:28" ht="15.75">
      <c r="A17" s="21"/>
      <c r="B17" s="34" t="s">
        <v>327</v>
      </c>
      <c r="C17" s="21">
        <v>55200</v>
      </c>
      <c r="D17" s="21"/>
      <c r="E17" s="21"/>
      <c r="F17" s="21"/>
      <c r="G17" s="21"/>
      <c r="H17" s="21"/>
      <c r="I17" s="21"/>
      <c r="J17" s="21"/>
      <c r="K17" s="21"/>
      <c r="L17" s="21" t="s">
        <v>227</v>
      </c>
      <c r="M17" s="21">
        <v>1900</v>
      </c>
      <c r="N17" s="21" t="s">
        <v>236</v>
      </c>
      <c r="O17" s="21">
        <v>450</v>
      </c>
      <c r="P17" s="21"/>
      <c r="Q17" s="21"/>
      <c r="R17" s="21"/>
      <c r="S17" s="21"/>
      <c r="T17" s="21" t="s">
        <v>270</v>
      </c>
      <c r="U17" s="21">
        <v>53000</v>
      </c>
      <c r="V17" s="21" t="s">
        <v>282</v>
      </c>
      <c r="W17" s="35">
        <v>1400</v>
      </c>
      <c r="X17" s="21" t="s">
        <v>307</v>
      </c>
      <c r="Y17" s="21">
        <v>47087</v>
      </c>
      <c r="Z17" s="21"/>
      <c r="AA17" s="21"/>
      <c r="AB17" s="21"/>
    </row>
    <row r="18" spans="1:28" ht="15.75">
      <c r="A18" s="21"/>
      <c r="B18" s="34" t="s">
        <v>194</v>
      </c>
      <c r="C18" s="21">
        <v>230</v>
      </c>
      <c r="D18" s="21"/>
      <c r="E18" s="21"/>
      <c r="F18" s="21"/>
      <c r="G18" s="21"/>
      <c r="H18" s="21"/>
      <c r="I18" s="21"/>
      <c r="J18" s="21"/>
      <c r="K18" s="21"/>
      <c r="L18" s="21" t="s">
        <v>228</v>
      </c>
      <c r="M18" s="21">
        <v>9801</v>
      </c>
      <c r="N18" s="21" t="s">
        <v>237</v>
      </c>
      <c r="O18" s="21">
        <v>1500</v>
      </c>
      <c r="P18" s="21"/>
      <c r="Q18" s="21"/>
      <c r="R18" s="21"/>
      <c r="S18" s="21"/>
      <c r="T18" s="21" t="s">
        <v>271</v>
      </c>
      <c r="U18" s="21">
        <v>4000</v>
      </c>
      <c r="V18" s="21" t="s">
        <v>298</v>
      </c>
      <c r="W18" s="35">
        <v>60</v>
      </c>
      <c r="X18" s="21" t="s">
        <v>308</v>
      </c>
      <c r="Y18" s="21">
        <v>400</v>
      </c>
      <c r="Z18" s="21"/>
      <c r="AA18" s="21"/>
      <c r="AB18" s="21"/>
    </row>
    <row r="19" spans="1:28" ht="15.75">
      <c r="A19" s="21"/>
      <c r="B19" s="34" t="s">
        <v>195</v>
      </c>
      <c r="C19" s="21">
        <v>3000</v>
      </c>
      <c r="D19" s="21"/>
      <c r="E19" s="21"/>
      <c r="F19" s="21"/>
      <c r="G19" s="21"/>
      <c r="H19" s="21"/>
      <c r="I19" s="21"/>
      <c r="J19" s="21"/>
      <c r="K19" s="21"/>
      <c r="L19" s="21" t="s">
        <v>229</v>
      </c>
      <c r="M19" s="21">
        <v>6800</v>
      </c>
      <c r="N19" s="21" t="s">
        <v>238</v>
      </c>
      <c r="O19" s="21">
        <v>19500</v>
      </c>
      <c r="P19" s="21"/>
      <c r="Q19" s="21"/>
      <c r="R19" s="21"/>
      <c r="S19" s="21"/>
      <c r="T19" s="21" t="s">
        <v>272</v>
      </c>
      <c r="U19" s="21">
        <v>17000</v>
      </c>
      <c r="V19" s="21" t="s">
        <v>283</v>
      </c>
      <c r="W19" s="35">
        <v>300</v>
      </c>
      <c r="X19" s="21" t="s">
        <v>309</v>
      </c>
      <c r="Y19" s="35">
        <v>21726</v>
      </c>
      <c r="Z19" s="21"/>
      <c r="AA19" s="21"/>
      <c r="AB19" s="21"/>
    </row>
    <row r="20" spans="1:28" ht="15.75">
      <c r="A20" s="21"/>
      <c r="B20" s="34" t="s">
        <v>196</v>
      </c>
      <c r="C20" s="21">
        <v>220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 t="s">
        <v>239</v>
      </c>
      <c r="O20" s="21">
        <v>32432</v>
      </c>
      <c r="P20" s="21"/>
      <c r="Q20" s="21"/>
      <c r="R20" s="21"/>
      <c r="S20" s="21"/>
      <c r="T20" s="21" t="s">
        <v>273</v>
      </c>
      <c r="U20" s="21">
        <v>2000</v>
      </c>
      <c r="V20" s="21" t="s">
        <v>284</v>
      </c>
      <c r="W20" s="35">
        <v>2900</v>
      </c>
      <c r="X20" s="21" t="s">
        <v>310</v>
      </c>
      <c r="Y20" s="21">
        <v>349</v>
      </c>
      <c r="Z20" s="21"/>
      <c r="AA20" s="21"/>
      <c r="AB20" s="21"/>
    </row>
    <row r="21" spans="1:28" ht="15.75">
      <c r="A21" s="21"/>
      <c r="B21" s="34" t="s">
        <v>197</v>
      </c>
      <c r="C21" s="21">
        <v>3000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 t="s">
        <v>240</v>
      </c>
      <c r="O21" s="21">
        <v>7500</v>
      </c>
      <c r="P21" s="21"/>
      <c r="Q21" s="21"/>
      <c r="R21" s="21"/>
      <c r="S21" s="21"/>
      <c r="T21" s="21"/>
      <c r="U21" s="21"/>
      <c r="V21" s="21" t="s">
        <v>285</v>
      </c>
      <c r="W21" s="35">
        <v>300</v>
      </c>
      <c r="X21" s="21" t="s">
        <v>311</v>
      </c>
      <c r="Y21" s="21">
        <v>300</v>
      </c>
      <c r="Z21" s="21"/>
      <c r="AA21" s="21"/>
      <c r="AB21" s="21"/>
    </row>
    <row r="22" spans="1:28" ht="15.75">
      <c r="A22" s="21"/>
      <c r="B22" s="34" t="s">
        <v>198</v>
      </c>
      <c r="C22" s="34">
        <v>317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 t="s">
        <v>241</v>
      </c>
      <c r="O22" s="21">
        <v>2000</v>
      </c>
      <c r="P22" s="21"/>
      <c r="Q22" s="21"/>
      <c r="R22" s="21"/>
      <c r="S22" s="21"/>
      <c r="T22" s="21"/>
      <c r="U22" s="21"/>
      <c r="V22" s="21" t="s">
        <v>286</v>
      </c>
      <c r="W22" s="35">
        <v>1700</v>
      </c>
      <c r="X22" s="21" t="s">
        <v>317</v>
      </c>
      <c r="Y22" s="35">
        <v>124</v>
      </c>
      <c r="Z22" s="21"/>
      <c r="AA22" s="21"/>
      <c r="AB22" s="21"/>
    </row>
    <row r="23" spans="1:28" ht="15.75">
      <c r="A23" s="21"/>
      <c r="B23" s="34" t="s">
        <v>199</v>
      </c>
      <c r="C23" s="21">
        <v>4640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 t="s">
        <v>242</v>
      </c>
      <c r="O23" s="21">
        <v>140</v>
      </c>
      <c r="P23" s="21"/>
      <c r="Q23" s="21"/>
      <c r="R23" s="21"/>
      <c r="S23" s="21"/>
      <c r="T23" s="21"/>
      <c r="U23" s="21"/>
      <c r="V23" s="21" t="s">
        <v>287</v>
      </c>
      <c r="W23" s="35">
        <v>760</v>
      </c>
      <c r="X23" s="21" t="s">
        <v>312</v>
      </c>
      <c r="Y23" s="21">
        <v>33000</v>
      </c>
      <c r="Z23" s="21"/>
      <c r="AA23" s="21"/>
      <c r="AB23" s="21"/>
    </row>
    <row r="24" spans="1:28" ht="15.75">
      <c r="A24" s="21"/>
      <c r="B24" s="34" t="s">
        <v>200</v>
      </c>
      <c r="C24" s="21">
        <v>109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 t="s">
        <v>243</v>
      </c>
      <c r="O24" s="21">
        <v>2600</v>
      </c>
      <c r="P24" s="21"/>
      <c r="Q24" s="21"/>
      <c r="R24" s="21"/>
      <c r="S24" s="21"/>
      <c r="T24" s="21"/>
      <c r="U24" s="21"/>
      <c r="V24" s="21" t="s">
        <v>297</v>
      </c>
      <c r="W24" s="35">
        <v>150</v>
      </c>
      <c r="X24" s="21" t="s">
        <v>313</v>
      </c>
      <c r="Y24" s="21">
        <v>18907</v>
      </c>
      <c r="Z24" s="21"/>
      <c r="AA24" s="21"/>
      <c r="AB24" s="21"/>
    </row>
    <row r="25" spans="1:28" ht="15.75">
      <c r="A25" s="21"/>
      <c r="B25" s="34" t="s">
        <v>328</v>
      </c>
      <c r="C25" s="21">
        <v>2000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 t="s">
        <v>244</v>
      </c>
      <c r="O25" s="21">
        <v>33000</v>
      </c>
      <c r="P25" s="21"/>
      <c r="Q25" s="21"/>
      <c r="R25" s="21"/>
      <c r="S25" s="21"/>
      <c r="T25" s="21"/>
      <c r="U25" s="21"/>
      <c r="V25" s="21" t="s">
        <v>288</v>
      </c>
      <c r="W25" s="35">
        <v>36184</v>
      </c>
      <c r="X25" s="21" t="s">
        <v>314</v>
      </c>
      <c r="Y25" s="35">
        <v>2400</v>
      </c>
      <c r="Z25" s="21"/>
      <c r="AA25" s="21"/>
      <c r="AB25" s="21"/>
    </row>
    <row r="26" spans="1:28" ht="15.75">
      <c r="A26" s="21"/>
      <c r="B26" s="34" t="s">
        <v>201</v>
      </c>
      <c r="C26" s="21">
        <v>150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 t="s">
        <v>258</v>
      </c>
      <c r="O26" s="21">
        <v>400</v>
      </c>
      <c r="P26" s="21"/>
      <c r="Q26" s="21"/>
      <c r="R26" s="21"/>
      <c r="S26" s="21"/>
      <c r="T26" s="21"/>
      <c r="U26" s="21"/>
      <c r="V26" s="21" t="s">
        <v>289</v>
      </c>
      <c r="W26" s="35">
        <v>700</v>
      </c>
      <c r="X26" s="21" t="s">
        <v>319</v>
      </c>
      <c r="Y26" s="35">
        <v>15806</v>
      </c>
      <c r="Z26" s="21"/>
      <c r="AA26" s="21"/>
      <c r="AB26" s="21"/>
    </row>
    <row r="27" spans="1:28" ht="15.75">
      <c r="A27" s="21"/>
      <c r="B27" s="34" t="s">
        <v>202</v>
      </c>
      <c r="C27" s="21">
        <v>180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 t="s">
        <v>245</v>
      </c>
      <c r="O27" s="21">
        <v>1100</v>
      </c>
      <c r="P27" s="21"/>
      <c r="Q27" s="21"/>
      <c r="R27" s="21"/>
      <c r="S27" s="21"/>
      <c r="T27" s="21"/>
      <c r="U27" s="21"/>
      <c r="V27" s="21" t="s">
        <v>290</v>
      </c>
      <c r="W27" s="35">
        <v>1000</v>
      </c>
      <c r="X27" s="21" t="s">
        <v>315</v>
      </c>
      <c r="Y27" s="21">
        <v>41047</v>
      </c>
      <c r="Z27" s="21"/>
      <c r="AA27" s="21"/>
      <c r="AB27" s="21"/>
    </row>
    <row r="28" spans="1:28" ht="15.75">
      <c r="A28" s="21"/>
      <c r="B28" s="34" t="s">
        <v>203</v>
      </c>
      <c r="C28" s="21">
        <v>570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 t="s">
        <v>246</v>
      </c>
      <c r="O28" s="21">
        <v>1000</v>
      </c>
      <c r="P28" s="21"/>
      <c r="Q28" s="21"/>
      <c r="R28" s="21"/>
      <c r="S28" s="21"/>
      <c r="T28" s="21"/>
      <c r="U28" s="21"/>
      <c r="V28" s="21" t="s">
        <v>291</v>
      </c>
      <c r="W28" s="35">
        <v>800</v>
      </c>
      <c r="X28" s="21" t="s">
        <v>316</v>
      </c>
      <c r="Y28" s="21">
        <v>55531</v>
      </c>
      <c r="Z28" s="21"/>
      <c r="AA28" s="21"/>
      <c r="AB28" s="21"/>
    </row>
    <row r="29" spans="1:28" ht="15.75">
      <c r="A29" s="21"/>
      <c r="B29" s="34" t="s">
        <v>204</v>
      </c>
      <c r="C29" s="21">
        <v>16500</v>
      </c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 t="s">
        <v>247</v>
      </c>
      <c r="O29" s="21">
        <v>1217</v>
      </c>
      <c r="P29" s="21"/>
      <c r="Q29" s="21"/>
      <c r="R29" s="21"/>
      <c r="S29" s="21"/>
      <c r="T29" s="21"/>
      <c r="U29" s="21"/>
      <c r="V29" s="21" t="s">
        <v>292</v>
      </c>
      <c r="W29" s="35">
        <v>9000</v>
      </c>
      <c r="X29" s="21"/>
      <c r="Y29" s="35"/>
      <c r="Z29" s="21"/>
      <c r="AA29" s="21"/>
      <c r="AB29" s="21"/>
    </row>
    <row r="30" spans="1:28" ht="15.75">
      <c r="A30" s="21"/>
      <c r="B30" s="34" t="s">
        <v>205</v>
      </c>
      <c r="C30" s="21">
        <v>1184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 t="s">
        <v>338</v>
      </c>
      <c r="O30" s="35">
        <v>683</v>
      </c>
      <c r="P30" s="21"/>
      <c r="Q30" s="21"/>
      <c r="R30" s="21"/>
      <c r="S30" s="21"/>
      <c r="T30" s="21"/>
      <c r="U30" s="21"/>
      <c r="V30" s="21" t="s">
        <v>293</v>
      </c>
      <c r="W30" s="35">
        <v>114</v>
      </c>
      <c r="X30" s="21"/>
      <c r="Y30" s="35"/>
      <c r="Z30" s="21"/>
      <c r="AA30" s="21"/>
      <c r="AB30" s="21"/>
    </row>
    <row r="31" spans="1:28" ht="15.75">
      <c r="A31" s="21"/>
      <c r="B31" s="34" t="s">
        <v>206</v>
      </c>
      <c r="C31" s="21">
        <v>501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 t="s">
        <v>248</v>
      </c>
      <c r="O31" s="21">
        <v>2500</v>
      </c>
      <c r="P31" s="21"/>
      <c r="Q31" s="21"/>
      <c r="R31" s="21"/>
      <c r="S31" s="21"/>
      <c r="T31" s="21"/>
      <c r="U31" s="21"/>
      <c r="V31" s="21" t="s">
        <v>294</v>
      </c>
      <c r="W31" s="35">
        <v>654</v>
      </c>
      <c r="X31" s="21"/>
      <c r="Y31" s="21"/>
      <c r="Z31" s="21"/>
      <c r="AA31" s="21"/>
      <c r="AB31" s="21"/>
    </row>
    <row r="32" spans="1:28" ht="15.75">
      <c r="A32" s="21"/>
      <c r="B32" s="34" t="s">
        <v>207</v>
      </c>
      <c r="C32" s="21">
        <v>73</v>
      </c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 t="s">
        <v>249</v>
      </c>
      <c r="O32" s="21">
        <v>1500</v>
      </c>
      <c r="P32" s="21"/>
      <c r="Q32" s="21"/>
      <c r="R32" s="21"/>
      <c r="S32" s="21"/>
      <c r="T32" s="21"/>
      <c r="U32" s="21"/>
      <c r="V32" s="21" t="s">
        <v>295</v>
      </c>
      <c r="W32" s="35">
        <v>620</v>
      </c>
      <c r="X32" s="21"/>
      <c r="Y32" s="21"/>
      <c r="Z32" s="21"/>
      <c r="AA32" s="21"/>
      <c r="AB32" s="21"/>
    </row>
    <row r="33" spans="1:28" ht="15.75">
      <c r="A33" s="21"/>
      <c r="B33" s="34" t="s">
        <v>208</v>
      </c>
      <c r="C33" s="21">
        <v>16400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 t="s">
        <v>250</v>
      </c>
      <c r="O33" s="35">
        <v>15919</v>
      </c>
      <c r="P33" s="21"/>
      <c r="Q33" s="21"/>
      <c r="R33" s="21"/>
      <c r="S33" s="21"/>
      <c r="T33" s="21"/>
      <c r="U33" s="21"/>
      <c r="V33" s="21" t="s">
        <v>296</v>
      </c>
      <c r="W33" s="35">
        <v>7700</v>
      </c>
      <c r="X33" s="21"/>
      <c r="Y33" s="21"/>
      <c r="Z33" s="21"/>
      <c r="AA33" s="21"/>
      <c r="AB33" s="21"/>
    </row>
    <row r="34" spans="1:28" ht="15.75">
      <c r="A34" s="21"/>
      <c r="B34" s="34" t="s">
        <v>329</v>
      </c>
      <c r="C34" s="21">
        <v>100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 t="s">
        <v>251</v>
      </c>
      <c r="O34" s="21">
        <v>6000</v>
      </c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</row>
    <row r="35" spans="1:28" ht="15.75">
      <c r="A35" s="21"/>
      <c r="B35" s="34" t="s">
        <v>209</v>
      </c>
      <c r="C35" s="21">
        <v>4689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 t="s">
        <v>252</v>
      </c>
      <c r="O35" s="35">
        <v>7500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 ht="15.75">
      <c r="A36" s="21"/>
      <c r="B36" s="34" t="s">
        <v>330</v>
      </c>
      <c r="C36" s="21">
        <v>335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 t="s">
        <v>335</v>
      </c>
      <c r="O36" s="21">
        <v>1831</v>
      </c>
      <c r="P36" s="21"/>
      <c r="Q36" s="21"/>
      <c r="R36" s="21"/>
      <c r="S36" s="21"/>
      <c r="T36" s="21"/>
      <c r="U36" s="21"/>
      <c r="V36" s="21"/>
      <c r="W36" s="21"/>
      <c r="X36" s="21"/>
      <c r="Y36" s="35"/>
      <c r="Z36" s="21"/>
      <c r="AA36" s="21"/>
      <c r="AB36" s="21"/>
    </row>
    <row r="37" spans="1:28" ht="15.75">
      <c r="A37" s="21"/>
      <c r="B37" s="34" t="s">
        <v>354</v>
      </c>
      <c r="C37" s="21">
        <v>11560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 t="s">
        <v>336</v>
      </c>
      <c r="O37" s="35">
        <v>2915</v>
      </c>
      <c r="P37" s="21"/>
      <c r="Q37" s="21"/>
      <c r="R37" s="21"/>
      <c r="S37" s="21"/>
      <c r="T37" s="21"/>
      <c r="U37" s="21"/>
      <c r="V37" s="21"/>
      <c r="W37" s="35"/>
      <c r="X37" s="21"/>
      <c r="Y37" s="35"/>
      <c r="Z37" s="21"/>
      <c r="AA37" s="21"/>
      <c r="AB37" s="21"/>
    </row>
    <row r="38" spans="1:28" ht="15.75">
      <c r="A38" s="21"/>
      <c r="B38" s="34" t="s">
        <v>331</v>
      </c>
      <c r="C38" s="34">
        <v>3477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 t="s">
        <v>253</v>
      </c>
      <c r="O38" s="21">
        <v>1000</v>
      </c>
      <c r="P38" s="21"/>
      <c r="Q38" s="21"/>
      <c r="R38" s="21"/>
      <c r="S38" s="21"/>
      <c r="T38" s="21"/>
      <c r="U38" s="21"/>
      <c r="V38" s="21"/>
      <c r="W38" s="21"/>
      <c r="X38" s="21"/>
      <c r="Y38" s="35"/>
      <c r="Z38" s="21"/>
      <c r="AA38" s="21"/>
      <c r="AB38" s="21"/>
    </row>
    <row r="39" spans="1:28" ht="15.75">
      <c r="A39" s="21"/>
      <c r="B39" s="34" t="s">
        <v>332</v>
      </c>
      <c r="C39" s="21">
        <v>2581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 t="s">
        <v>337</v>
      </c>
      <c r="O39" s="35">
        <v>15939</v>
      </c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 ht="15.75">
      <c r="A40" s="21"/>
      <c r="B40" s="34" t="s">
        <v>210</v>
      </c>
      <c r="C40" s="21">
        <v>1605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 t="s">
        <v>254</v>
      </c>
      <c r="O40" s="21">
        <v>2500</v>
      </c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</row>
    <row r="41" spans="1:28" ht="15.75">
      <c r="A41" s="21"/>
      <c r="B41" s="34" t="s">
        <v>211</v>
      </c>
      <c r="C41" s="21">
        <v>7241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 t="s">
        <v>255</v>
      </c>
      <c r="O41" s="21">
        <v>4467</v>
      </c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 ht="15.75">
      <c r="A42" s="21"/>
      <c r="B42" s="34" t="s">
        <v>212</v>
      </c>
      <c r="C42" s="21">
        <v>1600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 t="s">
        <v>256</v>
      </c>
      <c r="O42" s="35">
        <v>63879</v>
      </c>
      <c r="P42" s="21"/>
      <c r="Q42" s="21"/>
      <c r="R42" s="21"/>
      <c r="S42" s="21"/>
      <c r="T42" s="21"/>
      <c r="U42" s="21"/>
      <c r="V42" s="21"/>
      <c r="W42" s="35"/>
      <c r="X42" s="21"/>
      <c r="Y42" s="21"/>
      <c r="Z42" s="21"/>
      <c r="AA42" s="21"/>
      <c r="AB42" s="21"/>
    </row>
    <row r="43" spans="1:28" ht="15.75">
      <c r="A43" s="21"/>
      <c r="B43" s="34" t="s">
        <v>213</v>
      </c>
      <c r="C43" s="21">
        <v>1200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 t="s">
        <v>257</v>
      </c>
      <c r="O43" s="21">
        <v>8500</v>
      </c>
      <c r="P43" s="21"/>
      <c r="Q43" s="21"/>
      <c r="R43" s="21"/>
      <c r="S43" s="21"/>
      <c r="T43" s="21"/>
      <c r="U43" s="21"/>
      <c r="V43" s="21"/>
      <c r="W43" s="35"/>
      <c r="X43" s="21"/>
      <c r="Y43" s="21"/>
      <c r="Z43" s="21"/>
      <c r="AA43" s="21"/>
      <c r="AB43" s="21"/>
    </row>
    <row r="44" spans="1:28" ht="15.75">
      <c r="A44" s="21"/>
      <c r="B44" s="34" t="s">
        <v>214</v>
      </c>
      <c r="C44" s="34">
        <v>1000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</row>
    <row r="45" spans="1:28" ht="15.7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 ht="15.75">
      <c r="A46" s="21"/>
      <c r="B46" s="34"/>
      <c r="C46" s="34"/>
      <c r="D46" s="21"/>
      <c r="E46" s="34"/>
      <c r="F46" s="21"/>
      <c r="G46" s="34"/>
      <c r="H46" s="21"/>
      <c r="I46" s="34"/>
      <c r="J46" s="21"/>
      <c r="K46" s="34"/>
      <c r="L46" s="21"/>
      <c r="M46" s="34"/>
      <c r="N46" s="21"/>
      <c r="O46" s="34"/>
      <c r="P46" s="21"/>
      <c r="Q46" s="34"/>
      <c r="R46" s="21"/>
      <c r="S46" s="34"/>
      <c r="T46" s="21"/>
      <c r="U46" s="34"/>
      <c r="V46" s="21"/>
      <c r="W46" s="34"/>
      <c r="X46" s="21"/>
      <c r="Y46" s="34"/>
      <c r="Z46" s="21"/>
      <c r="AA46" s="34"/>
      <c r="AB46" s="21"/>
    </row>
    <row r="47" spans="1:28" ht="15.75">
      <c r="A47" s="4" t="s">
        <v>31</v>
      </c>
      <c r="B47" s="5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 ht="15.75">
      <c r="A48" s="5" t="s">
        <v>333</v>
      </c>
      <c r="B48" s="38"/>
      <c r="C48" s="34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</row>
    <row r="49" spans="1:28" ht="15.75">
      <c r="A49" s="5" t="s">
        <v>217</v>
      </c>
      <c r="B49" s="5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 ht="15.75">
      <c r="A50" s="21"/>
      <c r="B50" s="34"/>
      <c r="C50" s="34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</row>
    <row r="51" spans="1:28" ht="15.7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 ht="15.75">
      <c r="A52" s="21"/>
      <c r="B52" s="34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</row>
    <row r="53" spans="1:28" ht="15.7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 ht="15.75">
      <c r="A54" s="21"/>
      <c r="B54" s="34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</row>
    <row r="55" spans="1:28" ht="15.7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 ht="15.7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</row>
    <row r="57" spans="1:28" ht="15.7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 ht="15.7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</row>
    <row r="59" spans="1:28" ht="15.7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 ht="15.7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</row>
    <row r="61" spans="1:28" ht="15.75">
      <c r="A61" s="21"/>
      <c r="B61" s="34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 ht="15.75">
      <c r="A62" s="21"/>
      <c r="B62" s="34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</row>
    <row r="63" spans="1:28">
      <c r="A63" s="5"/>
      <c r="B63" s="38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>
      <c r="A64" s="5"/>
      <c r="B64" s="38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>
      <c r="A66" s="5"/>
      <c r="B66" s="5"/>
      <c r="C66" s="37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>
      <c r="A67" s="5"/>
      <c r="B67" s="5"/>
      <c r="C67" s="37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>
      <c r="A68" s="5"/>
      <c r="B68" s="5"/>
      <c r="C68" s="37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>
      <c r="A70" s="5"/>
      <c r="B70" s="5"/>
      <c r="C70" s="37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>
      <c r="A71" s="5"/>
      <c r="B71" s="5"/>
      <c r="C71" s="37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>
      <c r="A72" s="5"/>
      <c r="B72" s="5"/>
      <c r="C72" s="37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>
      <c r="A73" s="5"/>
      <c r="B73" s="5"/>
      <c r="C73" s="39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>
      <c r="A74" s="5"/>
      <c r="B74" s="5"/>
      <c r="C74" s="39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>
      <c r="A75" s="5"/>
      <c r="B75" s="5"/>
      <c r="C75" s="39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</sheetData>
  <sortState ref="X8:Y36">
    <sortCondition ref="X8"/>
  </sortState>
  <mergeCells count="39">
    <mergeCell ref="Z4:AA4"/>
    <mergeCell ref="T5:U5"/>
    <mergeCell ref="T6:U6"/>
    <mergeCell ref="V5:W5"/>
    <mergeCell ref="V6:W6"/>
    <mergeCell ref="X5:Y5"/>
    <mergeCell ref="X6:Y6"/>
    <mergeCell ref="Z6:AA6"/>
    <mergeCell ref="Z5:AA5"/>
    <mergeCell ref="X4:Y4"/>
    <mergeCell ref="R4:S4"/>
    <mergeCell ref="R6:S6"/>
    <mergeCell ref="R5:S5"/>
    <mergeCell ref="T4:U4"/>
    <mergeCell ref="V4:W4"/>
    <mergeCell ref="N4:O4"/>
    <mergeCell ref="N5:O5"/>
    <mergeCell ref="N6:O6"/>
    <mergeCell ref="P4:Q4"/>
    <mergeCell ref="P5:Q5"/>
    <mergeCell ref="P6:Q6"/>
    <mergeCell ref="J4:K4"/>
    <mergeCell ref="J5:K5"/>
    <mergeCell ref="J6:K6"/>
    <mergeCell ref="L5:M5"/>
    <mergeCell ref="L4:M4"/>
    <mergeCell ref="L6:M6"/>
    <mergeCell ref="F4:G4"/>
    <mergeCell ref="F5:G5"/>
    <mergeCell ref="F6:G6"/>
    <mergeCell ref="H4:I4"/>
    <mergeCell ref="H5:I5"/>
    <mergeCell ref="H6:I6"/>
    <mergeCell ref="B4:C4"/>
    <mergeCell ref="B5:C5"/>
    <mergeCell ref="B6:C6"/>
    <mergeCell ref="D4:E4"/>
    <mergeCell ref="D5:E5"/>
    <mergeCell ref="D6:E6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defaultColWidth="11.5546875" defaultRowHeight="15"/>
  <cols>
    <col min="1" max="1" width="31.88671875" customWidth="1"/>
    <col min="2" max="2" width="17.109375" bestFit="1" customWidth="1"/>
    <col min="4" max="4" width="10.6640625" customWidth="1"/>
  </cols>
  <sheetData>
    <row r="1" spans="1:6" ht="15.75">
      <c r="A1" s="2" t="s">
        <v>392</v>
      </c>
    </row>
    <row r="3" spans="1:6" ht="15.75">
      <c r="A3" s="21" t="s">
        <v>42</v>
      </c>
      <c r="B3" s="21"/>
      <c r="C3" s="21"/>
      <c r="D3" s="21"/>
      <c r="E3" s="21"/>
      <c r="F3" s="21"/>
    </row>
    <row r="4" spans="1:6" ht="63">
      <c r="A4" s="40" t="s">
        <v>18</v>
      </c>
      <c r="B4" s="41" t="s">
        <v>35</v>
      </c>
      <c r="C4" s="41" t="s">
        <v>36</v>
      </c>
      <c r="D4" s="41" t="s">
        <v>37</v>
      </c>
      <c r="E4" s="41" t="s">
        <v>38</v>
      </c>
      <c r="F4" s="41" t="s">
        <v>39</v>
      </c>
    </row>
    <row r="5" spans="1:6" ht="15.75">
      <c r="A5" s="21" t="s">
        <v>17</v>
      </c>
      <c r="B5" s="42">
        <v>0.19</v>
      </c>
      <c r="C5" s="42">
        <v>0.1</v>
      </c>
      <c r="D5" s="42">
        <v>0.06</v>
      </c>
      <c r="E5" s="42">
        <v>0.64</v>
      </c>
      <c r="F5" s="42">
        <v>0.2</v>
      </c>
    </row>
    <row r="6" spans="1:6" ht="15.75">
      <c r="A6" s="21" t="s">
        <v>40</v>
      </c>
      <c r="B6" s="42">
        <v>0.16</v>
      </c>
      <c r="C6" s="42">
        <v>0.12</v>
      </c>
      <c r="D6" s="42">
        <v>0.32</v>
      </c>
      <c r="E6" s="42">
        <v>0.52</v>
      </c>
      <c r="F6" s="42">
        <v>0.03</v>
      </c>
    </row>
    <row r="7" spans="1:6" ht="15.75">
      <c r="A7" s="21" t="s">
        <v>20</v>
      </c>
      <c r="B7" s="42">
        <v>0.28999999999999998</v>
      </c>
      <c r="C7" s="42">
        <v>0.1</v>
      </c>
      <c r="D7" s="42">
        <v>0.49</v>
      </c>
      <c r="E7" s="42">
        <v>0.27</v>
      </c>
      <c r="F7" s="42">
        <v>0.15</v>
      </c>
    </row>
    <row r="8" spans="1:6" ht="15.75">
      <c r="A8" s="21" t="s">
        <v>21</v>
      </c>
      <c r="B8" s="42">
        <v>0.18</v>
      </c>
      <c r="C8" s="42">
        <v>0.19</v>
      </c>
      <c r="D8" s="42">
        <v>0.45</v>
      </c>
      <c r="E8" s="42">
        <v>0.22</v>
      </c>
      <c r="F8" s="42">
        <v>0.14000000000000001</v>
      </c>
    </row>
    <row r="9" spans="1:6" ht="15.75">
      <c r="A9" s="21" t="s">
        <v>22</v>
      </c>
      <c r="B9" s="42">
        <v>0.24</v>
      </c>
      <c r="C9" s="42">
        <v>0.19</v>
      </c>
      <c r="D9" s="42">
        <v>0.36</v>
      </c>
      <c r="E9" s="42">
        <v>0.34</v>
      </c>
      <c r="F9" s="42">
        <v>0.1</v>
      </c>
    </row>
    <row r="10" spans="1:6" ht="15.75">
      <c r="A10" s="21" t="s">
        <v>23</v>
      </c>
      <c r="B10" s="42">
        <v>0.15</v>
      </c>
      <c r="C10" s="42">
        <v>0.02</v>
      </c>
      <c r="D10" s="42">
        <v>0.73</v>
      </c>
      <c r="E10" s="42">
        <v>7.0000000000000007E-2</v>
      </c>
      <c r="F10" s="42">
        <v>0.19</v>
      </c>
    </row>
    <row r="11" spans="1:6" ht="15.75">
      <c r="A11" s="21" t="s">
        <v>24</v>
      </c>
      <c r="B11" s="42">
        <v>0.22</v>
      </c>
      <c r="C11" s="42">
        <v>0.13</v>
      </c>
      <c r="D11" s="42">
        <v>0.41</v>
      </c>
      <c r="E11" s="42">
        <v>0.3</v>
      </c>
      <c r="F11" s="42">
        <v>0.16</v>
      </c>
    </row>
    <row r="12" spans="1:6" ht="15.75">
      <c r="A12" s="21" t="s">
        <v>25</v>
      </c>
      <c r="B12" s="42">
        <v>0.25</v>
      </c>
      <c r="C12" s="42">
        <v>0.72</v>
      </c>
      <c r="D12" s="42">
        <v>0.21</v>
      </c>
      <c r="E12" s="42">
        <v>0.02</v>
      </c>
      <c r="F12" s="42">
        <v>0.05</v>
      </c>
    </row>
    <row r="13" spans="1:6" ht="15.75">
      <c r="A13" s="21" t="s">
        <v>26</v>
      </c>
      <c r="B13" s="42">
        <v>0.23</v>
      </c>
      <c r="C13" s="42">
        <v>0.01</v>
      </c>
      <c r="D13" s="42">
        <v>0.95</v>
      </c>
      <c r="E13" s="42">
        <v>0</v>
      </c>
      <c r="F13" s="42">
        <v>0.04</v>
      </c>
    </row>
    <row r="14" spans="1:6" ht="15.75">
      <c r="A14" s="21" t="s">
        <v>27</v>
      </c>
      <c r="B14" s="42">
        <v>0.14000000000000001</v>
      </c>
      <c r="C14" s="42">
        <v>0.06</v>
      </c>
      <c r="D14" s="42">
        <v>0.25</v>
      </c>
      <c r="E14" s="42">
        <v>0.41</v>
      </c>
      <c r="F14" s="42">
        <v>0.28000000000000003</v>
      </c>
    </row>
    <row r="15" spans="1:6" ht="15.75">
      <c r="A15" s="21" t="s">
        <v>28</v>
      </c>
      <c r="B15" s="42">
        <v>0.26</v>
      </c>
      <c r="C15" s="42">
        <v>0.05</v>
      </c>
      <c r="D15" s="42">
        <v>0.27</v>
      </c>
      <c r="E15" s="42">
        <v>0.37</v>
      </c>
      <c r="F15" s="42">
        <v>0.32</v>
      </c>
    </row>
    <row r="16" spans="1:6" ht="15.75">
      <c r="A16" s="21" t="s">
        <v>29</v>
      </c>
      <c r="B16" s="42">
        <v>0.16</v>
      </c>
      <c r="C16" s="42">
        <v>0.11</v>
      </c>
      <c r="D16" s="42">
        <v>0.2</v>
      </c>
      <c r="E16" s="42">
        <v>0.5</v>
      </c>
      <c r="F16" s="42">
        <v>0.19</v>
      </c>
    </row>
    <row r="17" spans="1:6" ht="15.75">
      <c r="A17" s="21" t="s">
        <v>30</v>
      </c>
      <c r="B17" s="42">
        <v>0.12</v>
      </c>
      <c r="C17" s="42">
        <v>0.21</v>
      </c>
      <c r="D17" s="42">
        <v>0.38</v>
      </c>
      <c r="E17" s="42">
        <v>0.2</v>
      </c>
      <c r="F17" s="42">
        <v>0.21</v>
      </c>
    </row>
    <row r="18" spans="1:6">
      <c r="A18" s="5"/>
      <c r="B18" s="5"/>
      <c r="C18" s="5"/>
      <c r="D18" s="5"/>
      <c r="E18" s="5"/>
      <c r="F18" s="5"/>
    </row>
    <row r="19" spans="1:6">
      <c r="A19" s="4" t="s">
        <v>43</v>
      </c>
      <c r="B19" s="5" t="s">
        <v>41</v>
      </c>
      <c r="C19" s="5"/>
      <c r="D19" s="5"/>
      <c r="E19" s="5"/>
      <c r="F19" s="5"/>
    </row>
    <row r="20" spans="1:6">
      <c r="A20" s="5" t="s">
        <v>391</v>
      </c>
      <c r="B20" s="43"/>
      <c r="C20" s="43"/>
      <c r="D20" s="43"/>
      <c r="E20" s="43"/>
      <c r="F20" s="43"/>
    </row>
    <row r="21" spans="1:6">
      <c r="A21" s="5"/>
      <c r="B21" s="5"/>
      <c r="C21" s="5"/>
      <c r="D21" s="5"/>
      <c r="E21" s="5"/>
      <c r="F21" s="5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/>
  </sheetViews>
  <sheetFormatPr defaultColWidth="11.5546875" defaultRowHeight="15"/>
  <cols>
    <col min="1" max="1" width="18.88671875" customWidth="1"/>
    <col min="2" max="2" width="15.109375" customWidth="1"/>
    <col min="3" max="3" width="27.44140625" customWidth="1"/>
  </cols>
  <sheetData>
    <row r="1" spans="1:5" ht="15.75">
      <c r="A1" s="2" t="s">
        <v>393</v>
      </c>
    </row>
    <row r="4" spans="1:5" ht="47.25">
      <c r="A4" s="29" t="s">
        <v>18</v>
      </c>
      <c r="B4" s="44" t="s">
        <v>59</v>
      </c>
      <c r="C4" s="44" t="s">
        <v>323</v>
      </c>
      <c r="D4" s="21"/>
      <c r="E4" s="21"/>
    </row>
    <row r="5" spans="1:5" ht="18.75">
      <c r="A5" s="45" t="s">
        <v>394</v>
      </c>
      <c r="B5" s="46">
        <v>0.70370573688836802</v>
      </c>
      <c r="C5" s="47">
        <f>1-B5</f>
        <v>0.29629426311163198</v>
      </c>
      <c r="D5" s="21"/>
      <c r="E5" s="21"/>
    </row>
    <row r="6" spans="1:5" ht="18.75">
      <c r="A6" s="45" t="s">
        <v>395</v>
      </c>
      <c r="B6" s="46">
        <v>0.70370573688836802</v>
      </c>
      <c r="C6" s="47">
        <f t="shared" ref="C6:C17" si="0">1-B6</f>
        <v>0.29629426311163198</v>
      </c>
      <c r="D6" s="21"/>
      <c r="E6" s="21"/>
    </row>
    <row r="7" spans="1:5" ht="18.75">
      <c r="A7" s="45" t="s">
        <v>396</v>
      </c>
      <c r="B7" s="46">
        <v>0.70370573688836802</v>
      </c>
      <c r="C7" s="47">
        <f t="shared" si="0"/>
        <v>0.29629426311163198</v>
      </c>
      <c r="D7" s="21"/>
      <c r="E7" s="21"/>
    </row>
    <row r="8" spans="1:5" ht="18.75">
      <c r="A8" s="48" t="s">
        <v>397</v>
      </c>
      <c r="B8" s="46">
        <v>0.70370573688836802</v>
      </c>
      <c r="C8" s="47">
        <f t="shared" si="0"/>
        <v>0.29629426311163198</v>
      </c>
      <c r="D8" s="21"/>
      <c r="E8" s="21"/>
    </row>
    <row r="9" spans="1:5" ht="18.75">
      <c r="A9" s="45" t="s">
        <v>398</v>
      </c>
      <c r="B9" s="46">
        <v>0.71940220285496392</v>
      </c>
      <c r="C9" s="47">
        <f t="shared" si="0"/>
        <v>0.28059779714503608</v>
      </c>
      <c r="D9" s="21"/>
      <c r="E9" s="21"/>
    </row>
    <row r="10" spans="1:5" ht="18.75">
      <c r="A10" s="45" t="s">
        <v>399</v>
      </c>
      <c r="B10" s="46">
        <v>0.52361173569574604</v>
      </c>
      <c r="C10" s="47">
        <f t="shared" si="0"/>
        <v>0.47638826430425396</v>
      </c>
      <c r="D10" s="21"/>
      <c r="E10" s="21"/>
    </row>
    <row r="11" spans="1:5" ht="18.75">
      <c r="A11" s="45" t="s">
        <v>400</v>
      </c>
      <c r="B11" s="46">
        <v>0.62495738920758737</v>
      </c>
      <c r="C11" s="47">
        <f t="shared" si="0"/>
        <v>0.37504261079241263</v>
      </c>
      <c r="D11" s="21"/>
      <c r="E11" s="21"/>
    </row>
    <row r="12" spans="1:5" ht="18.75">
      <c r="A12" s="45" t="s">
        <v>401</v>
      </c>
      <c r="B12" s="46">
        <v>0.70370573688836802</v>
      </c>
      <c r="C12" s="47">
        <f t="shared" si="0"/>
        <v>0.29629426311163198</v>
      </c>
      <c r="D12" s="21"/>
      <c r="E12" s="21"/>
    </row>
    <row r="13" spans="1:5" ht="18.75">
      <c r="A13" s="45" t="s">
        <v>402</v>
      </c>
      <c r="B13" s="46">
        <v>0.79273617479949576</v>
      </c>
      <c r="C13" s="47">
        <f t="shared" si="0"/>
        <v>0.20726382520050424</v>
      </c>
      <c r="D13" s="21"/>
      <c r="E13" s="21"/>
    </row>
    <row r="14" spans="1:5" ht="18.75">
      <c r="A14" s="45" t="s">
        <v>403</v>
      </c>
      <c r="B14" s="46">
        <v>0.70246812446351692</v>
      </c>
      <c r="C14" s="47">
        <f t="shared" si="0"/>
        <v>0.29753187553648308</v>
      </c>
      <c r="D14" s="21"/>
      <c r="E14" s="21"/>
    </row>
    <row r="15" spans="1:5" ht="18.75">
      <c r="A15" s="45" t="s">
        <v>404</v>
      </c>
      <c r="B15" s="46">
        <v>0.70370573688836802</v>
      </c>
      <c r="C15" s="47">
        <f t="shared" si="0"/>
        <v>0.29629426311163198</v>
      </c>
      <c r="D15" s="21"/>
      <c r="E15" s="21"/>
    </row>
    <row r="16" spans="1:5" ht="18.75">
      <c r="A16" s="45" t="s">
        <v>405</v>
      </c>
      <c r="B16" s="46">
        <v>0.70370573688836802</v>
      </c>
      <c r="C16" s="47">
        <f t="shared" si="0"/>
        <v>0.29629426311163198</v>
      </c>
      <c r="D16" s="21"/>
      <c r="E16" s="21"/>
    </row>
    <row r="17" spans="1:5" ht="18.75">
      <c r="A17" s="45" t="s">
        <v>406</v>
      </c>
      <c r="B17" s="46">
        <v>0.92299222800000003</v>
      </c>
      <c r="C17" s="47">
        <f t="shared" si="0"/>
        <v>7.7007771999999974E-2</v>
      </c>
      <c r="D17" s="21"/>
      <c r="E17" s="21"/>
    </row>
    <row r="18" spans="1:5" ht="18.75">
      <c r="A18" s="49" t="s">
        <v>407</v>
      </c>
      <c r="B18" s="21"/>
      <c r="C18" s="21"/>
      <c r="D18" s="21"/>
      <c r="E18" s="21"/>
    </row>
    <row r="19" spans="1:5" ht="18.75">
      <c r="A19" s="49" t="s">
        <v>408</v>
      </c>
      <c r="B19" s="21"/>
      <c r="C19" s="21"/>
      <c r="D19" s="21"/>
      <c r="E19" s="21"/>
    </row>
    <row r="20" spans="1:5" ht="18.75">
      <c r="A20" s="49" t="s">
        <v>409</v>
      </c>
      <c r="B20" s="21"/>
      <c r="C20" s="21"/>
      <c r="D20" s="21"/>
      <c r="E20" s="21"/>
    </row>
    <row r="21" spans="1:5" ht="18.75">
      <c r="A21" s="49" t="s">
        <v>410</v>
      </c>
      <c r="B21" s="21"/>
      <c r="C21" s="21"/>
      <c r="D21" s="21"/>
      <c r="E21" s="21"/>
    </row>
    <row r="22" spans="1:5" ht="18.75">
      <c r="A22" s="49" t="s">
        <v>411</v>
      </c>
      <c r="B22" s="21"/>
      <c r="C22" s="21"/>
      <c r="D22" s="21"/>
      <c r="E22" s="21"/>
    </row>
    <row r="25" spans="1:5">
      <c r="A25" s="4" t="s">
        <v>31</v>
      </c>
    </row>
    <row r="26" spans="1:5">
      <c r="A26" s="5" t="s">
        <v>121</v>
      </c>
    </row>
    <row r="27" spans="1:5">
      <c r="A27" s="5" t="s">
        <v>122</v>
      </c>
    </row>
    <row r="28" spans="1:5">
      <c r="A28" s="5" t="s">
        <v>123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workbookViewId="0"/>
  </sheetViews>
  <sheetFormatPr defaultColWidth="11.5546875" defaultRowHeight="15"/>
  <sheetData>
    <row r="1" spans="1:14" ht="15.75">
      <c r="A1" s="2" t="s">
        <v>412</v>
      </c>
    </row>
    <row r="3" spans="1:14" ht="15.75">
      <c r="A3" s="21" t="s">
        <v>60</v>
      </c>
      <c r="B3" s="21"/>
      <c r="C3" s="21"/>
      <c r="D3" s="21"/>
      <c r="E3" s="21"/>
      <c r="F3" s="21"/>
      <c r="G3" s="21"/>
      <c r="H3" s="21"/>
      <c r="I3" s="21"/>
      <c r="J3" s="21" t="s">
        <v>61</v>
      </c>
      <c r="K3" s="21"/>
      <c r="L3" s="21"/>
      <c r="M3" s="21"/>
      <c r="N3" s="21"/>
    </row>
    <row r="4" spans="1:14" ht="15.75">
      <c r="A4" s="50" t="s">
        <v>62</v>
      </c>
      <c r="B4" s="21"/>
      <c r="C4" s="21"/>
      <c r="D4" s="21"/>
      <c r="E4" s="21"/>
      <c r="F4" s="21"/>
      <c r="G4" s="21"/>
      <c r="H4" s="21"/>
      <c r="I4" s="21"/>
      <c r="J4" s="21" t="s">
        <v>63</v>
      </c>
      <c r="K4" s="21" t="s">
        <v>64</v>
      </c>
      <c r="L4" s="21" t="s">
        <v>65</v>
      </c>
      <c r="M4" s="21" t="s">
        <v>66</v>
      </c>
      <c r="N4" s="21"/>
    </row>
    <row r="5" spans="1:14" ht="15.75">
      <c r="A5" s="21" t="s">
        <v>63</v>
      </c>
      <c r="B5" s="21" t="s">
        <v>67</v>
      </c>
      <c r="C5" s="21" t="s">
        <v>65</v>
      </c>
      <c r="D5" s="21" t="s">
        <v>66</v>
      </c>
      <c r="E5" s="21" t="s">
        <v>68</v>
      </c>
      <c r="F5" s="21" t="s">
        <v>69</v>
      </c>
      <c r="G5" s="21" t="s">
        <v>70</v>
      </c>
      <c r="H5" s="21"/>
      <c r="I5" s="21"/>
      <c r="J5" s="21">
        <v>1</v>
      </c>
      <c r="K5" s="51">
        <v>777.87242971044896</v>
      </c>
      <c r="L5" s="51">
        <v>388.93621485522448</v>
      </c>
      <c r="M5" s="35">
        <v>2000.2433906840115</v>
      </c>
      <c r="N5" s="21"/>
    </row>
    <row r="6" spans="1:14" ht="15.75">
      <c r="A6" s="21">
        <v>1</v>
      </c>
      <c r="B6" s="51">
        <v>247.02702702702675</v>
      </c>
      <c r="C6" s="21">
        <v>228.5</v>
      </c>
      <c r="D6" s="35">
        <v>1235.4285625000005</v>
      </c>
      <c r="E6" s="35">
        <v>534.81334375000017</v>
      </c>
      <c r="F6" s="21">
        <v>0</v>
      </c>
      <c r="G6" s="51">
        <v>20.510795284202974</v>
      </c>
      <c r="H6" s="21"/>
      <c r="I6" s="21"/>
      <c r="J6" s="21">
        <v>2</v>
      </c>
      <c r="K6" s="51">
        <v>847.70209957146699</v>
      </c>
      <c r="L6" s="51">
        <v>423.85104978573349</v>
      </c>
      <c r="M6" s="35">
        <v>1956.2356143956931</v>
      </c>
      <c r="N6" s="21"/>
    </row>
    <row r="7" spans="1:14" ht="15.75">
      <c r="A7" s="21">
        <v>2</v>
      </c>
      <c r="B7" s="51">
        <v>315.17241379310343</v>
      </c>
      <c r="C7" s="21">
        <v>228.5</v>
      </c>
      <c r="D7" s="35">
        <v>1178.6595625000002</v>
      </c>
      <c r="E7" s="35">
        <v>508.62184374999998</v>
      </c>
      <c r="F7" s="21">
        <v>0</v>
      </c>
      <c r="G7" s="51">
        <v>31.405267721495097</v>
      </c>
      <c r="H7" s="21"/>
      <c r="I7" s="21"/>
      <c r="J7" s="21">
        <v>3</v>
      </c>
      <c r="K7" s="51">
        <v>777.87242971044896</v>
      </c>
      <c r="L7" s="51">
        <v>388.93621485522448</v>
      </c>
      <c r="M7" s="35">
        <v>2000.2433906840115</v>
      </c>
      <c r="N7" s="21"/>
    </row>
    <row r="8" spans="1:14" ht="15.75">
      <c r="A8" s="21">
        <v>3</v>
      </c>
      <c r="B8" s="51">
        <v>380.83333333333337</v>
      </c>
      <c r="C8" s="21">
        <v>228.5</v>
      </c>
      <c r="D8" s="35">
        <v>1095.538</v>
      </c>
      <c r="E8" s="35">
        <v>472.80700000000002</v>
      </c>
      <c r="F8" s="21">
        <v>0</v>
      </c>
      <c r="G8" s="51">
        <v>40.986421313168179</v>
      </c>
      <c r="H8" s="21"/>
      <c r="I8" s="21"/>
      <c r="J8" s="21">
        <v>4</v>
      </c>
      <c r="K8" s="51">
        <v>881.47721910155121</v>
      </c>
      <c r="L8" s="51">
        <v>440.73860955077561</v>
      </c>
      <c r="M8" s="35">
        <v>1934.9499931497467</v>
      </c>
      <c r="N8" s="21"/>
    </row>
    <row r="9" spans="1:14" ht="15.75">
      <c r="A9" s="21">
        <v>4</v>
      </c>
      <c r="B9" s="51">
        <v>507.77777777777777</v>
      </c>
      <c r="C9" s="21">
        <v>228.5</v>
      </c>
      <c r="D9" s="35">
        <v>947.41825000000017</v>
      </c>
      <c r="E9" s="35">
        <v>410.08487500000001</v>
      </c>
      <c r="F9" s="21">
        <v>0</v>
      </c>
      <c r="G9" s="51">
        <v>56.41635195681458</v>
      </c>
      <c r="H9" s="21"/>
      <c r="I9" s="21"/>
      <c r="J9" s="21">
        <v>5</v>
      </c>
      <c r="K9" s="51">
        <v>777.87242971044896</v>
      </c>
      <c r="L9" s="51">
        <v>388.93621485522448</v>
      </c>
      <c r="M9" s="35">
        <v>2000.2433906840115</v>
      </c>
      <c r="N9" s="21"/>
    </row>
    <row r="10" spans="1:14" ht="15.75">
      <c r="A10" s="21">
        <v>5</v>
      </c>
      <c r="B10" s="51">
        <v>207.55490550098654</v>
      </c>
      <c r="C10" s="21">
        <v>226.5</v>
      </c>
      <c r="D10" s="35">
        <v>1230.8644999999997</v>
      </c>
      <c r="E10" s="35">
        <v>529.42207499999984</v>
      </c>
      <c r="F10" s="51">
        <v>30.866147130592179</v>
      </c>
      <c r="G10" s="51">
        <v>20.649284124327387</v>
      </c>
      <c r="H10" s="21"/>
      <c r="I10" s="21"/>
      <c r="J10" s="21">
        <v>6</v>
      </c>
      <c r="K10" s="51">
        <v>625.1838111298481</v>
      </c>
      <c r="L10" s="51">
        <v>312.59190556492405</v>
      </c>
      <c r="M10" s="35">
        <v>2143.4873524451937</v>
      </c>
      <c r="N10" s="21"/>
    </row>
    <row r="11" spans="1:14" ht="15.75">
      <c r="A11" s="21">
        <v>6</v>
      </c>
      <c r="B11" s="51">
        <v>262.90288030124987</v>
      </c>
      <c r="C11" s="21">
        <v>226.5</v>
      </c>
      <c r="D11" s="35">
        <v>1197.6724999999997</v>
      </c>
      <c r="E11" s="35">
        <v>516.78787499999999</v>
      </c>
      <c r="F11" s="51">
        <v>39.097119698750134</v>
      </c>
      <c r="G11" s="51">
        <v>31.111790091301224</v>
      </c>
      <c r="H11" s="21"/>
      <c r="I11" s="21"/>
      <c r="J11" s="21">
        <v>7</v>
      </c>
      <c r="K11" s="51">
        <v>684.26167687648547</v>
      </c>
      <c r="L11" s="51">
        <v>342.13083843824273</v>
      </c>
      <c r="M11" s="35">
        <v>2105.42054423534</v>
      </c>
      <c r="N11" s="21"/>
    </row>
    <row r="12" spans="1:14" ht="15.75">
      <c r="A12" s="21">
        <v>7</v>
      </c>
      <c r="B12" s="51">
        <v>315.4834563614998</v>
      </c>
      <c r="C12" s="21">
        <v>226.5</v>
      </c>
      <c r="D12" s="35">
        <v>1123.131875</v>
      </c>
      <c r="E12" s="35">
        <v>485.15146874999999</v>
      </c>
      <c r="F12" s="51">
        <v>46.916543638500158</v>
      </c>
      <c r="G12" s="51">
        <v>40.196431533736757</v>
      </c>
      <c r="H12" s="21"/>
      <c r="I12" s="21"/>
      <c r="J12" s="21">
        <v>8</v>
      </c>
      <c r="K12" s="51">
        <v>625.1838111298481</v>
      </c>
      <c r="L12" s="51">
        <v>312.59190556492405</v>
      </c>
      <c r="M12" s="35">
        <v>2143.4873524451937</v>
      </c>
      <c r="N12" s="21"/>
    </row>
    <row r="13" spans="1:14" ht="15.75">
      <c r="A13" s="21">
        <v>8</v>
      </c>
      <c r="B13" s="51">
        <v>438.17146716874976</v>
      </c>
      <c r="C13" s="21">
        <v>226.5</v>
      </c>
      <c r="D13" s="35">
        <v>949.25450000000001</v>
      </c>
      <c r="E13" s="35">
        <v>410.18107499999996</v>
      </c>
      <c r="F13" s="51">
        <v>65.161866164583557</v>
      </c>
      <c r="G13" s="51">
        <v>57.538031545213762</v>
      </c>
      <c r="H13" s="21"/>
      <c r="I13" s="21"/>
      <c r="J13" s="21">
        <v>9</v>
      </c>
      <c r="K13" s="51">
        <v>713.02064991195766</v>
      </c>
      <c r="L13" s="51">
        <v>356.51032495597883</v>
      </c>
      <c r="M13" s="35">
        <v>2086.8897070593885</v>
      </c>
      <c r="N13" s="21"/>
    </row>
    <row r="14" spans="1:14" ht="15.75">
      <c r="A14" s="21">
        <v>9</v>
      </c>
      <c r="B14" s="51">
        <v>203.55555555555532</v>
      </c>
      <c r="C14" s="21">
        <v>229</v>
      </c>
      <c r="D14" s="35">
        <v>1242.0009999999997</v>
      </c>
      <c r="E14" s="35">
        <v>535.35019999999986</v>
      </c>
      <c r="F14" s="51">
        <v>50.888888888888829</v>
      </c>
      <c r="G14" s="51">
        <v>21.11154415823686</v>
      </c>
      <c r="H14" s="21"/>
      <c r="I14" s="21"/>
      <c r="J14" s="21">
        <v>10</v>
      </c>
      <c r="K14" s="51">
        <v>625.1838111298481</v>
      </c>
      <c r="L14" s="51">
        <v>312.59190556492405</v>
      </c>
      <c r="M14" s="35">
        <v>2143.4873524451937</v>
      </c>
      <c r="N14" s="21"/>
    </row>
    <row r="15" spans="1:14" ht="15.75">
      <c r="A15" s="21">
        <v>10</v>
      </c>
      <c r="B15" s="51">
        <v>252.68965517241381</v>
      </c>
      <c r="C15" s="21">
        <v>229</v>
      </c>
      <c r="D15" s="35">
        <v>1200.4822499999996</v>
      </c>
      <c r="E15" s="35">
        <v>518.63201249999986</v>
      </c>
      <c r="F15" s="51">
        <v>63.172413793103459</v>
      </c>
      <c r="G15" s="51">
        <v>31.135439464734567</v>
      </c>
      <c r="H15" s="21"/>
      <c r="I15" s="21"/>
      <c r="J15" s="21"/>
      <c r="K15" s="21"/>
      <c r="L15" s="21"/>
      <c r="M15" s="21"/>
      <c r="N15" s="21"/>
    </row>
    <row r="16" spans="1:14" ht="15.75">
      <c r="A16" s="21">
        <v>11</v>
      </c>
      <c r="B16" s="51">
        <v>305.33333333333337</v>
      </c>
      <c r="C16" s="21">
        <v>229</v>
      </c>
      <c r="D16" s="35">
        <v>1115.4909999999998</v>
      </c>
      <c r="E16" s="35">
        <v>481.61119999999988</v>
      </c>
      <c r="F16" s="51">
        <v>76.333333333333343</v>
      </c>
      <c r="G16" s="51">
        <v>41.094149826042802</v>
      </c>
      <c r="H16" s="21"/>
      <c r="I16" s="21"/>
      <c r="J16" s="21"/>
      <c r="K16" s="21"/>
      <c r="L16" s="21"/>
      <c r="M16" s="21"/>
      <c r="N16" s="21"/>
    </row>
    <row r="17" spans="1:14" ht="15.75">
      <c r="A17" s="21">
        <v>12</v>
      </c>
      <c r="B17" s="51">
        <v>407.11111111111109</v>
      </c>
      <c r="C17" s="21">
        <v>229</v>
      </c>
      <c r="D17" s="35">
        <v>952.63300000000015</v>
      </c>
      <c r="E17" s="35">
        <v>409.59904999999998</v>
      </c>
      <c r="F17" s="51">
        <v>101.77777777777777</v>
      </c>
      <c r="G17" s="51">
        <v>57.333704007507073</v>
      </c>
      <c r="H17" s="21"/>
      <c r="I17" s="21"/>
      <c r="J17" s="21"/>
      <c r="K17" s="21"/>
      <c r="L17" s="21"/>
      <c r="M17" s="21"/>
      <c r="N17" s="21"/>
    </row>
    <row r="18" spans="1:14" ht="15.75">
      <c r="A18" s="21">
        <v>13</v>
      </c>
      <c r="B18" s="51">
        <v>199.14381692299537</v>
      </c>
      <c r="C18" s="21">
        <v>232</v>
      </c>
      <c r="D18" s="35">
        <v>1255.8546875</v>
      </c>
      <c r="E18" s="35">
        <v>542.2146875000002</v>
      </c>
      <c r="F18" s="51">
        <v>65.999040219861456</v>
      </c>
      <c r="G18" s="51">
        <v>20.573704605440923</v>
      </c>
      <c r="H18" s="21"/>
      <c r="I18" s="21"/>
      <c r="J18" s="21"/>
      <c r="K18" s="21"/>
      <c r="L18" s="21"/>
      <c r="M18" s="21"/>
      <c r="N18" s="21"/>
    </row>
    <row r="19" spans="1:14" ht="15.75">
      <c r="A19" s="21">
        <v>14</v>
      </c>
      <c r="B19" s="51">
        <v>248.92977115374453</v>
      </c>
      <c r="C19" s="21">
        <v>232</v>
      </c>
      <c r="D19" s="35">
        <v>1188.0469999999998</v>
      </c>
      <c r="E19" s="35">
        <v>512.99940000000004</v>
      </c>
      <c r="F19" s="51">
        <v>82.49880027482692</v>
      </c>
      <c r="G19" s="51">
        <v>30.993455572362791</v>
      </c>
      <c r="H19" s="21"/>
      <c r="I19" s="21"/>
      <c r="J19" s="21"/>
      <c r="K19" s="21"/>
      <c r="L19" s="21"/>
      <c r="M19" s="21"/>
      <c r="N19" s="21"/>
    </row>
    <row r="20" spans="1:14" ht="15.75">
      <c r="A20" s="21">
        <v>15</v>
      </c>
      <c r="B20" s="51">
        <v>303.04493879586289</v>
      </c>
      <c r="C20" s="21">
        <v>232</v>
      </c>
      <c r="D20" s="35">
        <v>1098.8241874999999</v>
      </c>
      <c r="E20" s="35">
        <v>474.23858749999999</v>
      </c>
      <c r="F20" s="51">
        <v>100.43332207370234</v>
      </c>
      <c r="G20" s="51">
        <v>41.531966974648427</v>
      </c>
      <c r="H20" s="21"/>
      <c r="I20" s="21"/>
      <c r="J20" s="21"/>
      <c r="K20" s="21"/>
      <c r="L20" s="21"/>
      <c r="M20" s="21"/>
      <c r="N20" s="21"/>
    </row>
    <row r="21" spans="1:14" ht="15.75">
      <c r="A21" s="21">
        <v>16</v>
      </c>
      <c r="B21" s="51">
        <v>387.22408846138035</v>
      </c>
      <c r="C21" s="21">
        <v>232</v>
      </c>
      <c r="D21" s="35">
        <v>975.61074999999994</v>
      </c>
      <c r="E21" s="35">
        <v>420.56715000000003</v>
      </c>
      <c r="F21" s="51">
        <v>128.3314670941752</v>
      </c>
      <c r="G21" s="51">
        <v>55.653822683825013</v>
      </c>
      <c r="H21" s="21"/>
      <c r="I21" s="21"/>
      <c r="J21" s="21"/>
      <c r="K21" s="21"/>
      <c r="L21" s="21"/>
      <c r="M21" s="21"/>
      <c r="N21" s="21"/>
    </row>
    <row r="22" spans="1:14" ht="15.75">
      <c r="A22" s="21">
        <v>17</v>
      </c>
      <c r="B22" s="51">
        <v>200.59843201174473</v>
      </c>
      <c r="C22" s="21">
        <v>235.5</v>
      </c>
      <c r="D22" s="35">
        <v>1252.7753749999999</v>
      </c>
      <c r="E22" s="35">
        <v>541.11769374999994</v>
      </c>
      <c r="F22" s="51">
        <v>84.856113442800762</v>
      </c>
      <c r="G22" s="51">
        <v>20.471044388744868</v>
      </c>
      <c r="H22" s="21"/>
      <c r="I22" s="21"/>
      <c r="J22" s="21"/>
      <c r="K22" s="21"/>
      <c r="L22" s="21"/>
      <c r="M22" s="21"/>
      <c r="N22" s="21"/>
    </row>
    <row r="23" spans="1:14" ht="15.75">
      <c r="A23" s="21">
        <v>18</v>
      </c>
      <c r="B23" s="51">
        <v>245.17586134768794</v>
      </c>
      <c r="C23" s="21">
        <v>235.5</v>
      </c>
      <c r="D23" s="35">
        <v>1179.620375</v>
      </c>
      <c r="E23" s="35">
        <v>509.17144374999998</v>
      </c>
      <c r="F23" s="51">
        <v>103.7130275412009</v>
      </c>
      <c r="G23" s="51">
        <v>30.18978359883813</v>
      </c>
      <c r="H23" s="21"/>
      <c r="I23" s="21"/>
      <c r="J23" s="21"/>
      <c r="K23" s="21"/>
      <c r="L23" s="21"/>
      <c r="M23" s="21"/>
      <c r="N23" s="21"/>
    </row>
    <row r="24" spans="1:14" ht="15.75">
      <c r="A24" s="21">
        <v>19</v>
      </c>
      <c r="B24" s="51">
        <v>300.89764801761703</v>
      </c>
      <c r="C24" s="21">
        <v>235.5</v>
      </c>
      <c r="D24" s="35">
        <v>1078.1435000000001</v>
      </c>
      <c r="E24" s="35">
        <v>465.10047500000007</v>
      </c>
      <c r="F24" s="51">
        <v>127.2841701642011</v>
      </c>
      <c r="G24" s="51">
        <v>41.731116091689934</v>
      </c>
      <c r="H24" s="21"/>
      <c r="I24" s="21"/>
      <c r="J24" s="21"/>
      <c r="K24" s="21"/>
      <c r="L24" s="21"/>
      <c r="M24" s="21"/>
      <c r="N24" s="21"/>
    </row>
    <row r="25" spans="1:14" ht="15.75">
      <c r="A25" s="21">
        <v>20</v>
      </c>
      <c r="B25" s="51">
        <v>389.3969562580927</v>
      </c>
      <c r="C25" s="21">
        <v>235.5</v>
      </c>
      <c r="D25" s="35">
        <v>939.835375</v>
      </c>
      <c r="E25" s="35">
        <v>405.16669374999998</v>
      </c>
      <c r="F25" s="51">
        <v>164.72069080073086</v>
      </c>
      <c r="G25" s="51">
        <v>57.684615212847213</v>
      </c>
      <c r="H25" s="21"/>
      <c r="I25" s="21"/>
      <c r="J25" s="21"/>
      <c r="K25" s="21"/>
      <c r="L25" s="21"/>
      <c r="M25" s="21"/>
      <c r="N25" s="21"/>
    </row>
    <row r="26" spans="1:14" ht="15.75">
      <c r="A26" s="21">
        <v>21</v>
      </c>
      <c r="B26" s="51">
        <v>206.66666666666669</v>
      </c>
      <c r="C26" s="21">
        <v>240.25</v>
      </c>
      <c r="D26" s="35">
        <v>1235.8296124999999</v>
      </c>
      <c r="E26" s="35">
        <v>533.67373124999995</v>
      </c>
      <c r="F26" s="51">
        <v>103.33333333333333</v>
      </c>
      <c r="G26" s="51">
        <v>20.689738423671809</v>
      </c>
      <c r="H26" s="21"/>
      <c r="I26" s="21"/>
      <c r="J26" s="21"/>
      <c r="K26" s="21"/>
      <c r="L26" s="21"/>
      <c r="M26" s="21"/>
      <c r="N26" s="21"/>
    </row>
    <row r="27" spans="1:14" ht="15.75">
      <c r="A27" s="21">
        <v>22</v>
      </c>
      <c r="B27" s="51">
        <v>256.26666666666665</v>
      </c>
      <c r="C27" s="21">
        <v>240.25</v>
      </c>
      <c r="D27" s="35">
        <v>1148.7978125</v>
      </c>
      <c r="E27" s="35">
        <v>496.73203124999998</v>
      </c>
      <c r="F27" s="51">
        <v>128.13333333333333</v>
      </c>
      <c r="G27" s="51">
        <v>31.269792545907436</v>
      </c>
      <c r="H27" s="21"/>
      <c r="I27" s="21"/>
      <c r="J27" s="21"/>
      <c r="K27" s="21"/>
      <c r="L27" s="21"/>
      <c r="M27" s="21"/>
      <c r="N27" s="21"/>
    </row>
    <row r="28" spans="1:14" ht="15.75">
      <c r="A28" s="21">
        <v>23</v>
      </c>
      <c r="B28" s="51">
        <v>305.07936507936506</v>
      </c>
      <c r="C28" s="21">
        <v>240.25</v>
      </c>
      <c r="D28" s="35">
        <v>1072.2411125000001</v>
      </c>
      <c r="E28" s="35">
        <v>464.25348124999999</v>
      </c>
      <c r="F28" s="51">
        <v>152.53968253968253</v>
      </c>
      <c r="G28" s="51">
        <v>41.181769171295009</v>
      </c>
      <c r="H28" s="21"/>
      <c r="I28" s="21"/>
      <c r="J28" s="21"/>
      <c r="K28" s="21"/>
      <c r="L28" s="21"/>
      <c r="M28" s="21"/>
      <c r="N28" s="21"/>
    </row>
    <row r="29" spans="1:14" ht="15.75">
      <c r="A29" s="21">
        <v>24</v>
      </c>
      <c r="B29" s="51">
        <v>400.41666666666669</v>
      </c>
      <c r="C29" s="21">
        <v>240.25</v>
      </c>
      <c r="D29" s="35">
        <v>955.69280000000003</v>
      </c>
      <c r="E29" s="35">
        <v>414.82319999999999</v>
      </c>
      <c r="F29" s="51">
        <v>200.20833333333331</v>
      </c>
      <c r="G29" s="51">
        <v>58.100517411875423</v>
      </c>
      <c r="H29" s="21"/>
      <c r="I29" s="21"/>
      <c r="J29" s="21"/>
      <c r="K29" s="21"/>
      <c r="L29" s="21"/>
      <c r="M29" s="21"/>
      <c r="N29" s="21"/>
    </row>
    <row r="30" spans="1:14" ht="15.75">
      <c r="A30" s="21">
        <v>25</v>
      </c>
      <c r="B30" s="51">
        <v>212.81649977665819</v>
      </c>
      <c r="C30" s="21">
        <v>244</v>
      </c>
      <c r="D30" s="35">
        <v>1230.4375375</v>
      </c>
      <c r="E30" s="35">
        <v>531.20932500000004</v>
      </c>
      <c r="F30" s="51">
        <v>123.73522436127286</v>
      </c>
      <c r="G30" s="51">
        <v>20.601080540329296</v>
      </c>
      <c r="H30" s="21"/>
      <c r="I30" s="21"/>
      <c r="J30" s="21"/>
      <c r="K30" s="21"/>
      <c r="L30" s="21"/>
      <c r="M30" s="21"/>
      <c r="N30" s="21"/>
    </row>
    <row r="31" spans="1:14" ht="15.75">
      <c r="A31" s="21">
        <v>26</v>
      </c>
      <c r="B31" s="51">
        <v>268.33384754448207</v>
      </c>
      <c r="C31" s="21">
        <v>244</v>
      </c>
      <c r="D31" s="35">
        <v>1137.8638375</v>
      </c>
      <c r="E31" s="35">
        <v>491.16892499999994</v>
      </c>
      <c r="F31" s="51">
        <v>156.01397854247449</v>
      </c>
      <c r="G31" s="51">
        <v>32.050145097618703</v>
      </c>
      <c r="H31" s="21"/>
      <c r="I31" s="21"/>
      <c r="J31" s="21"/>
      <c r="K31" s="21"/>
      <c r="L31" s="21"/>
      <c r="M31" s="21"/>
      <c r="N31" s="21"/>
    </row>
    <row r="32" spans="1:14" ht="15.75">
      <c r="A32" s="21">
        <v>27</v>
      </c>
      <c r="B32" s="51">
        <v>324.82518386963619</v>
      </c>
      <c r="C32" s="21">
        <v>244</v>
      </c>
      <c r="D32" s="35">
        <v>1055.3895374999997</v>
      </c>
      <c r="E32" s="35">
        <v>455.588325</v>
      </c>
      <c r="F32" s="51">
        <v>188.85902665667965</v>
      </c>
      <c r="G32" s="51">
        <v>43.031848274246478</v>
      </c>
      <c r="H32" s="21"/>
      <c r="I32" s="21"/>
      <c r="J32" s="21"/>
      <c r="K32" s="21"/>
      <c r="L32" s="21"/>
      <c r="M32" s="21"/>
      <c r="N32" s="21"/>
    </row>
    <row r="33" spans="1:14" ht="15.75">
      <c r="A33" s="21">
        <v>28</v>
      </c>
      <c r="B33" s="51">
        <v>411.44523290153916</v>
      </c>
      <c r="C33" s="21">
        <v>244</v>
      </c>
      <c r="D33" s="35">
        <v>956.30843749999997</v>
      </c>
      <c r="E33" s="35">
        <v>412.89812499999999</v>
      </c>
      <c r="F33" s="51">
        <v>239.2214337651275</v>
      </c>
      <c r="G33" s="51">
        <v>57.776336433352128</v>
      </c>
      <c r="H33" s="21"/>
      <c r="I33" s="21"/>
      <c r="J33" s="21"/>
      <c r="K33" s="21"/>
      <c r="L33" s="21"/>
      <c r="M33" s="21"/>
      <c r="N33" s="21"/>
    </row>
    <row r="34" spans="1:14" ht="15.75">
      <c r="A34" s="50" t="s">
        <v>71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1:14" ht="15.75">
      <c r="A35" s="21" t="s">
        <v>63</v>
      </c>
      <c r="B35" s="21" t="s">
        <v>67</v>
      </c>
      <c r="C35" s="21" t="s">
        <v>65</v>
      </c>
      <c r="D35" s="21" t="s">
        <v>66</v>
      </c>
      <c r="E35" s="21" t="s">
        <v>68</v>
      </c>
      <c r="F35" s="21" t="s">
        <v>72</v>
      </c>
      <c r="G35" s="21" t="s">
        <v>70</v>
      </c>
      <c r="H35" s="21"/>
      <c r="I35" s="21"/>
      <c r="J35" s="21"/>
      <c r="K35" s="21"/>
      <c r="L35" s="21"/>
      <c r="M35" s="21"/>
      <c r="N35" s="21"/>
    </row>
    <row r="36" spans="1:14" ht="15.75">
      <c r="A36" s="21">
        <v>1</v>
      </c>
      <c r="B36" s="51">
        <v>234.21052631578925</v>
      </c>
      <c r="C36" s="21">
        <v>222.5</v>
      </c>
      <c r="D36" s="51">
        <v>744.66225000000009</v>
      </c>
      <c r="E36" s="51">
        <v>1130.1933000000001</v>
      </c>
      <c r="F36" s="21">
        <v>0</v>
      </c>
      <c r="G36" s="51">
        <v>20.229725974765206</v>
      </c>
      <c r="H36" s="21"/>
      <c r="I36" s="21"/>
      <c r="J36" s="21"/>
      <c r="K36" s="21"/>
      <c r="L36" s="21"/>
      <c r="M36" s="21"/>
      <c r="N36" s="21"/>
    </row>
    <row r="37" spans="1:14" ht="15.75">
      <c r="A37" s="21">
        <v>2</v>
      </c>
      <c r="B37" s="51">
        <v>306.89655172413796</v>
      </c>
      <c r="C37" s="21">
        <v>222.5</v>
      </c>
      <c r="D37" s="51">
        <v>698.74031250000007</v>
      </c>
      <c r="E37" s="51">
        <v>1059.9525749999998</v>
      </c>
      <c r="F37" s="21">
        <v>0</v>
      </c>
      <c r="G37" s="51">
        <v>31.030944888521994</v>
      </c>
      <c r="H37" s="21"/>
      <c r="I37" s="21"/>
      <c r="J37" s="21"/>
      <c r="K37" s="21"/>
      <c r="L37" s="21"/>
      <c r="M37" s="21"/>
      <c r="N37" s="21"/>
    </row>
    <row r="38" spans="1:14" ht="15.75">
      <c r="A38" s="21">
        <v>3</v>
      </c>
      <c r="B38" s="51">
        <v>386.95652173913044</v>
      </c>
      <c r="C38" s="21">
        <v>222.5</v>
      </c>
      <c r="D38" s="51">
        <v>654.47381250000001</v>
      </c>
      <c r="E38" s="51">
        <v>992.25217499999997</v>
      </c>
      <c r="F38" s="21">
        <v>0</v>
      </c>
      <c r="G38" s="51">
        <v>41.272901403938121</v>
      </c>
      <c r="H38" s="21"/>
      <c r="I38" s="21"/>
      <c r="J38" s="21"/>
      <c r="K38" s="21"/>
      <c r="L38" s="21"/>
      <c r="M38" s="21"/>
      <c r="N38" s="21"/>
    </row>
    <row r="39" spans="1:14" ht="15.75">
      <c r="A39" s="21">
        <v>4</v>
      </c>
      <c r="B39" s="51">
        <v>556.25</v>
      </c>
      <c r="C39" s="21">
        <v>222.5</v>
      </c>
      <c r="D39" s="51">
        <v>589.02600000000007</v>
      </c>
      <c r="E39" s="51">
        <v>892.16319999999996</v>
      </c>
      <c r="F39" s="21">
        <v>0</v>
      </c>
      <c r="G39" s="51">
        <v>57.567848666484643</v>
      </c>
      <c r="H39" s="21"/>
      <c r="I39" s="21"/>
      <c r="J39" s="21"/>
      <c r="K39" s="21"/>
      <c r="L39" s="21"/>
      <c r="M39" s="21"/>
      <c r="N39" s="21"/>
    </row>
    <row r="40" spans="1:14" ht="15.75">
      <c r="A40" s="21">
        <v>5</v>
      </c>
      <c r="B40" s="51">
        <v>192.87925696594408</v>
      </c>
      <c r="C40" s="21">
        <v>222.5</v>
      </c>
      <c r="D40" s="51">
        <v>742.42690000000016</v>
      </c>
      <c r="E40" s="51">
        <v>1126.2506000000001</v>
      </c>
      <c r="F40" s="51">
        <v>41.331269349845165</v>
      </c>
      <c r="G40" s="51">
        <v>20.169261650572125</v>
      </c>
      <c r="H40" s="21"/>
      <c r="I40" s="21"/>
      <c r="J40" s="21"/>
      <c r="K40" s="21"/>
      <c r="L40" s="21"/>
      <c r="M40" s="21"/>
      <c r="N40" s="21"/>
    </row>
    <row r="41" spans="1:14" ht="15.75">
      <c r="A41" s="21">
        <v>6</v>
      </c>
      <c r="B41" s="51">
        <v>252.73833671399595</v>
      </c>
      <c r="C41" s="21">
        <v>222.5</v>
      </c>
      <c r="D41" s="51">
        <v>699.34660000000008</v>
      </c>
      <c r="E41" s="51">
        <v>1060.7234000000001</v>
      </c>
      <c r="F41" s="51">
        <v>54.158215010141994</v>
      </c>
      <c r="G41" s="51">
        <v>30.746451475754508</v>
      </c>
      <c r="H41" s="21"/>
      <c r="I41" s="21"/>
      <c r="J41" s="21"/>
      <c r="K41" s="21"/>
      <c r="L41" s="21"/>
      <c r="M41" s="21"/>
      <c r="N41" s="21"/>
    </row>
    <row r="42" spans="1:14" ht="15.75">
      <c r="A42" s="21">
        <v>7</v>
      </c>
      <c r="B42" s="51">
        <v>318.6700767263427</v>
      </c>
      <c r="C42" s="21">
        <v>222.5</v>
      </c>
      <c r="D42" s="51">
        <v>650.49790000000007</v>
      </c>
      <c r="E42" s="51">
        <v>987.77960000000007</v>
      </c>
      <c r="F42" s="51">
        <v>68.286445012787723</v>
      </c>
      <c r="G42" s="51">
        <v>40.72536637371546</v>
      </c>
      <c r="H42" s="21"/>
      <c r="I42" s="21"/>
      <c r="J42" s="21"/>
      <c r="K42" s="21"/>
      <c r="L42" s="21"/>
      <c r="M42" s="21"/>
      <c r="N42" s="21"/>
    </row>
    <row r="43" spans="1:14" ht="15.75">
      <c r="A43" s="21">
        <v>8</v>
      </c>
      <c r="B43" s="51">
        <v>458.08823529411762</v>
      </c>
      <c r="C43" s="21">
        <v>222.5</v>
      </c>
      <c r="D43" s="51">
        <v>573.15560000000005</v>
      </c>
      <c r="E43" s="51">
        <v>873.09439999999995</v>
      </c>
      <c r="F43" s="51">
        <v>98.161764705882362</v>
      </c>
      <c r="G43" s="51">
        <v>56.530132057875171</v>
      </c>
      <c r="H43" s="21"/>
      <c r="I43" s="21"/>
      <c r="J43" s="21"/>
      <c r="K43" s="21"/>
      <c r="L43" s="21"/>
      <c r="M43" s="21"/>
      <c r="N43" s="21"/>
    </row>
    <row r="44" spans="1:14" ht="15.75">
      <c r="A44" s="21">
        <v>9</v>
      </c>
      <c r="B44" s="51">
        <v>171.78378378378358</v>
      </c>
      <c r="C44" s="21">
        <v>227</v>
      </c>
      <c r="D44" s="51">
        <v>736.82453750000013</v>
      </c>
      <c r="E44" s="51">
        <v>1117.9163000000001</v>
      </c>
      <c r="F44" s="51">
        <v>73.621621621621543</v>
      </c>
      <c r="G44" s="51">
        <v>20.997495651912857</v>
      </c>
      <c r="H44" s="21"/>
      <c r="I44" s="21"/>
      <c r="J44" s="21"/>
      <c r="K44" s="21"/>
      <c r="L44" s="21"/>
      <c r="M44" s="21"/>
      <c r="N44" s="21"/>
    </row>
    <row r="45" spans="1:14" ht="15.75">
      <c r="A45" s="21">
        <v>10</v>
      </c>
      <c r="B45" s="51">
        <v>219.17241379310346</v>
      </c>
      <c r="C45" s="21">
        <v>227</v>
      </c>
      <c r="D45" s="51">
        <v>701.99633749999998</v>
      </c>
      <c r="E45" s="51">
        <v>1064.6107</v>
      </c>
      <c r="F45" s="51">
        <v>93.931034482758619</v>
      </c>
      <c r="G45" s="51">
        <v>31.560763436847882</v>
      </c>
      <c r="H45" s="21"/>
      <c r="I45" s="21"/>
      <c r="J45" s="21"/>
      <c r="K45" s="21"/>
      <c r="L45" s="21"/>
      <c r="M45" s="21"/>
      <c r="N45" s="21"/>
    </row>
    <row r="46" spans="1:14" ht="15.75">
      <c r="A46" s="21">
        <v>11</v>
      </c>
      <c r="B46" s="51">
        <v>264.83333333333337</v>
      </c>
      <c r="C46" s="21">
        <v>227</v>
      </c>
      <c r="D46" s="51">
        <v>662.94439999999997</v>
      </c>
      <c r="E46" s="51">
        <v>1005.1451999999999</v>
      </c>
      <c r="F46" s="51">
        <v>113.50000000000001</v>
      </c>
      <c r="G46" s="51">
        <v>40.715521333628679</v>
      </c>
      <c r="H46" s="21"/>
      <c r="I46" s="21"/>
      <c r="J46" s="21"/>
      <c r="K46" s="21"/>
      <c r="L46" s="21"/>
      <c r="M46" s="21"/>
      <c r="N46" s="21"/>
    </row>
    <row r="47" spans="1:14" ht="15.75">
      <c r="A47" s="21">
        <v>12</v>
      </c>
      <c r="B47" s="51">
        <v>353.11111111111109</v>
      </c>
      <c r="C47" s="21">
        <v>227</v>
      </c>
      <c r="D47" s="51">
        <v>598.53185000000008</v>
      </c>
      <c r="E47" s="51">
        <v>907.23479999999995</v>
      </c>
      <c r="F47" s="51">
        <v>151.33333333333334</v>
      </c>
      <c r="G47" s="51">
        <v>55.270704463279614</v>
      </c>
      <c r="H47" s="21"/>
      <c r="I47" s="21"/>
      <c r="J47" s="21"/>
      <c r="K47" s="21"/>
      <c r="L47" s="21"/>
      <c r="M47" s="21"/>
      <c r="N47" s="21"/>
    </row>
    <row r="48" spans="1:14" ht="15.75">
      <c r="A48" s="21">
        <v>13</v>
      </c>
      <c r="B48" s="51">
        <v>161.27450980392157</v>
      </c>
      <c r="C48" s="21">
        <v>235</v>
      </c>
      <c r="D48" s="51">
        <v>719.72437500000001</v>
      </c>
      <c r="E48" s="51">
        <v>1092.6042499999999</v>
      </c>
      <c r="F48" s="51">
        <v>115.19607843137257</v>
      </c>
      <c r="G48" s="51">
        <v>20.566955102281185</v>
      </c>
      <c r="H48" s="21"/>
      <c r="I48" s="21"/>
      <c r="J48" s="21"/>
      <c r="K48" s="21"/>
      <c r="L48" s="21"/>
      <c r="M48" s="21"/>
      <c r="N48" s="21"/>
    </row>
    <row r="49" spans="1:14" ht="15.75">
      <c r="A49" s="21">
        <v>14</v>
      </c>
      <c r="B49" s="51">
        <v>203.0864197530864</v>
      </c>
      <c r="C49" s="21">
        <v>235</v>
      </c>
      <c r="D49" s="51">
        <v>688.97359375000008</v>
      </c>
      <c r="E49" s="51">
        <v>1045.4885625000002</v>
      </c>
      <c r="F49" s="51">
        <v>145.06172839506175</v>
      </c>
      <c r="G49" s="51">
        <v>31.753017299614275</v>
      </c>
      <c r="H49" s="21"/>
      <c r="I49" s="21"/>
      <c r="J49" s="21"/>
      <c r="K49" s="21"/>
      <c r="L49" s="21"/>
      <c r="M49" s="21"/>
      <c r="N49" s="21"/>
    </row>
    <row r="50" spans="1:14" ht="15.75">
      <c r="A50" s="21">
        <v>15</v>
      </c>
      <c r="B50" s="51">
        <v>238.40579710144925</v>
      </c>
      <c r="C50" s="21">
        <v>235</v>
      </c>
      <c r="D50" s="51">
        <v>649.17484374999992</v>
      </c>
      <c r="E50" s="51">
        <v>984.99606250000022</v>
      </c>
      <c r="F50" s="51">
        <v>170.28985507246378</v>
      </c>
      <c r="G50" s="51">
        <v>40.697244001501332</v>
      </c>
      <c r="H50" s="21"/>
      <c r="I50" s="21"/>
      <c r="J50" s="21"/>
      <c r="K50" s="21"/>
      <c r="L50" s="21"/>
      <c r="M50" s="21"/>
      <c r="N50" s="21"/>
    </row>
    <row r="51" spans="1:14" ht="15.75">
      <c r="A51" s="21">
        <v>16</v>
      </c>
      <c r="B51" s="51">
        <v>304.62962962962956</v>
      </c>
      <c r="C51" s="21">
        <v>235</v>
      </c>
      <c r="D51" s="51">
        <v>576.69437500000004</v>
      </c>
      <c r="E51" s="51">
        <v>875.04825000000017</v>
      </c>
      <c r="F51" s="51">
        <v>217.59259259259258</v>
      </c>
      <c r="G51" s="51">
        <v>55.49961877770312</v>
      </c>
      <c r="H51" s="21"/>
      <c r="I51" s="21"/>
      <c r="J51" s="21"/>
      <c r="K51" s="21"/>
      <c r="L51" s="21"/>
      <c r="M51" s="21"/>
      <c r="N51" s="21"/>
    </row>
    <row r="52" spans="1:14" ht="15.75">
      <c r="A52" s="21">
        <v>17</v>
      </c>
      <c r="B52" s="51">
        <v>163.83333333333334</v>
      </c>
      <c r="C52" s="21">
        <v>245.75</v>
      </c>
      <c r="D52" s="51">
        <v>685.94374999999991</v>
      </c>
      <c r="E52" s="51">
        <v>1040.8887500000003</v>
      </c>
      <c r="F52" s="51">
        <v>163.83333333333334</v>
      </c>
      <c r="G52" s="51">
        <v>20.937508466663463</v>
      </c>
      <c r="H52" s="21"/>
      <c r="I52" s="21"/>
      <c r="J52" s="21"/>
      <c r="K52" s="21"/>
      <c r="L52" s="21"/>
      <c r="M52" s="21"/>
      <c r="N52" s="21"/>
    </row>
    <row r="53" spans="1:14" ht="15.75">
      <c r="A53" s="21">
        <v>18</v>
      </c>
      <c r="B53" s="51">
        <v>196.6</v>
      </c>
      <c r="C53" s="21">
        <v>245.75</v>
      </c>
      <c r="D53" s="51">
        <v>671.19843749999995</v>
      </c>
      <c r="E53" s="51">
        <v>1018.1934375000001</v>
      </c>
      <c r="F53" s="51">
        <v>196.6</v>
      </c>
      <c r="G53" s="51">
        <v>30.278719171136036</v>
      </c>
      <c r="H53" s="21"/>
      <c r="I53" s="21"/>
      <c r="J53" s="21"/>
      <c r="K53" s="21"/>
      <c r="L53" s="21"/>
      <c r="M53" s="21"/>
      <c r="N53" s="21"/>
    </row>
    <row r="54" spans="1:14" ht="15.75">
      <c r="A54" s="21">
        <v>19</v>
      </c>
      <c r="B54" s="51">
        <v>234.04761904761904</v>
      </c>
      <c r="C54" s="21">
        <v>245.75</v>
      </c>
      <c r="D54" s="51">
        <v>617.29793749999999</v>
      </c>
      <c r="E54" s="51">
        <v>936.92693750000012</v>
      </c>
      <c r="F54" s="51">
        <v>234.04761904761904</v>
      </c>
      <c r="G54" s="51">
        <v>40.673121120278878</v>
      </c>
      <c r="H54" s="21"/>
      <c r="I54" s="21"/>
      <c r="J54" s="21"/>
      <c r="K54" s="21"/>
      <c r="L54" s="21"/>
      <c r="M54" s="21"/>
      <c r="N54" s="21"/>
    </row>
    <row r="55" spans="1:14" ht="15.75">
      <c r="A55" s="21">
        <v>20</v>
      </c>
      <c r="B55" s="51">
        <v>307.1875</v>
      </c>
      <c r="C55" s="21">
        <v>245.75</v>
      </c>
      <c r="D55" s="51">
        <v>497.29199999999997</v>
      </c>
      <c r="E55" s="51">
        <v>756.45600000000013</v>
      </c>
      <c r="F55" s="51">
        <v>307.1875</v>
      </c>
      <c r="G55" s="51">
        <v>58.819320081726005</v>
      </c>
      <c r="H55" s="21"/>
      <c r="I55" s="21"/>
      <c r="J55" s="21"/>
      <c r="K55" s="21"/>
      <c r="L55" s="21"/>
      <c r="M55" s="21"/>
      <c r="N55" s="21"/>
    </row>
    <row r="56" spans="1:14" ht="15.75">
      <c r="A56" s="21">
        <v>21</v>
      </c>
      <c r="B56" s="51">
        <v>166.89814814814815</v>
      </c>
      <c r="C56" s="21">
        <v>257.5</v>
      </c>
      <c r="D56" s="51">
        <v>666.50006249999979</v>
      </c>
      <c r="E56" s="51">
        <v>1005.8818749999999</v>
      </c>
      <c r="F56" s="51">
        <v>214.58333333333331</v>
      </c>
      <c r="G56" s="51">
        <v>20.657725394471374</v>
      </c>
      <c r="H56" s="21"/>
      <c r="I56" s="21"/>
      <c r="J56" s="21"/>
      <c r="K56" s="21"/>
      <c r="L56" s="21"/>
      <c r="M56" s="21"/>
      <c r="N56" s="21"/>
    </row>
    <row r="57" spans="1:14" ht="15.75">
      <c r="A57" s="21">
        <v>22</v>
      </c>
      <c r="B57" s="51">
        <v>204.82954545454544</v>
      </c>
      <c r="C57" s="21">
        <v>257.5</v>
      </c>
      <c r="D57" s="51">
        <v>631.4872499999999</v>
      </c>
      <c r="E57" s="51">
        <v>958.02249999999992</v>
      </c>
      <c r="F57" s="51">
        <v>263.35227272727269</v>
      </c>
      <c r="G57" s="51">
        <v>31.611492424698554</v>
      </c>
      <c r="H57" s="21"/>
      <c r="I57" s="21"/>
      <c r="J57" s="21"/>
      <c r="K57" s="21"/>
      <c r="L57" s="21"/>
      <c r="M57" s="21"/>
      <c r="N57" s="21"/>
    </row>
    <row r="58" spans="1:14" ht="15.75">
      <c r="A58" s="21">
        <v>23</v>
      </c>
      <c r="B58" s="51">
        <v>237.17105263157896</v>
      </c>
      <c r="C58" s="21">
        <v>257.5</v>
      </c>
      <c r="D58" s="51">
        <v>571.31306249999989</v>
      </c>
      <c r="E58" s="51">
        <v>867.13187499999992</v>
      </c>
      <c r="F58" s="51">
        <v>304.93421052631584</v>
      </c>
      <c r="G58" s="51">
        <v>40.803977554867089</v>
      </c>
      <c r="H58" s="21"/>
      <c r="I58" s="21"/>
      <c r="J58" s="21"/>
      <c r="K58" s="21"/>
      <c r="L58" s="21"/>
      <c r="M58" s="21"/>
      <c r="N58" s="21"/>
    </row>
    <row r="59" spans="1:14" ht="15.75">
      <c r="A59" s="21">
        <v>24</v>
      </c>
      <c r="B59" s="51">
        <v>300.41666666666663</v>
      </c>
      <c r="C59" s="21">
        <v>257.5</v>
      </c>
      <c r="D59" s="51">
        <v>445.38656249999991</v>
      </c>
      <c r="E59" s="51">
        <v>673.40687500000001</v>
      </c>
      <c r="F59" s="51">
        <v>386.25</v>
      </c>
      <c r="G59" s="51">
        <v>57.347237217012157</v>
      </c>
      <c r="H59" s="21"/>
      <c r="I59" s="21"/>
      <c r="J59" s="21"/>
      <c r="K59" s="21"/>
      <c r="L59" s="21"/>
      <c r="M59" s="21"/>
      <c r="N59" s="21"/>
    </row>
    <row r="60" spans="1:14" ht="15.75">
      <c r="A60" s="21">
        <v>25</v>
      </c>
      <c r="B60" s="51">
        <v>175.48611111111109</v>
      </c>
      <c r="C60" s="21">
        <v>270.75</v>
      </c>
      <c r="D60" s="51">
        <v>631.7120000000001</v>
      </c>
      <c r="E60" s="51">
        <v>959.79600000000005</v>
      </c>
      <c r="F60" s="51">
        <v>275.76388888888891</v>
      </c>
      <c r="G60" s="51">
        <v>20.752957658549711</v>
      </c>
      <c r="H60" s="21"/>
      <c r="I60" s="21"/>
      <c r="J60" s="21"/>
      <c r="K60" s="21"/>
      <c r="L60" s="21"/>
      <c r="M60" s="21"/>
      <c r="N60" s="21"/>
    </row>
    <row r="61" spans="1:14" ht="15.75">
      <c r="A61" s="21">
        <v>26</v>
      </c>
      <c r="B61" s="51">
        <v>210.58333333333331</v>
      </c>
      <c r="C61" s="21">
        <v>270.75</v>
      </c>
      <c r="D61" s="51">
        <v>592.37500000000011</v>
      </c>
      <c r="E61" s="51">
        <v>899.62500000000023</v>
      </c>
      <c r="F61" s="51">
        <v>330.91666666666669</v>
      </c>
      <c r="G61" s="51">
        <v>30.234305705113361</v>
      </c>
      <c r="H61" s="21"/>
      <c r="I61" s="21"/>
      <c r="J61" s="21"/>
      <c r="K61" s="21"/>
      <c r="L61" s="21"/>
      <c r="M61" s="21"/>
      <c r="N61" s="21"/>
    </row>
    <row r="62" spans="1:14" ht="15.75">
      <c r="A62" s="21">
        <v>27</v>
      </c>
      <c r="B62" s="51">
        <v>247.74509803921569</v>
      </c>
      <c r="C62" s="21">
        <v>270.75</v>
      </c>
      <c r="D62" s="51">
        <v>501.25956250000024</v>
      </c>
      <c r="E62" s="51">
        <v>760.45743749999997</v>
      </c>
      <c r="F62" s="51">
        <v>389.31372549019613</v>
      </c>
      <c r="G62" s="51">
        <v>40.092671904967673</v>
      </c>
      <c r="H62" s="21"/>
      <c r="I62" s="21"/>
      <c r="J62" s="21"/>
      <c r="K62" s="21"/>
      <c r="L62" s="21"/>
      <c r="M62" s="21"/>
      <c r="N62" s="21"/>
    </row>
    <row r="63" spans="1:14" ht="15.75">
      <c r="A63" s="21">
        <v>28</v>
      </c>
      <c r="B63" s="51">
        <v>323.97435897435895</v>
      </c>
      <c r="C63" s="21">
        <v>270.75</v>
      </c>
      <c r="D63" s="51">
        <v>297.62206249999997</v>
      </c>
      <c r="E63" s="51">
        <v>449.51493750000009</v>
      </c>
      <c r="F63" s="51">
        <v>509.10256410256414</v>
      </c>
      <c r="G63" s="51">
        <v>58.409703274762691</v>
      </c>
      <c r="H63" s="21"/>
      <c r="I63" s="21"/>
      <c r="J63" s="21"/>
      <c r="K63" s="21"/>
      <c r="L63" s="21"/>
      <c r="M63" s="21"/>
      <c r="N63" s="21"/>
    </row>
    <row r="64" spans="1:14" ht="15.75">
      <c r="A64" s="50" t="s">
        <v>73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1:14" ht="15.75">
      <c r="A65" s="21" t="s">
        <v>63</v>
      </c>
      <c r="B65" s="21" t="s">
        <v>74</v>
      </c>
      <c r="C65" s="21" t="s">
        <v>67</v>
      </c>
      <c r="D65" s="21" t="s">
        <v>65</v>
      </c>
      <c r="E65" s="21" t="s">
        <v>66</v>
      </c>
      <c r="F65" s="21" t="s">
        <v>68</v>
      </c>
      <c r="G65" s="21" t="s">
        <v>75</v>
      </c>
      <c r="H65" s="21" t="s">
        <v>70</v>
      </c>
      <c r="I65" s="21"/>
      <c r="J65" s="21"/>
      <c r="K65" s="21"/>
      <c r="L65" s="21"/>
      <c r="M65" s="21"/>
      <c r="N65" s="21"/>
    </row>
    <row r="66" spans="1:14" ht="15.75">
      <c r="A66" s="21">
        <v>1</v>
      </c>
      <c r="B66" s="23">
        <v>0.60870000000000002</v>
      </c>
      <c r="C66" s="51">
        <v>205.55555555555554</v>
      </c>
      <c r="D66" s="21">
        <v>185</v>
      </c>
      <c r="E66" s="35">
        <v>626.15599999999972</v>
      </c>
      <c r="F66" s="21">
        <v>1200</v>
      </c>
      <c r="G66" s="21">
        <v>0</v>
      </c>
      <c r="H66" s="51">
        <v>20.344639560479678</v>
      </c>
      <c r="I66" s="21"/>
      <c r="J66" s="21"/>
      <c r="K66" s="21"/>
      <c r="L66" s="21"/>
      <c r="M66" s="21"/>
      <c r="N66" s="21"/>
    </row>
    <row r="67" spans="1:14" ht="15.75">
      <c r="A67" s="21">
        <v>2</v>
      </c>
      <c r="B67" s="23">
        <v>0.60870000000000002</v>
      </c>
      <c r="C67" s="51">
        <v>255.17241379310346</v>
      </c>
      <c r="D67" s="21">
        <v>185</v>
      </c>
      <c r="E67" s="35">
        <v>721.07162499999981</v>
      </c>
      <c r="F67" s="21">
        <v>1200</v>
      </c>
      <c r="G67" s="21">
        <v>0</v>
      </c>
      <c r="H67" s="51">
        <v>30.287435341358421</v>
      </c>
      <c r="I67" s="21"/>
      <c r="J67" s="21"/>
      <c r="K67" s="21"/>
      <c r="L67" s="21"/>
      <c r="M67" s="21"/>
      <c r="N67" s="21"/>
    </row>
    <row r="68" spans="1:14" ht="15.75">
      <c r="A68" s="21">
        <v>3</v>
      </c>
      <c r="B68" s="23">
        <v>0.60870000000000002</v>
      </c>
      <c r="C68" s="51">
        <v>308.33333333333337</v>
      </c>
      <c r="D68" s="21">
        <v>185</v>
      </c>
      <c r="E68" s="35">
        <v>713.21599999999989</v>
      </c>
      <c r="F68" s="21">
        <v>1200</v>
      </c>
      <c r="G68" s="21">
        <v>0</v>
      </c>
      <c r="H68" s="51">
        <v>40.243894331377049</v>
      </c>
      <c r="I68" s="21"/>
      <c r="J68" s="21"/>
      <c r="K68" s="21"/>
      <c r="L68" s="21"/>
      <c r="M68" s="21"/>
      <c r="N68" s="21"/>
    </row>
    <row r="69" spans="1:14" ht="15.75">
      <c r="A69" s="21">
        <v>4</v>
      </c>
      <c r="B69" s="23">
        <v>0.60870000000000002</v>
      </c>
      <c r="C69" s="51">
        <v>411.11111111111109</v>
      </c>
      <c r="D69" s="21">
        <v>185</v>
      </c>
      <c r="E69" s="35">
        <v>620.57150000000001</v>
      </c>
      <c r="F69" s="21">
        <v>1200</v>
      </c>
      <c r="G69" s="21">
        <v>0</v>
      </c>
      <c r="H69" s="51">
        <v>56.601116752684355</v>
      </c>
      <c r="I69" s="21"/>
      <c r="J69" s="21"/>
      <c r="K69" s="21"/>
      <c r="L69" s="21"/>
      <c r="M69" s="21"/>
      <c r="N69" s="21"/>
    </row>
    <row r="70" spans="1:14" ht="15.75">
      <c r="A70" s="21">
        <v>5</v>
      </c>
      <c r="B70" s="23">
        <v>0.60870000000000002</v>
      </c>
      <c r="C70" s="51">
        <v>190.60606060606062</v>
      </c>
      <c r="D70" s="21">
        <v>185</v>
      </c>
      <c r="E70" s="35">
        <v>681.96462500000007</v>
      </c>
      <c r="F70" s="21">
        <v>1200</v>
      </c>
      <c r="G70" s="51">
        <v>33.63636363636364</v>
      </c>
      <c r="H70" s="51">
        <v>20.86651875409656</v>
      </c>
      <c r="I70" s="21"/>
      <c r="J70" s="21"/>
      <c r="K70" s="21"/>
      <c r="L70" s="21"/>
      <c r="M70" s="21"/>
      <c r="N70" s="21"/>
    </row>
    <row r="71" spans="1:14" ht="15.75">
      <c r="A71" s="21">
        <v>6</v>
      </c>
      <c r="B71" s="23">
        <v>0.60870000000000002</v>
      </c>
      <c r="C71" s="51">
        <v>241.92307692307691</v>
      </c>
      <c r="D71" s="21">
        <v>185</v>
      </c>
      <c r="E71" s="35">
        <v>723.92349999999988</v>
      </c>
      <c r="F71" s="21">
        <v>1200</v>
      </c>
      <c r="G71" s="51">
        <v>42.692307692307693</v>
      </c>
      <c r="H71" s="51">
        <v>31.805336883295215</v>
      </c>
      <c r="I71" s="21"/>
      <c r="J71" s="21"/>
      <c r="K71" s="21"/>
      <c r="L71" s="21"/>
      <c r="M71" s="21"/>
      <c r="N71" s="21"/>
    </row>
    <row r="72" spans="1:14" ht="15.75">
      <c r="A72" s="21">
        <v>7</v>
      </c>
      <c r="B72" s="23">
        <v>0.60870000000000002</v>
      </c>
      <c r="C72" s="51">
        <v>285.90909090909088</v>
      </c>
      <c r="D72" s="21">
        <v>185</v>
      </c>
      <c r="E72" s="35">
        <v>692.42149999999992</v>
      </c>
      <c r="F72" s="21">
        <v>1200</v>
      </c>
      <c r="G72" s="51">
        <v>50.454545454545453</v>
      </c>
      <c r="H72" s="51">
        <v>40.466905946508746</v>
      </c>
      <c r="I72" s="21"/>
      <c r="J72" s="21"/>
      <c r="K72" s="21"/>
      <c r="L72" s="21"/>
      <c r="M72" s="21"/>
      <c r="N72" s="21"/>
    </row>
    <row r="73" spans="1:14" ht="15.75">
      <c r="A73" s="21">
        <v>8</v>
      </c>
      <c r="B73" s="23">
        <v>0.60870000000000002</v>
      </c>
      <c r="C73" s="51">
        <v>393.125</v>
      </c>
      <c r="D73" s="21">
        <v>185</v>
      </c>
      <c r="E73" s="35">
        <v>569.51600000000008</v>
      </c>
      <c r="F73" s="21">
        <v>1200</v>
      </c>
      <c r="G73" s="51">
        <v>69.375</v>
      </c>
      <c r="H73" s="51">
        <v>58.076441752131224</v>
      </c>
      <c r="I73" s="21"/>
      <c r="J73" s="21"/>
      <c r="K73" s="21"/>
      <c r="L73" s="21"/>
      <c r="M73" s="21"/>
      <c r="N73" s="21"/>
    </row>
    <row r="74" spans="1:14" ht="15.75">
      <c r="A74" s="21">
        <v>9</v>
      </c>
      <c r="B74" s="23">
        <v>0.60870000000000002</v>
      </c>
      <c r="C74" s="51">
        <v>191.37931034482762</v>
      </c>
      <c r="D74" s="21">
        <v>185</v>
      </c>
      <c r="E74" s="35">
        <v>721.07162500000004</v>
      </c>
      <c r="F74" s="21">
        <v>1200</v>
      </c>
      <c r="G74" s="51">
        <v>63.793103448275858</v>
      </c>
      <c r="H74" s="51">
        <v>20.733255518225629</v>
      </c>
      <c r="I74" s="21"/>
      <c r="J74" s="21"/>
      <c r="K74" s="21"/>
      <c r="L74" s="21"/>
      <c r="M74" s="21"/>
      <c r="N74" s="21"/>
    </row>
    <row r="75" spans="1:14" ht="15.75">
      <c r="A75" s="21">
        <v>10</v>
      </c>
      <c r="B75" s="23">
        <v>0.60870000000000002</v>
      </c>
      <c r="C75" s="51">
        <v>241.30434782608697</v>
      </c>
      <c r="D75" s="21">
        <v>185</v>
      </c>
      <c r="E75" s="35">
        <v>704.07962500000008</v>
      </c>
      <c r="F75" s="21">
        <v>1200</v>
      </c>
      <c r="G75" s="51">
        <v>80.434782608695656</v>
      </c>
      <c r="H75" s="51">
        <v>31.226441804962892</v>
      </c>
      <c r="I75" s="21"/>
      <c r="J75" s="21"/>
      <c r="K75" s="21"/>
      <c r="L75" s="21"/>
      <c r="M75" s="21"/>
      <c r="N75" s="21"/>
    </row>
    <row r="76" spans="1:14" ht="15.75">
      <c r="A76" s="21">
        <v>11</v>
      </c>
      <c r="B76" s="23">
        <v>0.60870000000000002</v>
      </c>
      <c r="C76" s="51">
        <v>292.1052631578948</v>
      </c>
      <c r="D76" s="21">
        <v>185</v>
      </c>
      <c r="E76" s="35">
        <v>642.31662499999993</v>
      </c>
      <c r="F76" s="21">
        <v>1200</v>
      </c>
      <c r="G76" s="51">
        <v>97.368421052631589</v>
      </c>
      <c r="H76" s="51">
        <v>41.029148130295972</v>
      </c>
      <c r="I76" s="21"/>
      <c r="J76" s="21"/>
      <c r="K76" s="21"/>
      <c r="L76" s="21"/>
      <c r="M76" s="21"/>
      <c r="N76" s="21"/>
    </row>
    <row r="77" spans="1:14" ht="15.75">
      <c r="A77" s="21">
        <v>12</v>
      </c>
      <c r="B77" s="23">
        <v>0.60870000000000002</v>
      </c>
      <c r="C77" s="51">
        <v>396.42857142857144</v>
      </c>
      <c r="D77" s="21">
        <v>185</v>
      </c>
      <c r="E77" s="35">
        <v>508.37350000000009</v>
      </c>
      <c r="F77" s="21">
        <v>1200</v>
      </c>
      <c r="G77" s="51">
        <v>132.14285714285714</v>
      </c>
      <c r="H77" s="51">
        <v>57.717166208630672</v>
      </c>
      <c r="I77" s="21"/>
      <c r="J77" s="21"/>
      <c r="K77" s="21"/>
      <c r="L77" s="21"/>
      <c r="M77" s="21"/>
      <c r="N77" s="21"/>
    </row>
    <row r="78" spans="1:14" ht="15.75">
      <c r="A78" s="21">
        <v>13</v>
      </c>
      <c r="B78" s="23">
        <v>0.60870000000000002</v>
      </c>
      <c r="C78" s="51">
        <v>192.4</v>
      </c>
      <c r="D78" s="21">
        <v>185</v>
      </c>
      <c r="E78" s="35">
        <v>719.83062500000005</v>
      </c>
      <c r="F78" s="21">
        <v>1200</v>
      </c>
      <c r="G78" s="51">
        <v>103.6</v>
      </c>
      <c r="H78" s="51">
        <v>20.780811359015559</v>
      </c>
      <c r="I78" s="21"/>
      <c r="J78" s="21"/>
      <c r="K78" s="21"/>
      <c r="L78" s="21"/>
      <c r="M78" s="21"/>
      <c r="N78" s="21"/>
    </row>
    <row r="79" spans="1:14" ht="15.75">
      <c r="A79" s="21">
        <v>14</v>
      </c>
      <c r="B79" s="23">
        <v>0.60870000000000002</v>
      </c>
      <c r="C79" s="51">
        <v>240.5</v>
      </c>
      <c r="D79" s="21">
        <v>185</v>
      </c>
      <c r="E79" s="35">
        <v>661.54</v>
      </c>
      <c r="F79" s="21">
        <v>1200</v>
      </c>
      <c r="G79" s="51">
        <v>129.5</v>
      </c>
      <c r="H79" s="51">
        <v>30.461409851274642</v>
      </c>
      <c r="I79" s="21"/>
      <c r="J79" s="21"/>
      <c r="K79" s="21"/>
      <c r="L79" s="21"/>
      <c r="M79" s="21"/>
      <c r="N79" s="21"/>
    </row>
    <row r="80" spans="1:14" ht="15.75">
      <c r="A80" s="21">
        <v>15</v>
      </c>
      <c r="B80" s="23">
        <v>0.60870000000000002</v>
      </c>
      <c r="C80" s="51">
        <v>300.625</v>
      </c>
      <c r="D80" s="21">
        <v>185</v>
      </c>
      <c r="E80" s="35">
        <v>569.51600000000008</v>
      </c>
      <c r="F80" s="21">
        <v>1200</v>
      </c>
      <c r="G80" s="51">
        <v>161.875</v>
      </c>
      <c r="H80" s="51">
        <v>41.363759084906761</v>
      </c>
      <c r="I80" s="21"/>
      <c r="J80" s="21"/>
      <c r="K80" s="21"/>
      <c r="L80" s="21"/>
      <c r="M80" s="21"/>
      <c r="N80" s="21"/>
    </row>
    <row r="81" spans="1:14" ht="15.75">
      <c r="A81" s="21">
        <v>16</v>
      </c>
      <c r="B81" s="23">
        <v>0.60870000000000002</v>
      </c>
      <c r="C81" s="51">
        <v>400.83333333333337</v>
      </c>
      <c r="D81" s="21">
        <v>185</v>
      </c>
      <c r="E81" s="35">
        <v>437.14399999999995</v>
      </c>
      <c r="F81" s="21">
        <v>1200</v>
      </c>
      <c r="G81" s="51">
        <v>215.83333333333334</v>
      </c>
      <c r="H81" s="51">
        <v>56.168134501581925</v>
      </c>
      <c r="I81" s="21"/>
      <c r="J81" s="21"/>
      <c r="K81" s="21"/>
      <c r="L81" s="21"/>
      <c r="M81" s="21"/>
      <c r="N81" s="21"/>
    </row>
    <row r="82" spans="1:14" ht="15.75">
      <c r="A82" s="21">
        <v>17</v>
      </c>
      <c r="B82" s="23">
        <v>0.60870000000000002</v>
      </c>
      <c r="C82" s="51">
        <v>193.8095238095238</v>
      </c>
      <c r="D82" s="21">
        <v>185</v>
      </c>
      <c r="E82" s="35">
        <v>678.24162500000011</v>
      </c>
      <c r="F82" s="21">
        <v>1200</v>
      </c>
      <c r="G82" s="51">
        <v>158.57142857142856</v>
      </c>
      <c r="H82" s="51">
        <v>20.787870371680739</v>
      </c>
      <c r="I82" s="21"/>
      <c r="J82" s="21"/>
      <c r="K82" s="21"/>
      <c r="L82" s="21"/>
      <c r="M82" s="21"/>
      <c r="N82" s="21"/>
    </row>
    <row r="83" spans="1:14" ht="15.75">
      <c r="A83" s="21">
        <v>18</v>
      </c>
      <c r="B83" s="23">
        <v>0.60870000000000002</v>
      </c>
      <c r="C83" s="51">
        <v>239.41176470588235</v>
      </c>
      <c r="D83" s="21">
        <v>185</v>
      </c>
      <c r="E83" s="35">
        <v>596.30462499999999</v>
      </c>
      <c r="F83" s="21">
        <v>1200</v>
      </c>
      <c r="G83" s="51">
        <v>195.88235294117649</v>
      </c>
      <c r="H83" s="51">
        <v>31.722689472064754</v>
      </c>
      <c r="I83" s="21"/>
      <c r="J83" s="21"/>
      <c r="K83" s="21"/>
      <c r="L83" s="21"/>
      <c r="M83" s="21"/>
      <c r="N83" s="21"/>
    </row>
    <row r="84" spans="1:14" ht="15.75">
      <c r="A84" s="21">
        <v>19</v>
      </c>
      <c r="B84" s="23">
        <v>0.60870000000000002</v>
      </c>
      <c r="C84" s="51">
        <v>290.71428571428572</v>
      </c>
      <c r="D84" s="21">
        <v>185</v>
      </c>
      <c r="E84" s="35">
        <v>508.37350000000009</v>
      </c>
      <c r="F84" s="21">
        <v>1200</v>
      </c>
      <c r="G84" s="51">
        <v>237.85714285714283</v>
      </c>
      <c r="H84" s="51">
        <v>43.555198765878409</v>
      </c>
      <c r="I84" s="21"/>
      <c r="J84" s="21"/>
      <c r="K84" s="21"/>
      <c r="L84" s="21"/>
      <c r="M84" s="21"/>
      <c r="N84" s="21"/>
    </row>
    <row r="85" spans="1:14" ht="15.75">
      <c r="A85" s="21">
        <v>20</v>
      </c>
      <c r="B85" s="23">
        <v>0.60870000000000002</v>
      </c>
      <c r="C85" s="51">
        <v>369.99999999999994</v>
      </c>
      <c r="D85" s="21">
        <v>185</v>
      </c>
      <c r="E85" s="35">
        <v>397.74662500000005</v>
      </c>
      <c r="F85" s="21">
        <v>1200</v>
      </c>
      <c r="G85" s="51">
        <v>302.72727272727269</v>
      </c>
      <c r="H85" s="51">
        <v>59.801213929409656</v>
      </c>
      <c r="I85" s="21"/>
      <c r="J85" s="21"/>
      <c r="K85" s="21"/>
      <c r="L85" s="21"/>
      <c r="M85" s="21"/>
      <c r="N85" s="21"/>
    </row>
    <row r="86" spans="1:14" ht="15.75">
      <c r="A86" s="50" t="s">
        <v>76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1:14" ht="15.75">
      <c r="A87" s="21" t="s">
        <v>63</v>
      </c>
      <c r="B87" s="21" t="s">
        <v>74</v>
      </c>
      <c r="C87" s="21" t="s">
        <v>67</v>
      </c>
      <c r="D87" s="21" t="s">
        <v>65</v>
      </c>
      <c r="E87" s="21" t="s">
        <v>66</v>
      </c>
      <c r="F87" s="21" t="s">
        <v>68</v>
      </c>
      <c r="G87" s="21" t="s">
        <v>77</v>
      </c>
      <c r="H87" s="21" t="s">
        <v>70</v>
      </c>
      <c r="I87" s="21"/>
      <c r="J87" s="21"/>
      <c r="K87" s="21"/>
      <c r="L87" s="21"/>
      <c r="M87" s="21"/>
      <c r="N87" s="21"/>
    </row>
    <row r="88" spans="1:14" ht="15.75">
      <c r="A88" s="21">
        <v>1</v>
      </c>
      <c r="B88" s="23">
        <v>1.1934499999999999</v>
      </c>
      <c r="C88" s="51">
        <v>205.55555555555554</v>
      </c>
      <c r="D88" s="21">
        <v>185</v>
      </c>
      <c r="E88" s="51">
        <v>626.15599999999972</v>
      </c>
      <c r="F88" s="21">
        <v>1200</v>
      </c>
      <c r="G88" s="21">
        <v>0</v>
      </c>
      <c r="H88" s="51">
        <v>20.344639560479678</v>
      </c>
      <c r="I88" s="21"/>
      <c r="J88" s="21"/>
      <c r="K88" s="21"/>
      <c r="L88" s="21"/>
      <c r="M88" s="21"/>
      <c r="N88" s="21"/>
    </row>
    <row r="89" spans="1:14" ht="15.75">
      <c r="A89" s="21">
        <v>2</v>
      </c>
      <c r="B89" s="23">
        <v>1.1934499999999999</v>
      </c>
      <c r="C89" s="51">
        <v>255.17241379310346</v>
      </c>
      <c r="D89" s="21">
        <v>185</v>
      </c>
      <c r="E89" s="51">
        <v>721.07162499999981</v>
      </c>
      <c r="F89" s="21">
        <v>1200</v>
      </c>
      <c r="G89" s="21">
        <v>0</v>
      </c>
      <c r="H89" s="51">
        <v>30.287435341358421</v>
      </c>
      <c r="I89" s="21"/>
      <c r="J89" s="21"/>
      <c r="K89" s="21"/>
      <c r="L89" s="21"/>
      <c r="M89" s="21"/>
      <c r="N89" s="21"/>
    </row>
    <row r="90" spans="1:14" ht="15.75">
      <c r="A90" s="21">
        <v>3</v>
      </c>
      <c r="B90" s="23">
        <v>1.1934499999999999</v>
      </c>
      <c r="C90" s="51">
        <v>308.33333333333337</v>
      </c>
      <c r="D90" s="21">
        <v>185</v>
      </c>
      <c r="E90" s="51">
        <v>713.21599999999989</v>
      </c>
      <c r="F90" s="21">
        <v>1200</v>
      </c>
      <c r="G90" s="21">
        <v>0</v>
      </c>
      <c r="H90" s="51">
        <v>40.243894331377049</v>
      </c>
      <c r="I90" s="21"/>
      <c r="J90" s="21"/>
      <c r="K90" s="21"/>
      <c r="L90" s="21"/>
      <c r="M90" s="21"/>
      <c r="N90" s="21"/>
    </row>
    <row r="91" spans="1:14" ht="15.75">
      <c r="A91" s="21">
        <v>4</v>
      </c>
      <c r="B91" s="23">
        <v>1.1934499999999999</v>
      </c>
      <c r="C91" s="51">
        <v>411.11111111111109</v>
      </c>
      <c r="D91" s="21">
        <v>185</v>
      </c>
      <c r="E91" s="51">
        <v>620.57150000000001</v>
      </c>
      <c r="F91" s="21">
        <v>1200</v>
      </c>
      <c r="G91" s="21">
        <v>0</v>
      </c>
      <c r="H91" s="51">
        <v>56.601116752684355</v>
      </c>
      <c r="I91" s="21"/>
      <c r="J91" s="21"/>
      <c r="K91" s="21"/>
      <c r="L91" s="21"/>
      <c r="M91" s="21"/>
      <c r="N91" s="21"/>
    </row>
    <row r="92" spans="1:14" ht="15.75">
      <c r="A92" s="21">
        <v>5</v>
      </c>
      <c r="B92" s="23">
        <v>1.1934499999999999</v>
      </c>
      <c r="C92" s="51">
        <v>202.90322580645159</v>
      </c>
      <c r="D92" s="21">
        <v>185</v>
      </c>
      <c r="E92" s="51">
        <v>706.56162500000005</v>
      </c>
      <c r="F92" s="21">
        <v>1200</v>
      </c>
      <c r="G92" s="51">
        <v>35.806451612903217</v>
      </c>
      <c r="H92" s="51">
        <v>21.249073561936779</v>
      </c>
      <c r="I92" s="21"/>
      <c r="J92" s="21"/>
      <c r="K92" s="21"/>
      <c r="L92" s="21"/>
      <c r="M92" s="21"/>
      <c r="N92" s="21"/>
    </row>
    <row r="93" spans="1:14" ht="15.75">
      <c r="A93" s="21">
        <v>6</v>
      </c>
      <c r="B93" s="23">
        <v>1.1934499999999999</v>
      </c>
      <c r="C93" s="51">
        <v>251.6</v>
      </c>
      <c r="D93" s="21">
        <v>185</v>
      </c>
      <c r="E93" s="51">
        <v>719.83062500000005</v>
      </c>
      <c r="F93" s="21">
        <v>1200</v>
      </c>
      <c r="G93" s="51">
        <v>44.4</v>
      </c>
      <c r="H93" s="51">
        <v>31.009873885323465</v>
      </c>
      <c r="I93" s="21"/>
      <c r="J93" s="21"/>
      <c r="K93" s="21"/>
      <c r="L93" s="21"/>
      <c r="M93" s="21"/>
      <c r="N93" s="21"/>
    </row>
    <row r="94" spans="1:14" ht="15.75">
      <c r="A94" s="21">
        <v>7</v>
      </c>
      <c r="B94" s="23">
        <v>1.1934499999999999</v>
      </c>
      <c r="C94" s="51">
        <v>314.5</v>
      </c>
      <c r="D94" s="21">
        <v>185</v>
      </c>
      <c r="E94" s="51">
        <v>661.54</v>
      </c>
      <c r="F94" s="21">
        <v>1200</v>
      </c>
      <c r="G94" s="51">
        <v>55.5</v>
      </c>
      <c r="H94" s="51">
        <v>42.491298208112006</v>
      </c>
      <c r="I94" s="21"/>
      <c r="J94" s="21"/>
      <c r="K94" s="21"/>
      <c r="L94" s="21"/>
      <c r="M94" s="21"/>
      <c r="N94" s="21"/>
    </row>
    <row r="95" spans="1:14" ht="15.75">
      <c r="A95" s="21">
        <v>8</v>
      </c>
      <c r="B95" s="23">
        <v>1.1934499999999999</v>
      </c>
      <c r="C95" s="51">
        <v>419.33333333333331</v>
      </c>
      <c r="D95" s="21">
        <v>185</v>
      </c>
      <c r="E95" s="51">
        <v>540.20562500000005</v>
      </c>
      <c r="F95" s="21">
        <v>1200</v>
      </c>
      <c r="G95" s="51">
        <v>74</v>
      </c>
      <c r="H95" s="51">
        <v>58.223726742249831</v>
      </c>
      <c r="I95" s="21"/>
      <c r="J95" s="21"/>
      <c r="K95" s="21"/>
      <c r="L95" s="21"/>
      <c r="M95" s="21"/>
      <c r="N95" s="21"/>
    </row>
    <row r="96" spans="1:14" ht="15.75">
      <c r="A96" s="21">
        <v>9</v>
      </c>
      <c r="B96" s="23">
        <v>1.1934499999999999</v>
      </c>
      <c r="C96" s="51">
        <v>185</v>
      </c>
      <c r="D96" s="21">
        <v>185</v>
      </c>
      <c r="E96" s="51">
        <v>724.5440000000001</v>
      </c>
      <c r="F96" s="21">
        <v>1200</v>
      </c>
      <c r="G96" s="51">
        <v>79.285714285714292</v>
      </c>
      <c r="H96" s="51">
        <v>20.955112657422713</v>
      </c>
      <c r="I96" s="21"/>
      <c r="J96" s="21"/>
      <c r="K96" s="21"/>
      <c r="L96" s="21"/>
      <c r="M96" s="21"/>
      <c r="N96" s="21"/>
    </row>
    <row r="97" spans="1:14" ht="15.75">
      <c r="A97" s="21">
        <v>10</v>
      </c>
      <c r="B97" s="23">
        <v>1.1934499999999999</v>
      </c>
      <c r="C97" s="51">
        <v>225.21739130434784</v>
      </c>
      <c r="D97" s="21">
        <v>185</v>
      </c>
      <c r="E97" s="51">
        <v>704.07962500000008</v>
      </c>
      <c r="F97" s="21">
        <v>1200</v>
      </c>
      <c r="G97" s="51">
        <v>96.521739130434781</v>
      </c>
      <c r="H97" s="51">
        <v>30.161469707063514</v>
      </c>
      <c r="I97" s="21"/>
      <c r="J97" s="21"/>
      <c r="K97" s="21"/>
      <c r="L97" s="21"/>
      <c r="M97" s="21"/>
      <c r="N97" s="21"/>
    </row>
    <row r="98" spans="1:14" ht="15.75">
      <c r="A98" s="21">
        <v>11</v>
      </c>
      <c r="B98" s="23">
        <v>1.1934499999999999</v>
      </c>
      <c r="C98" s="51">
        <v>272.63157894736844</v>
      </c>
      <c r="D98" s="21">
        <v>185</v>
      </c>
      <c r="E98" s="51">
        <v>642.31662499999993</v>
      </c>
      <c r="F98" s="21">
        <v>1200</v>
      </c>
      <c r="G98" s="51">
        <v>116.84210526315792</v>
      </c>
      <c r="H98" s="51">
        <v>40.362912830766888</v>
      </c>
      <c r="I98" s="21"/>
      <c r="J98" s="21"/>
      <c r="K98" s="21"/>
      <c r="L98" s="21"/>
      <c r="M98" s="21"/>
      <c r="N98" s="21"/>
    </row>
    <row r="99" spans="1:14" ht="15.75">
      <c r="A99" s="21">
        <v>12</v>
      </c>
      <c r="B99" s="23">
        <v>1.1934499999999999</v>
      </c>
      <c r="C99" s="51">
        <v>370</v>
      </c>
      <c r="D99" s="21">
        <v>185</v>
      </c>
      <c r="E99" s="51">
        <v>508.37350000000009</v>
      </c>
      <c r="F99" s="21">
        <v>1200</v>
      </c>
      <c r="G99" s="51">
        <v>158.57142857142858</v>
      </c>
      <c r="H99" s="51">
        <v>58.095835252061583</v>
      </c>
      <c r="I99" s="21"/>
      <c r="J99" s="21"/>
      <c r="K99" s="21"/>
      <c r="L99" s="21"/>
      <c r="M99" s="21"/>
      <c r="N99" s="21"/>
    </row>
    <row r="100" spans="1:14" ht="15.75">
      <c r="A100" s="21">
        <v>13</v>
      </c>
      <c r="B100" s="23">
        <v>1.1934499999999999</v>
      </c>
      <c r="C100" s="51">
        <v>169.58333333333334</v>
      </c>
      <c r="D100" s="21">
        <v>185</v>
      </c>
      <c r="E100" s="51">
        <v>713.21599999999989</v>
      </c>
      <c r="F100" s="21">
        <v>1200</v>
      </c>
      <c r="G100" s="51">
        <v>138.75000000000003</v>
      </c>
      <c r="H100" s="51">
        <v>21.475337608813106</v>
      </c>
      <c r="I100" s="21"/>
      <c r="J100" s="21"/>
      <c r="K100" s="21"/>
      <c r="L100" s="21"/>
      <c r="M100" s="21"/>
      <c r="N100" s="21"/>
    </row>
    <row r="101" spans="1:14" ht="15.75">
      <c r="A101" s="21">
        <v>14</v>
      </c>
      <c r="B101" s="23">
        <v>1.1934499999999999</v>
      </c>
      <c r="C101" s="51">
        <v>214.21052631578951</v>
      </c>
      <c r="D101" s="21">
        <v>185</v>
      </c>
      <c r="E101" s="51">
        <v>642.31662499999993</v>
      </c>
      <c r="F101" s="21">
        <v>1200</v>
      </c>
      <c r="G101" s="51">
        <v>175.26315789473685</v>
      </c>
      <c r="H101" s="51">
        <v>31.760695200276032</v>
      </c>
      <c r="I101" s="21"/>
      <c r="J101" s="21"/>
      <c r="K101" s="21"/>
      <c r="L101" s="21"/>
      <c r="M101" s="21"/>
      <c r="N101" s="21"/>
    </row>
    <row r="102" spans="1:14" ht="15.75">
      <c r="A102" s="21">
        <v>15</v>
      </c>
      <c r="B102" s="23">
        <v>1.1934499999999999</v>
      </c>
      <c r="C102" s="51">
        <v>254.375</v>
      </c>
      <c r="D102" s="21">
        <v>185</v>
      </c>
      <c r="E102" s="51">
        <v>569.51600000000008</v>
      </c>
      <c r="F102" s="21">
        <v>1200</v>
      </c>
      <c r="G102" s="51">
        <v>208.125</v>
      </c>
      <c r="H102" s="51">
        <v>40.166130966876665</v>
      </c>
      <c r="I102" s="21"/>
      <c r="J102" s="21"/>
      <c r="K102" s="21"/>
      <c r="L102" s="21"/>
      <c r="M102" s="21"/>
      <c r="N102" s="21"/>
    </row>
    <row r="103" spans="1:14" ht="15.75">
      <c r="A103" s="21">
        <v>16</v>
      </c>
      <c r="B103" s="23">
        <v>1.1934499999999999</v>
      </c>
      <c r="C103" s="51">
        <v>369.99999999999994</v>
      </c>
      <c r="D103" s="21">
        <v>185</v>
      </c>
      <c r="E103" s="51">
        <v>397.74662500000005</v>
      </c>
      <c r="F103" s="21">
        <v>1200</v>
      </c>
      <c r="G103" s="51">
        <v>302.72727272727269</v>
      </c>
      <c r="H103" s="51">
        <v>59.403221791019078</v>
      </c>
      <c r="I103" s="21"/>
      <c r="J103" s="21"/>
      <c r="K103" s="21"/>
      <c r="L103" s="21"/>
      <c r="M103" s="21"/>
      <c r="N103" s="21"/>
    </row>
    <row r="105" spans="1:14">
      <c r="A105" s="4" t="s">
        <v>31</v>
      </c>
    </row>
    <row r="106" spans="1:14">
      <c r="A106" s="5" t="s">
        <v>78</v>
      </c>
    </row>
    <row r="107" spans="1:14">
      <c r="A107" s="5" t="s">
        <v>372</v>
      </c>
    </row>
    <row r="108" spans="1:14">
      <c r="A108" s="5" t="s">
        <v>79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3"/>
  <sheetViews>
    <sheetView topLeftCell="A13" workbookViewId="0"/>
  </sheetViews>
  <sheetFormatPr defaultColWidth="11.5546875" defaultRowHeight="15"/>
  <cols>
    <col min="1" max="1" width="21.5546875" customWidth="1"/>
    <col min="2" max="2" width="24.88671875" bestFit="1" customWidth="1"/>
    <col min="3" max="3" width="12.6640625" customWidth="1"/>
    <col min="4" max="4" width="12.109375" bestFit="1" customWidth="1"/>
    <col min="5" max="5" width="7" bestFit="1" customWidth="1"/>
    <col min="6" max="6" width="9.88671875" bestFit="1" customWidth="1"/>
    <col min="7" max="7" width="6.88671875" bestFit="1" customWidth="1"/>
    <col min="8" max="8" width="10.88671875" customWidth="1"/>
    <col min="9" max="9" width="12.109375" bestFit="1" customWidth="1"/>
    <col min="10" max="10" width="9" bestFit="1" customWidth="1"/>
    <col min="11" max="11" width="13.5546875" customWidth="1"/>
    <col min="12" max="12" width="9" bestFit="1" customWidth="1"/>
    <col min="13" max="13" width="10.88671875" customWidth="1"/>
    <col min="14" max="14" width="12" bestFit="1" customWidth="1"/>
    <col min="15" max="17" width="8.88671875" bestFit="1" customWidth="1"/>
    <col min="18" max="18" width="10.88671875" customWidth="1"/>
    <col min="19" max="19" width="12" bestFit="1" customWidth="1"/>
    <col min="20" max="22" width="8.88671875" bestFit="1" customWidth="1"/>
    <col min="23" max="23" width="10.88671875" customWidth="1"/>
    <col min="24" max="24" width="12" bestFit="1" customWidth="1"/>
    <col min="25" max="27" width="8.88671875" bestFit="1" customWidth="1"/>
    <col min="28" max="28" width="10.88671875" customWidth="1"/>
    <col min="29" max="29" width="12" bestFit="1" customWidth="1"/>
    <col min="30" max="32" width="8.88671875" bestFit="1" customWidth="1"/>
    <col min="33" max="33" width="10.88671875" customWidth="1"/>
    <col min="34" max="34" width="12" bestFit="1" customWidth="1"/>
    <col min="35" max="37" width="8.88671875" bestFit="1" customWidth="1"/>
  </cols>
  <sheetData>
    <row r="1" spans="1:43" ht="15.75">
      <c r="A1" s="2" t="s">
        <v>448</v>
      </c>
    </row>
    <row r="3" spans="1:43" ht="15.7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</row>
    <row r="4" spans="1:43" ht="15.75">
      <c r="A4" s="21" t="s">
        <v>351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</row>
    <row r="5" spans="1:43" ht="15.75">
      <c r="A5" s="83" t="s">
        <v>48</v>
      </c>
      <c r="B5" s="83"/>
      <c r="C5" s="83" t="s">
        <v>415</v>
      </c>
      <c r="D5" s="83"/>
      <c r="E5" s="83"/>
      <c r="F5" s="83"/>
      <c r="G5" s="83"/>
      <c r="H5" s="83" t="s">
        <v>416</v>
      </c>
      <c r="I5" s="83"/>
      <c r="J5" s="83"/>
      <c r="K5" s="83"/>
      <c r="L5" s="83"/>
      <c r="M5" s="83" t="s">
        <v>417</v>
      </c>
      <c r="N5" s="83"/>
      <c r="O5" s="83"/>
      <c r="P5" s="83"/>
      <c r="Q5" s="83"/>
      <c r="R5" s="83" t="s">
        <v>378</v>
      </c>
      <c r="S5" s="83"/>
      <c r="T5" s="83"/>
      <c r="U5" s="83"/>
      <c r="V5" s="83"/>
      <c r="W5" s="83" t="s">
        <v>379</v>
      </c>
      <c r="X5" s="83"/>
      <c r="Y5" s="83"/>
      <c r="Z5" s="83"/>
      <c r="AA5" s="83"/>
      <c r="AB5" s="83" t="s">
        <v>380</v>
      </c>
      <c r="AC5" s="83"/>
      <c r="AD5" s="83"/>
      <c r="AE5" s="83"/>
      <c r="AF5" s="83"/>
      <c r="AG5" s="83" t="s">
        <v>381</v>
      </c>
      <c r="AH5" s="83"/>
      <c r="AI5" s="83"/>
      <c r="AJ5" s="83"/>
      <c r="AK5" s="83"/>
      <c r="AL5" s="21"/>
      <c r="AM5" s="21"/>
      <c r="AN5" s="21"/>
      <c r="AO5" s="21"/>
      <c r="AP5" s="21"/>
      <c r="AQ5" s="21"/>
    </row>
    <row r="6" spans="1:43" ht="15.75">
      <c r="A6" s="83"/>
      <c r="B6" s="83"/>
      <c r="C6" s="22" t="s">
        <v>342</v>
      </c>
      <c r="D6" s="22" t="s">
        <v>343</v>
      </c>
      <c r="E6" s="83" t="s">
        <v>344</v>
      </c>
      <c r="F6" s="83"/>
      <c r="G6" s="83"/>
      <c r="H6" s="22" t="s">
        <v>342</v>
      </c>
      <c r="I6" s="22" t="s">
        <v>343</v>
      </c>
      <c r="J6" s="83" t="s">
        <v>344</v>
      </c>
      <c r="K6" s="83"/>
      <c r="L6" s="83"/>
      <c r="M6" s="22" t="s">
        <v>342</v>
      </c>
      <c r="N6" s="22" t="s">
        <v>343</v>
      </c>
      <c r="O6" s="83" t="s">
        <v>344</v>
      </c>
      <c r="P6" s="83"/>
      <c r="Q6" s="83"/>
      <c r="R6" s="22" t="s">
        <v>342</v>
      </c>
      <c r="S6" s="22" t="s">
        <v>343</v>
      </c>
      <c r="T6" s="83" t="s">
        <v>344</v>
      </c>
      <c r="U6" s="83"/>
      <c r="V6" s="83"/>
      <c r="W6" s="22" t="s">
        <v>342</v>
      </c>
      <c r="X6" s="22" t="s">
        <v>343</v>
      </c>
      <c r="Y6" s="83" t="s">
        <v>344</v>
      </c>
      <c r="Z6" s="83"/>
      <c r="AA6" s="83"/>
      <c r="AB6" s="22" t="s">
        <v>342</v>
      </c>
      <c r="AC6" s="22" t="s">
        <v>343</v>
      </c>
      <c r="AD6" s="83" t="s">
        <v>344</v>
      </c>
      <c r="AE6" s="83"/>
      <c r="AF6" s="83"/>
      <c r="AG6" s="22" t="s">
        <v>342</v>
      </c>
      <c r="AH6" s="22" t="s">
        <v>343</v>
      </c>
      <c r="AI6" s="83" t="s">
        <v>344</v>
      </c>
      <c r="AJ6" s="83"/>
      <c r="AK6" s="83"/>
      <c r="AL6" s="21"/>
      <c r="AM6" s="21"/>
      <c r="AN6" s="21"/>
      <c r="AO6" s="21"/>
      <c r="AP6" s="21"/>
      <c r="AQ6" s="21"/>
    </row>
    <row r="7" spans="1:43" ht="15.75">
      <c r="A7" s="83" t="s">
        <v>93</v>
      </c>
      <c r="B7" s="83"/>
      <c r="C7" s="22" t="s">
        <v>345</v>
      </c>
      <c r="D7" s="22" t="s">
        <v>347</v>
      </c>
      <c r="E7" s="52">
        <v>-2.32259358382254</v>
      </c>
      <c r="F7" s="52">
        <v>8.0455627056526063E-2</v>
      </c>
      <c r="G7" s="22"/>
      <c r="H7" s="22" t="s">
        <v>345</v>
      </c>
      <c r="I7" s="22" t="s">
        <v>347</v>
      </c>
      <c r="J7" s="52">
        <v>-11.72225138251514</v>
      </c>
      <c r="K7" s="52">
        <v>0.69425552739338525</v>
      </c>
      <c r="L7" s="22"/>
      <c r="M7" s="22" t="s">
        <v>345</v>
      </c>
      <c r="N7" s="22" t="s">
        <v>347</v>
      </c>
      <c r="O7" s="52">
        <v>-13.656231831774495</v>
      </c>
      <c r="P7" s="52">
        <v>0.81650785731837594</v>
      </c>
      <c r="Q7" s="22"/>
      <c r="R7" s="22" t="s">
        <v>345</v>
      </c>
      <c r="S7" s="22" t="s">
        <v>347</v>
      </c>
      <c r="T7" s="52">
        <v>-9.35841141543718</v>
      </c>
      <c r="U7" s="52">
        <v>0.85864724450225716</v>
      </c>
      <c r="V7" s="22"/>
      <c r="W7" s="22" t="s">
        <v>345</v>
      </c>
      <c r="X7" s="22" t="s">
        <v>347</v>
      </c>
      <c r="Y7" s="52">
        <v>-8.3128950045871122</v>
      </c>
      <c r="Z7" s="52">
        <v>0.80388819704081405</v>
      </c>
      <c r="AA7" s="22"/>
      <c r="AB7" s="22" t="s">
        <v>345</v>
      </c>
      <c r="AC7" s="22" t="s">
        <v>347</v>
      </c>
      <c r="AD7" s="52">
        <v>-10.120465219234095</v>
      </c>
      <c r="AE7" s="52">
        <v>1.3899909085506128</v>
      </c>
      <c r="AF7" s="22"/>
      <c r="AG7" s="22" t="s">
        <v>345</v>
      </c>
      <c r="AH7" s="22" t="s">
        <v>347</v>
      </c>
      <c r="AI7" s="52">
        <v>-11.322360876348483</v>
      </c>
      <c r="AJ7" s="52">
        <v>1.229359977085323</v>
      </c>
      <c r="AK7" s="22"/>
      <c r="AL7" s="21"/>
      <c r="AM7" s="21"/>
      <c r="AN7" s="21"/>
      <c r="AO7" s="21"/>
      <c r="AP7" s="21"/>
      <c r="AQ7" s="21"/>
    </row>
    <row r="8" spans="1:43" ht="15.75">
      <c r="A8" s="80" t="s">
        <v>50</v>
      </c>
      <c r="B8" s="80"/>
      <c r="C8" s="22" t="s">
        <v>345</v>
      </c>
      <c r="D8" s="22" t="s">
        <v>347</v>
      </c>
      <c r="E8" s="53">
        <v>-2.6310915934195056</v>
      </c>
      <c r="F8" s="53">
        <v>0.10370441221538904</v>
      </c>
      <c r="G8" s="24"/>
      <c r="H8" s="22" t="s">
        <v>345</v>
      </c>
      <c r="I8" s="22" t="s">
        <v>347</v>
      </c>
      <c r="J8" s="53">
        <v>-12.866709035932724</v>
      </c>
      <c r="K8" s="53">
        <v>0.38588766159720572</v>
      </c>
      <c r="L8" s="24"/>
      <c r="M8" s="22" t="s">
        <v>345</v>
      </c>
      <c r="N8" s="22" t="s">
        <v>347</v>
      </c>
      <c r="O8" s="53">
        <v>-14.570667018443176</v>
      </c>
      <c r="P8" s="53">
        <v>0.62935566883508598</v>
      </c>
      <c r="Q8" s="24"/>
      <c r="R8" s="22" t="s">
        <v>345</v>
      </c>
      <c r="S8" s="22" t="s">
        <v>347</v>
      </c>
      <c r="T8" s="53">
        <v>-10.180675524404506</v>
      </c>
      <c r="U8" s="53">
        <v>0.48531277091873953</v>
      </c>
      <c r="V8" s="24"/>
      <c r="W8" s="22" t="s">
        <v>345</v>
      </c>
      <c r="X8" s="22" t="s">
        <v>347</v>
      </c>
      <c r="Y8" s="53">
        <v>-11.530730097162547</v>
      </c>
      <c r="Z8" s="53">
        <v>4.3362141861074739E-2</v>
      </c>
      <c r="AA8" s="24"/>
      <c r="AB8" s="22" t="s">
        <v>345</v>
      </c>
      <c r="AC8" s="22" t="s">
        <v>347</v>
      </c>
      <c r="AD8" s="53">
        <v>-14.011205329188796</v>
      </c>
      <c r="AE8" s="53">
        <v>1.6223702194993508</v>
      </c>
      <c r="AF8" s="24"/>
      <c r="AG8" s="22" t="s">
        <v>345</v>
      </c>
      <c r="AH8" s="22" t="s">
        <v>347</v>
      </c>
      <c r="AI8" s="53">
        <v>-14.681996853918431</v>
      </c>
      <c r="AJ8" s="53">
        <v>1.3573561883028074</v>
      </c>
      <c r="AK8" s="24"/>
      <c r="AL8" s="21"/>
      <c r="AM8" s="21"/>
      <c r="AN8" s="21"/>
      <c r="AO8" s="21"/>
      <c r="AP8" s="21"/>
      <c r="AQ8" s="21"/>
    </row>
    <row r="9" spans="1:43" ht="15.75">
      <c r="A9" s="83" t="s">
        <v>94</v>
      </c>
      <c r="B9" s="83"/>
      <c r="C9" s="22" t="s">
        <v>345</v>
      </c>
      <c r="D9" s="22" t="s">
        <v>347</v>
      </c>
      <c r="E9" s="52">
        <v>-2.4320946650826709</v>
      </c>
      <c r="F9" s="52">
        <v>0.84266398169092838</v>
      </c>
      <c r="G9" s="22"/>
      <c r="H9" s="22" t="s">
        <v>345</v>
      </c>
      <c r="I9" s="22" t="s">
        <v>347</v>
      </c>
      <c r="J9" s="52">
        <v>-13.815510557964274</v>
      </c>
      <c r="K9" s="52">
        <v>0</v>
      </c>
      <c r="L9" s="22"/>
      <c r="M9" s="22" t="s">
        <v>345</v>
      </c>
      <c r="N9" s="22" t="s">
        <v>347</v>
      </c>
      <c r="O9" s="52">
        <v>-16.11809565095832</v>
      </c>
      <c r="P9" s="52">
        <v>0</v>
      </c>
      <c r="Q9" s="22"/>
      <c r="R9" s="22" t="s">
        <v>345</v>
      </c>
      <c r="S9" s="22" t="s">
        <v>347</v>
      </c>
      <c r="T9" s="52">
        <v>-10.444454693127572</v>
      </c>
      <c r="U9" s="52">
        <v>0.47353751974055197</v>
      </c>
      <c r="V9" s="22"/>
      <c r="W9" s="22" t="s">
        <v>346</v>
      </c>
      <c r="X9" s="22" t="s">
        <v>348</v>
      </c>
      <c r="Y9" s="54">
        <f>2.05*10^-6</f>
        <v>2.0499999999999999E-6</v>
      </c>
      <c r="Z9" s="54">
        <f>2.53*10^-7</f>
        <v>2.5299999999999995E-7</v>
      </c>
      <c r="AA9" s="54">
        <f>2.54*10^-7</f>
        <v>2.5399999999999997E-7</v>
      </c>
      <c r="AB9" s="22" t="s">
        <v>346</v>
      </c>
      <c r="AC9" s="22" t="s">
        <v>348</v>
      </c>
      <c r="AD9" s="54">
        <f>2.53*10^-6</f>
        <v>2.5299999999999995E-6</v>
      </c>
      <c r="AE9" s="54">
        <f>4.72*10^-7</f>
        <v>4.7199999999999994E-7</v>
      </c>
      <c r="AF9" s="54">
        <f>2.4*10^-6</f>
        <v>2.3999999999999999E-6</v>
      </c>
      <c r="AG9" s="22" t="s">
        <v>346</v>
      </c>
      <c r="AH9" s="22" t="s">
        <v>348</v>
      </c>
      <c r="AI9" s="54">
        <f>2.53*10^-6</f>
        <v>2.5299999999999995E-6</v>
      </c>
      <c r="AJ9" s="54">
        <f>4.72*10^-7</f>
        <v>4.7199999999999994E-7</v>
      </c>
      <c r="AK9" s="54">
        <f>2.4*10^-6</f>
        <v>2.3999999999999999E-6</v>
      </c>
      <c r="AL9" s="21"/>
      <c r="AM9" s="21"/>
      <c r="AN9" s="21"/>
      <c r="AO9" s="21"/>
      <c r="AP9" s="21"/>
      <c r="AQ9" s="21"/>
    </row>
    <row r="10" spans="1:43" ht="15.75">
      <c r="A10" s="80" t="s">
        <v>95</v>
      </c>
      <c r="B10" s="80"/>
      <c r="C10" s="22" t="s">
        <v>345</v>
      </c>
      <c r="D10" s="22" t="s">
        <v>347</v>
      </c>
      <c r="E10" s="53">
        <v>-2.5349187637340651</v>
      </c>
      <c r="F10" s="53">
        <v>0.28693913398176157</v>
      </c>
      <c r="G10" s="24"/>
      <c r="H10" s="22" t="s">
        <v>345</v>
      </c>
      <c r="I10" s="22" t="s">
        <v>347</v>
      </c>
      <c r="J10" s="53">
        <v>-12.006750679218188</v>
      </c>
      <c r="K10" s="53">
        <v>1.7781073746659584</v>
      </c>
      <c r="L10" s="24"/>
      <c r="M10" s="22" t="s">
        <v>345</v>
      </c>
      <c r="N10" s="22" t="s">
        <v>347</v>
      </c>
      <c r="O10" s="53">
        <v>-14.015683969349784</v>
      </c>
      <c r="P10" s="53">
        <v>1.5625447411466087</v>
      </c>
      <c r="Q10" s="24"/>
      <c r="R10" s="24" t="s">
        <v>349</v>
      </c>
      <c r="S10" s="24" t="s">
        <v>350</v>
      </c>
      <c r="T10" s="54">
        <f>9.46*10^-5</f>
        <v>9.4600000000000023E-5</v>
      </c>
      <c r="U10" s="54">
        <f>2.11*10^-4</f>
        <v>2.1100000000000001E-4</v>
      </c>
      <c r="V10" s="24"/>
      <c r="W10" s="22" t="s">
        <v>345</v>
      </c>
      <c r="X10" s="22" t="s">
        <v>347</v>
      </c>
      <c r="Y10" s="53">
        <v>-11.440789533853291</v>
      </c>
      <c r="Z10" s="53">
        <v>0</v>
      </c>
      <c r="AA10" s="24"/>
      <c r="AB10" s="22" t="s">
        <v>345</v>
      </c>
      <c r="AC10" s="22" t="s">
        <v>347</v>
      </c>
      <c r="AD10" s="53">
        <v>-9.7433075308636461</v>
      </c>
      <c r="AE10" s="53">
        <v>0.90848222203980145</v>
      </c>
      <c r="AF10" s="24"/>
      <c r="AG10" s="22" t="s">
        <v>345</v>
      </c>
      <c r="AH10" s="22" t="s">
        <v>347</v>
      </c>
      <c r="AI10" s="53">
        <v>-9.9750254046290614</v>
      </c>
      <c r="AJ10" s="53">
        <v>0.59659774161318324</v>
      </c>
      <c r="AK10" s="24"/>
      <c r="AL10" s="21"/>
      <c r="AM10" s="21"/>
      <c r="AN10" s="21"/>
      <c r="AO10" s="21"/>
      <c r="AP10" s="21"/>
      <c r="AQ10" s="21"/>
    </row>
    <row r="11" spans="1:43" ht="15.75">
      <c r="A11" s="80" t="s">
        <v>103</v>
      </c>
      <c r="B11" s="80"/>
      <c r="C11" s="22" t="s">
        <v>345</v>
      </c>
      <c r="D11" s="22" t="s">
        <v>347</v>
      </c>
      <c r="E11" s="53">
        <v>-2.2979136008503867</v>
      </c>
      <c r="F11" s="53">
        <v>0.28001496042029189</v>
      </c>
      <c r="G11" s="24"/>
      <c r="H11" s="22" t="s">
        <v>345</v>
      </c>
      <c r="I11" s="22" t="s">
        <v>347</v>
      </c>
      <c r="J11" s="53">
        <v>-11.091325726577672</v>
      </c>
      <c r="K11" s="53">
        <v>1.3540251005510995</v>
      </c>
      <c r="L11" s="24"/>
      <c r="M11" s="22" t="s">
        <v>345</v>
      </c>
      <c r="N11" s="22" t="s">
        <v>347</v>
      </c>
      <c r="O11" s="53">
        <v>-12.674423510097316</v>
      </c>
      <c r="P11" s="53">
        <v>0.49041462650577317</v>
      </c>
      <c r="Q11" s="24"/>
      <c r="R11" s="22" t="s">
        <v>346</v>
      </c>
      <c r="S11" s="22" t="s">
        <v>348</v>
      </c>
      <c r="T11" s="54">
        <f>1.09*10^-5</f>
        <v>1.0900000000000002E-5</v>
      </c>
      <c r="U11" s="54">
        <f>6.31*10^-6</f>
        <v>6.3099999999999997E-6</v>
      </c>
      <c r="V11" s="54">
        <f>9.17*10^-6</f>
        <v>9.1700000000000003E-6</v>
      </c>
      <c r="W11" s="22" t="s">
        <v>346</v>
      </c>
      <c r="X11" s="22" t="s">
        <v>348</v>
      </c>
      <c r="Y11" s="54">
        <f>2.16*10^-5</f>
        <v>2.1600000000000003E-5</v>
      </c>
      <c r="Z11" s="54">
        <f>1.47*10^-5</f>
        <v>1.4700000000000002E-5</v>
      </c>
      <c r="AA11" s="54">
        <f>1.57*10^-5</f>
        <v>1.5700000000000002E-5</v>
      </c>
      <c r="AB11" s="24" t="s">
        <v>349</v>
      </c>
      <c r="AC11" s="24" t="s">
        <v>350</v>
      </c>
      <c r="AD11" s="54">
        <f>1.06*10^-5</f>
        <v>1.0600000000000002E-5</v>
      </c>
      <c r="AE11" s="54">
        <f>1.19*10^-5</f>
        <v>1.1900000000000001E-5</v>
      </c>
      <c r="AF11" s="24"/>
      <c r="AG11" s="24" t="s">
        <v>349</v>
      </c>
      <c r="AH11" s="24" t="s">
        <v>350</v>
      </c>
      <c r="AI11" s="54">
        <f>1.06*10^-5</f>
        <v>1.0600000000000002E-5</v>
      </c>
      <c r="AJ11" s="54">
        <f>1.19*10^-5</f>
        <v>1.1900000000000001E-5</v>
      </c>
      <c r="AK11" s="24"/>
      <c r="AL11" s="21"/>
      <c r="AM11" s="21"/>
      <c r="AN11" s="21"/>
      <c r="AO11" s="21"/>
      <c r="AP11" s="21"/>
      <c r="AQ11" s="21"/>
    </row>
    <row r="12" spans="1:43" ht="15.75">
      <c r="A12" s="80" t="s">
        <v>51</v>
      </c>
      <c r="B12" s="80"/>
      <c r="C12" s="22" t="s">
        <v>345</v>
      </c>
      <c r="D12" s="22" t="s">
        <v>347</v>
      </c>
      <c r="E12" s="53">
        <v>-2.3279029009783354</v>
      </c>
      <c r="F12" s="53" t="s">
        <v>54</v>
      </c>
      <c r="G12" s="24"/>
      <c r="H12" s="22" t="s">
        <v>345</v>
      </c>
      <c r="I12" s="22" t="s">
        <v>347</v>
      </c>
      <c r="J12" s="53">
        <v>-12.716898269296165</v>
      </c>
      <c r="K12" s="53" t="s">
        <v>54</v>
      </c>
      <c r="L12" s="24"/>
      <c r="M12" s="22" t="s">
        <v>345</v>
      </c>
      <c r="N12" s="22" t="s">
        <v>347</v>
      </c>
      <c r="O12" s="53">
        <v>-14.326336181730264</v>
      </c>
      <c r="P12" s="53" t="s">
        <v>54</v>
      </c>
      <c r="Q12" s="24"/>
      <c r="R12" s="22" t="s">
        <v>345</v>
      </c>
      <c r="S12" s="22" t="s">
        <v>347</v>
      </c>
      <c r="T12" s="53">
        <v>-9.9558580361693867</v>
      </c>
      <c r="U12" s="52">
        <v>0</v>
      </c>
      <c r="V12" s="24"/>
      <c r="W12" s="22" t="s">
        <v>345</v>
      </c>
      <c r="X12" s="22" t="s">
        <v>347</v>
      </c>
      <c r="Y12" s="53">
        <v>-8.9313537196549984</v>
      </c>
      <c r="Z12" s="53">
        <v>0</v>
      </c>
      <c r="AA12" s="24"/>
      <c r="AB12" s="22" t="s">
        <v>345</v>
      </c>
      <c r="AC12" s="22" t="s">
        <v>347</v>
      </c>
      <c r="AD12" s="53">
        <v>-12.829846872850897</v>
      </c>
      <c r="AE12" s="53">
        <v>0</v>
      </c>
      <c r="AF12" s="24"/>
      <c r="AG12" s="22" t="s">
        <v>345</v>
      </c>
      <c r="AH12" s="22" t="s">
        <v>347</v>
      </c>
      <c r="AI12" s="53">
        <v>-12.829846872850897</v>
      </c>
      <c r="AJ12" s="53">
        <v>0</v>
      </c>
      <c r="AK12" s="24"/>
      <c r="AL12" s="21"/>
      <c r="AM12" s="21"/>
      <c r="AN12" s="21"/>
      <c r="AO12" s="21"/>
      <c r="AP12" s="21"/>
      <c r="AQ12" s="21"/>
    </row>
    <row r="13" spans="1:43" ht="15.75">
      <c r="A13" s="80" t="s">
        <v>15</v>
      </c>
      <c r="B13" s="80"/>
      <c r="C13" s="22" t="s">
        <v>345</v>
      </c>
      <c r="D13" s="22" t="s">
        <v>347</v>
      </c>
      <c r="E13" s="53">
        <v>-2.8806194664534863</v>
      </c>
      <c r="F13" s="53" t="s">
        <v>54</v>
      </c>
      <c r="G13" s="24"/>
      <c r="H13" s="22" t="s">
        <v>345</v>
      </c>
      <c r="I13" s="22" t="s">
        <v>347</v>
      </c>
      <c r="J13" s="53">
        <v>-13.815510557964274</v>
      </c>
      <c r="K13" s="53" t="s">
        <v>54</v>
      </c>
      <c r="L13" s="24"/>
      <c r="M13" s="22" t="s">
        <v>345</v>
      </c>
      <c r="N13" s="22" t="s">
        <v>347</v>
      </c>
      <c r="O13" s="53">
        <v>-16.11809565095832</v>
      </c>
      <c r="P13" s="53" t="s">
        <v>54</v>
      </c>
      <c r="Q13" s="24"/>
      <c r="R13" s="22" t="s">
        <v>345</v>
      </c>
      <c r="S13" s="22" t="s">
        <v>347</v>
      </c>
      <c r="T13" s="53">
        <v>-10.428407014595351</v>
      </c>
      <c r="U13" s="53">
        <v>0.57886223937933301</v>
      </c>
      <c r="V13" s="24"/>
      <c r="W13" s="22" t="s">
        <v>345</v>
      </c>
      <c r="X13" s="22" t="s">
        <v>347</v>
      </c>
      <c r="Y13" s="53">
        <v>-15.190293609783662</v>
      </c>
      <c r="Z13" s="53" t="s">
        <v>54</v>
      </c>
      <c r="AA13" s="24"/>
      <c r="AB13" s="22" t="s">
        <v>345</v>
      </c>
      <c r="AC13" s="22" t="s">
        <v>347</v>
      </c>
      <c r="AD13" s="53">
        <v>-12.939001811177167</v>
      </c>
      <c r="AE13" s="53" t="s">
        <v>54</v>
      </c>
      <c r="AF13" s="24"/>
      <c r="AG13" s="22" t="s">
        <v>345</v>
      </c>
      <c r="AH13" s="22" t="s">
        <v>347</v>
      </c>
      <c r="AI13" s="53">
        <v>-12.939001811177167</v>
      </c>
      <c r="AJ13" s="53" t="s">
        <v>54</v>
      </c>
      <c r="AK13" s="24"/>
      <c r="AL13" s="21"/>
      <c r="AM13" s="21"/>
      <c r="AN13" s="21"/>
      <c r="AO13" s="21"/>
      <c r="AP13" s="21"/>
      <c r="AQ13" s="21"/>
    </row>
    <row r="14" spans="1:43" ht="15.75">
      <c r="A14" s="80" t="s">
        <v>102</v>
      </c>
      <c r="B14" s="80"/>
      <c r="C14" s="22" t="s">
        <v>346</v>
      </c>
      <c r="D14" s="22" t="s">
        <v>348</v>
      </c>
      <c r="E14" s="53">
        <v>0.14299999999999999</v>
      </c>
      <c r="F14" s="53">
        <v>9.1700000000000004E-2</v>
      </c>
      <c r="G14" s="53">
        <v>0.106</v>
      </c>
      <c r="H14" s="22" t="s">
        <v>346</v>
      </c>
      <c r="I14" s="22" t="s">
        <v>348</v>
      </c>
      <c r="J14" s="54">
        <f>3*10^-5</f>
        <v>3.0000000000000004E-5</v>
      </c>
      <c r="K14" s="54">
        <f>2*10^-6</f>
        <v>1.9999999999999999E-6</v>
      </c>
      <c r="L14" s="54">
        <f>3*10^-5</f>
        <v>3.0000000000000004E-5</v>
      </c>
      <c r="M14" s="22" t="s">
        <v>346</v>
      </c>
      <c r="N14" s="22" t="s">
        <v>348</v>
      </c>
      <c r="O14" s="54">
        <f>4*10^-6</f>
        <v>3.9999999999999998E-6</v>
      </c>
      <c r="P14" s="54">
        <f>1.5*10^-6</f>
        <v>1.5E-6</v>
      </c>
      <c r="Q14" s="54">
        <f>4*10^-6</f>
        <v>3.9999999999999998E-6</v>
      </c>
      <c r="R14" s="24" t="s">
        <v>349</v>
      </c>
      <c r="S14" s="24" t="s">
        <v>350</v>
      </c>
      <c r="T14" s="54">
        <f>3.25*10^-5</f>
        <v>3.2500000000000004E-5</v>
      </c>
      <c r="U14" s="54">
        <f>3.83*10^-5</f>
        <v>3.8300000000000003E-5</v>
      </c>
      <c r="V14" s="54"/>
      <c r="W14" s="24" t="s">
        <v>349</v>
      </c>
      <c r="X14" s="24" t="s">
        <v>350</v>
      </c>
      <c r="Y14" s="54">
        <f>1.04*10^-5</f>
        <v>1.04E-5</v>
      </c>
      <c r="Z14" s="54">
        <f>1.1*10^-5</f>
        <v>1.1000000000000001E-5</v>
      </c>
      <c r="AA14" s="54"/>
      <c r="AB14" s="22" t="s">
        <v>345</v>
      </c>
      <c r="AC14" s="22" t="s">
        <v>347</v>
      </c>
      <c r="AD14" s="53">
        <v>-8.1606644691951171</v>
      </c>
      <c r="AE14" s="53" t="s">
        <v>54</v>
      </c>
      <c r="AF14" s="54"/>
      <c r="AG14" s="22" t="s">
        <v>345</v>
      </c>
      <c r="AH14" s="22" t="s">
        <v>347</v>
      </c>
      <c r="AI14" s="53">
        <v>-8.1606644691951171</v>
      </c>
      <c r="AJ14" s="53" t="s">
        <v>54</v>
      </c>
      <c r="AK14" s="54"/>
      <c r="AL14" s="21"/>
      <c r="AM14" s="21"/>
      <c r="AN14" s="21"/>
      <c r="AO14" s="21"/>
      <c r="AP14" s="21"/>
      <c r="AQ14" s="21"/>
    </row>
    <row r="15" spans="1:43" ht="15.75">
      <c r="A15" s="80" t="s">
        <v>100</v>
      </c>
      <c r="B15" s="80"/>
      <c r="C15" s="22" t="s">
        <v>345</v>
      </c>
      <c r="D15" s="22" t="s">
        <v>347</v>
      </c>
      <c r="E15" s="53">
        <v>-2.613194670089531</v>
      </c>
      <c r="F15" s="53" t="s">
        <v>54</v>
      </c>
      <c r="G15" s="24"/>
      <c r="H15" s="22" t="s">
        <v>345</v>
      </c>
      <c r="I15" s="22" t="s">
        <v>347</v>
      </c>
      <c r="J15" s="53">
        <v>-10.41431317630212</v>
      </c>
      <c r="K15" s="53" t="s">
        <v>54</v>
      </c>
      <c r="L15" s="24"/>
      <c r="M15" s="22" t="s">
        <v>345</v>
      </c>
      <c r="N15" s="22" t="s">
        <v>347</v>
      </c>
      <c r="O15" s="53">
        <v>-12.429216196844383</v>
      </c>
      <c r="P15" s="53" t="s">
        <v>54</v>
      </c>
      <c r="Q15" s="24"/>
      <c r="R15" s="22" t="s">
        <v>346</v>
      </c>
      <c r="S15" s="22" t="s">
        <v>348</v>
      </c>
      <c r="T15" s="54">
        <f>1.09*10^-5</f>
        <v>1.0900000000000002E-5</v>
      </c>
      <c r="U15" s="54">
        <f>6.31*10^-6</f>
        <v>6.3099999999999997E-6</v>
      </c>
      <c r="V15" s="54">
        <f>9.17*10^-6</f>
        <v>9.1700000000000003E-6</v>
      </c>
      <c r="W15" s="22" t="s">
        <v>346</v>
      </c>
      <c r="X15" s="22" t="s">
        <v>348</v>
      </c>
      <c r="Y15" s="54">
        <f>2.16*10^-5</f>
        <v>2.1600000000000003E-5</v>
      </c>
      <c r="Z15" s="54">
        <f>1.46*10^-5</f>
        <v>1.4600000000000001E-5</v>
      </c>
      <c r="AA15" s="54">
        <f>1.57*10^-5</f>
        <v>1.5700000000000002E-5</v>
      </c>
      <c r="AB15" s="24" t="s">
        <v>349</v>
      </c>
      <c r="AC15" s="24" t="s">
        <v>350</v>
      </c>
      <c r="AD15" s="54">
        <f>1.06*10^-5</f>
        <v>1.0600000000000002E-5</v>
      </c>
      <c r="AE15" s="54">
        <f>1.19*10^-5</f>
        <v>1.1900000000000001E-5</v>
      </c>
      <c r="AF15" s="24"/>
      <c r="AG15" s="24" t="s">
        <v>349</v>
      </c>
      <c r="AH15" s="24" t="s">
        <v>350</v>
      </c>
      <c r="AI15" s="54">
        <f>1.06*10^-5</f>
        <v>1.0600000000000002E-5</v>
      </c>
      <c r="AJ15" s="54">
        <f>1.19*10^-5</f>
        <v>1.1900000000000001E-5</v>
      </c>
      <c r="AK15" s="24"/>
      <c r="AL15" s="21"/>
      <c r="AM15" s="21"/>
      <c r="AN15" s="21"/>
      <c r="AO15" s="21"/>
      <c r="AP15" s="21"/>
      <c r="AQ15" s="21"/>
    </row>
    <row r="16" spans="1:43" ht="15.75">
      <c r="A16" s="55" t="s">
        <v>105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21"/>
      <c r="AM16" s="21"/>
      <c r="AN16" s="21"/>
      <c r="AO16" s="21"/>
      <c r="AP16" s="21"/>
      <c r="AQ16" s="21"/>
    </row>
    <row r="17" spans="1:43" ht="15.75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21"/>
      <c r="AM17" s="21"/>
      <c r="AN17" s="21"/>
      <c r="AO17" s="21"/>
      <c r="AP17" s="21"/>
      <c r="AQ17" s="21"/>
    </row>
    <row r="18" spans="1:43" ht="15.75">
      <c r="A18" s="21" t="s">
        <v>97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21"/>
      <c r="AM18" s="21"/>
      <c r="AN18" s="21"/>
      <c r="AO18" s="21"/>
      <c r="AP18" s="21"/>
      <c r="AQ18" s="21"/>
    </row>
    <row r="19" spans="1:43" ht="15.75">
      <c r="A19" s="21" t="s">
        <v>98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</row>
    <row r="20" spans="1:43" ht="15.75">
      <c r="A20" s="55" t="s">
        <v>96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</row>
    <row r="21" spans="1:43" ht="15.75">
      <c r="A21" s="55" t="s">
        <v>124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</row>
    <row r="22" spans="1:43" ht="15.75">
      <c r="A22" s="55" t="s">
        <v>101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</row>
    <row r="23" spans="1:43" ht="15.7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</row>
    <row r="24" spans="1:43" ht="15.75">
      <c r="A24" s="21" t="s">
        <v>55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</row>
    <row r="25" spans="1:43" ht="15.75">
      <c r="A25" s="21" t="s">
        <v>56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</row>
    <row r="26" spans="1:43" ht="15.75">
      <c r="A26" s="21" t="s">
        <v>57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</row>
    <row r="27" spans="1:43" ht="15.7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</row>
    <row r="28" spans="1:43" ht="15.7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</row>
    <row r="29" spans="1:43" ht="15.75">
      <c r="A29" s="21"/>
      <c r="B29" s="81" t="s">
        <v>438</v>
      </c>
      <c r="C29" s="81"/>
      <c r="D29" s="81"/>
      <c r="E29" s="81"/>
      <c r="F29" s="81"/>
      <c r="G29" s="81"/>
      <c r="H29" s="81"/>
      <c r="I29" s="8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</row>
    <row r="30" spans="1:43" ht="15.75">
      <c r="A30" s="73" t="s">
        <v>18</v>
      </c>
      <c r="B30" s="73" t="s">
        <v>49</v>
      </c>
      <c r="C30" s="73" t="s">
        <v>50</v>
      </c>
      <c r="D30" s="73" t="s">
        <v>15</v>
      </c>
      <c r="E30" s="73" t="s">
        <v>16</v>
      </c>
      <c r="F30" s="73" t="s">
        <v>439</v>
      </c>
      <c r="G30" s="73" t="s">
        <v>51</v>
      </c>
      <c r="H30" s="73" t="s">
        <v>440</v>
      </c>
      <c r="I30" s="73" t="s">
        <v>442</v>
      </c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</row>
    <row r="31" spans="1:43" ht="15.75">
      <c r="A31" s="21" t="s">
        <v>17</v>
      </c>
      <c r="B31" s="46">
        <v>0.29576152924685162</v>
      </c>
      <c r="C31" s="46">
        <v>0.36715224320298823</v>
      </c>
      <c r="D31" s="46">
        <v>0.29576152924685162</v>
      </c>
      <c r="E31" s="46">
        <v>2.1695561805924069E-2</v>
      </c>
      <c r="F31" s="46">
        <v>1.9629136497384E-2</v>
      </c>
      <c r="G31" s="46">
        <v>0</v>
      </c>
      <c r="H31" s="46">
        <v>0</v>
      </c>
      <c r="I31" s="46">
        <v>0</v>
      </c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</row>
    <row r="32" spans="1:43" ht="15.75">
      <c r="A32" s="21" t="s">
        <v>443</v>
      </c>
      <c r="B32" s="46">
        <f xml:space="preserve"> 0.56+0.016</f>
        <v>0.57600000000000007</v>
      </c>
      <c r="C32" s="46">
        <f>0+0.016</f>
        <v>1.6E-2</v>
      </c>
      <c r="D32" s="46">
        <v>0.4</v>
      </c>
      <c r="E32" s="46">
        <f>0+0.016</f>
        <v>1.6E-2</v>
      </c>
      <c r="F32" s="46">
        <v>0</v>
      </c>
      <c r="G32" s="46">
        <v>0</v>
      </c>
      <c r="H32" s="46">
        <v>0</v>
      </c>
      <c r="I32" s="46">
        <v>0</v>
      </c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</row>
    <row r="33" spans="1:43" ht="15.75">
      <c r="A33" s="21" t="s">
        <v>20</v>
      </c>
      <c r="B33" s="46">
        <v>0.20430659129033843</v>
      </c>
      <c r="C33" s="46">
        <v>0.40861318258067686</v>
      </c>
      <c r="D33" s="46">
        <f>0.36+0.016</f>
        <v>0.376</v>
      </c>
      <c r="E33" s="46">
        <v>0.10880529116580684</v>
      </c>
      <c r="F33" s="46">
        <f>0+0.016</f>
        <v>1.6E-2</v>
      </c>
      <c r="G33" s="46">
        <v>0</v>
      </c>
      <c r="H33" s="46">
        <v>0</v>
      </c>
      <c r="I33" s="46">
        <v>0</v>
      </c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</row>
    <row r="34" spans="1:43" ht="15.75">
      <c r="A34" s="21" t="s">
        <v>21</v>
      </c>
      <c r="B34" s="46">
        <v>0.61559852399931236</v>
      </c>
      <c r="C34" s="46">
        <v>5.9192165769164647E-2</v>
      </c>
      <c r="D34" s="46">
        <v>0.21309179676899273</v>
      </c>
      <c r="E34" s="46">
        <v>1.7437768551964099E-2</v>
      </c>
      <c r="F34" s="46">
        <v>9.4679744910565633E-2</v>
      </c>
      <c r="G34" s="46">
        <v>0</v>
      </c>
      <c r="H34" s="46">
        <v>0</v>
      </c>
      <c r="I34" s="46">
        <v>0</v>
      </c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</row>
    <row r="35" spans="1:43" ht="15.75">
      <c r="A35" s="21" t="s">
        <v>22</v>
      </c>
      <c r="B35" s="46">
        <v>0.93367526102998732</v>
      </c>
      <c r="C35" s="46">
        <v>5.9596293257233229E-2</v>
      </c>
      <c r="D35" s="46">
        <v>0</v>
      </c>
      <c r="E35" s="46">
        <v>2.4781358374122171E-3</v>
      </c>
      <c r="F35" s="46">
        <v>4.2503098753669264E-3</v>
      </c>
      <c r="G35" s="46">
        <v>0</v>
      </c>
      <c r="H35" s="46">
        <v>0</v>
      </c>
      <c r="I35" s="46">
        <v>0</v>
      </c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</row>
    <row r="36" spans="1:43" ht="15.75">
      <c r="A36" s="21" t="s">
        <v>23</v>
      </c>
      <c r="B36" s="46">
        <v>6.9310728609717071E-2</v>
      </c>
      <c r="C36" s="46">
        <v>0.23763678380474423</v>
      </c>
      <c r="D36" s="46">
        <v>0.67330422078010876</v>
      </c>
      <c r="E36" s="46">
        <v>3.8310113979752339E-4</v>
      </c>
      <c r="F36" s="46">
        <v>1.9365165665631932E-2</v>
      </c>
      <c r="G36" s="46">
        <v>0</v>
      </c>
      <c r="H36" s="46">
        <v>0</v>
      </c>
      <c r="I36" s="46">
        <v>0</v>
      </c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</row>
    <row r="37" spans="1:43" ht="15.75">
      <c r="A37" s="21" t="s">
        <v>24</v>
      </c>
      <c r="B37" s="46">
        <v>0.5626054738959283</v>
      </c>
      <c r="C37" s="46">
        <v>7.7600755020128059E-2</v>
      </c>
      <c r="D37" s="46">
        <v>1.9400188755032015E-2</v>
      </c>
      <c r="E37" s="46">
        <v>0.10330469248116973</v>
      </c>
      <c r="F37" s="46">
        <v>0.23708888984774101</v>
      </c>
      <c r="G37" s="46">
        <v>0</v>
      </c>
      <c r="H37" s="46">
        <v>0</v>
      </c>
      <c r="I37" s="46">
        <v>0</v>
      </c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</row>
    <row r="38" spans="1:43" ht="15.75">
      <c r="A38" s="21" t="s">
        <v>25</v>
      </c>
      <c r="B38" s="46">
        <v>0.96567976133942168</v>
      </c>
      <c r="C38" s="46">
        <v>1.0059164180618977E-2</v>
      </c>
      <c r="D38" s="46">
        <v>1.0059164180618977E-2</v>
      </c>
      <c r="E38" s="46">
        <v>5.3163201311190074E-3</v>
      </c>
      <c r="F38" s="46">
        <v>8.8855901682208058E-3</v>
      </c>
      <c r="G38" s="46">
        <v>0</v>
      </c>
      <c r="H38" s="46">
        <v>0</v>
      </c>
      <c r="I38" s="46">
        <v>0</v>
      </c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</row>
    <row r="39" spans="1:43" ht="15.75">
      <c r="A39" s="21" t="s">
        <v>444</v>
      </c>
      <c r="B39" s="46">
        <f xml:space="preserve"> 0.798 + 0.036</f>
        <v>0.83400000000000007</v>
      </c>
      <c r="C39" s="46">
        <f xml:space="preserve"> 0.02 + 0.036</f>
        <v>5.5999999999999994E-2</v>
      </c>
      <c r="D39" s="46">
        <f xml:space="preserve"> 0.036</f>
        <v>3.5999999999999997E-2</v>
      </c>
      <c r="E39" s="46">
        <f xml:space="preserve"> 0.036</f>
        <v>3.5999999999999997E-2</v>
      </c>
      <c r="F39" s="46">
        <f xml:space="preserve"> 0.036</f>
        <v>3.5999999999999997E-2</v>
      </c>
      <c r="G39" s="46">
        <v>0</v>
      </c>
      <c r="H39" s="46">
        <v>0</v>
      </c>
      <c r="I39" s="46">
        <v>0</v>
      </c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</row>
    <row r="40" spans="1:43" ht="15.75">
      <c r="A40" s="21" t="s">
        <v>27</v>
      </c>
      <c r="B40" s="46">
        <v>0</v>
      </c>
      <c r="C40" s="46">
        <v>0.66839102468616363</v>
      </c>
      <c r="D40" s="46">
        <v>0.30381410213007431</v>
      </c>
      <c r="E40" s="46">
        <v>7.5284429404569768E-3</v>
      </c>
      <c r="F40" s="46">
        <v>2.0266430243304434E-2</v>
      </c>
      <c r="G40" s="46">
        <v>0</v>
      </c>
      <c r="H40" s="46">
        <v>0</v>
      </c>
      <c r="I40" s="46">
        <v>0</v>
      </c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</row>
    <row r="41" spans="1:43" ht="15.75">
      <c r="A41" s="21" t="s">
        <v>28</v>
      </c>
      <c r="B41" s="46">
        <v>0.19493289301477548</v>
      </c>
      <c r="C41" s="46">
        <v>0.42885236463250603</v>
      </c>
      <c r="D41" s="46">
        <v>0.23391947161773055</v>
      </c>
      <c r="E41" s="46">
        <v>5.7153804790753694E-2</v>
      </c>
      <c r="F41" s="46">
        <v>8.514146594423383E-2</v>
      </c>
      <c r="G41" s="46">
        <v>0</v>
      </c>
      <c r="H41" s="46">
        <v>0</v>
      </c>
      <c r="I41" s="46">
        <v>0</v>
      </c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</row>
    <row r="42" spans="1:43" ht="15.75">
      <c r="A42" s="21" t="s">
        <v>29</v>
      </c>
      <c r="B42" s="46">
        <v>0.75165214781712975</v>
      </c>
      <c r="C42" s="46">
        <v>6.7547445419613591E-2</v>
      </c>
      <c r="D42" s="46">
        <v>4.9801492245075921E-2</v>
      </c>
      <c r="E42" s="46">
        <v>5.9665567236164473E-2</v>
      </c>
      <c r="F42" s="46">
        <v>7.1333347282015624E-2</v>
      </c>
      <c r="G42" s="46">
        <v>0</v>
      </c>
      <c r="H42" s="46">
        <v>0</v>
      </c>
      <c r="I42" s="46">
        <v>0</v>
      </c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</row>
    <row r="43" spans="1:43" ht="15.75">
      <c r="A43" s="21" t="s">
        <v>30</v>
      </c>
      <c r="B43" s="46">
        <v>0.57473877859083844</v>
      </c>
      <c r="C43" s="46">
        <v>6.0155369170921463E-3</v>
      </c>
      <c r="D43" s="46">
        <v>0.11089054850496122</v>
      </c>
      <c r="E43" s="46">
        <v>0</v>
      </c>
      <c r="F43" s="46">
        <v>0</v>
      </c>
      <c r="G43" s="46">
        <v>0.15413520421099694</v>
      </c>
      <c r="H43" s="46">
        <v>0.10063234668579873</v>
      </c>
      <c r="I43" s="46">
        <v>5.3587585090312542E-2</v>
      </c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</row>
    <row r="44" spans="1:43" ht="15.75">
      <c r="A44" s="21"/>
      <c r="B44" s="46"/>
      <c r="C44" s="46"/>
      <c r="D44" s="46"/>
      <c r="E44" s="46"/>
      <c r="F44" s="46"/>
      <c r="G44" s="46"/>
      <c r="H44" s="46"/>
      <c r="J44" s="46"/>
      <c r="K44" s="46"/>
      <c r="L44" s="46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</row>
    <row r="45" spans="1:43" ht="15.75">
      <c r="A45" s="21" t="s">
        <v>441</v>
      </c>
      <c r="K45" s="6"/>
    </row>
    <row r="46" spans="1:43" ht="15.75">
      <c r="A46" s="21" t="s">
        <v>445</v>
      </c>
      <c r="K46" s="6"/>
    </row>
    <row r="47" spans="1:43" ht="15.75">
      <c r="A47" s="21"/>
      <c r="K47" s="6"/>
    </row>
    <row r="48" spans="1:43" ht="15.75">
      <c r="A48" s="21"/>
      <c r="K48" s="6"/>
    </row>
    <row r="49" spans="1:11" ht="15.75">
      <c r="A49" s="21"/>
      <c r="B49" s="81" t="s">
        <v>450</v>
      </c>
      <c r="C49" s="81"/>
      <c r="D49" s="81"/>
      <c r="E49" s="81"/>
      <c r="F49" s="81"/>
      <c r="G49" s="81"/>
      <c r="K49" s="6"/>
    </row>
    <row r="50" spans="1:11" ht="78.75">
      <c r="A50" s="73" t="s">
        <v>18</v>
      </c>
      <c r="B50" s="75" t="s">
        <v>115</v>
      </c>
      <c r="C50" s="75" t="s">
        <v>116</v>
      </c>
      <c r="D50" s="75" t="s">
        <v>117</v>
      </c>
      <c r="E50" s="75" t="s">
        <v>451</v>
      </c>
      <c r="F50" s="75" t="s">
        <v>452</v>
      </c>
      <c r="G50" s="75" t="s">
        <v>118</v>
      </c>
      <c r="K50" s="6" t="s">
        <v>41</v>
      </c>
    </row>
    <row r="51" spans="1:11" ht="15.75">
      <c r="A51" s="21" t="s">
        <v>17</v>
      </c>
      <c r="B51" s="46">
        <v>0.79401383666223546</v>
      </c>
      <c r="C51" s="46">
        <v>0.1423631705261087</v>
      </c>
      <c r="D51" s="46">
        <v>0</v>
      </c>
      <c r="E51" s="46">
        <v>5.7841712888010773E-2</v>
      </c>
      <c r="F51" s="46">
        <v>0</v>
      </c>
      <c r="G51" s="46">
        <v>5.78127992364525E-3</v>
      </c>
      <c r="K51" s="76"/>
    </row>
    <row r="52" spans="1:11" ht="15.75">
      <c r="A52" s="21" t="s">
        <v>40</v>
      </c>
      <c r="B52" s="46">
        <v>0.90909090909090906</v>
      </c>
      <c r="C52" s="46">
        <v>3.0303030303030307E-2</v>
      </c>
      <c r="D52" s="46">
        <v>0</v>
      </c>
      <c r="E52" s="46">
        <v>0</v>
      </c>
      <c r="F52" s="46">
        <v>5.0505050505050509E-3</v>
      </c>
      <c r="G52" s="46">
        <v>7.575757575757576E-2</v>
      </c>
      <c r="H52" s="46"/>
      <c r="I52" s="46"/>
    </row>
    <row r="53" spans="1:11" ht="15.75">
      <c r="A53" s="21" t="s">
        <v>20</v>
      </c>
      <c r="B53" s="46">
        <v>0.68591513465847775</v>
      </c>
      <c r="C53" s="46">
        <v>0.19622432745790461</v>
      </c>
      <c r="D53" s="46">
        <v>0</v>
      </c>
      <c r="E53" s="46">
        <v>0.11786053788361765</v>
      </c>
      <c r="F53" s="46">
        <v>0</v>
      </c>
      <c r="G53" s="46">
        <v>0</v>
      </c>
      <c r="H53" s="46"/>
      <c r="I53" s="46"/>
    </row>
    <row r="54" spans="1:11" ht="15.75">
      <c r="A54" s="21" t="s">
        <v>21</v>
      </c>
      <c r="B54" s="46">
        <v>0.63255921533705539</v>
      </c>
      <c r="C54" s="46">
        <v>0.36744078466294461</v>
      </c>
      <c r="D54" s="46">
        <v>0</v>
      </c>
      <c r="E54" s="46">
        <v>0</v>
      </c>
      <c r="F54" s="46">
        <v>0</v>
      </c>
      <c r="G54" s="46">
        <v>0</v>
      </c>
      <c r="H54" s="46"/>
      <c r="I54" s="46"/>
    </row>
    <row r="55" spans="1:11" ht="15.75">
      <c r="A55" s="21" t="s">
        <v>22</v>
      </c>
      <c r="B55" s="46">
        <v>1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/>
      <c r="I55" s="46"/>
    </row>
    <row r="56" spans="1:11" ht="15.75">
      <c r="A56" s="21" t="s">
        <v>23</v>
      </c>
      <c r="B56" s="46">
        <v>0.33333333333333331</v>
      </c>
      <c r="C56" s="46">
        <v>0</v>
      </c>
      <c r="D56" s="46">
        <v>0</v>
      </c>
      <c r="E56" s="46">
        <v>0</v>
      </c>
      <c r="F56" s="46">
        <v>0</v>
      </c>
      <c r="G56" s="46">
        <v>0.66666666666666663</v>
      </c>
      <c r="H56" s="46"/>
      <c r="I56" s="46"/>
    </row>
    <row r="57" spans="1:11" ht="15.75">
      <c r="A57" s="21" t="s">
        <v>24</v>
      </c>
      <c r="B57" s="46">
        <v>0.48457991941582002</v>
      </c>
      <c r="C57" s="46">
        <v>0.28857669673636033</v>
      </c>
      <c r="D57" s="46">
        <v>6.5563462770822187E-2</v>
      </c>
      <c r="E57" s="46">
        <v>5.9816709190188104E-2</v>
      </c>
      <c r="F57" s="46">
        <v>6.7235416202542989E-2</v>
      </c>
      <c r="G57" s="46">
        <v>3.4227795684266364E-2</v>
      </c>
      <c r="H57" s="46"/>
      <c r="I57" s="46"/>
    </row>
    <row r="58" spans="1:11" ht="15.75">
      <c r="A58" s="21" t="s">
        <v>25</v>
      </c>
      <c r="B58" s="46">
        <v>0.96022471466303794</v>
      </c>
      <c r="C58" s="46">
        <v>3.9775285336962042E-2</v>
      </c>
      <c r="D58" s="46">
        <v>0</v>
      </c>
      <c r="E58" s="46">
        <v>0</v>
      </c>
      <c r="F58" s="46">
        <v>0</v>
      </c>
      <c r="G58" s="46">
        <v>0</v>
      </c>
      <c r="H58" s="46"/>
      <c r="I58" s="46"/>
      <c r="K58" s="6"/>
    </row>
    <row r="59" spans="1:11" ht="15.75">
      <c r="A59" s="21" t="s">
        <v>26</v>
      </c>
      <c r="B59" s="46">
        <v>0.86</v>
      </c>
      <c r="C59" s="46">
        <v>0.14000000000000001</v>
      </c>
      <c r="D59" s="46">
        <v>0</v>
      </c>
      <c r="E59" s="46">
        <v>0</v>
      </c>
      <c r="F59" s="46">
        <v>0</v>
      </c>
      <c r="G59" s="46">
        <v>0</v>
      </c>
      <c r="H59" s="46"/>
      <c r="I59" s="46"/>
      <c r="K59" s="6"/>
    </row>
    <row r="60" spans="1:11" ht="15.75">
      <c r="A60" s="21" t="s">
        <v>27</v>
      </c>
      <c r="B60" s="46">
        <v>0.95949742503120428</v>
      </c>
      <c r="C60" s="46">
        <v>4.0502574968795779E-2</v>
      </c>
      <c r="D60" s="46">
        <v>0</v>
      </c>
      <c r="E60" s="46">
        <v>0</v>
      </c>
      <c r="F60" s="46">
        <v>0</v>
      </c>
      <c r="G60" s="46">
        <v>0</v>
      </c>
      <c r="H60" s="46"/>
      <c r="I60" s="46"/>
      <c r="K60" s="6"/>
    </row>
    <row r="61" spans="1:11" ht="15.75">
      <c r="A61" s="21" t="s">
        <v>28</v>
      </c>
      <c r="B61" s="46">
        <v>0.51522447202767119</v>
      </c>
      <c r="C61" s="46">
        <v>0.25070838662251288</v>
      </c>
      <c r="D61" s="46">
        <v>1.1017106096159657E-2</v>
      </c>
      <c r="E61" s="46">
        <v>0.21392588782718377</v>
      </c>
      <c r="F61" s="46">
        <v>0</v>
      </c>
      <c r="G61" s="46">
        <v>9.1241474264725109E-3</v>
      </c>
      <c r="H61" s="46"/>
      <c r="I61" s="46"/>
      <c r="K61" s="6"/>
    </row>
    <row r="62" spans="1:11" ht="15.75">
      <c r="A62" s="21" t="s">
        <v>29</v>
      </c>
      <c r="B62" s="46">
        <v>0.83280762821411292</v>
      </c>
      <c r="C62" s="46">
        <v>8.7615258410147001E-2</v>
      </c>
      <c r="D62" s="46">
        <v>0</v>
      </c>
      <c r="E62" s="46">
        <v>7.9577113375740138E-2</v>
      </c>
      <c r="F62" s="46">
        <v>0</v>
      </c>
      <c r="G62" s="46">
        <v>0</v>
      </c>
      <c r="H62" s="46"/>
      <c r="I62" s="46"/>
      <c r="K62" s="6"/>
    </row>
    <row r="63" spans="1:11" ht="15.75">
      <c r="A63" s="21" t="s">
        <v>30</v>
      </c>
      <c r="B63" s="46">
        <v>0.68177712116033506</v>
      </c>
      <c r="C63" s="46">
        <v>0.11960155811636099</v>
      </c>
      <c r="D63" s="46">
        <v>5.9418632197934716E-2</v>
      </c>
      <c r="E63" s="46">
        <v>9.7147468806284873E-2</v>
      </c>
      <c r="F63" s="46">
        <v>0</v>
      </c>
      <c r="G63" s="46">
        <v>4.2055219719084269E-2</v>
      </c>
      <c r="H63" s="46"/>
      <c r="I63" s="46"/>
      <c r="K63" s="6"/>
    </row>
    <row r="64" spans="1:11" ht="15.75">
      <c r="A64" s="21"/>
      <c r="B64" s="46"/>
      <c r="C64" s="46"/>
      <c r="D64" s="46"/>
      <c r="E64" s="46"/>
      <c r="F64" s="46"/>
      <c r="G64" s="46"/>
      <c r="H64" s="46"/>
      <c r="I64" s="46"/>
      <c r="K64" s="6"/>
    </row>
    <row r="65" spans="1:11" ht="15.75">
      <c r="A65" s="21"/>
      <c r="B65" s="46"/>
      <c r="C65" s="46"/>
      <c r="D65" s="46"/>
      <c r="E65" s="46"/>
      <c r="F65" s="46"/>
      <c r="G65" s="46"/>
      <c r="H65" s="46"/>
      <c r="I65" s="46"/>
      <c r="K65" s="6"/>
    </row>
    <row r="66" spans="1:11" ht="15.75">
      <c r="B66" s="82" t="s">
        <v>454</v>
      </c>
      <c r="C66" s="82"/>
      <c r="D66" s="82"/>
      <c r="E66" s="46"/>
      <c r="F66" s="46"/>
      <c r="G66" s="46"/>
      <c r="H66" s="46"/>
      <c r="I66" s="46"/>
      <c r="K66" s="6"/>
    </row>
    <row r="67" spans="1:11" ht="15.75">
      <c r="A67" s="21"/>
      <c r="B67" t="s">
        <v>455</v>
      </c>
      <c r="C67" s="46" t="s">
        <v>456</v>
      </c>
      <c r="D67" s="46" t="s">
        <v>457</v>
      </c>
      <c r="E67" s="46"/>
      <c r="F67" s="46"/>
      <c r="G67" s="46"/>
      <c r="H67" s="46"/>
      <c r="I67" s="46"/>
      <c r="K67" s="6"/>
    </row>
    <row r="68" spans="1:11" ht="31.5">
      <c r="A68" s="76" t="s">
        <v>115</v>
      </c>
      <c r="B68" s="77">
        <v>3.3875506313452837</v>
      </c>
      <c r="C68" s="77">
        <v>4.0574152928281002</v>
      </c>
      <c r="D68" s="77">
        <v>3.0216843566909302</v>
      </c>
      <c r="E68" s="46"/>
      <c r="F68" s="46"/>
      <c r="G68" s="46"/>
      <c r="H68" s="46"/>
      <c r="I68" s="46"/>
      <c r="K68" s="6"/>
    </row>
    <row r="69" spans="1:11" ht="31.5">
      <c r="A69" s="76" t="s">
        <v>116</v>
      </c>
      <c r="B69" s="77">
        <v>3.6803307030003167</v>
      </c>
      <c r="C69" s="77">
        <v>3.9718866012295497</v>
      </c>
      <c r="D69" s="77">
        <v>3.4876183862032799</v>
      </c>
      <c r="E69" s="46"/>
      <c r="F69" s="46"/>
      <c r="G69" s="46"/>
      <c r="H69" s="46"/>
      <c r="I69" s="46"/>
      <c r="K69" s="6"/>
    </row>
    <row r="70" spans="1:11" ht="47.25">
      <c r="A70" s="76" t="s">
        <v>117</v>
      </c>
      <c r="B70" s="77">
        <v>3.8157324053686299</v>
      </c>
      <c r="C70" s="77">
        <v>5.1871554437776908</v>
      </c>
      <c r="D70" s="77">
        <v>3.4831601513350501</v>
      </c>
      <c r="E70" s="46"/>
      <c r="F70" s="46"/>
      <c r="G70" s="46"/>
      <c r="H70" s="46"/>
      <c r="I70" s="46"/>
      <c r="K70" s="6"/>
    </row>
    <row r="71" spans="1:11" ht="15.75">
      <c r="A71" s="76" t="s">
        <v>452</v>
      </c>
      <c r="B71" s="77">
        <v>3.9014679976354132</v>
      </c>
      <c r="C71" s="77">
        <v>5.3565923195402503</v>
      </c>
      <c r="D71" s="77">
        <v>3.7845772992437201</v>
      </c>
      <c r="E71" s="46"/>
      <c r="F71" s="46"/>
      <c r="G71" s="46"/>
      <c r="H71" s="46"/>
      <c r="I71" s="46"/>
      <c r="K71" s="6"/>
    </row>
    <row r="72" spans="1:11" ht="15.75">
      <c r="A72" s="76" t="s">
        <v>118</v>
      </c>
      <c r="B72" s="77">
        <v>5.553738348864929</v>
      </c>
      <c r="C72" s="77">
        <v>7.0289609718340698</v>
      </c>
      <c r="D72" s="77">
        <v>5.0111187771987895</v>
      </c>
      <c r="E72" s="46"/>
      <c r="F72" s="46"/>
      <c r="G72" s="46"/>
      <c r="H72" s="46"/>
      <c r="I72" s="46"/>
      <c r="K72" s="6"/>
    </row>
    <row r="73" spans="1:11" ht="31.5">
      <c r="A73" s="76" t="s">
        <v>453</v>
      </c>
      <c r="B73" s="77">
        <v>4.0677640172429141</v>
      </c>
      <c r="C73" s="23">
        <v>5.1204021258419319</v>
      </c>
      <c r="D73" s="23">
        <v>3.7576317941343542</v>
      </c>
      <c r="K73" s="6"/>
    </row>
    <row r="74" spans="1:11" ht="15.75">
      <c r="A74" s="21"/>
      <c r="K74" s="6"/>
    </row>
    <row r="75" spans="1:11" ht="15.75">
      <c r="A75" s="21" t="s">
        <v>41</v>
      </c>
    </row>
    <row r="76" spans="1:11">
      <c r="A76" s="4" t="s">
        <v>34</v>
      </c>
    </row>
    <row r="77" spans="1:11">
      <c r="A77" s="9" t="s">
        <v>99</v>
      </c>
    </row>
    <row r="78" spans="1:11">
      <c r="A78" s="5" t="s">
        <v>104</v>
      </c>
    </row>
    <row r="79" spans="1:11">
      <c r="A79" s="9" t="s">
        <v>106</v>
      </c>
    </row>
    <row r="80" spans="1:11">
      <c r="A80" s="5" t="s">
        <v>107</v>
      </c>
    </row>
    <row r="81" spans="1:1">
      <c r="A81" s="5" t="s">
        <v>113</v>
      </c>
    </row>
    <row r="82" spans="1:1">
      <c r="A82" s="74" t="s">
        <v>446</v>
      </c>
    </row>
    <row r="83" spans="1:1">
      <c r="A83" s="5" t="s">
        <v>447</v>
      </c>
    </row>
  </sheetData>
  <mergeCells count="27">
    <mergeCell ref="C5:G5"/>
    <mergeCell ref="A14:B14"/>
    <mergeCell ref="AB5:AF5"/>
    <mergeCell ref="AD6:AF6"/>
    <mergeCell ref="A15:B15"/>
    <mergeCell ref="A12:B12"/>
    <mergeCell ref="A13:B13"/>
    <mergeCell ref="A8:B8"/>
    <mergeCell ref="A10:B10"/>
    <mergeCell ref="A11:B11"/>
    <mergeCell ref="A9:B9"/>
    <mergeCell ref="B29:I29"/>
    <mergeCell ref="B49:G49"/>
    <mergeCell ref="B66:D66"/>
    <mergeCell ref="AG5:AK5"/>
    <mergeCell ref="AI6:AK6"/>
    <mergeCell ref="A7:B7"/>
    <mergeCell ref="Y6:AA6"/>
    <mergeCell ref="J6:L6"/>
    <mergeCell ref="M5:Q5"/>
    <mergeCell ref="O6:Q6"/>
    <mergeCell ref="R5:V5"/>
    <mergeCell ref="T6:V6"/>
    <mergeCell ref="H5:L5"/>
    <mergeCell ref="W5:AA5"/>
    <mergeCell ref="A5:B6"/>
    <mergeCell ref="E6:G6"/>
  </mergeCells>
  <hyperlinks>
    <hyperlink ref="A82" r:id="rId1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/>
  </sheetViews>
  <sheetFormatPr defaultColWidth="11.5546875" defaultRowHeight="15"/>
  <cols>
    <col min="1" max="1" width="50.33203125" customWidth="1"/>
    <col min="2" max="2" width="7.88671875" bestFit="1" customWidth="1"/>
    <col min="3" max="3" width="19.88671875" bestFit="1" customWidth="1"/>
    <col min="4" max="4" width="6.88671875" bestFit="1" customWidth="1"/>
    <col min="5" max="5" width="7" bestFit="1" customWidth="1"/>
    <col min="6" max="6" width="6.88671875" bestFit="1" customWidth="1"/>
    <col min="7" max="7" width="30.33203125" bestFit="1" customWidth="1"/>
    <col min="8" max="10" width="6.88671875" bestFit="1" customWidth="1"/>
    <col min="11" max="11" width="10" bestFit="1" customWidth="1"/>
    <col min="12" max="12" width="16.88671875" bestFit="1" customWidth="1"/>
    <col min="13" max="13" width="23.109375" bestFit="1" customWidth="1"/>
    <col min="14" max="14" width="11.33203125" bestFit="1" customWidth="1"/>
  </cols>
  <sheetData>
    <row r="1" spans="1:14" ht="15.75">
      <c r="A1" s="2" t="s">
        <v>418</v>
      </c>
    </row>
    <row r="2" spans="1:14" ht="15.7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5.75">
      <c r="A3" s="56"/>
      <c r="B3" s="84" t="s">
        <v>18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5"/>
    </row>
    <row r="4" spans="1:14" ht="15.75">
      <c r="A4" s="57" t="s">
        <v>14</v>
      </c>
      <c r="B4" s="58" t="s">
        <v>17</v>
      </c>
      <c r="C4" s="58" t="s">
        <v>19</v>
      </c>
      <c r="D4" s="58" t="s">
        <v>20</v>
      </c>
      <c r="E4" s="58" t="s">
        <v>21</v>
      </c>
      <c r="F4" s="58" t="s">
        <v>22</v>
      </c>
      <c r="G4" s="58" t="s">
        <v>23</v>
      </c>
      <c r="H4" s="58" t="s">
        <v>24</v>
      </c>
      <c r="I4" s="58" t="s">
        <v>25</v>
      </c>
      <c r="J4" s="58" t="s">
        <v>26</v>
      </c>
      <c r="K4" s="58" t="s">
        <v>27</v>
      </c>
      <c r="L4" s="58" t="s">
        <v>28</v>
      </c>
      <c r="M4" s="58" t="s">
        <v>29</v>
      </c>
      <c r="N4" s="59" t="s">
        <v>30</v>
      </c>
    </row>
    <row r="5" spans="1:14" ht="15.75">
      <c r="A5" s="60" t="s">
        <v>49</v>
      </c>
      <c r="B5" s="61">
        <v>0.11692172002521796</v>
      </c>
      <c r="C5" s="61">
        <v>0.68213664451982259</v>
      </c>
      <c r="D5" s="61">
        <v>2.2009773502947558E-2</v>
      </c>
      <c r="E5" s="61">
        <v>0.14464767418909136</v>
      </c>
      <c r="F5" s="61">
        <v>0.77743524839925704</v>
      </c>
      <c r="G5" s="61">
        <v>0.19934325705107378</v>
      </c>
      <c r="H5" s="61">
        <v>0.27240097182563355</v>
      </c>
      <c r="I5" s="61">
        <v>0.68027543961996828</v>
      </c>
      <c r="J5" s="61">
        <v>0.27205796946060173</v>
      </c>
      <c r="K5" s="61">
        <v>1.7374559252964945E-2</v>
      </c>
      <c r="L5" s="61">
        <v>7.4043142639120985E-2</v>
      </c>
      <c r="M5" s="61">
        <v>0.26506649355505224</v>
      </c>
      <c r="N5" s="62">
        <v>0.45545881847789832</v>
      </c>
    </row>
    <row r="6" spans="1:14" ht="15.75">
      <c r="A6" s="63" t="s">
        <v>50</v>
      </c>
      <c r="B6" s="61">
        <v>0.17136511832966309</v>
      </c>
      <c r="C6" s="61">
        <v>1.1853091137470505E-2</v>
      </c>
      <c r="D6" s="61">
        <v>3.1162736580825311E-2</v>
      </c>
      <c r="E6" s="61">
        <v>1.2171853411408643E-2</v>
      </c>
      <c r="F6" s="61">
        <v>3.1504590665861077E-3</v>
      </c>
      <c r="G6" s="61">
        <v>8.5070366451745708E-3</v>
      </c>
      <c r="H6" s="61">
        <v>2.5115298766323034E-2</v>
      </c>
      <c r="I6" s="61">
        <v>2.7543961996833073E-2</v>
      </c>
      <c r="J6" s="61">
        <v>8.7070344260683871E-2</v>
      </c>
      <c r="K6" s="61">
        <v>0.31154304916644859</v>
      </c>
      <c r="L6" s="61">
        <v>0.17948007077671349</v>
      </c>
      <c r="M6" s="61">
        <v>0.11252187969565894</v>
      </c>
      <c r="N6" s="64">
        <v>1.0983414108285638E-2</v>
      </c>
    </row>
    <row r="7" spans="1:14" ht="15.75">
      <c r="A7" s="60" t="s">
        <v>15</v>
      </c>
      <c r="B7" s="61">
        <v>0.48247766794731717</v>
      </c>
      <c r="C7" s="61">
        <v>0.15648776928762939</v>
      </c>
      <c r="D7" s="61">
        <v>7.0741545144275497E-2</v>
      </c>
      <c r="E7" s="61">
        <v>8.5400355286532004E-2</v>
      </c>
      <c r="F7" s="61">
        <v>1.7031272995653459E-2</v>
      </c>
      <c r="G7" s="61">
        <v>0.48026953063501532</v>
      </c>
      <c r="H7" s="61">
        <v>0.27866316691098914</v>
      </c>
      <c r="I7" s="61">
        <v>0.12270814234519545</v>
      </c>
      <c r="J7" s="61">
        <v>0.27208477408171833</v>
      </c>
      <c r="K7" s="61">
        <v>0.6481188499204229</v>
      </c>
      <c r="L7" s="61">
        <v>0.33385398577754583</v>
      </c>
      <c r="M7" s="61">
        <v>0.40256709401379853</v>
      </c>
      <c r="N7" s="64">
        <v>0.23247427154087547</v>
      </c>
    </row>
    <row r="8" spans="1:14" ht="15.75">
      <c r="A8" s="60" t="s">
        <v>16</v>
      </c>
      <c r="B8" s="65">
        <v>1.7835124996628505E-3</v>
      </c>
      <c r="C8" s="65">
        <v>1.5906244101884695E-2</v>
      </c>
      <c r="D8" s="65">
        <v>6.0909866583927996E-2</v>
      </c>
      <c r="E8" s="65">
        <v>1.4326600434239094E-2</v>
      </c>
      <c r="F8" s="65">
        <v>2.7042282578371725E-3</v>
      </c>
      <c r="G8" s="65">
        <v>2.0888569055418534E-3</v>
      </c>
      <c r="H8" s="65">
        <v>2.9928815996798575E-2</v>
      </c>
      <c r="I8" s="65">
        <v>2.1460121676806403E-3</v>
      </c>
      <c r="J8" s="65">
        <v>2.09522788395386E-2</v>
      </c>
      <c r="K8" s="65">
        <v>5.1600429703306053E-5</v>
      </c>
      <c r="L8" s="65">
        <v>2.2822771959328247E-2</v>
      </c>
      <c r="M8" s="65">
        <v>5.6778899952743805E-3</v>
      </c>
      <c r="N8" s="64">
        <v>1.7227675736909663E-2</v>
      </c>
    </row>
    <row r="9" spans="1:14" ht="15.75">
      <c r="A9" s="57" t="s">
        <v>170</v>
      </c>
      <c r="B9" s="66">
        <v>0.22745198119813892</v>
      </c>
      <c r="C9" s="66">
        <v>0.13361625095319282</v>
      </c>
      <c r="D9" s="66">
        <v>0.8151760781880234</v>
      </c>
      <c r="E9" s="66">
        <v>0.74345351667872872</v>
      </c>
      <c r="F9" s="66">
        <v>0.19967879128066635</v>
      </c>
      <c r="G9" s="66">
        <v>0.30979131876319449</v>
      </c>
      <c r="H9" s="66">
        <v>0.39389174650025577</v>
      </c>
      <c r="I9" s="66">
        <v>0.16732644387032256</v>
      </c>
      <c r="J9" s="66">
        <v>0.34783463335745751</v>
      </c>
      <c r="K9" s="66">
        <v>2.2911941230460173E-2</v>
      </c>
      <c r="L9" s="66">
        <v>0.38980002884729142</v>
      </c>
      <c r="M9" s="66">
        <v>0.21416664274021568</v>
      </c>
      <c r="N9" s="67">
        <v>0.28385582013603078</v>
      </c>
    </row>
    <row r="10" spans="1:14" ht="15.75">
      <c r="A10" s="21"/>
      <c r="B10" s="47"/>
      <c r="C10" s="47"/>
      <c r="D10" s="47"/>
      <c r="E10" s="47"/>
      <c r="F10" s="21"/>
      <c r="G10" s="21"/>
      <c r="H10" s="21"/>
      <c r="I10" s="21"/>
      <c r="J10" s="21"/>
      <c r="K10" s="21"/>
      <c r="L10" s="21"/>
      <c r="M10" s="21"/>
      <c r="N10" s="21"/>
    </row>
    <row r="11" spans="1:14">
      <c r="A11" s="4" t="s">
        <v>34</v>
      </c>
    </row>
    <row r="12" spans="1:14">
      <c r="A12" s="5" t="s">
        <v>32</v>
      </c>
    </row>
    <row r="13" spans="1:14">
      <c r="A13" s="5" t="s">
        <v>33</v>
      </c>
    </row>
    <row r="15" spans="1:14">
      <c r="A15" s="1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s="3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ht="15.75">
      <c r="A17" s="21" t="s">
        <v>184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>
      <c r="A18" s="3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>
      <c r="A19" s="3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>
      <c r="A20" s="3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>
      <c r="A21" s="3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>
      <c r="A22" s="3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>
      <c r="A23" s="3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</sheetData>
  <mergeCells count="1">
    <mergeCell ref="B3:N3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/>
  </sheetViews>
  <sheetFormatPr defaultColWidth="11.5546875" defaultRowHeight="15"/>
  <cols>
    <col min="1" max="1" width="41.44140625" bestFit="1" customWidth="1"/>
    <col min="3" max="3" width="11.5546875" customWidth="1"/>
    <col min="4" max="6" width="12.109375" bestFit="1" customWidth="1"/>
  </cols>
  <sheetData>
    <row r="1" spans="1:12" ht="15.75">
      <c r="A1" s="2" t="s">
        <v>419</v>
      </c>
    </row>
    <row r="3" spans="1:12" ht="15.7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30" customHeight="1">
      <c r="A4" s="68" t="s">
        <v>376</v>
      </c>
      <c r="B4" s="86" t="s">
        <v>355</v>
      </c>
      <c r="C4" s="86"/>
      <c r="D4" s="86"/>
      <c r="E4" s="86"/>
      <c r="F4" s="86"/>
      <c r="G4" s="86"/>
      <c r="H4" s="86"/>
      <c r="I4" s="86"/>
      <c r="J4" s="86"/>
      <c r="K4" s="86"/>
      <c r="L4" s="86"/>
    </row>
    <row r="5" spans="1:12" ht="15.75">
      <c r="A5" s="21"/>
      <c r="B5" s="21" t="s">
        <v>378</v>
      </c>
      <c r="C5" s="21" t="s">
        <v>379</v>
      </c>
      <c r="D5" s="21" t="s">
        <v>53</v>
      </c>
      <c r="E5" s="21" t="s">
        <v>52</v>
      </c>
      <c r="F5" s="21" t="s">
        <v>415</v>
      </c>
      <c r="G5" s="21"/>
      <c r="H5" s="21"/>
      <c r="I5" s="80" t="s">
        <v>380</v>
      </c>
      <c r="J5" s="80"/>
      <c r="K5" s="80" t="s">
        <v>381</v>
      </c>
      <c r="L5" s="80"/>
    </row>
    <row r="6" spans="1:12" ht="15.75">
      <c r="A6" s="21"/>
      <c r="B6" s="21"/>
      <c r="C6" s="21"/>
      <c r="D6" s="21"/>
      <c r="E6" s="21"/>
      <c r="F6" s="21"/>
      <c r="G6" s="22" t="s">
        <v>342</v>
      </c>
      <c r="H6" s="22" t="s">
        <v>343</v>
      </c>
      <c r="I6" s="83" t="s">
        <v>344</v>
      </c>
      <c r="J6" s="83"/>
      <c r="K6" s="83" t="s">
        <v>344</v>
      </c>
      <c r="L6" s="83"/>
    </row>
    <row r="7" spans="1:12" ht="15.75">
      <c r="A7" s="21" t="s">
        <v>115</v>
      </c>
      <c r="B7" s="69">
        <v>1.8318134105267445</v>
      </c>
      <c r="C7" s="69">
        <v>4.5239959567170362E-2</v>
      </c>
      <c r="D7" s="24" t="s">
        <v>54</v>
      </c>
      <c r="E7" s="69">
        <v>1.7617561729162026</v>
      </c>
      <c r="F7" s="21">
        <v>510</v>
      </c>
      <c r="G7" s="24" t="s">
        <v>349</v>
      </c>
      <c r="H7" s="24" t="s">
        <v>350</v>
      </c>
      <c r="I7" s="25">
        <f t="shared" ref="I7:I12" si="0">(0.00064+0.0042)*10^-3</f>
        <v>4.8399999999999994E-6</v>
      </c>
      <c r="J7" s="25">
        <v>2.2450000000000001E-4</v>
      </c>
      <c r="K7" s="25">
        <f t="shared" ref="K7:K12" si="1">(0.00064+0.0042)*10^-3</f>
        <v>4.8399999999999994E-6</v>
      </c>
      <c r="L7" s="25">
        <v>2.2450000000000001E-4</v>
      </c>
    </row>
    <row r="8" spans="1:12" ht="15.75">
      <c r="A8" s="21" t="s">
        <v>116</v>
      </c>
      <c r="B8" s="69">
        <v>2.1086345130199886</v>
      </c>
      <c r="C8" s="69" t="s">
        <v>54</v>
      </c>
      <c r="D8" s="24" t="s">
        <v>54</v>
      </c>
      <c r="E8" s="69">
        <v>0.44845082588157814</v>
      </c>
      <c r="F8" s="21">
        <v>510</v>
      </c>
      <c r="G8" s="24" t="s">
        <v>349</v>
      </c>
      <c r="H8" s="24" t="s">
        <v>350</v>
      </c>
      <c r="I8" s="25">
        <f t="shared" si="0"/>
        <v>4.8399999999999994E-6</v>
      </c>
      <c r="J8" s="25">
        <v>2.2450000000000001E-4</v>
      </c>
      <c r="K8" s="25">
        <f t="shared" si="1"/>
        <v>4.8399999999999994E-6</v>
      </c>
      <c r="L8" s="25">
        <v>2.2450000000000001E-4</v>
      </c>
    </row>
    <row r="9" spans="1:12" ht="15.75">
      <c r="A9" s="21" t="s">
        <v>117</v>
      </c>
      <c r="B9" s="69">
        <v>2.6979149918323126</v>
      </c>
      <c r="C9" s="69">
        <v>4.365230938752271</v>
      </c>
      <c r="D9" s="24" t="s">
        <v>54</v>
      </c>
      <c r="E9" s="69">
        <v>6.6922205395640477E-2</v>
      </c>
      <c r="F9" s="21">
        <v>510</v>
      </c>
      <c r="G9" s="24" t="s">
        <v>349</v>
      </c>
      <c r="H9" s="24" t="s">
        <v>350</v>
      </c>
      <c r="I9" s="25">
        <f t="shared" si="0"/>
        <v>4.8399999999999994E-6</v>
      </c>
      <c r="J9" s="25">
        <v>2.2450000000000001E-4</v>
      </c>
      <c r="K9" s="25">
        <f t="shared" si="1"/>
        <v>4.8399999999999994E-6</v>
      </c>
      <c r="L9" s="25">
        <v>2.2450000000000001E-4</v>
      </c>
    </row>
    <row r="10" spans="1:12" ht="15.75">
      <c r="A10" s="21" t="s">
        <v>180</v>
      </c>
      <c r="B10" s="69">
        <v>2.4911274516332846</v>
      </c>
      <c r="C10" s="69">
        <v>1.9007152266107386</v>
      </c>
      <c r="D10" s="24" t="s">
        <v>54</v>
      </c>
      <c r="E10" s="69">
        <v>0.57095429154802491</v>
      </c>
      <c r="F10" s="21">
        <v>510</v>
      </c>
      <c r="G10" s="24" t="s">
        <v>349</v>
      </c>
      <c r="H10" s="24" t="s">
        <v>350</v>
      </c>
      <c r="I10" s="25">
        <f t="shared" si="0"/>
        <v>4.8399999999999994E-6</v>
      </c>
      <c r="J10" s="25">
        <v>2.2450000000000001E-4</v>
      </c>
      <c r="K10" s="25">
        <f t="shared" si="1"/>
        <v>4.8399999999999994E-6</v>
      </c>
      <c r="L10" s="25">
        <v>2.2450000000000001E-4</v>
      </c>
    </row>
    <row r="11" spans="1:12" ht="15.75">
      <c r="A11" s="21" t="s">
        <v>183</v>
      </c>
      <c r="B11" s="69">
        <v>2.9103200339422175</v>
      </c>
      <c r="C11" s="69">
        <v>3.7216520636878654</v>
      </c>
      <c r="D11" s="24" t="s">
        <v>54</v>
      </c>
      <c r="E11" s="69">
        <v>2.2300949211703031E-2</v>
      </c>
      <c r="F11" s="21">
        <v>510</v>
      </c>
      <c r="G11" s="24" t="s">
        <v>349</v>
      </c>
      <c r="H11" s="24" t="s">
        <v>350</v>
      </c>
      <c r="I11" s="25">
        <f t="shared" si="0"/>
        <v>4.8399999999999994E-6</v>
      </c>
      <c r="J11" s="25">
        <v>2.2450000000000001E-4</v>
      </c>
      <c r="K11" s="25">
        <f t="shared" si="1"/>
        <v>4.8399999999999994E-6</v>
      </c>
      <c r="L11" s="25">
        <v>2.2450000000000001E-4</v>
      </c>
    </row>
    <row r="12" spans="1:12" ht="15.75">
      <c r="A12" s="21" t="s">
        <v>118</v>
      </c>
      <c r="B12" s="69">
        <v>3.3779620801909096</v>
      </c>
      <c r="C12" s="69">
        <v>3.5299090937777295</v>
      </c>
      <c r="D12" s="24" t="s">
        <v>54</v>
      </c>
      <c r="E12" s="69">
        <v>1.4076888990629824E-2</v>
      </c>
      <c r="F12" s="21">
        <v>510</v>
      </c>
      <c r="G12" s="24" t="s">
        <v>349</v>
      </c>
      <c r="H12" s="24" t="s">
        <v>350</v>
      </c>
      <c r="I12" s="25">
        <f t="shared" si="0"/>
        <v>4.8399999999999994E-6</v>
      </c>
      <c r="J12" s="25">
        <v>2.2450000000000001E-4</v>
      </c>
      <c r="K12" s="25">
        <f t="shared" si="1"/>
        <v>4.8399999999999994E-6</v>
      </c>
      <c r="L12" s="25">
        <v>2.2450000000000001E-4</v>
      </c>
    </row>
    <row r="13" spans="1:12" ht="15.75">
      <c r="A13" s="21"/>
      <c r="B13" s="24"/>
      <c r="C13" s="69"/>
      <c r="D13" s="69"/>
      <c r="E13" s="69"/>
      <c r="F13" s="69"/>
      <c r="G13" s="69"/>
      <c r="H13" s="24"/>
      <c r="I13" s="21"/>
      <c r="J13" s="21"/>
      <c r="K13" s="21"/>
      <c r="L13" s="21"/>
    </row>
    <row r="14" spans="1:12" ht="15.75">
      <c r="A14" s="21" t="s">
        <v>119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ht="15.75">
      <c r="A15" s="21" t="s">
        <v>181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5.75">
      <c r="A16" s="21" t="s">
        <v>182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5.75">
      <c r="A17" s="21" t="s">
        <v>353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ht="15.7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ht="15.7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 ht="15.75">
      <c r="A20" s="68" t="s">
        <v>357</v>
      </c>
      <c r="B20" s="80" t="s">
        <v>177</v>
      </c>
      <c r="C20" s="80"/>
      <c r="D20" s="80"/>
      <c r="E20" s="80"/>
      <c r="F20" s="80"/>
      <c r="G20" s="80"/>
      <c r="H20" s="80"/>
      <c r="I20" s="21"/>
      <c r="J20" s="21"/>
      <c r="K20" s="21"/>
      <c r="L20" s="21"/>
    </row>
    <row r="21" spans="1:12" ht="15.75">
      <c r="A21" s="21"/>
      <c r="B21" s="21"/>
      <c r="C21" s="21"/>
      <c r="D21" s="80" t="s">
        <v>380</v>
      </c>
      <c r="E21" s="80"/>
      <c r="F21" s="80" t="s">
        <v>381</v>
      </c>
      <c r="G21" s="80"/>
      <c r="H21" s="21" t="s">
        <v>58</v>
      </c>
      <c r="I21" s="21"/>
      <c r="J21" s="21"/>
      <c r="K21" s="21"/>
      <c r="L21" s="21"/>
    </row>
    <row r="22" spans="1:12" ht="15.75">
      <c r="A22" s="68"/>
      <c r="B22" s="22" t="s">
        <v>342</v>
      </c>
      <c r="C22" s="22" t="s">
        <v>343</v>
      </c>
      <c r="D22" s="83" t="s">
        <v>344</v>
      </c>
      <c r="E22" s="83"/>
      <c r="F22" s="83" t="s">
        <v>344</v>
      </c>
      <c r="G22" s="83"/>
      <c r="H22" s="21"/>
      <c r="I22" s="21"/>
      <c r="J22" s="21"/>
      <c r="K22" s="21"/>
      <c r="L22" s="21"/>
    </row>
    <row r="23" spans="1:12" ht="15.75">
      <c r="A23" s="21" t="s">
        <v>173</v>
      </c>
      <c r="B23" s="24" t="s">
        <v>349</v>
      </c>
      <c r="C23" s="24" t="s">
        <v>350</v>
      </c>
      <c r="D23" s="25">
        <f>(0.00064+0.0042)*10^-3</f>
        <v>4.8399999999999994E-6</v>
      </c>
      <c r="E23" s="25">
        <v>2.2450000000000001E-4</v>
      </c>
      <c r="F23" s="25">
        <f>(0.00064+0.0042)*10^-3</f>
        <v>4.8399999999999994E-6</v>
      </c>
      <c r="G23" s="25">
        <v>2.2450000000000001E-4</v>
      </c>
      <c r="H23" s="24" t="s">
        <v>54</v>
      </c>
      <c r="I23" s="21"/>
      <c r="J23" s="25"/>
      <c r="K23" s="25"/>
      <c r="L23" s="21"/>
    </row>
    <row r="24" spans="1:12" ht="15.75">
      <c r="A24" s="21" t="s">
        <v>174</v>
      </c>
      <c r="B24" s="24" t="s">
        <v>349</v>
      </c>
      <c r="C24" s="24" t="s">
        <v>350</v>
      </c>
      <c r="D24" s="25">
        <f>(0.00064+0.0042)*10^-3</f>
        <v>4.8399999999999994E-6</v>
      </c>
      <c r="E24" s="25">
        <v>2.2450000000000001E-4</v>
      </c>
      <c r="F24" s="25">
        <f>(0.00064+0.0042)*10^-3</f>
        <v>4.8399999999999994E-6</v>
      </c>
      <c r="G24" s="25">
        <v>2.2450000000000001E-4</v>
      </c>
      <c r="H24" s="24" t="s">
        <v>54</v>
      </c>
      <c r="I24" s="21"/>
      <c r="J24" s="25"/>
      <c r="K24" s="25"/>
      <c r="L24" s="21"/>
    </row>
    <row r="25" spans="1:12" ht="15.75">
      <c r="A25" s="21" t="s">
        <v>175</v>
      </c>
      <c r="B25" s="24" t="s">
        <v>349</v>
      </c>
      <c r="C25" s="24" t="s">
        <v>350</v>
      </c>
      <c r="D25" s="25">
        <f>(0.00064+0.0042)*10^-3</f>
        <v>4.8399999999999994E-6</v>
      </c>
      <c r="E25" s="25">
        <v>2.2450000000000001E-4</v>
      </c>
      <c r="F25" s="25">
        <f>(0.00064+0.0042)*10^-3</f>
        <v>4.8399999999999994E-6</v>
      </c>
      <c r="G25" s="25">
        <v>2.2450000000000001E-4</v>
      </c>
      <c r="H25" s="24" t="s">
        <v>54</v>
      </c>
      <c r="I25" s="21"/>
      <c r="J25" s="25"/>
      <c r="K25" s="25"/>
      <c r="L25" s="21"/>
    </row>
    <row r="26" spans="1:12" ht="15.75">
      <c r="A26" s="21" t="s">
        <v>176</v>
      </c>
      <c r="B26" s="24" t="s">
        <v>349</v>
      </c>
      <c r="C26" s="24" t="s">
        <v>350</v>
      </c>
      <c r="D26" s="25">
        <f>(0.00064+0.0042)*10^-3</f>
        <v>4.8399999999999994E-6</v>
      </c>
      <c r="E26" s="25">
        <v>2.2450000000000001E-4</v>
      </c>
      <c r="F26" s="25">
        <f>(0.00064+0.0042)*10^-3</f>
        <v>4.8399999999999994E-6</v>
      </c>
      <c r="G26" s="25">
        <v>2.2450000000000001E-4</v>
      </c>
      <c r="H26" s="24" t="s">
        <v>54</v>
      </c>
      <c r="I26" s="21"/>
      <c r="J26" s="25"/>
      <c r="K26" s="25"/>
      <c r="L26" s="21"/>
    </row>
    <row r="27" spans="1:12" ht="15.75">
      <c r="A27" s="21"/>
      <c r="B27" s="21"/>
      <c r="C27" s="21"/>
      <c r="D27" s="25"/>
      <c r="E27" s="25"/>
      <c r="F27" s="25"/>
      <c r="G27" s="25"/>
      <c r="H27" s="21"/>
      <c r="I27" s="21"/>
      <c r="J27" s="21"/>
      <c r="K27" s="21"/>
      <c r="L27" s="21"/>
    </row>
    <row r="28" spans="1:12" ht="15.75">
      <c r="A28" s="21" t="s">
        <v>356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15.7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5.7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spans="1:12" ht="15.75">
      <c r="A31" s="68" t="s">
        <v>360</v>
      </c>
      <c r="B31" s="80" t="s">
        <v>369</v>
      </c>
      <c r="C31" s="80"/>
      <c r="D31" s="80"/>
      <c r="E31" s="80"/>
      <c r="F31" s="80"/>
      <c r="G31" s="80"/>
      <c r="H31" s="80"/>
      <c r="I31" s="80"/>
      <c r="J31" s="21"/>
      <c r="K31" s="21"/>
      <c r="L31" s="21"/>
    </row>
    <row r="32" spans="1:12" ht="15.75">
      <c r="A32" s="21"/>
      <c r="B32" s="21"/>
      <c r="C32" s="21"/>
      <c r="D32" s="80" t="s">
        <v>380</v>
      </c>
      <c r="E32" s="80"/>
      <c r="F32" s="80"/>
      <c r="G32" s="80" t="s">
        <v>381</v>
      </c>
      <c r="H32" s="80"/>
      <c r="I32" s="80"/>
      <c r="J32" s="21"/>
      <c r="K32" s="21"/>
      <c r="L32" s="21"/>
    </row>
    <row r="33" spans="1:12" ht="15.75">
      <c r="A33" s="21"/>
      <c r="B33" s="22" t="s">
        <v>342</v>
      </c>
      <c r="C33" s="22" t="s">
        <v>343</v>
      </c>
      <c r="D33" s="83" t="s">
        <v>344</v>
      </c>
      <c r="E33" s="83"/>
      <c r="F33" s="83"/>
      <c r="G33" s="83" t="s">
        <v>344</v>
      </c>
      <c r="H33" s="83"/>
      <c r="I33" s="83"/>
      <c r="J33" s="21"/>
      <c r="K33" s="21"/>
      <c r="L33" s="21"/>
    </row>
    <row r="34" spans="1:12" ht="15.75">
      <c r="A34" s="21" t="s">
        <v>361</v>
      </c>
      <c r="B34" s="24" t="s">
        <v>349</v>
      </c>
      <c r="C34" s="24" t="s">
        <v>350</v>
      </c>
      <c r="D34" s="24">
        <v>0</v>
      </c>
      <c r="E34" s="54">
        <f>5.93*10^-2</f>
        <v>5.9299999999999999E-2</v>
      </c>
      <c r="F34" s="24"/>
      <c r="G34" s="24">
        <v>0</v>
      </c>
      <c r="H34" s="54">
        <f>5.93*10^-2</f>
        <v>5.9299999999999999E-2</v>
      </c>
      <c r="I34" s="24"/>
      <c r="J34" s="21"/>
      <c r="K34" s="21"/>
      <c r="L34" s="21"/>
    </row>
    <row r="35" spans="1:12" ht="15.75">
      <c r="A35" s="21" t="s">
        <v>362</v>
      </c>
      <c r="B35" s="24" t="s">
        <v>349</v>
      </c>
      <c r="C35" s="24" t="s">
        <v>350</v>
      </c>
      <c r="D35" s="25">
        <f>0.0017*10^-3</f>
        <v>1.7E-6</v>
      </c>
      <c r="E35" s="25">
        <f>0.015*10^-3</f>
        <v>1.5E-5</v>
      </c>
      <c r="F35" s="25"/>
      <c r="G35" s="25">
        <f>0.0017*10^-3</f>
        <v>1.7E-6</v>
      </c>
      <c r="H35" s="25">
        <f>0.015*10^-3</f>
        <v>1.5E-5</v>
      </c>
      <c r="I35" s="25"/>
      <c r="J35" s="21"/>
      <c r="K35" s="21"/>
      <c r="L35" s="21"/>
    </row>
    <row r="36" spans="1:12" ht="15.75">
      <c r="A36" s="21" t="s">
        <v>363</v>
      </c>
      <c r="B36" s="24" t="s">
        <v>349</v>
      </c>
      <c r="C36" s="24" t="s">
        <v>350</v>
      </c>
      <c r="D36" s="25">
        <f>0.00051*10^-3</f>
        <v>5.1000000000000009E-7</v>
      </c>
      <c r="E36" s="25">
        <f>0.015*10^-3</f>
        <v>1.5E-5</v>
      </c>
      <c r="F36" s="25"/>
      <c r="G36" s="25">
        <f>0.00051*10^-3</f>
        <v>5.1000000000000009E-7</v>
      </c>
      <c r="H36" s="25">
        <f>0.015*10^-3</f>
        <v>1.5E-5</v>
      </c>
      <c r="I36" s="25"/>
      <c r="J36" s="21"/>
      <c r="K36" s="21"/>
      <c r="L36" s="21"/>
    </row>
    <row r="37" spans="1:12" ht="15.75">
      <c r="A37" s="21" t="s">
        <v>364</v>
      </c>
      <c r="B37" s="24" t="s">
        <v>349</v>
      </c>
      <c r="C37" s="24" t="s">
        <v>350</v>
      </c>
      <c r="D37" s="25">
        <f>0.07*10^-3*0.00017/0.24</f>
        <v>4.9583333333333344E-8</v>
      </c>
      <c r="E37" s="25">
        <f>0.24*10^-3*0.00017/0.24</f>
        <v>1.7000000000000001E-7</v>
      </c>
      <c r="F37" s="25"/>
      <c r="G37" s="25">
        <f>0.07*10^-3*0.00017/0.24</f>
        <v>4.9583333333333344E-8</v>
      </c>
      <c r="H37" s="25">
        <f>0.24*10^-3*0.00017/0.24</f>
        <v>1.7000000000000001E-7</v>
      </c>
      <c r="I37" s="25"/>
      <c r="J37" s="21"/>
      <c r="K37" s="21"/>
      <c r="L37" s="21"/>
    </row>
    <row r="38" spans="1:12" ht="15.75">
      <c r="A38" s="21" t="s">
        <v>365</v>
      </c>
      <c r="B38" s="24" t="s">
        <v>370</v>
      </c>
      <c r="C38" s="21"/>
      <c r="D38" s="25">
        <f>0.0024*10^-3</f>
        <v>2.3999999999999999E-6</v>
      </c>
      <c r="E38" s="25"/>
      <c r="F38" s="25"/>
      <c r="G38" s="25">
        <f>0.0024*10^-3</f>
        <v>2.3999999999999999E-6</v>
      </c>
      <c r="H38" s="25"/>
      <c r="I38" s="25"/>
      <c r="J38" s="21"/>
      <c r="K38" s="21"/>
      <c r="L38" s="21"/>
    </row>
    <row r="39" spans="1:12" ht="15.75">
      <c r="A39" s="21" t="s">
        <v>366</v>
      </c>
      <c r="B39" s="24" t="s">
        <v>349</v>
      </c>
      <c r="C39" s="24" t="s">
        <v>350</v>
      </c>
      <c r="D39" s="25">
        <f>0.0013*10^-3</f>
        <v>1.3E-6</v>
      </c>
      <c r="E39" s="25">
        <f>0.005*10^-3</f>
        <v>5.0000000000000004E-6</v>
      </c>
      <c r="F39" s="25"/>
      <c r="G39" s="25">
        <f>0.0013*10^-3</f>
        <v>1.3E-6</v>
      </c>
      <c r="H39" s="25">
        <f>0.005*10^-3</f>
        <v>5.0000000000000004E-6</v>
      </c>
      <c r="I39" s="25"/>
      <c r="J39" s="21"/>
      <c r="K39" s="21"/>
      <c r="L39" s="21"/>
    </row>
    <row r="40" spans="1:12" ht="15.75">
      <c r="A40" s="21" t="s">
        <v>367</v>
      </c>
      <c r="B40" s="22" t="s">
        <v>346</v>
      </c>
      <c r="C40" s="22" t="s">
        <v>348</v>
      </c>
      <c r="D40" s="25">
        <f>0.155*10^-3*(0.0131/0.155)</f>
        <v>1.31E-5</v>
      </c>
      <c r="E40" s="25">
        <f>0.005*10^-3*(0.0131/0.155)</f>
        <v>4.2258064516129035E-7</v>
      </c>
      <c r="F40" s="25">
        <f>0.01*10^-3*(0.0131/0.155)</f>
        <v>8.4516129032258069E-7</v>
      </c>
      <c r="G40" s="25">
        <f>0.155*10^-3*(0.0131/0.155)</f>
        <v>1.31E-5</v>
      </c>
      <c r="H40" s="25">
        <f>0.005*10^-3*(0.0131/0.155)</f>
        <v>4.2258064516129035E-7</v>
      </c>
      <c r="I40" s="25">
        <f>0.01*10^-3*(0.0131/0.155)</f>
        <v>8.4516129032258069E-7</v>
      </c>
      <c r="J40" s="21"/>
      <c r="K40" s="21"/>
      <c r="L40" s="21"/>
    </row>
    <row r="41" spans="1:12" ht="15.7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2" spans="1:12" ht="15.75">
      <c r="A42" s="21" t="s">
        <v>368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</row>
    <row r="43" spans="1:12" ht="15.75">
      <c r="A43" s="21" t="s">
        <v>371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</row>
    <row r="44" spans="1:12">
      <c r="A44" s="10"/>
    </row>
    <row r="45" spans="1:12">
      <c r="A45" s="10"/>
    </row>
    <row r="46" spans="1:12">
      <c r="A46" s="5" t="s">
        <v>322</v>
      </c>
    </row>
    <row r="47" spans="1:12">
      <c r="A47" s="5" t="s">
        <v>122</v>
      </c>
    </row>
    <row r="48" spans="1:12">
      <c r="A48" s="5" t="s">
        <v>321</v>
      </c>
    </row>
    <row r="49" spans="1:1">
      <c r="A49" s="5" t="s">
        <v>179</v>
      </c>
    </row>
    <row r="50" spans="1:1">
      <c r="A50" s="5" t="s">
        <v>178</v>
      </c>
    </row>
    <row r="51" spans="1:1">
      <c r="A51" s="5" t="s">
        <v>359</v>
      </c>
    </row>
    <row r="52" spans="1:1">
      <c r="A52" s="5" t="s">
        <v>358</v>
      </c>
    </row>
    <row r="53" spans="1:1">
      <c r="A53" s="20"/>
    </row>
    <row r="54" spans="1:1">
      <c r="A54" s="20"/>
    </row>
  </sheetData>
  <mergeCells count="15">
    <mergeCell ref="G32:I32"/>
    <mergeCell ref="G33:I33"/>
    <mergeCell ref="B31:I31"/>
    <mergeCell ref="D33:F33"/>
    <mergeCell ref="D32:F32"/>
    <mergeCell ref="D21:E21"/>
    <mergeCell ref="F21:G21"/>
    <mergeCell ref="D22:E22"/>
    <mergeCell ref="F22:G22"/>
    <mergeCell ref="B20:H20"/>
    <mergeCell ref="I6:J6"/>
    <mergeCell ref="I5:J5"/>
    <mergeCell ref="K6:L6"/>
    <mergeCell ref="K5:L5"/>
    <mergeCell ref="B4:L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workbookViewId="0"/>
  </sheetViews>
  <sheetFormatPr defaultColWidth="11.5546875" defaultRowHeight="15"/>
  <cols>
    <col min="1" max="1" width="14" customWidth="1"/>
    <col min="2" max="2" width="16.5546875" customWidth="1"/>
    <col min="3" max="3" width="17.6640625" customWidth="1"/>
    <col min="4" max="4" width="23.88671875" customWidth="1"/>
    <col min="10" max="11" width="8.33203125" bestFit="1" customWidth="1"/>
    <col min="12" max="19" width="8.33203125" customWidth="1"/>
    <col min="22" max="22" width="5" bestFit="1" customWidth="1"/>
    <col min="23" max="23" width="8.33203125" bestFit="1" customWidth="1"/>
    <col min="26" max="27" width="8.33203125" bestFit="1" customWidth="1"/>
    <col min="30" max="31" width="8.33203125" bestFit="1" customWidth="1"/>
    <col min="33" max="33" width="12" bestFit="1" customWidth="1"/>
    <col min="34" max="36" width="9.33203125" bestFit="1" customWidth="1"/>
  </cols>
  <sheetData>
    <row r="1" spans="1:38" ht="15.75">
      <c r="A1" s="2" t="s">
        <v>437</v>
      </c>
    </row>
    <row r="4" spans="1:38" ht="31.5">
      <c r="A4" s="48" t="s">
        <v>18</v>
      </c>
      <c r="B4" s="48" t="s">
        <v>377</v>
      </c>
      <c r="C4" s="48" t="s">
        <v>80</v>
      </c>
      <c r="D4" s="48" t="s">
        <v>420</v>
      </c>
      <c r="G4" s="21" t="s">
        <v>352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5"/>
      <c r="AL4" s="5"/>
    </row>
    <row r="5" spans="1:38" ht="18.75">
      <c r="A5" s="45" t="s">
        <v>17</v>
      </c>
      <c r="B5" s="45" t="s">
        <v>17</v>
      </c>
      <c r="C5" s="70">
        <v>1</v>
      </c>
      <c r="D5" s="48" t="s">
        <v>421</v>
      </c>
      <c r="G5" s="83" t="s">
        <v>109</v>
      </c>
      <c r="H5" s="83" t="s">
        <v>458</v>
      </c>
      <c r="I5" s="83"/>
      <c r="J5" s="83"/>
      <c r="K5" s="83"/>
      <c r="L5" s="83" t="s">
        <v>459</v>
      </c>
      <c r="M5" s="83"/>
      <c r="N5" s="83"/>
      <c r="O5" s="83"/>
      <c r="P5" s="83" t="s">
        <v>460</v>
      </c>
      <c r="Q5" s="83"/>
      <c r="R5" s="83"/>
      <c r="S5" s="83"/>
      <c r="T5" s="83" t="s">
        <v>382</v>
      </c>
      <c r="U5" s="83"/>
      <c r="V5" s="83"/>
      <c r="W5" s="83"/>
      <c r="X5" s="83" t="s">
        <v>383</v>
      </c>
      <c r="Y5" s="83"/>
      <c r="Z5" s="83"/>
      <c r="AA5" s="83"/>
      <c r="AB5" s="83" t="s">
        <v>384</v>
      </c>
      <c r="AC5" s="83"/>
      <c r="AD5" s="83"/>
      <c r="AE5" s="83"/>
      <c r="AF5" s="83" t="s">
        <v>385</v>
      </c>
      <c r="AG5" s="83"/>
      <c r="AH5" s="83"/>
      <c r="AI5" s="83"/>
      <c r="AJ5" s="83"/>
      <c r="AK5" s="90"/>
      <c r="AL5" s="90"/>
    </row>
    <row r="6" spans="1:38" ht="18.75">
      <c r="A6" s="45" t="s">
        <v>81</v>
      </c>
      <c r="B6" s="45" t="s">
        <v>82</v>
      </c>
      <c r="C6" s="70">
        <v>1</v>
      </c>
      <c r="D6" s="48" t="s">
        <v>421</v>
      </c>
      <c r="G6" s="83"/>
      <c r="H6" s="22" t="s">
        <v>342</v>
      </c>
      <c r="I6" s="22" t="s">
        <v>343</v>
      </c>
      <c r="J6" s="83" t="s">
        <v>344</v>
      </c>
      <c r="K6" s="83"/>
      <c r="L6" s="22" t="s">
        <v>342</v>
      </c>
      <c r="M6" s="22" t="s">
        <v>343</v>
      </c>
      <c r="N6" s="83" t="s">
        <v>344</v>
      </c>
      <c r="O6" s="83"/>
      <c r="P6" s="22" t="s">
        <v>342</v>
      </c>
      <c r="Q6" s="22" t="s">
        <v>343</v>
      </c>
      <c r="R6" s="83" t="s">
        <v>344</v>
      </c>
      <c r="S6" s="83"/>
      <c r="T6" s="22" t="s">
        <v>342</v>
      </c>
      <c r="U6" s="22" t="s">
        <v>343</v>
      </c>
      <c r="V6" s="83" t="s">
        <v>344</v>
      </c>
      <c r="W6" s="83"/>
      <c r="X6" s="22" t="s">
        <v>342</v>
      </c>
      <c r="Y6" s="22" t="s">
        <v>343</v>
      </c>
      <c r="Z6" s="83" t="s">
        <v>344</v>
      </c>
      <c r="AA6" s="83"/>
      <c r="AB6" s="22" t="s">
        <v>342</v>
      </c>
      <c r="AC6" s="22" t="s">
        <v>343</v>
      </c>
      <c r="AD6" s="83" t="s">
        <v>344</v>
      </c>
      <c r="AE6" s="83"/>
      <c r="AF6" s="22" t="s">
        <v>342</v>
      </c>
      <c r="AG6" s="22" t="s">
        <v>343</v>
      </c>
      <c r="AH6" s="83" t="s">
        <v>344</v>
      </c>
      <c r="AI6" s="83"/>
      <c r="AJ6" s="83"/>
      <c r="AK6" s="5"/>
      <c r="AL6" s="5"/>
    </row>
    <row r="7" spans="1:38" ht="18.75">
      <c r="A7" s="87" t="s">
        <v>20</v>
      </c>
      <c r="B7" s="87" t="s">
        <v>83</v>
      </c>
      <c r="C7" s="88" t="s">
        <v>422</v>
      </c>
      <c r="D7" s="45" t="s">
        <v>423</v>
      </c>
      <c r="G7" s="21" t="s">
        <v>110</v>
      </c>
      <c r="H7" s="22" t="s">
        <v>345</v>
      </c>
      <c r="I7" s="22" t="s">
        <v>347</v>
      </c>
      <c r="J7" s="23">
        <v>-4.074807715320464</v>
      </c>
      <c r="K7" s="23">
        <v>0.81332114813795831</v>
      </c>
      <c r="L7" s="22" t="s">
        <v>345</v>
      </c>
      <c r="M7" s="22" t="s">
        <v>347</v>
      </c>
      <c r="N7" s="23">
        <v>-10.840492077633384</v>
      </c>
      <c r="O7" s="23">
        <v>0.9358024253325643</v>
      </c>
      <c r="P7" s="22" t="s">
        <v>345</v>
      </c>
      <c r="Q7" s="22" t="s">
        <v>347</v>
      </c>
      <c r="R7" s="23">
        <v>-15.24146500589432</v>
      </c>
      <c r="S7" s="23">
        <v>2.0101481186192922</v>
      </c>
      <c r="T7" s="22" t="s">
        <v>345</v>
      </c>
      <c r="U7" s="22" t="s">
        <v>347</v>
      </c>
      <c r="V7" s="23">
        <v>-5.2023377349749724</v>
      </c>
      <c r="W7" s="23">
        <v>3.9022358983147654</v>
      </c>
      <c r="X7" s="22" t="s">
        <v>345</v>
      </c>
      <c r="Y7" s="22" t="s">
        <v>347</v>
      </c>
      <c r="Z7" s="23">
        <v>-10.808787514508015</v>
      </c>
      <c r="AA7" s="23">
        <v>1.091790940523814</v>
      </c>
      <c r="AB7" s="22" t="s">
        <v>345</v>
      </c>
      <c r="AC7" s="22" t="s">
        <v>347</v>
      </c>
      <c r="AD7" s="23">
        <v>-13.190475210545257</v>
      </c>
      <c r="AE7" s="23">
        <v>2.6068458689205127</v>
      </c>
      <c r="AF7" s="22" t="s">
        <v>346</v>
      </c>
      <c r="AG7" s="22" t="s">
        <v>348</v>
      </c>
      <c r="AH7" s="21">
        <f>9.02*10^-8</f>
        <v>9.02E-8</v>
      </c>
      <c r="AI7" s="21">
        <f>7.69*10^-9</f>
        <v>7.6900000000000014E-9</v>
      </c>
      <c r="AJ7" s="21">
        <f>4.14*10^-8</f>
        <v>4.14E-8</v>
      </c>
      <c r="AK7" s="5"/>
      <c r="AL7" s="5"/>
    </row>
    <row r="8" spans="1:38" ht="18.75">
      <c r="A8" s="87"/>
      <c r="B8" s="87"/>
      <c r="C8" s="88"/>
      <c r="D8" s="45" t="s">
        <v>424</v>
      </c>
      <c r="G8" s="21" t="s">
        <v>111</v>
      </c>
      <c r="H8" s="24" t="s">
        <v>349</v>
      </c>
      <c r="I8" s="24" t="s">
        <v>350</v>
      </c>
      <c r="J8" s="25">
        <v>2.12E-2</v>
      </c>
      <c r="K8" s="25">
        <v>2.4199999999999999E-2</v>
      </c>
      <c r="L8" s="24" t="s">
        <v>349</v>
      </c>
      <c r="M8" s="24" t="s">
        <v>350</v>
      </c>
      <c r="N8" s="25">
        <v>2.3500000000000002E-5</v>
      </c>
      <c r="O8" s="25">
        <v>2.7400000000000005E-5</v>
      </c>
      <c r="P8" s="24" t="s">
        <v>349</v>
      </c>
      <c r="Q8" s="24" t="s">
        <v>350</v>
      </c>
      <c r="R8" s="25">
        <v>4.8999999999999997E-7</v>
      </c>
      <c r="S8" s="25">
        <v>8.9600000000000006E-6</v>
      </c>
      <c r="T8" s="24" t="s">
        <v>349</v>
      </c>
      <c r="U8" s="24" t="s">
        <v>350</v>
      </c>
      <c r="V8" s="23">
        <v>0</v>
      </c>
      <c r="W8" s="25">
        <f>5.16*10^-4</f>
        <v>5.1600000000000007E-4</v>
      </c>
      <c r="X8" s="24" t="s">
        <v>349</v>
      </c>
      <c r="Y8" s="24" t="s">
        <v>350</v>
      </c>
      <c r="Z8" s="25">
        <f>1.01*10^-5</f>
        <v>1.0100000000000002E-5</v>
      </c>
      <c r="AA8" s="25">
        <f>3.31*10^-5</f>
        <v>3.3100000000000005E-5</v>
      </c>
      <c r="AB8" s="24" t="s">
        <v>349</v>
      </c>
      <c r="AC8" s="24" t="s">
        <v>350</v>
      </c>
      <c r="AD8" s="25">
        <f>1.887*10^-7</f>
        <v>1.8869999999999999E-7</v>
      </c>
      <c r="AE8" s="25">
        <f>1.28*10^-5</f>
        <v>1.2800000000000001E-5</v>
      </c>
      <c r="AF8" s="24" t="s">
        <v>349</v>
      </c>
      <c r="AG8" s="24" t="s">
        <v>350</v>
      </c>
      <c r="AH8" s="21">
        <v>0</v>
      </c>
      <c r="AI8" s="21">
        <f>9.02*10^-8</f>
        <v>9.02E-8</v>
      </c>
      <c r="AJ8" s="21"/>
      <c r="AK8" s="5"/>
      <c r="AL8" s="5"/>
    </row>
    <row r="9" spans="1:38" ht="18.75">
      <c r="A9" s="48" t="s">
        <v>21</v>
      </c>
      <c r="B9" s="45" t="s">
        <v>21</v>
      </c>
      <c r="C9" s="70">
        <v>1</v>
      </c>
      <c r="D9" s="48" t="s">
        <v>421</v>
      </c>
      <c r="G9" s="21" t="s">
        <v>112</v>
      </c>
      <c r="H9" s="22" t="s">
        <v>345</v>
      </c>
      <c r="I9" s="22" t="s">
        <v>347</v>
      </c>
      <c r="J9" s="23">
        <v>-1.8173683859968952</v>
      </c>
      <c r="K9" s="23">
        <v>0.83175811896600371</v>
      </c>
      <c r="L9" s="22" t="s">
        <v>345</v>
      </c>
      <c r="M9" s="22" t="s">
        <v>347</v>
      </c>
      <c r="N9" s="23">
        <v>-8.5162973010905869</v>
      </c>
      <c r="O9" s="23">
        <v>0.92129956466406127</v>
      </c>
      <c r="P9" s="22" t="s">
        <v>345</v>
      </c>
      <c r="Q9" s="22" t="s">
        <v>347</v>
      </c>
      <c r="R9" s="23">
        <v>-12.944234911784676</v>
      </c>
      <c r="S9" s="23">
        <v>1.4581508302240991</v>
      </c>
      <c r="T9" s="22" t="s">
        <v>345</v>
      </c>
      <c r="U9" s="22" t="s">
        <v>347</v>
      </c>
      <c r="V9" s="23">
        <v>-5.5409407367187367</v>
      </c>
      <c r="W9" s="23">
        <v>2.7187995677382788</v>
      </c>
      <c r="X9" s="22" t="s">
        <v>345</v>
      </c>
      <c r="Y9" s="22" t="s">
        <v>347</v>
      </c>
      <c r="Z9" s="23">
        <v>-9.3908713253818572</v>
      </c>
      <c r="AA9" s="23">
        <v>0.88697031072320964</v>
      </c>
      <c r="AB9" s="22" t="s">
        <v>345</v>
      </c>
      <c r="AC9" s="22" t="s">
        <v>347</v>
      </c>
      <c r="AD9" s="23">
        <v>-10.688491379015277</v>
      </c>
      <c r="AE9" s="23">
        <v>1.1246439582188203</v>
      </c>
      <c r="AF9" s="22" t="s">
        <v>345</v>
      </c>
      <c r="AG9" s="22" t="s">
        <v>347</v>
      </c>
      <c r="AH9" s="21">
        <v>-10.56</v>
      </c>
      <c r="AI9" s="21">
        <v>1.1200000000000001</v>
      </c>
      <c r="AJ9" s="21"/>
      <c r="AK9" s="5"/>
      <c r="AL9" s="5"/>
    </row>
    <row r="10" spans="1:38" ht="18.75">
      <c r="A10" s="87" t="s">
        <v>22</v>
      </c>
      <c r="B10" s="87" t="s">
        <v>22</v>
      </c>
      <c r="C10" s="88" t="s">
        <v>425</v>
      </c>
      <c r="D10" s="45" t="s">
        <v>426</v>
      </c>
    </row>
    <row r="11" spans="1:38" ht="18.75">
      <c r="A11" s="87"/>
      <c r="B11" s="87"/>
      <c r="C11" s="88"/>
      <c r="D11" s="45" t="s">
        <v>427</v>
      </c>
      <c r="G11" s="5" t="s">
        <v>114</v>
      </c>
    </row>
    <row r="12" spans="1:38" ht="18.75">
      <c r="A12" s="45" t="s">
        <v>84</v>
      </c>
      <c r="B12" s="45" t="s">
        <v>84</v>
      </c>
      <c r="C12" s="70">
        <v>1</v>
      </c>
      <c r="D12" s="48" t="s">
        <v>421</v>
      </c>
    </row>
    <row r="13" spans="1:38" ht="18.75">
      <c r="A13" s="45" t="s">
        <v>24</v>
      </c>
      <c r="B13" s="45" t="s">
        <v>24</v>
      </c>
      <c r="C13" s="70">
        <v>1</v>
      </c>
      <c r="D13" s="48" t="s">
        <v>421</v>
      </c>
    </row>
    <row r="14" spans="1:38" ht="18.75">
      <c r="A14" s="87" t="s">
        <v>25</v>
      </c>
      <c r="B14" s="87" t="s">
        <v>85</v>
      </c>
      <c r="C14" s="88" t="s">
        <v>428</v>
      </c>
      <c r="D14" s="45" t="s">
        <v>429</v>
      </c>
      <c r="G14" s="4" t="s">
        <v>34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8" ht="18.75">
      <c r="A15" s="87"/>
      <c r="B15" s="87"/>
      <c r="C15" s="88"/>
      <c r="D15" s="45" t="s">
        <v>430</v>
      </c>
      <c r="G15" s="5" t="s">
        <v>172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</row>
    <row r="16" spans="1:38" ht="18.75">
      <c r="A16" s="45" t="s">
        <v>26</v>
      </c>
      <c r="B16" s="45" t="s">
        <v>26</v>
      </c>
      <c r="C16" s="70">
        <v>1</v>
      </c>
      <c r="D16" s="48" t="s">
        <v>421</v>
      </c>
      <c r="G16" s="5" t="s">
        <v>171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spans="1:4" ht="18.75">
      <c r="A17" s="87" t="s">
        <v>27</v>
      </c>
      <c r="B17" s="87" t="s">
        <v>17</v>
      </c>
      <c r="C17" s="89">
        <v>0.30499999999999999</v>
      </c>
      <c r="D17" s="45" t="s">
        <v>431</v>
      </c>
    </row>
    <row r="18" spans="1:4" ht="18.75">
      <c r="A18" s="87"/>
      <c r="B18" s="87"/>
      <c r="C18" s="89"/>
      <c r="D18" s="45" t="s">
        <v>432</v>
      </c>
    </row>
    <row r="19" spans="1:4" ht="18.75">
      <c r="A19" s="87" t="s">
        <v>86</v>
      </c>
      <c r="B19" s="87" t="s">
        <v>86</v>
      </c>
      <c r="C19" s="88" t="s">
        <v>433</v>
      </c>
      <c r="D19" s="45" t="s">
        <v>434</v>
      </c>
    </row>
    <row r="20" spans="1:4" ht="18.75">
      <c r="A20" s="87"/>
      <c r="B20" s="87"/>
      <c r="C20" s="88"/>
      <c r="D20" s="45" t="s">
        <v>435</v>
      </c>
    </row>
    <row r="21" spans="1:4" ht="18.75">
      <c r="A21" s="45" t="s">
        <v>436</v>
      </c>
      <c r="B21" s="45" t="s">
        <v>87</v>
      </c>
      <c r="C21" s="70">
        <v>1</v>
      </c>
      <c r="D21" s="48" t="s">
        <v>421</v>
      </c>
    </row>
    <row r="22" spans="1:4" ht="18.75">
      <c r="A22" s="45" t="s">
        <v>83</v>
      </c>
      <c r="B22" s="45" t="s">
        <v>83</v>
      </c>
      <c r="C22" s="71">
        <v>1</v>
      </c>
      <c r="D22" s="48" t="s">
        <v>421</v>
      </c>
    </row>
    <row r="23" spans="1:4">
      <c r="A23" s="7" t="s">
        <v>88</v>
      </c>
    </row>
    <row r="24" spans="1:4" ht="15.75">
      <c r="A24" s="8" t="s">
        <v>89</v>
      </c>
    </row>
    <row r="25" spans="1:4" ht="15.75">
      <c r="A25" s="8" t="s">
        <v>90</v>
      </c>
    </row>
    <row r="26" spans="1:4" ht="15.75">
      <c r="A26" s="8" t="s">
        <v>91</v>
      </c>
    </row>
    <row r="27" spans="1:4" ht="15.75">
      <c r="A27" s="8" t="s">
        <v>92</v>
      </c>
    </row>
  </sheetData>
  <mergeCells count="31">
    <mergeCell ref="AK5:AL5"/>
    <mergeCell ref="G5:G6"/>
    <mergeCell ref="H5:K5"/>
    <mergeCell ref="J6:K6"/>
    <mergeCell ref="T5:W5"/>
    <mergeCell ref="V6:W6"/>
    <mergeCell ref="X5:AA5"/>
    <mergeCell ref="Z6:AA6"/>
    <mergeCell ref="AF5:AJ5"/>
    <mergeCell ref="AH6:AJ6"/>
    <mergeCell ref="AB5:AE5"/>
    <mergeCell ref="AD6:AE6"/>
    <mergeCell ref="L5:O5"/>
    <mergeCell ref="N6:O6"/>
    <mergeCell ref="P5:S5"/>
    <mergeCell ref="R6:S6"/>
    <mergeCell ref="A19:A20"/>
    <mergeCell ref="B19:B20"/>
    <mergeCell ref="C19:C20"/>
    <mergeCell ref="A7:A8"/>
    <mergeCell ref="B7:B8"/>
    <mergeCell ref="C7:C8"/>
    <mergeCell ref="A10:A11"/>
    <mergeCell ref="B10:B11"/>
    <mergeCell ref="C10:C11"/>
    <mergeCell ref="A14:A15"/>
    <mergeCell ref="B14:B15"/>
    <mergeCell ref="C14:C15"/>
    <mergeCell ref="A17:A18"/>
    <mergeCell ref="B17:B18"/>
    <mergeCell ref="C17:C1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Outline</vt:lpstr>
      <vt:lpstr>Supplementary Data Sheet 1</vt:lpstr>
      <vt:lpstr>Supplementary Data Sheet 2</vt:lpstr>
      <vt:lpstr>Supplementary Data Sheet 3</vt:lpstr>
      <vt:lpstr>Supplementary Data Sheet 4</vt:lpstr>
      <vt:lpstr>Supplementary Data Sheet 5</vt:lpstr>
      <vt:lpstr>Supplementary Data Sheet 6</vt:lpstr>
      <vt:lpstr>Supplementary Data Sheet 7</vt:lpstr>
      <vt:lpstr>Supplementary Data Sheet 8</vt:lpstr>
      <vt:lpstr>Supplementary Data Sheet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Sabbie Miller</dc:creator>
  <cp:lastModifiedBy>SM</cp:lastModifiedBy>
  <dcterms:created xsi:type="dcterms:W3CDTF">2018-03-02T23:19:34Z</dcterms:created>
  <dcterms:modified xsi:type="dcterms:W3CDTF">2020-02-08T00:15:07Z</dcterms:modified>
</cp:coreProperties>
</file>