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QiyeLi/Documents/My_work/BGI/project/ant/single cell/manuscript/submit/Revision/submit/2nd Revision/submit/Supp_Data/"/>
    </mc:Choice>
  </mc:AlternateContent>
  <xr:revisionPtr revIDLastSave="0" documentId="13_ncr:1_{176EA6BA-D820-B145-B506-F26A34041351}" xr6:coauthVersionLast="47" xr6:coauthVersionMax="47" xr10:uidLastSave="{00000000-0000-0000-0000-000000000000}"/>
  <bookViews>
    <workbookView xWindow="0" yWindow="500" windowWidth="28800" windowHeight="15960" xr2:uid="{4CDE9162-5C54-7D49-AD69-1658BFAF7357}"/>
  </bookViews>
  <sheets>
    <sheet name="S4-1 whole brain comparison" sheetId="6" r:id="rId1"/>
    <sheet name="S4-2 midbrain comparison" sheetId="7" r:id="rId2"/>
    <sheet name="S4-3 scCODA M. pha. vs D. mel.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7" l="1"/>
  <c r="I12" i="7" s="1"/>
  <c r="I11" i="7"/>
  <c r="E11" i="7"/>
  <c r="D11" i="7"/>
  <c r="F11" i="7" s="1"/>
  <c r="I10" i="7"/>
  <c r="E10" i="7"/>
  <c r="D10" i="7"/>
  <c r="G10" i="7" s="1"/>
  <c r="I9" i="7"/>
  <c r="E9" i="7"/>
  <c r="D9" i="7"/>
  <c r="G9" i="7" s="1"/>
  <c r="I8" i="7"/>
  <c r="G8" i="7"/>
  <c r="F8" i="7"/>
  <c r="E8" i="7"/>
  <c r="D8" i="7"/>
  <c r="I7" i="7"/>
  <c r="D7" i="7"/>
  <c r="C7" i="7"/>
  <c r="C12" i="7" s="1"/>
  <c r="E12" i="7" s="1"/>
  <c r="B7" i="7"/>
  <c r="B12" i="7" s="1"/>
  <c r="D12" i="7" s="1"/>
  <c r="I6" i="7"/>
  <c r="G6" i="7"/>
  <c r="E6" i="7"/>
  <c r="F6" i="7" s="1"/>
  <c r="D6" i="7"/>
  <c r="I5" i="7"/>
  <c r="E5" i="7"/>
  <c r="D5" i="7"/>
  <c r="F5" i="7" s="1"/>
  <c r="O11" i="6"/>
  <c r="O10" i="6"/>
  <c r="O9" i="6"/>
  <c r="O8" i="6"/>
  <c r="P8" i="6" s="1"/>
  <c r="O7" i="6"/>
  <c r="O6" i="6"/>
  <c r="O5" i="6"/>
  <c r="N11" i="6"/>
  <c r="N10" i="6"/>
  <c r="N9" i="6"/>
  <c r="Q9" i="6" s="1"/>
  <c r="N8" i="6"/>
  <c r="Q8" i="6" s="1"/>
  <c r="N7" i="6"/>
  <c r="N6" i="6"/>
  <c r="N5" i="6"/>
  <c r="I11" i="6"/>
  <c r="I10" i="6"/>
  <c r="I9" i="6"/>
  <c r="I8" i="6"/>
  <c r="I7" i="6"/>
  <c r="I6" i="6"/>
  <c r="I5" i="6"/>
  <c r="H11" i="6"/>
  <c r="H10" i="6"/>
  <c r="H9" i="6"/>
  <c r="H8" i="6"/>
  <c r="H7" i="6"/>
  <c r="H6" i="6"/>
  <c r="H5" i="6"/>
  <c r="G11" i="6"/>
  <c r="G10" i="6"/>
  <c r="G9" i="6"/>
  <c r="G8" i="6"/>
  <c r="G7" i="6"/>
  <c r="G6" i="6"/>
  <c r="G5" i="6"/>
  <c r="F11" i="6"/>
  <c r="F10" i="6"/>
  <c r="F9" i="6"/>
  <c r="F8" i="6"/>
  <c r="F7" i="6"/>
  <c r="F6" i="6"/>
  <c r="F5" i="6"/>
  <c r="L12" i="6"/>
  <c r="N12" i="6" s="1"/>
  <c r="M12" i="6"/>
  <c r="O12" i="6" s="1"/>
  <c r="D12" i="6"/>
  <c r="H12" i="6" s="1"/>
  <c r="E12" i="6"/>
  <c r="I12" i="6" s="1"/>
  <c r="C12" i="6"/>
  <c r="G12" i="6" s="1"/>
  <c r="B12" i="6"/>
  <c r="F12" i="6" s="1"/>
  <c r="J9" i="6"/>
  <c r="K9" i="6"/>
  <c r="G12" i="7" l="1"/>
  <c r="F12" i="7"/>
  <c r="G5" i="7"/>
  <c r="G11" i="7"/>
  <c r="E7" i="7"/>
  <c r="F7" i="7" s="1"/>
  <c r="F10" i="7"/>
  <c r="F9" i="7"/>
  <c r="P11" i="6"/>
  <c r="Q6" i="6"/>
  <c r="J5" i="6"/>
  <c r="P5" i="6"/>
  <c r="K5" i="6"/>
  <c r="Q7" i="6"/>
  <c r="P7" i="6"/>
  <c r="P10" i="6"/>
  <c r="K8" i="6"/>
  <c r="P12" i="6"/>
  <c r="Q12" i="6"/>
  <c r="J12" i="6"/>
  <c r="P9" i="6"/>
  <c r="K12" i="6"/>
  <c r="K7" i="6"/>
  <c r="J10" i="6"/>
  <c r="Q10" i="6"/>
  <c r="Q11" i="6"/>
  <c r="K11" i="6"/>
  <c r="J6" i="6"/>
  <c r="Q5" i="6"/>
  <c r="K6" i="6"/>
  <c r="J8" i="6"/>
  <c r="K10" i="6"/>
  <c r="J11" i="6"/>
  <c r="J7" i="6"/>
  <c r="P6" i="6"/>
  <c r="G7" i="7" l="1"/>
</calcChain>
</file>

<file path=xl/sharedStrings.xml><?xml version="1.0" encoding="utf-8"?>
<sst xmlns="http://schemas.openxmlformats.org/spreadsheetml/2006/main" count="81" uniqueCount="48">
  <si>
    <t>KC</t>
    <phoneticPr fontId="1" type="noConversion"/>
  </si>
  <si>
    <t>MN</t>
    <phoneticPr fontId="1" type="noConversion"/>
  </si>
  <si>
    <t>OPN</t>
    <phoneticPr fontId="1" type="noConversion"/>
  </si>
  <si>
    <t>AST</t>
    <phoneticPr fontId="1" type="noConversion"/>
  </si>
  <si>
    <t>EG</t>
    <phoneticPr fontId="1" type="noConversion"/>
  </si>
  <si>
    <t>CG</t>
    <phoneticPr fontId="1" type="noConversion"/>
  </si>
  <si>
    <t>Cell Type</t>
  </si>
  <si>
    <t>Final Parameter</t>
  </si>
  <si>
    <t>HDI 3%</t>
  </si>
  <si>
    <t>HDI 97%</t>
  </si>
  <si>
    <t>SD</t>
  </si>
  <si>
    <t>Inclusion probability</t>
  </si>
  <si>
    <t>EG</t>
  </si>
  <si>
    <t>CG</t>
  </si>
  <si>
    <t>OPN</t>
  </si>
  <si>
    <t>SG</t>
  </si>
  <si>
    <t>AST</t>
  </si>
  <si>
    <t>MN</t>
  </si>
  <si>
    <t>KC</t>
  </si>
  <si>
    <t>Cell number</t>
    <phoneticPr fontId="1" type="noConversion"/>
  </si>
  <si>
    <t>Male</t>
    <phoneticPr fontId="1" type="noConversion"/>
  </si>
  <si>
    <t>Worker</t>
    <phoneticPr fontId="1" type="noConversion"/>
  </si>
  <si>
    <t>Gyne</t>
    <phoneticPr fontId="1" type="noConversion"/>
  </si>
  <si>
    <t>Queen</t>
    <phoneticPr fontId="1" type="noConversion"/>
  </si>
  <si>
    <t>Female</t>
    <phoneticPr fontId="1" type="noConversion"/>
  </si>
  <si>
    <t>Gamergate</t>
    <phoneticPr fontId="1" type="noConversion"/>
  </si>
  <si>
    <t>Change direction</t>
    <phoneticPr fontId="1" type="noConversion"/>
  </si>
  <si>
    <r>
      <rPr>
        <b/>
        <i/>
        <sz val="12"/>
        <color theme="1"/>
        <rFont val="Times New Roman"/>
        <family val="1"/>
      </rPr>
      <t xml:space="preserve">M. pha. </t>
    </r>
    <r>
      <rPr>
        <b/>
        <sz val="12"/>
        <color theme="1"/>
        <rFont val="Times New Roman"/>
        <family val="1"/>
      </rPr>
      <t xml:space="preserve">&gt; </t>
    </r>
    <r>
      <rPr>
        <b/>
        <i/>
        <sz val="12"/>
        <color theme="1"/>
        <rFont val="Times New Roman"/>
        <family val="1"/>
      </rPr>
      <t xml:space="preserve">D. mel. </t>
    </r>
    <phoneticPr fontId="1" type="noConversion"/>
  </si>
  <si>
    <t>sd</t>
    <phoneticPr fontId="1" type="noConversion"/>
  </si>
  <si>
    <t>mean</t>
    <phoneticPr fontId="1" type="noConversion"/>
  </si>
  <si>
    <t>Others</t>
    <phoneticPr fontId="1" type="noConversion"/>
  </si>
  <si>
    <t>Relative abundance (%)</t>
  </si>
  <si>
    <t>Cell type</t>
  </si>
  <si>
    <t>KC: Kenyon cell; OPN: olfactory projection neuron; MN: monoaminergic neuron; AST: astrocyte; EG: ensheathing glia; CG: cortex glia; SG: surface glia</t>
  </si>
  <si>
    <t>Others: the remaining cells other than KC, OPN, MN, AST, EG, CG and SG.</t>
  </si>
  <si>
    <r>
      <rPr>
        <b/>
        <i/>
        <sz val="12"/>
        <color theme="1"/>
        <rFont val="Times New Roman"/>
        <family val="1"/>
      </rPr>
      <t xml:space="preserve">Monomorium pharaonis </t>
    </r>
    <r>
      <rPr>
        <b/>
        <sz val="12"/>
        <color theme="1"/>
        <rFont val="Times New Roman"/>
        <family val="1"/>
      </rPr>
      <t>(whole brains, data derived from Table S1-1)</t>
    </r>
  </si>
  <si>
    <r>
      <rPr>
        <b/>
        <i/>
        <sz val="12"/>
        <color theme="1"/>
        <rFont val="Times New Roman"/>
        <family val="1"/>
      </rPr>
      <t xml:space="preserve">Drosophila melanogaster </t>
    </r>
    <r>
      <rPr>
        <b/>
        <sz val="12"/>
        <color theme="1"/>
        <rFont val="Times New Roman"/>
        <family val="1"/>
      </rPr>
      <t>(whole brains, data derived from Table S2-2)</t>
    </r>
  </si>
  <si>
    <r>
      <t xml:space="preserve">Harpegnathos saltator </t>
    </r>
    <r>
      <rPr>
        <b/>
        <sz val="12"/>
        <color theme="1"/>
        <rFont val="Times New Roman"/>
        <family val="1"/>
      </rPr>
      <t>(midbrains, data derived from Table S2-1)</t>
    </r>
  </si>
  <si>
    <r>
      <t xml:space="preserve">Drosophila melanogaster </t>
    </r>
    <r>
      <rPr>
        <b/>
        <sz val="12"/>
        <color theme="1"/>
        <rFont val="Times New Roman"/>
        <family val="1"/>
      </rPr>
      <t>(midbrains, data derived from Table S2-7)</t>
    </r>
  </si>
  <si>
    <t>Other</t>
    <phoneticPr fontId="1" type="noConversion"/>
  </si>
  <si>
    <t>Log2-fold change</t>
    <phoneticPr fontId="1" type="noConversion"/>
  </si>
  <si>
    <t>Final Parameter: the scCODA-inferred effect parameter for each cell cluster. A value other than zero suggests a credible change.</t>
  </si>
  <si>
    <t>Inclusion probability: the posterior inclusion probability for the effect parameter.</t>
  </si>
  <si>
    <t xml:space="preserve">HDI 3%, HDI 97% and SD: 3%, 97% high-density intervals and standard deviation for the effect parameter across the HMC chian with length = 200,000 and burn-in = 10,000. </t>
  </si>
  <si>
    <t>Cell clusters with scCODA Final Parameter other than 0 and &gt; 2-fold change in relative abundance (i.e. Log2-fold change &gt; 1 or Log2-fold change &lt; -1) were defined as showing significant differences, and highlighted in bold font.</t>
  </si>
  <si>
    <r>
      <t xml:space="preserve">Data S4-1: Comparison of relative abundances of different cell types between </t>
    </r>
    <r>
      <rPr>
        <b/>
        <i/>
        <sz val="14"/>
        <color theme="1"/>
        <rFont val="Times New Roman"/>
        <family val="1"/>
      </rPr>
      <t>Monomorium pharaonis</t>
    </r>
    <r>
      <rPr>
        <b/>
        <sz val="14"/>
        <color theme="1"/>
        <rFont val="Times New Roman"/>
        <family val="1"/>
      </rPr>
      <t xml:space="preserve"> and </t>
    </r>
    <r>
      <rPr>
        <b/>
        <i/>
        <sz val="14"/>
        <color theme="1"/>
        <rFont val="Times New Roman"/>
        <family val="1"/>
      </rPr>
      <t xml:space="preserve">Drosophila melanogaster </t>
    </r>
    <r>
      <rPr>
        <b/>
        <sz val="14"/>
        <color theme="1"/>
        <rFont val="Times New Roman"/>
        <family val="1"/>
      </rPr>
      <t>adult</t>
    </r>
    <r>
      <rPr>
        <b/>
        <i/>
        <sz val="14"/>
        <color theme="1"/>
        <rFont val="Times New Roman"/>
        <family val="1"/>
      </rPr>
      <t xml:space="preserve"> </t>
    </r>
    <r>
      <rPr>
        <b/>
        <sz val="14"/>
        <color theme="1"/>
        <rFont val="Times New Roman"/>
        <family val="1"/>
      </rPr>
      <t xml:space="preserve">whole brains, related to Figure 2a. </t>
    </r>
  </si>
  <si>
    <r>
      <t xml:space="preserve">Data S4-2: Comparison of relative abundances of different cell types between </t>
    </r>
    <r>
      <rPr>
        <b/>
        <i/>
        <sz val="14"/>
        <color theme="1"/>
        <rFont val="Times New Roman"/>
        <family val="1"/>
      </rPr>
      <t>Harpegnathos saltator</t>
    </r>
    <r>
      <rPr>
        <b/>
        <sz val="14"/>
        <color theme="1"/>
        <rFont val="Times New Roman"/>
        <family val="1"/>
      </rPr>
      <t xml:space="preserve"> and </t>
    </r>
    <r>
      <rPr>
        <b/>
        <i/>
        <sz val="14"/>
        <color theme="1"/>
        <rFont val="Times New Roman"/>
        <family val="1"/>
      </rPr>
      <t>Drosophila melanogaster</t>
    </r>
    <r>
      <rPr>
        <b/>
        <sz val="14"/>
        <color theme="1"/>
        <rFont val="Times New Roman"/>
        <family val="1"/>
      </rPr>
      <t xml:space="preserve"> adult midbrains, related to Figure 2b.</t>
    </r>
  </si>
  <si>
    <r>
      <t xml:space="preserve">Data S4-3. Cell types with significant differences in relatively abundance between </t>
    </r>
    <r>
      <rPr>
        <b/>
        <i/>
        <sz val="14"/>
        <color theme="1"/>
        <rFont val="Times New Roman"/>
        <family val="1"/>
      </rPr>
      <t>Monomorium</t>
    </r>
    <r>
      <rPr>
        <b/>
        <sz val="14"/>
        <color theme="1"/>
        <rFont val="Times New Roman"/>
        <family val="1"/>
      </rPr>
      <t xml:space="preserve"> and </t>
    </r>
    <r>
      <rPr>
        <b/>
        <i/>
        <sz val="14"/>
        <color theme="1"/>
        <rFont val="Times New Roman"/>
        <family val="1"/>
      </rPr>
      <t>Drosophila</t>
    </r>
    <r>
      <rPr>
        <b/>
        <sz val="14"/>
        <color theme="1"/>
        <rFont val="Times New Roman"/>
        <family val="1"/>
      </rPr>
      <t xml:space="preserve"> brains tested by scCODA, related to Figure 2a.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</si>
</sst>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_ "/>
    <numFmt numFmtId="165" formatCode="0.00_ "/>
  </numFmts>
  <fonts count="7" x14ac:knownFonts="1">
    <font>
      <sz val="12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3" borderId="2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quotePrefix="1" applyFont="1" applyAlignment="1">
      <alignment horizontal="left" vertical="center"/>
    </xf>
    <xf numFmtId="164" fontId="3" fillId="3" borderId="2" xfId="0" applyNumberFormat="1" applyFont="1" applyFill="1" applyBorder="1" applyAlignment="1">
      <alignment horizontal="center" vertical="center"/>
    </xf>
    <xf numFmtId="164" fontId="3" fillId="4" borderId="2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164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65" fontId="2" fillId="0" borderId="0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165" fontId="2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0" quotePrefix="1" applyFont="1" applyAlignment="1">
      <alignment horizontal="left" vertical="center"/>
    </xf>
    <xf numFmtId="165" fontId="2" fillId="0" borderId="0" xfId="0" applyNumberFormat="1" applyFont="1" applyAlignment="1">
      <alignment horizontal="center" vertical="center"/>
    </xf>
    <xf numFmtId="165" fontId="2" fillId="0" borderId="6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4A02E-1FA9-45A4-B601-643DA0BDACE8}">
  <dimension ref="A1:Q15"/>
  <sheetViews>
    <sheetView tabSelected="1" zoomScaleNormal="100" workbookViewId="0">
      <selection activeCell="A17" sqref="A17"/>
    </sheetView>
  </sheetViews>
  <sheetFormatPr baseColWidth="10" defaultColWidth="8.83203125" defaultRowHeight="16" x14ac:dyDescent="0.2"/>
  <cols>
    <col min="1" max="1" width="11" style="8" customWidth="1"/>
    <col min="2" max="2" width="9.6640625" style="8" bestFit="1" customWidth="1"/>
    <col min="3" max="3" width="11.6640625" style="8" bestFit="1" customWidth="1"/>
    <col min="4" max="4" width="9.83203125" style="8" bestFit="1" customWidth="1"/>
    <col min="5" max="5" width="10.83203125" style="8" bestFit="1" customWidth="1"/>
    <col min="6" max="6" width="9.6640625" style="8" bestFit="1" customWidth="1"/>
    <col min="7" max="7" width="11.6640625" style="8" bestFit="1" customWidth="1"/>
    <col min="8" max="8" width="13" style="8" customWidth="1"/>
    <col min="9" max="11" width="14" style="8" customWidth="1"/>
    <col min="12" max="12" width="12.1640625" style="8" customWidth="1"/>
    <col min="13" max="13" width="8.83203125" style="8"/>
    <col min="14" max="14" width="11" style="8" customWidth="1"/>
    <col min="15" max="15" width="10.33203125" style="8" customWidth="1"/>
    <col min="16" max="16" width="9.83203125" style="8" customWidth="1"/>
    <col min="17" max="17" width="12" style="8" customWidth="1"/>
    <col min="18" max="16384" width="8.83203125" style="8"/>
  </cols>
  <sheetData>
    <row r="1" spans="1:17" ht="18" x14ac:dyDescent="0.2">
      <c r="A1" s="16" t="s">
        <v>45</v>
      </c>
    </row>
    <row r="2" spans="1:17" x14ac:dyDescent="0.2">
      <c r="A2" s="32" t="s">
        <v>32</v>
      </c>
      <c r="B2" s="33" t="s">
        <v>35</v>
      </c>
      <c r="C2" s="33"/>
      <c r="D2" s="33"/>
      <c r="E2" s="33"/>
      <c r="F2" s="33"/>
      <c r="G2" s="33"/>
      <c r="H2" s="33"/>
      <c r="I2" s="33"/>
      <c r="J2" s="33"/>
      <c r="K2" s="33"/>
      <c r="L2" s="31" t="s">
        <v>36</v>
      </c>
      <c r="M2" s="31"/>
      <c r="N2" s="31"/>
      <c r="O2" s="31"/>
      <c r="P2" s="31"/>
      <c r="Q2" s="31"/>
    </row>
    <row r="3" spans="1:17" x14ac:dyDescent="0.2">
      <c r="A3" s="32"/>
      <c r="B3" s="33" t="s">
        <v>19</v>
      </c>
      <c r="C3" s="33"/>
      <c r="D3" s="33"/>
      <c r="E3" s="33"/>
      <c r="F3" s="33" t="s">
        <v>31</v>
      </c>
      <c r="G3" s="33"/>
      <c r="H3" s="33"/>
      <c r="I3" s="33"/>
      <c r="J3" s="33"/>
      <c r="K3" s="33"/>
      <c r="L3" s="31" t="s">
        <v>19</v>
      </c>
      <c r="M3" s="31"/>
      <c r="N3" s="31" t="s">
        <v>31</v>
      </c>
      <c r="O3" s="31"/>
      <c r="P3" s="31"/>
      <c r="Q3" s="31"/>
    </row>
    <row r="4" spans="1:17" x14ac:dyDescent="0.2">
      <c r="A4" s="32"/>
      <c r="B4" s="14" t="s">
        <v>20</v>
      </c>
      <c r="C4" s="14" t="s">
        <v>21</v>
      </c>
      <c r="D4" s="14" t="s">
        <v>22</v>
      </c>
      <c r="E4" s="14" t="s">
        <v>23</v>
      </c>
      <c r="F4" s="14" t="s">
        <v>20</v>
      </c>
      <c r="G4" s="14" t="s">
        <v>21</v>
      </c>
      <c r="H4" s="14" t="s">
        <v>22</v>
      </c>
      <c r="I4" s="14" t="s">
        <v>23</v>
      </c>
      <c r="J4" s="14" t="s">
        <v>29</v>
      </c>
      <c r="K4" s="14" t="s">
        <v>28</v>
      </c>
      <c r="L4" s="15" t="s">
        <v>20</v>
      </c>
      <c r="M4" s="15" t="s">
        <v>24</v>
      </c>
      <c r="N4" s="15" t="s">
        <v>20</v>
      </c>
      <c r="O4" s="15" t="s">
        <v>24</v>
      </c>
      <c r="P4" s="15" t="s">
        <v>29</v>
      </c>
      <c r="Q4" s="15" t="s">
        <v>28</v>
      </c>
    </row>
    <row r="5" spans="1:17" x14ac:dyDescent="0.2">
      <c r="A5" s="17" t="s">
        <v>18</v>
      </c>
      <c r="B5" s="18">
        <v>9094</v>
      </c>
      <c r="C5" s="18">
        <v>19458</v>
      </c>
      <c r="D5" s="18">
        <v>11073</v>
      </c>
      <c r="E5" s="18">
        <v>11373</v>
      </c>
      <c r="F5" s="23">
        <f t="shared" ref="F5:F11" si="0">B5/52166*100</f>
        <v>17.432810642947512</v>
      </c>
      <c r="G5" s="23">
        <f t="shared" ref="G5:G11" si="1">C5/56049*100</f>
        <v>34.716052025905903</v>
      </c>
      <c r="H5" s="23">
        <f t="shared" ref="H5:H11" si="2">D5/50254*100</f>
        <v>22.034066939945081</v>
      </c>
      <c r="I5" s="23">
        <f t="shared" ref="I5:I11" si="3">E5/47898*100</f>
        <v>23.744206438682198</v>
      </c>
      <c r="J5" s="25">
        <f>AVERAGE(F5:I5)</f>
        <v>24.481784011870172</v>
      </c>
      <c r="K5" s="25">
        <f>STDEVA(F5:I5)</f>
        <v>7.324925639658054</v>
      </c>
      <c r="L5" s="18">
        <v>1375</v>
      </c>
      <c r="M5" s="18">
        <v>1473</v>
      </c>
      <c r="N5" s="25">
        <f>L5/28472*100</f>
        <v>4.8293059848271991</v>
      </c>
      <c r="O5" s="25">
        <f>M5/28430*100</f>
        <v>5.1811466760464295</v>
      </c>
      <c r="P5" s="25">
        <f>AVERAGE(N5:O5)</f>
        <v>5.0052263304368143</v>
      </c>
      <c r="Q5" s="25">
        <f>STDEVA(N5:O5)</f>
        <v>0.24878893865848001</v>
      </c>
    </row>
    <row r="6" spans="1:17" x14ac:dyDescent="0.2">
      <c r="A6" s="17" t="s">
        <v>14</v>
      </c>
      <c r="B6" s="18">
        <v>714</v>
      </c>
      <c r="C6" s="18">
        <v>2340</v>
      </c>
      <c r="D6" s="18">
        <v>1376</v>
      </c>
      <c r="E6" s="18">
        <v>1745</v>
      </c>
      <c r="F6" s="23">
        <f t="shared" si="0"/>
        <v>1.3687075873174099</v>
      </c>
      <c r="G6" s="23">
        <f t="shared" si="1"/>
        <v>4.1749183749933101</v>
      </c>
      <c r="H6" s="23">
        <f t="shared" si="2"/>
        <v>2.7380905002586857</v>
      </c>
      <c r="I6" s="23">
        <f t="shared" si="3"/>
        <v>3.6431583782203845</v>
      </c>
      <c r="J6" s="25">
        <f t="shared" ref="J6:J12" si="4">AVERAGE(F6:I6)</f>
        <v>2.9812187101974477</v>
      </c>
      <c r="K6" s="25">
        <f t="shared" ref="K6:K12" si="5">STDEVA(F6:I6)</f>
        <v>1.2277875035629386</v>
      </c>
      <c r="L6" s="18">
        <v>281</v>
      </c>
      <c r="M6" s="18">
        <v>262</v>
      </c>
      <c r="N6" s="25">
        <f t="shared" ref="N6:N12" si="6">L6/28472*100</f>
        <v>0.98693453217195848</v>
      </c>
      <c r="O6" s="25">
        <f t="shared" ref="O6:O12" si="7">M6/28430*100</f>
        <v>0.92156173056630319</v>
      </c>
      <c r="P6" s="25">
        <f t="shared" ref="P6:P12" si="8">AVERAGE(N6:O6)</f>
        <v>0.95424813136913089</v>
      </c>
      <c r="Q6" s="25">
        <f t="shared" ref="Q6:Q12" si="9">STDEVA(N6:O6)</f>
        <v>4.6225551320521675E-2</v>
      </c>
    </row>
    <row r="7" spans="1:17" x14ac:dyDescent="0.2">
      <c r="A7" s="17" t="s">
        <v>17</v>
      </c>
      <c r="B7" s="18">
        <v>976</v>
      </c>
      <c r="C7" s="18">
        <v>1247</v>
      </c>
      <c r="D7" s="18">
        <v>995</v>
      </c>
      <c r="E7" s="18">
        <v>1074</v>
      </c>
      <c r="F7" s="23">
        <f t="shared" si="0"/>
        <v>1.8709504274815012</v>
      </c>
      <c r="G7" s="23">
        <f t="shared" si="1"/>
        <v>2.2248389801780584</v>
      </c>
      <c r="H7" s="23">
        <f t="shared" si="2"/>
        <v>1.9799418951725236</v>
      </c>
      <c r="I7" s="23">
        <f t="shared" si="3"/>
        <v>2.2422648127270453</v>
      </c>
      <c r="J7" s="25">
        <f t="shared" si="4"/>
        <v>2.0794990288897823</v>
      </c>
      <c r="K7" s="25">
        <f t="shared" si="5"/>
        <v>0.18350344579142858</v>
      </c>
      <c r="L7" s="18">
        <v>480</v>
      </c>
      <c r="M7" s="18">
        <v>484</v>
      </c>
      <c r="N7" s="25">
        <f t="shared" si="6"/>
        <v>1.6858668165214949</v>
      </c>
      <c r="O7" s="25">
        <f t="shared" si="7"/>
        <v>1.7024270137179036</v>
      </c>
      <c r="P7" s="25">
        <f t="shared" si="8"/>
        <v>1.6941469151196993</v>
      </c>
      <c r="Q7" s="25">
        <f t="shared" si="9"/>
        <v>1.170982773536702E-2</v>
      </c>
    </row>
    <row r="8" spans="1:17" x14ac:dyDescent="0.2">
      <c r="A8" s="17" t="s">
        <v>16</v>
      </c>
      <c r="B8" s="18">
        <v>2374</v>
      </c>
      <c r="C8" s="18">
        <v>1921</v>
      </c>
      <c r="D8" s="18">
        <v>1856</v>
      </c>
      <c r="E8" s="18">
        <v>1886</v>
      </c>
      <c r="F8" s="23">
        <f t="shared" si="0"/>
        <v>4.5508568799601274</v>
      </c>
      <c r="G8" s="23">
        <f t="shared" si="1"/>
        <v>3.427358204428268</v>
      </c>
      <c r="H8" s="23">
        <f t="shared" si="2"/>
        <v>3.6932383491861343</v>
      </c>
      <c r="I8" s="23">
        <f t="shared" si="3"/>
        <v>3.9375339262599693</v>
      </c>
      <c r="J8" s="25">
        <f t="shared" si="4"/>
        <v>3.9022468399586252</v>
      </c>
      <c r="K8" s="25">
        <f t="shared" si="5"/>
        <v>0.47998053009862052</v>
      </c>
      <c r="L8" s="18">
        <v>735</v>
      </c>
      <c r="M8" s="18">
        <v>687</v>
      </c>
      <c r="N8" s="25">
        <f t="shared" si="6"/>
        <v>2.5814835627985389</v>
      </c>
      <c r="O8" s="25">
        <f t="shared" si="7"/>
        <v>2.4164614843475203</v>
      </c>
      <c r="P8" s="25">
        <f t="shared" si="8"/>
        <v>2.4989725235730296</v>
      </c>
      <c r="Q8" s="25">
        <f t="shared" si="9"/>
        <v>0.11668823071821367</v>
      </c>
    </row>
    <row r="9" spans="1:17" x14ac:dyDescent="0.2">
      <c r="A9" s="19" t="s">
        <v>12</v>
      </c>
      <c r="B9" s="20">
        <v>727</v>
      </c>
      <c r="C9" s="20">
        <v>860</v>
      </c>
      <c r="D9" s="20">
        <v>951</v>
      </c>
      <c r="E9" s="20">
        <v>1260</v>
      </c>
      <c r="F9" s="23">
        <f t="shared" si="0"/>
        <v>1.3936280335850937</v>
      </c>
      <c r="G9" s="23">
        <f t="shared" si="1"/>
        <v>1.5343717104676267</v>
      </c>
      <c r="H9" s="23">
        <f t="shared" si="2"/>
        <v>1.8923866756875074</v>
      </c>
      <c r="I9" s="23">
        <f t="shared" si="3"/>
        <v>2.6305900037579857</v>
      </c>
      <c r="J9" s="25">
        <f t="shared" si="4"/>
        <v>1.8627441058745533</v>
      </c>
      <c r="K9" s="25">
        <f t="shared" si="5"/>
        <v>0.55328242462209243</v>
      </c>
      <c r="L9" s="20">
        <v>752</v>
      </c>
      <c r="M9" s="20">
        <v>767</v>
      </c>
      <c r="N9" s="25">
        <f t="shared" si="6"/>
        <v>2.6411913458836751</v>
      </c>
      <c r="O9" s="25">
        <f t="shared" si="7"/>
        <v>2.6978543791769258</v>
      </c>
      <c r="P9" s="25">
        <f t="shared" si="8"/>
        <v>2.6695228625303002</v>
      </c>
      <c r="Q9" s="25">
        <f t="shared" si="9"/>
        <v>4.0066815084256698E-2</v>
      </c>
    </row>
    <row r="10" spans="1:17" x14ac:dyDescent="0.2">
      <c r="A10" s="19" t="s">
        <v>13</v>
      </c>
      <c r="B10" s="20">
        <v>284</v>
      </c>
      <c r="C10" s="20">
        <v>329</v>
      </c>
      <c r="D10" s="20">
        <v>330</v>
      </c>
      <c r="E10" s="20">
        <v>317</v>
      </c>
      <c r="F10" s="23">
        <f t="shared" si="0"/>
        <v>0.54441590307863352</v>
      </c>
      <c r="G10" s="23">
        <f t="shared" si="1"/>
        <v>0.58698638691145244</v>
      </c>
      <c r="H10" s="23">
        <f t="shared" si="2"/>
        <v>0.65666414613762092</v>
      </c>
      <c r="I10" s="23">
        <f t="shared" si="3"/>
        <v>0.66182304062800112</v>
      </c>
      <c r="J10" s="23">
        <f t="shared" si="4"/>
        <v>0.612472369188927</v>
      </c>
      <c r="K10" s="23">
        <f t="shared" si="5"/>
        <v>5.6773291236401624E-2</v>
      </c>
      <c r="L10" s="20">
        <v>93</v>
      </c>
      <c r="M10" s="20">
        <v>146</v>
      </c>
      <c r="N10" s="23">
        <f t="shared" si="6"/>
        <v>0.32663669570103959</v>
      </c>
      <c r="O10" s="23">
        <f t="shared" si="7"/>
        <v>0.51354203306366519</v>
      </c>
      <c r="P10" s="23">
        <f t="shared" si="8"/>
        <v>0.42008936438235239</v>
      </c>
      <c r="Q10" s="23">
        <f t="shared" si="9"/>
        <v>0.13216203148907205</v>
      </c>
    </row>
    <row r="11" spans="1:17" x14ac:dyDescent="0.2">
      <c r="A11" s="19" t="s">
        <v>15</v>
      </c>
      <c r="B11" s="20">
        <v>549</v>
      </c>
      <c r="C11" s="20">
        <v>945</v>
      </c>
      <c r="D11" s="20">
        <v>587</v>
      </c>
      <c r="E11" s="20">
        <v>700</v>
      </c>
      <c r="F11" s="23">
        <f t="shared" si="0"/>
        <v>1.0524096154583444</v>
      </c>
      <c r="G11" s="23">
        <f t="shared" si="1"/>
        <v>1.6860247283626826</v>
      </c>
      <c r="H11" s="23">
        <f t="shared" si="2"/>
        <v>1.1680662235841923</v>
      </c>
      <c r="I11" s="23">
        <f t="shared" si="3"/>
        <v>1.4614388909766587</v>
      </c>
      <c r="J11" s="23">
        <f t="shared" si="4"/>
        <v>1.3419848645954695</v>
      </c>
      <c r="K11" s="23">
        <f t="shared" si="5"/>
        <v>0.28678343215957558</v>
      </c>
      <c r="L11" s="20">
        <v>186</v>
      </c>
      <c r="M11" s="20">
        <v>291</v>
      </c>
      <c r="N11" s="23">
        <f t="shared" si="6"/>
        <v>0.65327339140207918</v>
      </c>
      <c r="O11" s="23">
        <f t="shared" si="7"/>
        <v>1.0235666549419626</v>
      </c>
      <c r="P11" s="23">
        <f t="shared" si="8"/>
        <v>0.83842002317202091</v>
      </c>
      <c r="Q11" s="23">
        <f t="shared" si="9"/>
        <v>0.26183687767674924</v>
      </c>
    </row>
    <row r="12" spans="1:17" x14ac:dyDescent="0.2">
      <c r="A12" s="21" t="s">
        <v>30</v>
      </c>
      <c r="B12" s="22">
        <f>52166-SUM(B5:B11)</f>
        <v>37448</v>
      </c>
      <c r="C12" s="22">
        <f>56049-SUM(C5:C11)</f>
        <v>28949</v>
      </c>
      <c r="D12" s="22">
        <f>50254-SUM(D5:D11)</f>
        <v>33086</v>
      </c>
      <c r="E12" s="22">
        <f>47898-SUM(E5:E11)</f>
        <v>29543</v>
      </c>
      <c r="F12" s="24">
        <f>B12/52166*100</f>
        <v>71.786220910171366</v>
      </c>
      <c r="G12" s="24">
        <f>C12/56049*100</f>
        <v>51.649449588752695</v>
      </c>
      <c r="H12" s="24">
        <f>D12/50254*100</f>
        <v>65.837545270028258</v>
      </c>
      <c r="I12" s="24">
        <f>E12/47898*100</f>
        <v>61.67898450874776</v>
      </c>
      <c r="J12" s="24">
        <f t="shared" si="4"/>
        <v>62.738050069425014</v>
      </c>
      <c r="K12" s="24">
        <f t="shared" si="5"/>
        <v>8.4765351912141575</v>
      </c>
      <c r="L12" s="22">
        <f>28472-SUM(L5:L11)</f>
        <v>24570</v>
      </c>
      <c r="M12" s="22">
        <f>28430-SUM(M5:M11)</f>
        <v>24320</v>
      </c>
      <c r="N12" s="24">
        <f t="shared" si="6"/>
        <v>86.295307670694015</v>
      </c>
      <c r="O12" s="24">
        <f t="shared" si="7"/>
        <v>85.543440028139301</v>
      </c>
      <c r="P12" s="24">
        <f t="shared" si="8"/>
        <v>85.919373849416658</v>
      </c>
      <c r="Q12" s="24">
        <f t="shared" si="9"/>
        <v>0.5316507086051816</v>
      </c>
    </row>
    <row r="14" spans="1:17" x14ac:dyDescent="0.2">
      <c r="A14" s="8" t="s">
        <v>33</v>
      </c>
    </row>
    <row r="15" spans="1:17" x14ac:dyDescent="0.2">
      <c r="A15" s="8" t="s">
        <v>34</v>
      </c>
    </row>
  </sheetData>
  <mergeCells count="7">
    <mergeCell ref="L2:Q2"/>
    <mergeCell ref="A2:A4"/>
    <mergeCell ref="B3:E3"/>
    <mergeCell ref="L3:M3"/>
    <mergeCell ref="B2:K2"/>
    <mergeCell ref="F3:K3"/>
    <mergeCell ref="N3:Q3"/>
  </mergeCells>
  <phoneticPr fontId="1" type="noConversion"/>
  <pageMargins left="0.7" right="0.7" top="0.75" bottom="0.75" header="0.3" footer="0.3"/>
  <pageSetup paperSize="9" orientation="portrait" verticalDpi="0" r:id="rId1"/>
  <ignoredErrors>
    <ignoredError sqref="J5:K11 P5:Q5 P11 P6:P10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CEEAD-802D-48D2-9788-F2A2B7C8882E}">
  <dimension ref="A1:K15"/>
  <sheetViews>
    <sheetView zoomScaleNormal="100" workbookViewId="0">
      <selection activeCell="A17" sqref="A17"/>
    </sheetView>
  </sheetViews>
  <sheetFormatPr baseColWidth="10" defaultColWidth="8.83203125" defaultRowHeight="16" x14ac:dyDescent="0.2"/>
  <cols>
    <col min="1" max="1" width="8.83203125" style="1" customWidth="1"/>
    <col min="2" max="2" width="10.83203125" style="1" bestFit="1" customWidth="1"/>
    <col min="3" max="3" width="14" style="1" bestFit="1" customWidth="1"/>
    <col min="4" max="7" width="14" style="1" customWidth="1"/>
    <col min="8" max="8" width="30.6640625" style="1" customWidth="1"/>
    <col min="9" max="9" width="35.5" style="1" customWidth="1"/>
    <col min="10" max="10" width="12.6640625" style="1" customWidth="1"/>
    <col min="11" max="11" width="18.33203125" style="1" customWidth="1"/>
    <col min="12" max="16384" width="8.83203125" style="8"/>
  </cols>
  <sheetData>
    <row r="1" spans="1:11" ht="18" x14ac:dyDescent="0.2">
      <c r="A1" s="16" t="s">
        <v>46</v>
      </c>
    </row>
    <row r="2" spans="1:11" x14ac:dyDescent="0.2">
      <c r="A2" s="32" t="s">
        <v>32</v>
      </c>
      <c r="B2" s="34" t="s">
        <v>37</v>
      </c>
      <c r="C2" s="35"/>
      <c r="D2" s="35"/>
      <c r="E2" s="35"/>
      <c r="F2" s="35"/>
      <c r="G2" s="36"/>
      <c r="H2" s="37" t="s">
        <v>38</v>
      </c>
      <c r="I2" s="38"/>
      <c r="J2" s="9"/>
      <c r="K2" s="8"/>
    </row>
    <row r="3" spans="1:11" x14ac:dyDescent="0.2">
      <c r="A3" s="32"/>
      <c r="B3" s="33" t="s">
        <v>19</v>
      </c>
      <c r="C3" s="33"/>
      <c r="D3" s="40" t="s">
        <v>31</v>
      </c>
      <c r="E3" s="41"/>
      <c r="F3" s="41"/>
      <c r="G3" s="42"/>
      <c r="H3" s="31" t="s">
        <v>19</v>
      </c>
      <c r="I3" s="39" t="s">
        <v>31</v>
      </c>
      <c r="J3" s="9"/>
      <c r="K3" s="8"/>
    </row>
    <row r="4" spans="1:11" x14ac:dyDescent="0.2">
      <c r="A4" s="32"/>
      <c r="B4" s="10" t="s">
        <v>21</v>
      </c>
      <c r="C4" s="10" t="s">
        <v>25</v>
      </c>
      <c r="D4" s="10" t="s">
        <v>21</v>
      </c>
      <c r="E4" s="10" t="s">
        <v>25</v>
      </c>
      <c r="F4" s="10" t="s">
        <v>29</v>
      </c>
      <c r="G4" s="10" t="s">
        <v>28</v>
      </c>
      <c r="H4" s="31"/>
      <c r="I4" s="39"/>
      <c r="J4" s="9"/>
      <c r="K4" s="8"/>
    </row>
    <row r="5" spans="1:11" x14ac:dyDescent="0.2">
      <c r="A5" s="1" t="s">
        <v>18</v>
      </c>
      <c r="B5" s="1">
        <v>3697</v>
      </c>
      <c r="C5" s="1">
        <v>2877</v>
      </c>
      <c r="D5" s="28">
        <f>B5/10986*100</f>
        <v>33.651920626251588</v>
      </c>
      <c r="E5" s="28">
        <f>C5/7597*100</f>
        <v>37.870211925760167</v>
      </c>
      <c r="F5" s="29">
        <f>AVERAGE(D5:E5)</f>
        <v>35.761066276005877</v>
      </c>
      <c r="G5" s="29">
        <f>STDEVA(D5:E5)</f>
        <v>2.9827823829027298</v>
      </c>
      <c r="H5" s="1">
        <v>1040</v>
      </c>
      <c r="I5" s="28">
        <f>H5/10268*100</f>
        <v>10.128554733151539</v>
      </c>
      <c r="J5" s="8"/>
      <c r="K5" s="8"/>
    </row>
    <row r="6" spans="1:11" x14ac:dyDescent="0.2">
      <c r="A6" s="1" t="s">
        <v>14</v>
      </c>
      <c r="B6" s="1">
        <v>319</v>
      </c>
      <c r="C6" s="1">
        <v>259</v>
      </c>
      <c r="D6" s="28">
        <f t="shared" ref="D6:D12" si="0">B6/10986*100</f>
        <v>2.9036956125978519</v>
      </c>
      <c r="E6" s="28">
        <f t="shared" ref="E6:E12" si="1">C6/7597*100</f>
        <v>3.4092404896669737</v>
      </c>
      <c r="F6" s="28">
        <f t="shared" ref="F6:F12" si="2">AVERAGE(D6:E6)</f>
        <v>3.1564680511324128</v>
      </c>
      <c r="G6" s="28">
        <f t="shared" ref="G6:G12" si="3">STDEVA(D6:E6)</f>
        <v>0.35747421076969554</v>
      </c>
      <c r="H6" s="1">
        <v>190</v>
      </c>
      <c r="I6" s="28">
        <f t="shared" ref="I6:I12" si="4">H6/10268*100</f>
        <v>1.8504090377873004</v>
      </c>
      <c r="J6" s="8"/>
      <c r="K6" s="8"/>
    </row>
    <row r="7" spans="1:11" x14ac:dyDescent="0.2">
      <c r="A7" s="1" t="s">
        <v>1</v>
      </c>
      <c r="B7" s="1">
        <f>99+53</f>
        <v>152</v>
      </c>
      <c r="C7" s="1">
        <f>65+18</f>
        <v>83</v>
      </c>
      <c r="D7" s="28">
        <f t="shared" si="0"/>
        <v>1.3835791006735847</v>
      </c>
      <c r="E7" s="28">
        <f t="shared" si="1"/>
        <v>1.0925365275766752</v>
      </c>
      <c r="F7" s="28">
        <f t="shared" si="2"/>
        <v>1.2380578141251299</v>
      </c>
      <c r="G7" s="28">
        <f t="shared" si="3"/>
        <v>0.20579817705080627</v>
      </c>
      <c r="H7" s="1">
        <v>155</v>
      </c>
      <c r="I7" s="28">
        <f t="shared" si="4"/>
        <v>1.5095442150370082</v>
      </c>
      <c r="J7" s="8"/>
      <c r="K7" s="8"/>
    </row>
    <row r="8" spans="1:11" x14ac:dyDescent="0.2">
      <c r="A8" s="1" t="s">
        <v>16</v>
      </c>
      <c r="B8" s="1">
        <v>916</v>
      </c>
      <c r="C8" s="1">
        <v>595</v>
      </c>
      <c r="D8" s="28">
        <f t="shared" si="0"/>
        <v>8.3378845803750234</v>
      </c>
      <c r="E8" s="28">
        <f t="shared" si="1"/>
        <v>7.8320389627484523</v>
      </c>
      <c r="F8" s="28">
        <f t="shared" si="2"/>
        <v>8.084961771561737</v>
      </c>
      <c r="G8" s="28">
        <f t="shared" si="3"/>
        <v>0.35768686645724579</v>
      </c>
      <c r="H8" s="1">
        <v>75</v>
      </c>
      <c r="I8" s="28">
        <f t="shared" si="4"/>
        <v>0.73042462017919751</v>
      </c>
      <c r="J8" s="8"/>
      <c r="K8" s="8"/>
    </row>
    <row r="9" spans="1:11" x14ac:dyDescent="0.2">
      <c r="A9" s="1" t="s">
        <v>12</v>
      </c>
      <c r="B9" s="1">
        <v>443</v>
      </c>
      <c r="C9" s="1">
        <v>437</v>
      </c>
      <c r="D9" s="28">
        <f t="shared" si="0"/>
        <v>4.0324048789368288</v>
      </c>
      <c r="E9" s="28">
        <f t="shared" si="1"/>
        <v>5.7522706331446631</v>
      </c>
      <c r="F9" s="28">
        <f t="shared" si="2"/>
        <v>4.8923377560407459</v>
      </c>
      <c r="G9" s="28">
        <f t="shared" si="3"/>
        <v>1.2161287375308789</v>
      </c>
      <c r="H9" s="1">
        <v>0</v>
      </c>
      <c r="I9" s="28">
        <f t="shared" si="4"/>
        <v>0</v>
      </c>
      <c r="J9" s="8"/>
      <c r="K9" s="8"/>
    </row>
    <row r="10" spans="1:11" x14ac:dyDescent="0.2">
      <c r="A10" s="1" t="s">
        <v>13</v>
      </c>
      <c r="B10" s="1">
        <v>37</v>
      </c>
      <c r="C10" s="1">
        <v>10</v>
      </c>
      <c r="D10" s="28">
        <f t="shared" si="0"/>
        <v>0.3367922810850173</v>
      </c>
      <c r="E10" s="28">
        <f t="shared" si="1"/>
        <v>0.13163090693694879</v>
      </c>
      <c r="F10" s="28">
        <f t="shared" si="2"/>
        <v>0.23421159401098304</v>
      </c>
      <c r="G10" s="28">
        <f t="shared" si="3"/>
        <v>0.14507099889764966</v>
      </c>
      <c r="H10" s="1">
        <v>8</v>
      </c>
      <c r="I10" s="28">
        <f t="shared" si="4"/>
        <v>7.7911959485781071E-2</v>
      </c>
      <c r="J10" s="8"/>
      <c r="K10" s="8"/>
    </row>
    <row r="11" spans="1:11" x14ac:dyDescent="0.2">
      <c r="A11" s="1" t="s">
        <v>15</v>
      </c>
      <c r="B11" s="1">
        <v>126</v>
      </c>
      <c r="C11" s="1">
        <v>30</v>
      </c>
      <c r="D11" s="28">
        <f t="shared" si="0"/>
        <v>1.1469142545057347</v>
      </c>
      <c r="E11" s="28">
        <f t="shared" si="1"/>
        <v>0.39489272081084642</v>
      </c>
      <c r="F11" s="28">
        <f t="shared" si="2"/>
        <v>0.77090348765829053</v>
      </c>
      <c r="G11" s="28">
        <f t="shared" si="3"/>
        <v>0.53175952607396326</v>
      </c>
      <c r="H11" s="1">
        <v>10</v>
      </c>
      <c r="I11" s="28">
        <f t="shared" si="4"/>
        <v>9.7389949357226335E-2</v>
      </c>
      <c r="J11" s="8"/>
      <c r="K11" s="8"/>
    </row>
    <row r="12" spans="1:11" x14ac:dyDescent="0.2">
      <c r="A12" s="5" t="s">
        <v>30</v>
      </c>
      <c r="B12" s="5">
        <f>10986-SUM(B5:B11)</f>
        <v>5296</v>
      </c>
      <c r="C12" s="5">
        <f>7597-SUM(C5:C11)</f>
        <v>3306</v>
      </c>
      <c r="D12" s="30">
        <f t="shared" si="0"/>
        <v>48.206808665574371</v>
      </c>
      <c r="E12" s="30">
        <f t="shared" si="1"/>
        <v>43.517177833355269</v>
      </c>
      <c r="F12" s="30">
        <f t="shared" si="2"/>
        <v>45.861993249464817</v>
      </c>
      <c r="G12" s="30">
        <f t="shared" si="3"/>
        <v>3.3160697627236391</v>
      </c>
      <c r="H12" s="5">
        <f>10268-SUM(H5:H11)</f>
        <v>8790</v>
      </c>
      <c r="I12" s="30">
        <f t="shared" si="4"/>
        <v>85.605765485001953</v>
      </c>
      <c r="J12" s="8"/>
      <c r="K12" s="8"/>
    </row>
    <row r="14" spans="1:11" x14ac:dyDescent="0.2">
      <c r="A14" s="8" t="s">
        <v>33</v>
      </c>
    </row>
    <row r="15" spans="1:11" x14ac:dyDescent="0.2">
      <c r="A15" s="8" t="s">
        <v>34</v>
      </c>
    </row>
  </sheetData>
  <mergeCells count="7">
    <mergeCell ref="A2:A4"/>
    <mergeCell ref="B2:G2"/>
    <mergeCell ref="H2:I2"/>
    <mergeCell ref="B3:C3"/>
    <mergeCell ref="H3:H4"/>
    <mergeCell ref="I3:I4"/>
    <mergeCell ref="D3:G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DC0F2-FE96-1243-875E-BD784620856C}">
  <dimension ref="A1:H14"/>
  <sheetViews>
    <sheetView zoomScaleNormal="100" workbookViewId="0">
      <selection activeCell="A16" sqref="A16"/>
    </sheetView>
  </sheetViews>
  <sheetFormatPr baseColWidth="10" defaultColWidth="11" defaultRowHeight="16" x14ac:dyDescent="0.2"/>
  <cols>
    <col min="1" max="1" width="11" style="8"/>
    <col min="2" max="4" width="21.5" style="8" customWidth="1"/>
    <col min="5" max="6" width="11" style="8"/>
    <col min="7" max="7" width="11.1640625" style="8" customWidth="1"/>
    <col min="8" max="8" width="20.1640625" style="8" customWidth="1"/>
    <col min="9" max="16384" width="11" style="8"/>
  </cols>
  <sheetData>
    <row r="1" spans="1:8" ht="18" x14ac:dyDescent="0.2">
      <c r="A1" s="26" t="s">
        <v>47</v>
      </c>
    </row>
    <row r="2" spans="1:8" x14ac:dyDescent="0.2">
      <c r="A2" s="27" t="s">
        <v>44</v>
      </c>
    </row>
    <row r="3" spans="1:8" x14ac:dyDescent="0.2">
      <c r="A3" s="12" t="s">
        <v>41</v>
      </c>
    </row>
    <row r="4" spans="1:8" x14ac:dyDescent="0.2">
      <c r="A4" s="13" t="s">
        <v>43</v>
      </c>
    </row>
    <row r="5" spans="1:8" ht="17" customHeight="1" x14ac:dyDescent="0.2">
      <c r="A5" s="13" t="s">
        <v>42</v>
      </c>
      <c r="B5" s="11"/>
      <c r="C5" s="11"/>
      <c r="D5" s="11"/>
      <c r="E5" s="11"/>
      <c r="F5" s="11"/>
      <c r="G5" s="11"/>
      <c r="H5" s="11"/>
    </row>
    <row r="6" spans="1:8" x14ac:dyDescent="0.2">
      <c r="A6" s="7" t="s">
        <v>6</v>
      </c>
      <c r="B6" s="7" t="s">
        <v>7</v>
      </c>
      <c r="C6" s="7" t="s">
        <v>40</v>
      </c>
      <c r="D6" s="7" t="s">
        <v>26</v>
      </c>
      <c r="E6" s="7" t="s">
        <v>8</v>
      </c>
      <c r="F6" s="7" t="s">
        <v>9</v>
      </c>
      <c r="G6" s="7" t="s">
        <v>10</v>
      </c>
      <c r="H6" s="7" t="s">
        <v>11</v>
      </c>
    </row>
    <row r="7" spans="1:8" x14ac:dyDescent="0.2">
      <c r="A7" s="2" t="s">
        <v>0</v>
      </c>
      <c r="B7" s="4">
        <v>1.7260643103406099</v>
      </c>
      <c r="C7" s="4">
        <v>2.26870315592048</v>
      </c>
      <c r="D7" s="4" t="s">
        <v>27</v>
      </c>
      <c r="E7" s="2">
        <v>1.2390000000000001</v>
      </c>
      <c r="F7" s="2">
        <v>2.222</v>
      </c>
      <c r="G7" s="2">
        <v>0.26200000000000001</v>
      </c>
      <c r="H7" s="4">
        <v>1</v>
      </c>
    </row>
    <row r="8" spans="1:8" x14ac:dyDescent="0.2">
      <c r="A8" s="2" t="s">
        <v>2</v>
      </c>
      <c r="B8" s="4">
        <v>1.04387053386675</v>
      </c>
      <c r="C8" s="4">
        <v>1.64931291213121</v>
      </c>
      <c r="D8" s="4" t="s">
        <v>27</v>
      </c>
      <c r="E8" s="2">
        <v>0.14399999999999999</v>
      </c>
      <c r="F8" s="2">
        <v>1.9730000000000001</v>
      </c>
      <c r="G8" s="2">
        <v>0.55900000000000005</v>
      </c>
      <c r="H8" s="4">
        <v>0.89824210526315695</v>
      </c>
    </row>
    <row r="9" spans="1:8" x14ac:dyDescent="0.2">
      <c r="A9" s="1" t="s">
        <v>1</v>
      </c>
      <c r="B9" s="3">
        <v>0</v>
      </c>
      <c r="C9" s="3">
        <v>0.29956028185890698</v>
      </c>
      <c r="D9" s="3"/>
      <c r="E9" s="1">
        <v>-0.36099999999999999</v>
      </c>
      <c r="F9" s="1">
        <v>1.179</v>
      </c>
      <c r="G9" s="1">
        <v>0.318</v>
      </c>
      <c r="H9" s="3">
        <v>0.422363157894736</v>
      </c>
    </row>
    <row r="10" spans="1:8" x14ac:dyDescent="0.2">
      <c r="A10" s="1" t="s">
        <v>3</v>
      </c>
      <c r="B10" s="3">
        <v>0</v>
      </c>
      <c r="C10" s="3">
        <v>0.64154602908752301</v>
      </c>
      <c r="D10" s="4"/>
      <c r="E10" s="1">
        <v>-6.0999999999999999E-2</v>
      </c>
      <c r="F10" s="1">
        <v>1.294</v>
      </c>
      <c r="G10" s="1">
        <v>0.41599999999999998</v>
      </c>
      <c r="H10" s="3">
        <v>0.67581578947368404</v>
      </c>
    </row>
    <row r="11" spans="1:8" x14ac:dyDescent="0.2">
      <c r="A11" s="1" t="s">
        <v>4</v>
      </c>
      <c r="B11" s="3">
        <v>0</v>
      </c>
      <c r="C11" s="3">
        <v>-0.52153712057952195</v>
      </c>
      <c r="D11" s="3"/>
      <c r="E11" s="1">
        <v>-0.751</v>
      </c>
      <c r="F11" s="1">
        <v>0.63400000000000001</v>
      </c>
      <c r="G11" s="1">
        <v>0.20200000000000001</v>
      </c>
      <c r="H11" s="3">
        <v>0.32133157894736802</v>
      </c>
    </row>
    <row r="12" spans="1:8" x14ac:dyDescent="0.2">
      <c r="A12" s="1" t="s">
        <v>5</v>
      </c>
      <c r="B12" s="3">
        <v>0</v>
      </c>
      <c r="C12" s="3">
        <v>0.53841991478412599</v>
      </c>
      <c r="D12" s="3"/>
      <c r="E12" s="1">
        <v>-0.628</v>
      </c>
      <c r="F12" s="1">
        <v>1.43</v>
      </c>
      <c r="G12" s="1">
        <v>0.39100000000000001</v>
      </c>
      <c r="H12" s="3">
        <v>0.41637368421052601</v>
      </c>
    </row>
    <row r="13" spans="1:8" x14ac:dyDescent="0.2">
      <c r="A13" s="1" t="s">
        <v>15</v>
      </c>
      <c r="B13" s="3">
        <v>0</v>
      </c>
      <c r="C13" s="3">
        <v>0.67377176767901203</v>
      </c>
      <c r="D13" s="3"/>
      <c r="E13" s="1">
        <v>-0.34300000000000003</v>
      </c>
      <c r="F13" s="1">
        <v>1.484</v>
      </c>
      <c r="G13" s="1">
        <v>0.42099999999999999</v>
      </c>
      <c r="H13" s="3">
        <v>0.47379473684210499</v>
      </c>
    </row>
    <row r="14" spans="1:8" x14ac:dyDescent="0.2">
      <c r="A14" s="5" t="s">
        <v>39</v>
      </c>
      <c r="B14" s="6">
        <v>0</v>
      </c>
      <c r="C14" s="6">
        <v>-0.453608464141809</v>
      </c>
      <c r="D14" s="6"/>
      <c r="E14" s="6">
        <v>0</v>
      </c>
      <c r="F14" s="6">
        <v>0</v>
      </c>
      <c r="G14" s="6">
        <v>0</v>
      </c>
      <c r="H14" s="6">
        <v>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S4-1 whole brain comparison</vt:lpstr>
      <vt:lpstr>S4-2 midbrain comparison</vt:lpstr>
      <vt:lpstr>S4-3 scCODA M. pha. vs D. mel.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 群飞</dc:creator>
  <cp:lastModifiedBy>Microsoft Office User</cp:lastModifiedBy>
  <dcterms:created xsi:type="dcterms:W3CDTF">2022-01-24T07:59:59Z</dcterms:created>
  <dcterms:modified xsi:type="dcterms:W3CDTF">2022-05-01T09:18:23Z</dcterms:modified>
</cp:coreProperties>
</file>