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epopovich/Box/Trains/Submissions/Nature Energy/Final submission packet/Supplementary Data/"/>
    </mc:Choice>
  </mc:AlternateContent>
  <xr:revisionPtr revIDLastSave="0" documentId="13_ncr:1_{1DD35190-0AA0-D245-923F-44C8BD344CEE}" xr6:coauthVersionLast="47" xr6:coauthVersionMax="47" xr10:uidLastSave="{00000000-0000-0000-0000-000000000000}"/>
  <bookViews>
    <workbookView xWindow="0" yWindow="500" windowWidth="28800" windowHeight="15900" activeTab="7" xr2:uid="{406DFF02-BBFC-0247-93A0-EE244F2E3756}"/>
  </bookViews>
  <sheets>
    <sheet name="master" sheetId="1" r:id="rId1"/>
    <sheet name="TCO and NPV" sheetId="7" r:id="rId2"/>
    <sheet name="damages" sheetId="21" r:id="rId3"/>
    <sheet name="levelized energy costs" sheetId="31" r:id="rId4"/>
    <sheet name="grid emissions damages" sheetId="23" r:id="rId5"/>
    <sheet name="criteria_pollutants" sheetId="4" r:id="rId6"/>
    <sheet name="heat value of diesel" sheetId="2" state="hidden" r:id="rId7"/>
    <sheet name="other data cited in paper" sheetId="11" r:id="rId8"/>
  </sheets>
  <definedNames>
    <definedName name="_Ref40682003" localSheetId="0">master!#REF!</definedName>
    <definedName name="_Ref40682023" localSheetId="0">master!#REF!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1" l="1"/>
  <c r="B83" i="1"/>
  <c r="C3" i="7" l="1"/>
  <c r="D14" i="31" l="1"/>
  <c r="C14" i="31" s="1"/>
  <c r="D15" i="31"/>
  <c r="C15" i="31" s="1"/>
  <c r="D16" i="31"/>
  <c r="C16" i="31" s="1"/>
  <c r="D17" i="31"/>
  <c r="C17" i="31" s="1"/>
  <c r="B116" i="1" s="1"/>
  <c r="B117" i="1" s="1"/>
  <c r="D18" i="31"/>
  <c r="C18" i="31" s="1"/>
  <c r="D19" i="31"/>
  <c r="C19" i="31" s="1"/>
  <c r="D20" i="31"/>
  <c r="C20" i="31" s="1"/>
  <c r="D21" i="31"/>
  <c r="C21" i="31" s="1"/>
  <c r="D22" i="31"/>
  <c r="C22" i="31" s="1"/>
  <c r="D23" i="31"/>
  <c r="C23" i="31" s="1"/>
  <c r="D24" i="31"/>
  <c r="D25" i="31"/>
  <c r="C25" i="31" s="1"/>
  <c r="D26" i="31"/>
  <c r="C26" i="31" s="1"/>
  <c r="D27" i="31"/>
  <c r="C27" i="31" s="1"/>
  <c r="D28" i="31"/>
  <c r="C28" i="31" s="1"/>
  <c r="D29" i="31"/>
  <c r="C29" i="31" s="1"/>
  <c r="D30" i="31"/>
  <c r="C30" i="31" s="1"/>
  <c r="D31" i="31"/>
  <c r="C31" i="31" s="1"/>
  <c r="C24" i="31"/>
  <c r="C13" i="31"/>
  <c r="D9" i="31"/>
  <c r="B137" i="1" l="1"/>
  <c r="B1" i="21"/>
  <c r="H17" i="7"/>
  <c r="H33" i="7" s="1"/>
  <c r="I17" i="7"/>
  <c r="I33" i="7" s="1"/>
  <c r="J17" i="7"/>
  <c r="J33" i="7" s="1"/>
  <c r="K17" i="7"/>
  <c r="K33" i="7" s="1"/>
  <c r="L17" i="7"/>
  <c r="L33" i="7" s="1"/>
  <c r="M17" i="7"/>
  <c r="M33" i="7" s="1"/>
  <c r="N17" i="7"/>
  <c r="N33" i="7" s="1"/>
  <c r="O17" i="7"/>
  <c r="O33" i="7" s="1"/>
  <c r="P17" i="7"/>
  <c r="P33" i="7" s="1"/>
  <c r="Q17" i="7"/>
  <c r="Q33" i="7" s="1"/>
  <c r="R17" i="7"/>
  <c r="R33" i="7" s="1"/>
  <c r="S17" i="7"/>
  <c r="S33" i="7" s="1"/>
  <c r="T17" i="7"/>
  <c r="T33" i="7" s="1"/>
  <c r="U17" i="7"/>
  <c r="U33" i="7" s="1"/>
  <c r="V17" i="7"/>
  <c r="V33" i="7" s="1"/>
  <c r="W17" i="7"/>
  <c r="W33" i="7" s="1"/>
  <c r="X17" i="7"/>
  <c r="X33" i="7" s="1"/>
  <c r="Y17" i="7"/>
  <c r="Y33" i="7" s="1"/>
  <c r="Z17" i="7"/>
  <c r="Z33" i="7" s="1"/>
  <c r="G17" i="7"/>
  <c r="G33" i="7" s="1"/>
  <c r="C12" i="7"/>
  <c r="G18" i="7" s="1"/>
  <c r="G34" i="7" s="1"/>
  <c r="H9" i="31"/>
  <c r="K66" i="7" l="1"/>
  <c r="O18" i="7"/>
  <c r="O34" i="7" s="1"/>
  <c r="V18" i="7"/>
  <c r="V34" i="7" s="1"/>
  <c r="T18" i="7"/>
  <c r="T34" i="7" s="1"/>
  <c r="K18" i="7"/>
  <c r="K34" i="7" s="1"/>
  <c r="N18" i="7"/>
  <c r="N34" i="7" s="1"/>
  <c r="L18" i="7"/>
  <c r="L34" i="7" s="1"/>
  <c r="S18" i="7"/>
  <c r="S34" i="7" s="1"/>
  <c r="Z18" i="7"/>
  <c r="Z34" i="7" s="1"/>
  <c r="R18" i="7"/>
  <c r="R34" i="7" s="1"/>
  <c r="J18" i="7"/>
  <c r="J34" i="7" s="1"/>
  <c r="Y18" i="7"/>
  <c r="Y34" i="7" s="1"/>
  <c r="Q18" i="7"/>
  <c r="Q34" i="7" s="1"/>
  <c r="I18" i="7"/>
  <c r="I34" i="7" s="1"/>
  <c r="W18" i="7"/>
  <c r="W34" i="7" s="1"/>
  <c r="U18" i="7"/>
  <c r="U34" i="7" s="1"/>
  <c r="M18" i="7"/>
  <c r="M34" i="7" s="1"/>
  <c r="X18" i="7"/>
  <c r="X34" i="7" s="1"/>
  <c r="P18" i="7"/>
  <c r="P34" i="7" s="1"/>
  <c r="H18" i="7"/>
  <c r="H34" i="7" s="1"/>
  <c r="B66" i="1"/>
  <c r="B68" i="1" s="1"/>
  <c r="B69" i="1" s="1"/>
  <c r="B123" i="1"/>
  <c r="J66" i="7" l="1"/>
  <c r="F48" i="7"/>
  <c r="B100" i="1"/>
  <c r="C83" i="4"/>
  <c r="D83" i="4"/>
  <c r="E83" i="4"/>
  <c r="F83" i="4"/>
  <c r="B83" i="4"/>
  <c r="B5" i="4"/>
  <c r="B6" i="4"/>
  <c r="B104" i="1"/>
  <c r="B47" i="1"/>
  <c r="B42" i="1"/>
  <c r="B32" i="1"/>
  <c r="B35" i="1" s="1"/>
  <c r="B37" i="1" s="1"/>
  <c r="B33" i="1"/>
  <c r="B30" i="1"/>
  <c r="B24" i="1" l="1"/>
  <c r="B138" i="1" l="1"/>
  <c r="B139" i="1" s="1"/>
  <c r="B121" i="1"/>
  <c r="B124" i="1" s="1"/>
  <c r="C6" i="21" l="1"/>
  <c r="D6" i="21" s="1"/>
  <c r="E6" i="21" s="1"/>
  <c r="F6" i="21" s="1"/>
  <c r="G6" i="21" s="1"/>
  <c r="H6" i="21" s="1"/>
  <c r="I6" i="21" s="1"/>
  <c r="J6" i="21" s="1"/>
  <c r="K6" i="21" s="1"/>
  <c r="L6" i="21" s="1"/>
  <c r="M6" i="21" s="1"/>
  <c r="N6" i="21" s="1"/>
  <c r="O6" i="21" s="1"/>
  <c r="P6" i="21" s="1"/>
  <c r="Q6" i="21" s="1"/>
  <c r="R6" i="21" s="1"/>
  <c r="S6" i="21" s="1"/>
  <c r="T6" i="21" s="1"/>
  <c r="U6" i="21" s="1"/>
  <c r="V6" i="21" s="1"/>
  <c r="F32" i="7" l="1"/>
  <c r="C9" i="31"/>
  <c r="E9" i="31"/>
  <c r="F9" i="31"/>
  <c r="G9" i="31"/>
  <c r="B9" i="31"/>
  <c r="F36" i="7" l="1"/>
  <c r="F38" i="7"/>
  <c r="F35" i="7"/>
  <c r="F33" i="7"/>
  <c r="F47" i="7" s="1"/>
  <c r="F31" i="7"/>
  <c r="C35" i="4" l="1"/>
  <c r="D35" i="4"/>
  <c r="E35" i="4"/>
  <c r="F35" i="4"/>
  <c r="B35" i="4"/>
  <c r="B49" i="4" l="1"/>
  <c r="B51" i="4" s="1"/>
  <c r="B65" i="4"/>
  <c r="C65" i="4"/>
  <c r="D65" i="4"/>
  <c r="E65" i="4"/>
  <c r="F65" i="4"/>
  <c r="B48" i="4"/>
  <c r="B4" i="4"/>
  <c r="C25" i="4"/>
  <c r="C34" i="4"/>
  <c r="C45" i="4" s="1"/>
  <c r="D34" i="4"/>
  <c r="D45" i="4" s="1"/>
  <c r="E34" i="4"/>
  <c r="E45" i="4" s="1"/>
  <c r="F34" i="4"/>
  <c r="F45" i="4" s="1"/>
  <c r="B34" i="4"/>
  <c r="B45" i="4" s="1"/>
  <c r="C33" i="4"/>
  <c r="C44" i="4" s="1"/>
  <c r="D33" i="4"/>
  <c r="D44" i="4" s="1"/>
  <c r="E33" i="4"/>
  <c r="E44" i="4" s="1"/>
  <c r="F33" i="4"/>
  <c r="F44" i="4" s="1"/>
  <c r="B33" i="4"/>
  <c r="B44" i="4" s="1"/>
  <c r="D14" i="4"/>
  <c r="F14" i="4" s="1"/>
  <c r="D15" i="4"/>
  <c r="F15" i="4" s="1"/>
  <c r="D12" i="4"/>
  <c r="F12" i="4" s="1"/>
  <c r="F25" i="4" s="1"/>
  <c r="D11" i="4"/>
  <c r="F11" i="4" s="1"/>
  <c r="F24" i="4" s="1"/>
  <c r="C17" i="4"/>
  <c r="C18" i="4" s="1"/>
  <c r="B17" i="4"/>
  <c r="B18" i="4" s="1"/>
  <c r="F13" i="4"/>
  <c r="E13" i="4"/>
  <c r="F26" i="4" l="1"/>
  <c r="F39" i="4"/>
  <c r="L20" i="21"/>
  <c r="Q19" i="21"/>
  <c r="B61" i="4"/>
  <c r="B68" i="4" s="1"/>
  <c r="G61" i="4"/>
  <c r="G68" i="4" s="1"/>
  <c r="F61" i="4"/>
  <c r="F68" i="4" s="1"/>
  <c r="D60" i="4"/>
  <c r="D69" i="4" s="1"/>
  <c r="G60" i="4"/>
  <c r="G69" i="4" s="1"/>
  <c r="E60" i="4"/>
  <c r="E69" i="4" s="1"/>
  <c r="F60" i="4"/>
  <c r="F69" i="4" s="1"/>
  <c r="C61" i="4"/>
  <c r="C68" i="4" s="1"/>
  <c r="F38" i="4"/>
  <c r="E61" i="4"/>
  <c r="E68" i="4" s="1"/>
  <c r="C60" i="4"/>
  <c r="C69" i="4" s="1"/>
  <c r="D61" i="4"/>
  <c r="D68" i="4" s="1"/>
  <c r="B60" i="4"/>
  <c r="B69" i="4" s="1"/>
  <c r="D38" i="4"/>
  <c r="C38" i="4"/>
  <c r="B39" i="4"/>
  <c r="C39" i="4"/>
  <c r="B38" i="4"/>
  <c r="D39" i="4"/>
  <c r="E15" i="4"/>
  <c r="E14" i="4"/>
  <c r="E26" i="4" s="1"/>
  <c r="E12" i="4"/>
  <c r="E25" i="4" s="1"/>
  <c r="E39" i="4" s="1"/>
  <c r="E11" i="4"/>
  <c r="E24" i="4" s="1"/>
  <c r="E38" i="4" s="1"/>
  <c r="G45" i="4"/>
  <c r="G44" i="4"/>
  <c r="E72" i="4" l="1"/>
  <c r="F71" i="4"/>
  <c r="E71" i="4"/>
  <c r="N78" i="4" s="1"/>
  <c r="O78" i="4" s="1"/>
  <c r="C79" i="4"/>
  <c r="C72" i="4"/>
  <c r="F72" i="4"/>
  <c r="S79" i="4" s="1"/>
  <c r="G12" i="21"/>
  <c r="O12" i="21"/>
  <c r="B12" i="21"/>
  <c r="H12" i="21"/>
  <c r="P12" i="21"/>
  <c r="I12" i="21"/>
  <c r="Q12" i="21"/>
  <c r="J12" i="21"/>
  <c r="R12" i="21"/>
  <c r="C71" i="4"/>
  <c r="C12" i="21"/>
  <c r="K12" i="21"/>
  <c r="S12" i="21"/>
  <c r="D12" i="21"/>
  <c r="L12" i="21"/>
  <c r="T12" i="21"/>
  <c r="C78" i="4"/>
  <c r="B20" i="21" s="1"/>
  <c r="E12" i="21"/>
  <c r="M12" i="21"/>
  <c r="U12" i="21"/>
  <c r="F12" i="21"/>
  <c r="N12" i="21"/>
  <c r="V12" i="21"/>
  <c r="D70" i="4"/>
  <c r="D73" i="4" s="1"/>
  <c r="D74" i="4" s="1"/>
  <c r="D75" i="4" s="1"/>
  <c r="G70" i="4"/>
  <c r="G73" i="4" s="1"/>
  <c r="G74" i="4" s="1"/>
  <c r="G75" i="4" s="1"/>
  <c r="J11" i="21"/>
  <c r="R11" i="21"/>
  <c r="C11" i="21"/>
  <c r="K11" i="21"/>
  <c r="S11" i="21"/>
  <c r="D11" i="21"/>
  <c r="L11" i="21"/>
  <c r="T11" i="21"/>
  <c r="E11" i="21"/>
  <c r="M11" i="21"/>
  <c r="U11" i="21"/>
  <c r="F11" i="21"/>
  <c r="N11" i="21"/>
  <c r="V11" i="21"/>
  <c r="G11" i="21"/>
  <c r="O11" i="21"/>
  <c r="B11" i="21"/>
  <c r="H11" i="21"/>
  <c r="P11" i="21"/>
  <c r="I11" i="21"/>
  <c r="Q11" i="21"/>
  <c r="B70" i="4"/>
  <c r="B73" i="4" s="1"/>
  <c r="B74" i="4" s="1"/>
  <c r="B75" i="4" s="1"/>
  <c r="E70" i="4"/>
  <c r="E73" i="4" s="1"/>
  <c r="E74" i="4" s="1"/>
  <c r="E75" i="4" s="1"/>
  <c r="C70" i="4"/>
  <c r="C73" i="4" s="1"/>
  <c r="C74" i="4" s="1"/>
  <c r="C75" i="4" s="1"/>
  <c r="F70" i="4"/>
  <c r="F73" i="4" s="1"/>
  <c r="F74" i="4" s="1"/>
  <c r="F75" i="4" s="1"/>
  <c r="G38" i="4"/>
  <c r="G39" i="4"/>
  <c r="B19" i="21" l="1"/>
  <c r="B21" i="21" s="1"/>
  <c r="F40" i="21"/>
  <c r="E40" i="21"/>
  <c r="V40" i="21"/>
  <c r="M40" i="21"/>
  <c r="U40" i="21"/>
  <c r="D40" i="21"/>
  <c r="C40" i="21"/>
  <c r="N40" i="21"/>
  <c r="L40" i="21"/>
  <c r="K40" i="21"/>
  <c r="J40" i="21"/>
  <c r="T40" i="21"/>
  <c r="G40" i="21"/>
  <c r="O40" i="21"/>
  <c r="B40" i="21"/>
  <c r="H40" i="21"/>
  <c r="S40" i="21"/>
  <c r="P40" i="21"/>
  <c r="Q40" i="21"/>
  <c r="I40" i="21"/>
  <c r="R40" i="21"/>
  <c r="M20" i="21"/>
  <c r="T79" i="4"/>
  <c r="R19" i="21"/>
  <c r="D79" i="4"/>
  <c r="J13" i="21"/>
  <c r="J14" i="21" s="1"/>
  <c r="Q13" i="21"/>
  <c r="Q14" i="21" s="1"/>
  <c r="K13" i="21"/>
  <c r="K14" i="21" s="1"/>
  <c r="U13" i="21"/>
  <c r="U14" i="21" s="1"/>
  <c r="R13" i="21"/>
  <c r="R14" i="21" s="1"/>
  <c r="N13" i="21"/>
  <c r="N14" i="21" s="1"/>
  <c r="C13" i="21"/>
  <c r="C14" i="21" s="1"/>
  <c r="S13" i="21"/>
  <c r="S14" i="21" s="1"/>
  <c r="F13" i="21"/>
  <c r="F14" i="21" s="1"/>
  <c r="M13" i="21"/>
  <c r="M14" i="21" s="1"/>
  <c r="E13" i="21"/>
  <c r="E14" i="21" s="1"/>
  <c r="T13" i="21"/>
  <c r="T14" i="21" s="1"/>
  <c r="L13" i="21"/>
  <c r="L14" i="21" s="1"/>
  <c r="V13" i="21"/>
  <c r="V14" i="21" s="1"/>
  <c r="H13" i="21"/>
  <c r="H14" i="21" s="1"/>
  <c r="G13" i="21"/>
  <c r="G14" i="21" s="1"/>
  <c r="I13" i="21"/>
  <c r="I14" i="21" s="1"/>
  <c r="P13" i="21"/>
  <c r="P14" i="21" s="1"/>
  <c r="B13" i="21"/>
  <c r="B14" i="21" s="1"/>
  <c r="O13" i="21"/>
  <c r="O14" i="21" s="1"/>
  <c r="D13" i="21"/>
  <c r="D14" i="21" s="1"/>
  <c r="P78" i="4"/>
  <c r="N20" i="21"/>
  <c r="D78" i="4"/>
  <c r="F41" i="4"/>
  <c r="B41" i="4"/>
  <c r="E41" i="4"/>
  <c r="D41" i="4"/>
  <c r="C41" i="4"/>
  <c r="G41" i="4"/>
  <c r="C16" i="11"/>
  <c r="C17" i="11"/>
  <c r="C18" i="11"/>
  <c r="C19" i="11"/>
  <c r="B22" i="21" l="1"/>
  <c r="C19" i="21"/>
  <c r="E79" i="4"/>
  <c r="U79" i="4"/>
  <c r="S19" i="21"/>
  <c r="E78" i="4"/>
  <c r="C20" i="21"/>
  <c r="Q78" i="4"/>
  <c r="O20" i="21"/>
  <c r="C20" i="11"/>
  <c r="G20" i="7" l="1"/>
  <c r="G36" i="7" s="1"/>
  <c r="B3" i="21"/>
  <c r="C21" i="21"/>
  <c r="C22" i="21" s="1"/>
  <c r="H20" i="7" s="1"/>
  <c r="H36" i="7" s="1"/>
  <c r="T19" i="21"/>
  <c r="V79" i="4"/>
  <c r="F79" i="4"/>
  <c r="D19" i="21"/>
  <c r="R78" i="4"/>
  <c r="P20" i="21"/>
  <c r="F78" i="4"/>
  <c r="D20" i="21"/>
  <c r="W79" i="4" l="1"/>
  <c r="V19" i="21" s="1"/>
  <c r="U19" i="21"/>
  <c r="G79" i="4"/>
  <c r="E19" i="21"/>
  <c r="D21" i="21"/>
  <c r="D22" i="21" s="1"/>
  <c r="I20" i="7" s="1"/>
  <c r="I36" i="7" s="1"/>
  <c r="G78" i="4"/>
  <c r="E20" i="21"/>
  <c r="Q20" i="21"/>
  <c r="S78" i="4"/>
  <c r="B63" i="1"/>
  <c r="B105" i="1"/>
  <c r="B106" i="1" s="1"/>
  <c r="Q21" i="21" l="1"/>
  <c r="Q22" i="21" s="1"/>
  <c r="V20" i="7" s="1"/>
  <c r="V36" i="7" s="1"/>
  <c r="E21" i="21"/>
  <c r="E22" i="21" s="1"/>
  <c r="J20" i="7" s="1"/>
  <c r="J36" i="7" s="1"/>
  <c r="F19" i="21"/>
  <c r="H79" i="4"/>
  <c r="R20" i="21"/>
  <c r="T78" i="4"/>
  <c r="H78" i="4"/>
  <c r="F20" i="21"/>
  <c r="R21" i="21" l="1"/>
  <c r="R22" i="21" s="1"/>
  <c r="W20" i="7" s="1"/>
  <c r="W36" i="7" s="1"/>
  <c r="F21" i="21"/>
  <c r="F22" i="21" s="1"/>
  <c r="K20" i="7" s="1"/>
  <c r="K36" i="7" s="1"/>
  <c r="G19" i="21"/>
  <c r="I79" i="4"/>
  <c r="I78" i="4"/>
  <c r="G20" i="21"/>
  <c r="U78" i="4"/>
  <c r="S20" i="21"/>
  <c r="S21" i="21" l="1"/>
  <c r="S22" i="21" s="1"/>
  <c r="X20" i="7" s="1"/>
  <c r="X36" i="7" s="1"/>
  <c r="G21" i="21"/>
  <c r="G22" i="21" s="1"/>
  <c r="L20" i="7" s="1"/>
  <c r="L36" i="7" s="1"/>
  <c r="J79" i="4"/>
  <c r="H19" i="21"/>
  <c r="V78" i="4"/>
  <c r="T20" i="21"/>
  <c r="J78" i="4"/>
  <c r="H20" i="21"/>
  <c r="B43" i="1"/>
  <c r="B44" i="1" s="1"/>
  <c r="B29" i="1"/>
  <c r="B74" i="1"/>
  <c r="B17" i="1"/>
  <c r="B18" i="1" s="1"/>
  <c r="T21" i="21" l="1"/>
  <c r="T22" i="21" s="1"/>
  <c r="Y20" i="7" s="1"/>
  <c r="Y36" i="7" s="1"/>
  <c r="B48" i="1"/>
  <c r="B49" i="1" s="1"/>
  <c r="B50" i="1" s="1"/>
  <c r="B75" i="1" s="1"/>
  <c r="H21" i="21"/>
  <c r="H22" i="21" s="1"/>
  <c r="M20" i="7" s="1"/>
  <c r="M36" i="7" s="1"/>
  <c r="K79" i="4"/>
  <c r="I19" i="21"/>
  <c r="K78" i="4"/>
  <c r="I20" i="21"/>
  <c r="W78" i="4"/>
  <c r="V20" i="21" s="1"/>
  <c r="U20" i="21"/>
  <c r="U21" i="21" l="1"/>
  <c r="U22" i="21" s="1"/>
  <c r="Z20" i="7" s="1"/>
  <c r="Z36" i="7" s="1"/>
  <c r="V21" i="21"/>
  <c r="V22" i="21" s="1"/>
  <c r="B34" i="1"/>
  <c r="B36" i="1" s="1"/>
  <c r="I21" i="21"/>
  <c r="I22" i="21" s="1"/>
  <c r="N20" i="7" s="1"/>
  <c r="N36" i="7" s="1"/>
  <c r="L79" i="4"/>
  <c r="J19" i="21"/>
  <c r="L78" i="4"/>
  <c r="K20" i="21" s="1"/>
  <c r="J20" i="21"/>
  <c r="C21" i="2"/>
  <c r="C20" i="2"/>
  <c r="J21" i="21" l="1"/>
  <c r="J22" i="21" s="1"/>
  <c r="O20" i="7" s="1"/>
  <c r="O36" i="7" s="1"/>
  <c r="M79" i="4"/>
  <c r="K19" i="21"/>
  <c r="B58" i="1"/>
  <c r="B59" i="1" s="1"/>
  <c r="K21" i="21" l="1"/>
  <c r="K22" i="21" s="1"/>
  <c r="P20" i="7" s="1"/>
  <c r="P36" i="7" s="1"/>
  <c r="L19" i="21"/>
  <c r="N79" i="4"/>
  <c r="B111" i="1"/>
  <c r="B56" i="1"/>
  <c r="B130" i="1"/>
  <c r="L21" i="21" l="1"/>
  <c r="L22" i="21" s="1"/>
  <c r="Q20" i="7" s="1"/>
  <c r="Q36" i="7" s="1"/>
  <c r="B57" i="1"/>
  <c r="B109" i="1" s="1"/>
  <c r="M19" i="21"/>
  <c r="O79" i="4"/>
  <c r="B70" i="1"/>
  <c r="M21" i="21" l="1"/>
  <c r="M22" i="21" s="1"/>
  <c r="R20" i="7" s="1"/>
  <c r="R36" i="7" s="1"/>
  <c r="P79" i="4"/>
  <c r="N19" i="21"/>
  <c r="B12" i="1"/>
  <c r="N21" i="21" l="1"/>
  <c r="N22" i="21" s="1"/>
  <c r="S20" i="7" s="1"/>
  <c r="S36" i="7" s="1"/>
  <c r="Q79" i="4"/>
  <c r="P19" i="21" s="1"/>
  <c r="O19" i="21"/>
  <c r="B23" i="1"/>
  <c r="O21" i="21" l="1"/>
  <c r="O22" i="21" s="1"/>
  <c r="T20" i="7" s="1"/>
  <c r="T36" i="7" s="1"/>
  <c r="P21" i="21"/>
  <c r="P22" i="21" s="1"/>
  <c r="U20" i="7" s="1"/>
  <c r="U36" i="7" s="1"/>
  <c r="B125" i="1"/>
  <c r="B6" i="11"/>
  <c r="C3" i="11" s="1"/>
  <c r="F50" i="7" l="1"/>
  <c r="K68" i="7"/>
  <c r="C4" i="11"/>
  <c r="C5" i="11"/>
  <c r="C2" i="11"/>
  <c r="V14" i="7" l="1"/>
  <c r="X14" i="7"/>
  <c r="C16" i="2"/>
  <c r="C17" i="2" s="1"/>
  <c r="X30" i="7" l="1"/>
  <c r="V30" i="7"/>
  <c r="U14" i="7"/>
  <c r="S14" i="7"/>
  <c r="R14" i="7"/>
  <c r="O14" i="7"/>
  <c r="N14" i="7"/>
  <c r="M14" i="7"/>
  <c r="K14" i="7"/>
  <c r="J14" i="7"/>
  <c r="I14" i="7"/>
  <c r="H14" i="7"/>
  <c r="G14" i="7"/>
  <c r="O30" i="7" l="1"/>
  <c r="S30" i="7"/>
  <c r="I30" i="7"/>
  <c r="G30" i="7"/>
  <c r="U30" i="7"/>
  <c r="R30" i="7"/>
  <c r="H30" i="7"/>
  <c r="J30" i="7"/>
  <c r="K30" i="7"/>
  <c r="M30" i="7"/>
  <c r="N30" i="7"/>
  <c r="B97" i="1"/>
  <c r="J7" i="21" l="1"/>
  <c r="J8" i="21" s="1"/>
  <c r="R7" i="21"/>
  <c r="R8" i="21" s="1"/>
  <c r="K7" i="21"/>
  <c r="K8" i="21" s="1"/>
  <c r="D7" i="21"/>
  <c r="D8" i="21" s="1"/>
  <c r="I22" i="7" s="1"/>
  <c r="I38" i="7" s="1"/>
  <c r="T7" i="21"/>
  <c r="T8" i="21" s="1"/>
  <c r="Y22" i="7" s="1"/>
  <c r="Y38" i="7" s="1"/>
  <c r="M7" i="21"/>
  <c r="M8" i="21" s="1"/>
  <c r="F7" i="21"/>
  <c r="F8" i="21" s="1"/>
  <c r="V7" i="21"/>
  <c r="O7" i="21"/>
  <c r="O8" i="21" s="1"/>
  <c r="H7" i="21"/>
  <c r="H8" i="21" s="1"/>
  <c r="I7" i="21"/>
  <c r="I8" i="21" s="1"/>
  <c r="C7" i="21"/>
  <c r="C8" i="21" s="1"/>
  <c r="S7" i="21"/>
  <c r="S8" i="21" s="1"/>
  <c r="L7" i="21"/>
  <c r="L8" i="21" s="1"/>
  <c r="E7" i="21"/>
  <c r="E8" i="21" s="1"/>
  <c r="J22" i="7" s="1"/>
  <c r="J38" i="7" s="1"/>
  <c r="U7" i="21"/>
  <c r="U8" i="21" s="1"/>
  <c r="N7" i="21"/>
  <c r="N8" i="21" s="1"/>
  <c r="G7" i="21"/>
  <c r="G8" i="21" s="1"/>
  <c r="B7" i="21"/>
  <c r="P7" i="21"/>
  <c r="P8" i="21" s="1"/>
  <c r="Q7" i="21"/>
  <c r="Q8" i="21" s="1"/>
  <c r="C10" i="7"/>
  <c r="B8" i="21" l="1"/>
  <c r="G22" i="7" s="1"/>
  <c r="G38" i="7" s="1"/>
  <c r="B4" i="21"/>
  <c r="M23" i="21"/>
  <c r="R22" i="7"/>
  <c r="R38" i="7" s="1"/>
  <c r="U23" i="21"/>
  <c r="Z22" i="7"/>
  <c r="Z38" i="7" s="1"/>
  <c r="F23" i="21"/>
  <c r="K22" i="7"/>
  <c r="K38" i="7" s="1"/>
  <c r="P23" i="21"/>
  <c r="U22" i="7"/>
  <c r="U38" i="7" s="1"/>
  <c r="K23" i="21"/>
  <c r="P22" i="7"/>
  <c r="P38" i="7" s="1"/>
  <c r="H23" i="21"/>
  <c r="M22" i="7"/>
  <c r="M38" i="7" s="1"/>
  <c r="R23" i="21"/>
  <c r="W22" i="7"/>
  <c r="W38" i="7" s="1"/>
  <c r="L23" i="21"/>
  <c r="Q22" i="7"/>
  <c r="Q38" i="7" s="1"/>
  <c r="Q23" i="21"/>
  <c r="V22" i="7"/>
  <c r="V38" i="7" s="1"/>
  <c r="S23" i="21"/>
  <c r="X22" i="7"/>
  <c r="X38" i="7" s="1"/>
  <c r="C23" i="21"/>
  <c r="H22" i="7"/>
  <c r="H38" i="7" s="1"/>
  <c r="I23" i="21"/>
  <c r="N22" i="7"/>
  <c r="N38" i="7" s="1"/>
  <c r="G23" i="21"/>
  <c r="L22" i="7"/>
  <c r="L38" i="7" s="1"/>
  <c r="N23" i="21"/>
  <c r="S22" i="7"/>
  <c r="S38" i="7" s="1"/>
  <c r="O23" i="21"/>
  <c r="T22" i="7"/>
  <c r="T38" i="7" s="1"/>
  <c r="J23" i="21"/>
  <c r="O22" i="7"/>
  <c r="O38" i="7" s="1"/>
  <c r="B23" i="21"/>
  <c r="V8" i="21"/>
  <c r="V23" i="21" s="1"/>
  <c r="W7" i="21"/>
  <c r="T39" i="21"/>
  <c r="T23" i="21"/>
  <c r="D39" i="21"/>
  <c r="D23" i="21"/>
  <c r="E39" i="21"/>
  <c r="E23" i="21"/>
  <c r="C15" i="21"/>
  <c r="C39" i="21"/>
  <c r="R15" i="21"/>
  <c r="R39" i="21"/>
  <c r="F15" i="21"/>
  <c r="F39" i="21"/>
  <c r="L15" i="21"/>
  <c r="L39" i="21"/>
  <c r="Q15" i="21"/>
  <c r="Q39" i="21"/>
  <c r="S15" i="21"/>
  <c r="S39" i="21"/>
  <c r="P15" i="21"/>
  <c r="P39" i="21"/>
  <c r="I15" i="21"/>
  <c r="I39" i="21"/>
  <c r="H15" i="21"/>
  <c r="H39" i="21"/>
  <c r="J15" i="21"/>
  <c r="J39" i="21"/>
  <c r="M15" i="21"/>
  <c r="M39" i="21"/>
  <c r="B15" i="21"/>
  <c r="W16" i="21" s="1"/>
  <c r="B39" i="21"/>
  <c r="K15" i="21"/>
  <c r="K39" i="21"/>
  <c r="G15" i="21"/>
  <c r="G39" i="21"/>
  <c r="N15" i="21"/>
  <c r="N39" i="21"/>
  <c r="O15" i="21"/>
  <c r="O39" i="21"/>
  <c r="U15" i="21"/>
  <c r="U39" i="21"/>
  <c r="T15" i="21"/>
  <c r="D15" i="21"/>
  <c r="E15" i="21"/>
  <c r="V39" i="21" l="1"/>
  <c r="K69" i="7"/>
  <c r="F52" i="7"/>
  <c r="V15" i="21"/>
  <c r="G19" i="7"/>
  <c r="G35" i="7" s="1"/>
  <c r="B76" i="1"/>
  <c r="G50" i="7" l="1"/>
  <c r="H19" i="7"/>
  <c r="B78" i="1"/>
  <c r="I19" i="7" l="1"/>
  <c r="H35" i="7"/>
  <c r="B85" i="1"/>
  <c r="B86" i="1" s="1"/>
  <c r="B87" i="1" s="1"/>
  <c r="B89" i="1" s="1"/>
  <c r="B90" i="1" s="1"/>
  <c r="B128" i="1" l="1"/>
  <c r="C6" i="7" s="1"/>
  <c r="B91" i="1"/>
  <c r="J19" i="7"/>
  <c r="I35" i="7"/>
  <c r="B88" i="1"/>
  <c r="K19" i="7" l="1"/>
  <c r="J35" i="7"/>
  <c r="L19" i="7" l="1"/>
  <c r="K35" i="7"/>
  <c r="M19" i="7" l="1"/>
  <c r="L35" i="7"/>
  <c r="N19" i="7" l="1"/>
  <c r="M35" i="7"/>
  <c r="C90" i="1" l="1"/>
  <c r="O19" i="7"/>
  <c r="N35" i="7"/>
  <c r="B98" i="1" l="1"/>
  <c r="B108" i="1" s="1"/>
  <c r="B146" i="1"/>
  <c r="B2" i="21"/>
  <c r="B133" i="1"/>
  <c r="B134" i="1"/>
  <c r="C9" i="7" s="1"/>
  <c r="P19" i="7"/>
  <c r="O35" i="7"/>
  <c r="B99" i="1"/>
  <c r="B92" i="1"/>
  <c r="B93" i="1" s="1"/>
  <c r="B94" i="1" s="1"/>
  <c r="Q14" i="7"/>
  <c r="B131" i="1"/>
  <c r="C4" i="7" s="1"/>
  <c r="Q30" i="7" l="1"/>
  <c r="B107" i="1"/>
  <c r="B110" i="1" s="1"/>
  <c r="Z16" i="7"/>
  <c r="Z32" i="7" s="1"/>
  <c r="W16" i="7"/>
  <c r="W32" i="7" s="1"/>
  <c r="M16" i="7"/>
  <c r="M32" i="7" s="1"/>
  <c r="J16" i="7"/>
  <c r="J32" i="7" s="1"/>
  <c r="Y16" i="7"/>
  <c r="Y32" i="7" s="1"/>
  <c r="T16" i="7"/>
  <c r="T32" i="7" s="1"/>
  <c r="O16" i="7"/>
  <c r="O32" i="7" s="1"/>
  <c r="R16" i="7"/>
  <c r="R32" i="7" s="1"/>
  <c r="Q16" i="7"/>
  <c r="Q32" i="7" s="1"/>
  <c r="V16" i="7"/>
  <c r="V32" i="7" s="1"/>
  <c r="I16" i="7"/>
  <c r="I32" i="7" s="1"/>
  <c r="G16" i="7"/>
  <c r="G32" i="7" s="1"/>
  <c r="S16" i="7"/>
  <c r="S32" i="7" s="1"/>
  <c r="U16" i="7"/>
  <c r="U32" i="7" s="1"/>
  <c r="P16" i="7"/>
  <c r="P32" i="7" s="1"/>
  <c r="N16" i="7"/>
  <c r="N32" i="7" s="1"/>
  <c r="L16" i="7"/>
  <c r="L32" i="7" s="1"/>
  <c r="H16" i="7"/>
  <c r="H32" i="7" s="1"/>
  <c r="K16" i="7"/>
  <c r="K32" i="7" s="1"/>
  <c r="X16" i="7"/>
  <c r="X32" i="7" s="1"/>
  <c r="S24" i="21"/>
  <c r="B24" i="21"/>
  <c r="U24" i="21"/>
  <c r="P24" i="21"/>
  <c r="R24" i="21"/>
  <c r="C24" i="21"/>
  <c r="F24" i="21"/>
  <c r="I24" i="21"/>
  <c r="H24" i="21"/>
  <c r="O24" i="21"/>
  <c r="Q24" i="21"/>
  <c r="J24" i="21"/>
  <c r="G24" i="21"/>
  <c r="L24" i="21"/>
  <c r="K24" i="21"/>
  <c r="V24" i="21"/>
  <c r="N24" i="21"/>
  <c r="M24" i="21"/>
  <c r="D24" i="21"/>
  <c r="T24" i="21"/>
  <c r="E24" i="21"/>
  <c r="R28" i="21"/>
  <c r="B30" i="21"/>
  <c r="B35" i="21" s="1"/>
  <c r="S30" i="21"/>
  <c r="S35" i="21" s="1"/>
  <c r="T29" i="21"/>
  <c r="B29" i="21"/>
  <c r="D28" i="21"/>
  <c r="O16" i="21"/>
  <c r="F16" i="21"/>
  <c r="V16" i="21"/>
  <c r="I29" i="21"/>
  <c r="U29" i="21"/>
  <c r="N16" i="21"/>
  <c r="E16" i="21"/>
  <c r="R30" i="21"/>
  <c r="R35" i="21" s="1"/>
  <c r="U30" i="21"/>
  <c r="U35" i="21" s="1"/>
  <c r="B16" i="21"/>
  <c r="E28" i="21"/>
  <c r="Q28" i="21"/>
  <c r="I30" i="21"/>
  <c r="I35" i="21" s="1"/>
  <c r="O30" i="21"/>
  <c r="O35" i="21" s="1"/>
  <c r="V29" i="21"/>
  <c r="V34" i="21" s="1"/>
  <c r="N30" i="21"/>
  <c r="N35" i="21" s="1"/>
  <c r="H29" i="21"/>
  <c r="Q29" i="21"/>
  <c r="F28" i="21"/>
  <c r="H28" i="21"/>
  <c r="R16" i="21"/>
  <c r="G16" i="21"/>
  <c r="T16" i="21"/>
  <c r="K29" i="21"/>
  <c r="K28" i="21"/>
  <c r="H16" i="21"/>
  <c r="I16" i="21"/>
  <c r="U16" i="21"/>
  <c r="C16" i="21"/>
  <c r="K30" i="21"/>
  <c r="K35" i="21" s="1"/>
  <c r="N29" i="21"/>
  <c r="E30" i="21"/>
  <c r="E35" i="21" s="1"/>
  <c r="C30" i="21"/>
  <c r="C35" i="21" s="1"/>
  <c r="D16" i="21"/>
  <c r="T30" i="21"/>
  <c r="T35" i="21" s="1"/>
  <c r="Q30" i="21"/>
  <c r="Q35" i="21" s="1"/>
  <c r="K16" i="21"/>
  <c r="G30" i="21"/>
  <c r="G35" i="21" s="1"/>
  <c r="D29" i="21"/>
  <c r="C28" i="21"/>
  <c r="F30" i="21"/>
  <c r="F35" i="21" s="1"/>
  <c r="I28" i="21"/>
  <c r="J28" i="21"/>
  <c r="T28" i="21"/>
  <c r="J16" i="21"/>
  <c r="P30" i="21"/>
  <c r="P35" i="21" s="1"/>
  <c r="F29" i="21"/>
  <c r="L29" i="21"/>
  <c r="U28" i="21"/>
  <c r="C29" i="21"/>
  <c r="B28" i="21"/>
  <c r="Q16" i="21"/>
  <c r="P16" i="21"/>
  <c r="M30" i="21"/>
  <c r="M35" i="21" s="1"/>
  <c r="H30" i="21"/>
  <c r="H35" i="21" s="1"/>
  <c r="M16" i="21"/>
  <c r="P29" i="21"/>
  <c r="M28" i="21"/>
  <c r="O28" i="21"/>
  <c r="G29" i="21"/>
  <c r="J29" i="21"/>
  <c r="L28" i="21"/>
  <c r="V30" i="21"/>
  <c r="V35" i="21" s="1"/>
  <c r="J30" i="21"/>
  <c r="J35" i="21" s="1"/>
  <c r="R29" i="21"/>
  <c r="L16" i="21"/>
  <c r="S16" i="21"/>
  <c r="L30" i="21"/>
  <c r="L35" i="21" s="1"/>
  <c r="M29" i="21"/>
  <c r="S29" i="21"/>
  <c r="G28" i="21"/>
  <c r="S28" i="21"/>
  <c r="N28" i="21"/>
  <c r="P28" i="21"/>
  <c r="D30" i="21"/>
  <c r="D35" i="21" s="1"/>
  <c r="E29" i="21"/>
  <c r="V28" i="21"/>
  <c r="V33" i="21" s="1"/>
  <c r="O29" i="21"/>
  <c r="Q19" i="7"/>
  <c r="P35" i="7"/>
  <c r="B112" i="1"/>
  <c r="C8" i="7"/>
  <c r="B132" i="1"/>
  <c r="C5" i="7" s="1"/>
  <c r="T14" i="7"/>
  <c r="F46" i="7" l="1"/>
  <c r="G46" i="7" s="1"/>
  <c r="J65" i="7" s="1"/>
  <c r="H34" i="21"/>
  <c r="H36" i="21" s="1"/>
  <c r="M21" i="7"/>
  <c r="M37" i="7" s="1"/>
  <c r="B33" i="21"/>
  <c r="G23" i="7"/>
  <c r="G39" i="7" s="1"/>
  <c r="G33" i="21"/>
  <c r="L23" i="7"/>
  <c r="L39" i="7" s="1"/>
  <c r="M33" i="21"/>
  <c r="R23" i="7"/>
  <c r="R39" i="7" s="1"/>
  <c r="C33" i="21"/>
  <c r="H23" i="7"/>
  <c r="H39" i="7" s="1"/>
  <c r="H33" i="21"/>
  <c r="M23" i="7"/>
  <c r="M39" i="7" s="1"/>
  <c r="D33" i="21"/>
  <c r="I23" i="7"/>
  <c r="I39" i="7" s="1"/>
  <c r="N33" i="21"/>
  <c r="S23" i="7"/>
  <c r="S39" i="7" s="1"/>
  <c r="R34" i="21"/>
  <c r="R36" i="21" s="1"/>
  <c r="W21" i="7"/>
  <c r="W37" i="7" s="1"/>
  <c r="I33" i="21"/>
  <c r="N23" i="7"/>
  <c r="N39" i="7" s="1"/>
  <c r="F34" i="21"/>
  <c r="F36" i="21" s="1"/>
  <c r="K21" i="7"/>
  <c r="K37" i="7" s="1"/>
  <c r="C34" i="21"/>
  <c r="C36" i="21" s="1"/>
  <c r="H21" i="7"/>
  <c r="H37" i="7" s="1"/>
  <c r="U33" i="21"/>
  <c r="Z23" i="7"/>
  <c r="Z39" i="7" s="1"/>
  <c r="J33" i="21"/>
  <c r="O23" i="7"/>
  <c r="O39" i="7" s="1"/>
  <c r="N34" i="21"/>
  <c r="N36" i="21" s="1"/>
  <c r="S21" i="7"/>
  <c r="S37" i="7" s="1"/>
  <c r="K33" i="21"/>
  <c r="P23" i="7"/>
  <c r="P39" i="7" s="1"/>
  <c r="F33" i="21"/>
  <c r="K23" i="7"/>
  <c r="K39" i="7" s="1"/>
  <c r="B34" i="21"/>
  <c r="B36" i="21" s="1"/>
  <c r="G21" i="7"/>
  <c r="G37" i="7" s="1"/>
  <c r="J34" i="21"/>
  <c r="J36" i="21" s="1"/>
  <c r="O21" i="7"/>
  <c r="O37" i="7" s="1"/>
  <c r="S33" i="21"/>
  <c r="X23" i="7"/>
  <c r="X39" i="7" s="1"/>
  <c r="G34" i="21"/>
  <c r="G36" i="21" s="1"/>
  <c r="L21" i="7"/>
  <c r="L37" i="7" s="1"/>
  <c r="E34" i="21"/>
  <c r="E36" i="21" s="1"/>
  <c r="J21" i="7"/>
  <c r="J37" i="7" s="1"/>
  <c r="O33" i="21"/>
  <c r="T23" i="7"/>
  <c r="T39" i="7" s="1"/>
  <c r="O34" i="21"/>
  <c r="O36" i="21" s="1"/>
  <c r="T21" i="7"/>
  <c r="T37" i="7" s="1"/>
  <c r="P34" i="21"/>
  <c r="P36" i="21" s="1"/>
  <c r="U21" i="7"/>
  <c r="U37" i="7" s="1"/>
  <c r="D34" i="21"/>
  <c r="D36" i="21" s="1"/>
  <c r="I21" i="7"/>
  <c r="I37" i="7" s="1"/>
  <c r="K34" i="21"/>
  <c r="K36" i="21" s="1"/>
  <c r="P21" i="7"/>
  <c r="P37" i="7" s="1"/>
  <c r="Q33" i="21"/>
  <c r="V23" i="7"/>
  <c r="V39" i="7" s="1"/>
  <c r="U34" i="21"/>
  <c r="Z21" i="7"/>
  <c r="Z37" i="7" s="1"/>
  <c r="T33" i="21"/>
  <c r="Y23" i="7"/>
  <c r="Y39" i="7" s="1"/>
  <c r="R33" i="21"/>
  <c r="W23" i="7"/>
  <c r="W39" i="7" s="1"/>
  <c r="M34" i="21"/>
  <c r="M36" i="21" s="1"/>
  <c r="R21" i="7"/>
  <c r="R37" i="7" s="1"/>
  <c r="S34" i="21"/>
  <c r="S36" i="21" s="1"/>
  <c r="X21" i="7"/>
  <c r="X37" i="7" s="1"/>
  <c r="P33" i="21"/>
  <c r="U23" i="7"/>
  <c r="U39" i="7" s="1"/>
  <c r="L33" i="21"/>
  <c r="Q23" i="7"/>
  <c r="Q39" i="7" s="1"/>
  <c r="L34" i="21"/>
  <c r="L36" i="21" s="1"/>
  <c r="Q21" i="7"/>
  <c r="Q37" i="7" s="1"/>
  <c r="Q34" i="21"/>
  <c r="Q36" i="21" s="1"/>
  <c r="V21" i="7"/>
  <c r="V37" i="7" s="1"/>
  <c r="E33" i="21"/>
  <c r="J23" i="7"/>
  <c r="J39" i="7" s="1"/>
  <c r="I34" i="21"/>
  <c r="I36" i="21" s="1"/>
  <c r="N21" i="7"/>
  <c r="N37" i="7" s="1"/>
  <c r="T34" i="21"/>
  <c r="T36" i="21" s="1"/>
  <c r="Y21" i="7"/>
  <c r="Y37" i="7" s="1"/>
  <c r="T30" i="7"/>
  <c r="Y14" i="7"/>
  <c r="P14" i="7"/>
  <c r="V36" i="21"/>
  <c r="G47" i="7"/>
  <c r="U36" i="21"/>
  <c r="R19" i="7"/>
  <c r="Q35" i="7"/>
  <c r="L14" i="7"/>
  <c r="Z14" i="7"/>
  <c r="G15" i="7"/>
  <c r="F14" i="7"/>
  <c r="W14" i="7"/>
  <c r="F53" i="7" l="1"/>
  <c r="F64" i="7" s="1"/>
  <c r="F65" i="7" s="1"/>
  <c r="F51" i="7"/>
  <c r="J68" i="7"/>
  <c r="J69" i="7"/>
  <c r="G25" i="7"/>
  <c r="G27" i="7"/>
  <c r="G26" i="7"/>
  <c r="F25" i="7"/>
  <c r="F27" i="7"/>
  <c r="F26" i="7"/>
  <c r="W30" i="7"/>
  <c r="F30" i="7"/>
  <c r="Y30" i="7"/>
  <c r="L30" i="7"/>
  <c r="Z30" i="7"/>
  <c r="P30" i="7"/>
  <c r="G31" i="7"/>
  <c r="S19" i="7"/>
  <c r="R35" i="7"/>
  <c r="H15" i="7"/>
  <c r="F44" i="7" l="1"/>
  <c r="G44" i="7" s="1"/>
  <c r="J63" i="7" s="1"/>
  <c r="H25" i="7"/>
  <c r="H27" i="7"/>
  <c r="H26" i="7"/>
  <c r="H31" i="7"/>
  <c r="T19" i="7"/>
  <c r="S35" i="7"/>
  <c r="I15" i="7"/>
  <c r="I26" i="7" l="1"/>
  <c r="I27" i="7"/>
  <c r="I25" i="7"/>
  <c r="I31" i="7"/>
  <c r="J15" i="7"/>
  <c r="U19" i="7"/>
  <c r="T35" i="7"/>
  <c r="J27" i="7" l="1"/>
  <c r="J26" i="7"/>
  <c r="J25" i="7"/>
  <c r="J31" i="7"/>
  <c r="K15" i="7"/>
  <c r="V19" i="7"/>
  <c r="U35" i="7"/>
  <c r="K25" i="7" l="1"/>
  <c r="K26" i="7"/>
  <c r="K27" i="7"/>
  <c r="K31" i="7"/>
  <c r="L15" i="7"/>
  <c r="W19" i="7"/>
  <c r="V35" i="7"/>
  <c r="L25" i="7" l="1"/>
  <c r="L27" i="7"/>
  <c r="L26" i="7"/>
  <c r="L31" i="7"/>
  <c r="M15" i="7"/>
  <c r="X19" i="7"/>
  <c r="W35" i="7"/>
  <c r="M25" i="7" l="1"/>
  <c r="M27" i="7"/>
  <c r="M26" i="7"/>
  <c r="M31" i="7"/>
  <c r="N15" i="7"/>
  <c r="Y19" i="7"/>
  <c r="X35" i="7"/>
  <c r="N25" i="7" l="1"/>
  <c r="N27" i="7"/>
  <c r="N26" i="7"/>
  <c r="N31" i="7"/>
  <c r="O15" i="7"/>
  <c r="Z19" i="7"/>
  <c r="Y35" i="7"/>
  <c r="O25" i="7" l="1"/>
  <c r="O27" i="7"/>
  <c r="O26" i="7"/>
  <c r="O31" i="7"/>
  <c r="P15" i="7"/>
  <c r="Z35" i="7"/>
  <c r="F49" i="7" l="1"/>
  <c r="K67" i="7"/>
  <c r="P27" i="7"/>
  <c r="P26" i="7"/>
  <c r="P25" i="7"/>
  <c r="Q15" i="7"/>
  <c r="P31" i="7"/>
  <c r="G49" i="7" l="1"/>
  <c r="Q26" i="7"/>
  <c r="Q25" i="7"/>
  <c r="Q27" i="7"/>
  <c r="Q31" i="7"/>
  <c r="R15" i="7"/>
  <c r="R31" i="7" s="1"/>
  <c r="R27" i="7" l="1"/>
  <c r="R26" i="7"/>
  <c r="R25" i="7"/>
  <c r="S15" i="7"/>
  <c r="S31" i="7" s="1"/>
  <c r="S25" i="7" l="1"/>
  <c r="S27" i="7"/>
  <c r="S26" i="7"/>
  <c r="T15" i="7"/>
  <c r="T31" i="7" s="1"/>
  <c r="U15" i="7" l="1"/>
  <c r="U25" i="7" s="1"/>
  <c r="T27" i="7"/>
  <c r="T26" i="7"/>
  <c r="T25" i="7"/>
  <c r="V15" i="7" l="1"/>
  <c r="U26" i="7"/>
  <c r="U31" i="7"/>
  <c r="U27" i="7"/>
  <c r="V25" i="7"/>
  <c r="V27" i="7"/>
  <c r="V26" i="7"/>
  <c r="V31" i="7"/>
  <c r="W15" i="7"/>
  <c r="W27" i="7" l="1"/>
  <c r="W25" i="7"/>
  <c r="W26" i="7"/>
  <c r="W31" i="7"/>
  <c r="X15" i="7"/>
  <c r="X27" i="7" l="1"/>
  <c r="X26" i="7"/>
  <c r="X25" i="7"/>
  <c r="X31" i="7"/>
  <c r="Y15" i="7"/>
  <c r="Y26" i="7" l="1"/>
  <c r="Y25" i="7"/>
  <c r="Y27" i="7"/>
  <c r="Y31" i="7"/>
  <c r="Z15" i="7"/>
  <c r="Z26" i="7" l="1"/>
  <c r="Z25" i="7"/>
  <c r="Z27" i="7"/>
  <c r="G48" i="7"/>
  <c r="Z31" i="7"/>
  <c r="F45" i="7" s="1"/>
  <c r="F56" i="7" l="1"/>
  <c r="F60" i="7" s="1"/>
  <c r="F55" i="7"/>
  <c r="F54" i="7"/>
  <c r="F57" i="7" s="1"/>
  <c r="F61" i="7" s="1"/>
  <c r="G45" i="7" l="1"/>
  <c r="J64" i="7" s="1"/>
  <c r="F59" i="7"/>
  <c r="G54" i="7" l="1"/>
</calcChain>
</file>

<file path=xl/sharedStrings.xml><?xml version="1.0" encoding="utf-8"?>
<sst xmlns="http://schemas.openxmlformats.org/spreadsheetml/2006/main" count="639" uniqueCount="474">
  <si>
    <t xml:space="preserve">Cycles per day </t>
  </si>
  <si>
    <t>Fuel price - diesel ($/gallon)</t>
  </si>
  <si>
    <t>Revenue ton-miles per gallon of fuel consumed</t>
  </si>
  <si>
    <t>Source</t>
  </si>
  <si>
    <t>kWh</t>
  </si>
  <si>
    <t>MJ</t>
  </si>
  <si>
    <t>42-46 MJ/kg</t>
  </si>
  <si>
    <t>Diesel fuel</t>
  </si>
  <si>
    <t>Heat value</t>
  </si>
  <si>
    <t>http://www.world-nuclear.org/information-library/facts-and-figures/heat-values-of-various-fuels.aspx</t>
  </si>
  <si>
    <t>MJ to kWh @ 33% efficiency: x 0.0926</t>
  </si>
  <si>
    <t>Gallons diesel fuel</t>
  </si>
  <si>
    <t>Btu</t>
  </si>
  <si>
    <t>litres</t>
  </si>
  <si>
    <t>https://www.eia.gov/energyexplained/index.php?page=about_energy_conversion_calculator#dieselcalc</t>
  </si>
  <si>
    <t>litre</t>
  </si>
  <si>
    <t>gallon</t>
  </si>
  <si>
    <t>kWh / liter</t>
  </si>
  <si>
    <t xml:space="preserve">Tesla battery has 90% round trip efficiency. The diesel engine that's being replaced by the battery has a 45% efficiency. Assume generator that's getting replaced has 100% efficiency. </t>
  </si>
  <si>
    <t>Notes</t>
  </si>
  <si>
    <t>Cost of battery</t>
  </si>
  <si>
    <t>Avoided fuel cost</t>
  </si>
  <si>
    <t>Battery price ($/kWh)</t>
  </si>
  <si>
    <t xml:space="preserve">Packing fraction </t>
  </si>
  <si>
    <t>Year</t>
  </si>
  <si>
    <t xml:space="preserve">Efficiency gain from battery </t>
  </si>
  <si>
    <t>Inflation</t>
  </si>
  <si>
    <t>Discount rate</t>
  </si>
  <si>
    <t xml:space="preserve"> </t>
  </si>
  <si>
    <t>Capital cost of battery</t>
  </si>
  <si>
    <t>Avoided fuel cost ($/day)</t>
  </si>
  <si>
    <t>Electricity cost ($/day)</t>
  </si>
  <si>
    <t>MJ / liter</t>
  </si>
  <si>
    <t>Battery lifetime</t>
  </si>
  <si>
    <t>NPV of savings from switching to battery-electric</t>
  </si>
  <si>
    <t>Annual revenue ton-miles per locomotive</t>
  </si>
  <si>
    <t>NPV of savings of sector ($ billion)</t>
  </si>
  <si>
    <t>28.3168 liters = 1 cubic foot</t>
  </si>
  <si>
    <t xml:space="preserve">Looks like petrodiesel: https://trn.trains.com/railroads/ask-trains/2017/08/biodiesel-fuel-in-locomotives </t>
  </si>
  <si>
    <t>Union Pacific Corporation</t>
  </si>
  <si>
    <t>CSX Corporation</t>
  </si>
  <si>
    <t>Norfolk Southern Corporation</t>
  </si>
  <si>
    <t>market share</t>
  </si>
  <si>
    <t>https://tedb.ornl.gov/wp-content/uploads/2020/02/TEDB_Ed_38.pdf#page=109</t>
  </si>
  <si>
    <t>amtrak</t>
  </si>
  <si>
    <t>transit</t>
  </si>
  <si>
    <t>trillion BTU</t>
  </si>
  <si>
    <t>2017 energy use</t>
  </si>
  <si>
    <t>freight</t>
  </si>
  <si>
    <t>percent</t>
  </si>
  <si>
    <t>Table 2.13</t>
  </si>
  <si>
    <t>Table 10</t>
  </si>
  <si>
    <t>https://tedb.ornl.gov/wp-content/uploads/2020/02/TEDB_Ed_38.pdf</t>
  </si>
  <si>
    <t>BTS (Table 4-17)</t>
  </si>
  <si>
    <t>total diesel used/total locomotives in use</t>
  </si>
  <si>
    <t>Efficiency of diesel engine</t>
  </si>
  <si>
    <t>Depth of discharge</t>
  </si>
  <si>
    <t>Battery round trip efficiency</t>
  </si>
  <si>
    <t>https://www.rpc.com.au/pdf/BYD_b-box_datasheet.pdf</t>
  </si>
  <si>
    <t>https://www.csx.com/index.cfm/customers/resources/equipment/railroad-equipment/</t>
  </si>
  <si>
    <t>Battery share of boxcar volume</t>
  </si>
  <si>
    <t>https://www.servicetitan.com/tools/hvac-load-calculator</t>
  </si>
  <si>
    <t>https://www.calculator.net/btu-calculator.html?roomwidth=10&amp;roomwidthunit=feet&amp;roomlength=50&amp;roomlengthunit=feet&amp;ceilingheight=11&amp;ceilingheightunit=feet&amp;insulation=normal&amp;temperature=15&amp;temperatureunit=c&amp;ctype=house&amp;x=95&amp;y=27#housebtu</t>
  </si>
  <si>
    <t>Battery size (including cooling requirements)</t>
  </si>
  <si>
    <t>This is ratio of weight of cells to weight of pack.</t>
  </si>
  <si>
    <t>AC inverter costs</t>
  </si>
  <si>
    <t>https://www.tmeic.com/sites/default/files/assets/files/library/Solar_Ware_Samurai_brochure_3_2%20MW_July2017.pdf</t>
  </si>
  <si>
    <t>tmeic</t>
  </si>
  <si>
    <t>Inverter share of boxcar volume</t>
  </si>
  <si>
    <t>inverter share of boxcar floor space</t>
  </si>
  <si>
    <t>https://prod.stb.gov/reports-data/economic-data/annual-report-financial-data/</t>
  </si>
  <si>
    <t>Natural gas</t>
  </si>
  <si>
    <t>Total</t>
  </si>
  <si>
    <t>Average cars per locomotive</t>
  </si>
  <si>
    <t>1 gallon = 3.785412 liters</t>
  </si>
  <si>
    <t>Assumes petrodiesel</t>
  </si>
  <si>
    <t>RailTEC</t>
  </si>
  <si>
    <t>BTS (Table 4-25)</t>
  </si>
  <si>
    <t>1 gallon = 138,700 Btu</t>
  </si>
  <si>
    <t>Battery requirements (per locomotive)</t>
  </si>
  <si>
    <t>CAN SKIP THIS.</t>
  </si>
  <si>
    <t>standard line-haul</t>
  </si>
  <si>
    <t>Goodkind et al. (2019) - Supplementary Info Table S2. https://www.pnas.org/content/pnas/suppl/2019/04/03/1816102116.DCSupplemental/pnas.1816102116.sapp.pdf</t>
  </si>
  <si>
    <t>Sensitivity case inputs</t>
  </si>
  <si>
    <t>RailTEC (2016); ARB (2016)</t>
  </si>
  <si>
    <t>1 kg = 2.2 pounds</t>
  </si>
  <si>
    <t>Avoided CO2 damages from diesel</t>
  </si>
  <si>
    <t>1 cubic ft = 1728 cubic inches, for 3.2 MW system</t>
  </si>
  <si>
    <t>assumes 100% efficiency of inverter</t>
  </si>
  <si>
    <t>NOTE: need to use battery size for "avg train" not typical train</t>
  </si>
  <si>
    <t>total sector fuel consumed (million gallons)</t>
  </si>
  <si>
    <t xml:space="preserve">revenue tons per day per locomotive </t>
  </si>
  <si>
    <t>Guoxan LFP</t>
  </si>
  <si>
    <t>BatPac</t>
  </si>
  <si>
    <t>Battery + inverter share of boxcar payload capacity (standard car)</t>
  </si>
  <si>
    <t>Total share of volume (battery + inverter)</t>
  </si>
  <si>
    <t>price per gallon</t>
  </si>
  <si>
    <t>total cost</t>
  </si>
  <si>
    <t>total (gals)</t>
  </si>
  <si>
    <t>gallons diesel freight</t>
  </si>
  <si>
    <t>KCS</t>
  </si>
  <si>
    <t>SOO</t>
  </si>
  <si>
    <t>UP</t>
  </si>
  <si>
    <t>csx</t>
  </si>
  <si>
    <t>BNSF</t>
  </si>
  <si>
    <t>from schedule 750 of annual financial reports for railroads</t>
  </si>
  <si>
    <t>NOTE: make sure range is set to 150 so that the adjusted kWh/mile are correct</t>
  </si>
  <si>
    <t xml:space="preserve">Future cost of battery </t>
  </si>
  <si>
    <t xml:space="preserve"> battery size * rev tons net of boxcar * range</t>
  </si>
  <si>
    <t>Battery weight</t>
  </si>
  <si>
    <t>Battery Volume</t>
  </si>
  <si>
    <t>206000 pounds</t>
  </si>
  <si>
    <t>CONSTRAINTS</t>
  </si>
  <si>
    <t>total battery size for 1875 rev tons for range &lt;= 150 miles (per locomotive)</t>
  </si>
  <si>
    <t>https://www.statista.com/statistics/187655/operating-revenues-of-us-class-i-rail-since-1990/#:~:text=U.S.%20Class%20I%20rail%20%2D%20operating%20revenues%201990%2D2019&amp;text=In%202019%2C%20the%20U.S.%20Class,has%20increased%20steadily%20since%202016.</t>
  </si>
  <si>
    <t>https://www.statista.com/statistics/271613/leading-north-american-railroad-companies-based-on-revenue/</t>
  </si>
  <si>
    <t>commuter</t>
  </si>
  <si>
    <t>Average diesel price paid by railways</t>
  </si>
  <si>
    <t>Rail market shares</t>
  </si>
  <si>
    <t>TOTAL MOBILE POWER ADDED TO GRID</t>
  </si>
  <si>
    <t>for typical train</t>
  </si>
  <si>
    <t>Capital cost of battery + inverter + boxcar</t>
  </si>
  <si>
    <t>Baseline</t>
  </si>
  <si>
    <t>station utilization rate</t>
  </si>
  <si>
    <t>https://www.eia.gov/outlooks/steo/report/electricity.php</t>
  </si>
  <si>
    <t>median marginal damage (thousand $/ton - 2011 real)</t>
  </si>
  <si>
    <t>VOC</t>
  </si>
  <si>
    <t>PM2.5</t>
  </si>
  <si>
    <t>NH3</t>
  </si>
  <si>
    <t>SO2</t>
  </si>
  <si>
    <t>Nox</t>
  </si>
  <si>
    <t>Coal</t>
  </si>
  <si>
    <t>Gas</t>
  </si>
  <si>
    <t>goodkind Table S3</t>
  </si>
  <si>
    <t>Average air pollution daily damages of US electricity: gas</t>
  </si>
  <si>
    <t>Average air pollution daily damages of US electricity: coal</t>
  </si>
  <si>
    <t>Emission Factor (kg/kWh)</t>
  </si>
  <si>
    <t>Other</t>
  </si>
  <si>
    <t>Petroleum</t>
  </si>
  <si>
    <t>Total Emissions from fossil fuels</t>
  </si>
  <si>
    <t>PM 2.5</t>
  </si>
  <si>
    <t>Emissions Factors by Fuel (kg/MWh)</t>
  </si>
  <si>
    <t>Gas emissions PM2.5 (lb/Million BTU)</t>
  </si>
  <si>
    <t>https://www.epa.gov/sites/production/files/2020-07/documents/draft_egrid_pm_white_paper_7-20-20.pdf</t>
  </si>
  <si>
    <t>Natural gas emissions</t>
  </si>
  <si>
    <t>Average damages of US power mix ($/MWh)</t>
  </si>
  <si>
    <t>NOX</t>
  </si>
  <si>
    <t>HC</t>
  </si>
  <si>
    <t>CO</t>
  </si>
  <si>
    <t>PM</t>
  </si>
  <si>
    <t>https://greet.es.anl.gov/publication-railroad-2018</t>
  </si>
  <si>
    <t>Share-weighted emissions rates under EPA standards for line-haul locomotives (g/million BTU)</t>
  </si>
  <si>
    <t>﻿If each locomotive met its applicable Tier standard in the future, criteria pollutant emissions rates from locomotives would be reduced by 75 to 77 percent in 2040 compared to 2015.</t>
  </si>
  <si>
    <t>Note: ignoring VOC, NH3, and Sox because we don't have estimates on the quantities. Even in 2011 these emissions only account for 3.5% of damages</t>
  </si>
  <si>
    <t xml:space="preserve">Locomotive ﻿Median marginal damages </t>
  </si>
  <si>
    <t>PM25</t>
  </si>
  <si>
    <t>2018 locomotive fuel consumption</t>
  </si>
  <si>
    <t>total fuel consumed (million BTU)</t>
  </si>
  <si>
    <t>Estimated Emissions Damages (million 2020 USD)</t>
  </si>
  <si>
    <t>Emissions Damages ($/day)</t>
  </si>
  <si>
    <t>Note: these values add 3.5% based on the 2011 goodkind paper that 3.5% of total damages are from non Nox and PM damages</t>
  </si>
  <si>
    <t>2018 and 2019 values are not available yet</t>
  </si>
  <si>
    <t>conversion factor for diesel (Btu/gallon)</t>
  </si>
  <si>
    <t>battery locomotive power requirements</t>
  </si>
  <si>
    <t>CES90</t>
  </si>
  <si>
    <t>Unconstrained</t>
  </si>
  <si>
    <t>CO2</t>
  </si>
  <si>
    <t>Sox</t>
  </si>
  <si>
    <t>CO2 emissions (metric tons/locomotive/day)</t>
  </si>
  <si>
    <t>CO2 annual damage ($/locomotive)</t>
  </si>
  <si>
    <t>Number of locomotives</t>
  </si>
  <si>
    <t>Tier 4 NOX damages per locomotive ($/year)</t>
  </si>
  <si>
    <t>Tier 4 PM damages per locomotive ($/year)</t>
  </si>
  <si>
    <t>Diesel Locomotive Damages</t>
  </si>
  <si>
    <t>SOX</t>
  </si>
  <si>
    <t>Additional damages per locomotive ($/year)</t>
  </si>
  <si>
    <t>Status Quo</t>
  </si>
  <si>
    <t>NOX damages per locomotive ($/year)</t>
  </si>
  <si>
    <t>PM damages per locomotive ($/year)</t>
  </si>
  <si>
    <t>Tier 4 Rule Rollout</t>
  </si>
  <si>
    <t>Annual Damage from US Power mix electric locomotives</t>
  </si>
  <si>
    <t>CES90 compared to baseline (SAVINGS)</t>
  </si>
  <si>
    <t>Total locomotive damages per day $/day</t>
  </si>
  <si>
    <t>Total locomotive damages per day $/MWh</t>
  </si>
  <si>
    <t>Billion MWh</t>
  </si>
  <si>
    <t>US Power Mix (2020)</t>
  </si>
  <si>
    <t>Coal-fired generation</t>
  </si>
  <si>
    <t xml:space="preserve">Gas-fired generation </t>
  </si>
  <si>
    <t>Total generation (MWh)</t>
  </si>
  <si>
    <t>Percent coal</t>
  </si>
  <si>
    <t>Percent natural gas</t>
  </si>
  <si>
    <t>US power emissions factors (2019)</t>
  </si>
  <si>
    <t>Oil (Petroleum)</t>
  </si>
  <si>
    <t>Coal (2020)</t>
  </si>
  <si>
    <t>Gas (2020</t>
  </si>
  <si>
    <t>Oil (Petroleum) (2020)</t>
  </si>
  <si>
    <t>Oil + Other</t>
  </si>
  <si>
    <t>Marginal damage by fuel type ($/MWh) (2020 mix)</t>
  </si>
  <si>
    <t>Petroleum (Oil)</t>
  </si>
  <si>
    <t>Percent oil</t>
  </si>
  <si>
    <t>PM and SOX</t>
  </si>
  <si>
    <t>Infrastructure</t>
  </si>
  <si>
    <t>Generation</t>
  </si>
  <si>
    <t xml:space="preserve">T&amp;D </t>
  </si>
  <si>
    <t>Demand charge</t>
  </si>
  <si>
    <t>NPV of savings per locomotive (with air pollution)</t>
  </si>
  <si>
    <t>NPV of savings per locomotive (with GHG emissions)</t>
  </si>
  <si>
    <t>Undiscounted annual net savings (with air pollution)</t>
  </si>
  <si>
    <t>Undiscounted annual net savings  (with GHG emissions)</t>
  </si>
  <si>
    <t>NPV of savings of sector ($ billion)  (with air pollution)</t>
  </si>
  <si>
    <t>NPV of savings of sector ($ billion)  (with GHG emissions)</t>
  </si>
  <si>
    <t>High battery</t>
  </si>
  <si>
    <t>Total criteria pollutants</t>
  </si>
  <si>
    <t>100% RE compared to baseline (SAVINGS)</t>
  </si>
  <si>
    <t>NPV per locomotive</t>
  </si>
  <si>
    <t>electricity</t>
  </si>
  <si>
    <t>battery</t>
  </si>
  <si>
    <t>GHG emissions</t>
  </si>
  <si>
    <t>maintenance</t>
  </si>
  <si>
    <t>Scenarios</t>
  </si>
  <si>
    <t>energy mix</t>
  </si>
  <si>
    <t>Diesel price ($/gallon)</t>
  </si>
  <si>
    <t>High diesel</t>
  </si>
  <si>
    <t>Low capacity utilization</t>
  </si>
  <si>
    <t>High capacity utilization</t>
  </si>
  <si>
    <t>diesel</t>
  </si>
  <si>
    <t>air pollution</t>
  </si>
  <si>
    <t>fuel</t>
  </si>
  <si>
    <t>wholesale electricity price ($/kWh)</t>
  </si>
  <si>
    <t>based on ERCOT prices</t>
  </si>
  <si>
    <t>Total minus generation</t>
  </si>
  <si>
    <t xml:space="preserve">Levelized cost of infrastructure </t>
  </si>
  <si>
    <t xml:space="preserve">Cost of electricity </t>
  </si>
  <si>
    <t>Levelized charging infrastructure per day</t>
  </si>
  <si>
    <t>Carleton &amp; Greenstone CO2 Price ($2020)</t>
  </si>
  <si>
    <t>Total locomotive damages per day $/day (TIER 4)</t>
  </si>
  <si>
    <t>Total locomotive damages per day $/MWh (TIER 4)</t>
  </si>
  <si>
    <t>charging infrastructure</t>
  </si>
  <si>
    <t>BTS (Table 4-17M)</t>
  </si>
  <si>
    <t>BTS (Table 4-25M)</t>
  </si>
  <si>
    <t>1 kWh = 3600 kJ</t>
  </si>
  <si>
    <t>Annual revenue tonne-km per locomotive</t>
  </si>
  <si>
    <t xml:space="preserve">revenue tonne-km per day per locomotive </t>
  </si>
  <si>
    <t xml:space="preserve">revenue ton-miles per day per locomotive </t>
  </si>
  <si>
    <t>revenue tonnes per day per locomotive</t>
  </si>
  <si>
    <t>1 ton = .907185 tonnes</t>
  </si>
  <si>
    <t>1 mile = 1.60934 km</t>
  </si>
  <si>
    <t>1.055056 kilojoules = 1 British thermal unit (Btu).</t>
  </si>
  <si>
    <t>50, 200</t>
  </si>
  <si>
    <t>Total Emissions by pollutant/year under Tier 4 Rule (metric tons)</t>
  </si>
  <si>
    <t>Total annual damages of locomotive sector (2020 USD billion)</t>
  </si>
  <si>
    <t>Total annual damages of locomotive sector (2011 USD billion)</t>
  </si>
  <si>
    <t>Freight locomotive damages</t>
  </si>
  <si>
    <t>Remaining revenue tonnes per locomotive (net of battery weight)</t>
  </si>
  <si>
    <t>Battery Size and Cost per Locomotive</t>
  </si>
  <si>
    <t>Total cost of battery + inverter + boxcar</t>
  </si>
  <si>
    <t>total levelized cost of charging plus electricity</t>
  </si>
  <si>
    <t>NOTE: CO2 damages use estimates from Carlton &amp; Greenstone (2020)</t>
  </si>
  <si>
    <t>Emissions rates are from ReEDs model</t>
  </si>
  <si>
    <t>1 gal = 3.785 liters</t>
  </si>
  <si>
    <t>Table 2 of https://www.epa.gov/sites/production/files/2021-04/documents/emission-factors_apr2021.pdf</t>
  </si>
  <si>
    <t xml:space="preserve">total </t>
  </si>
  <si>
    <t>ANNUAL sectorwide damages</t>
  </si>
  <si>
    <t>1 sq meter = 10.764 sq ft</t>
  </si>
  <si>
    <t xml:space="preserve">revenue tonne-km per liter of fuel consumed </t>
  </si>
  <si>
    <t>1 BTU = 1.055 kilojoule</t>
  </si>
  <si>
    <t>1 kJ = .2777777 watt-hours</t>
  </si>
  <si>
    <t>system energy density for Guoxan battery</t>
  </si>
  <si>
    <t>total adjusted energy requirements with regular car (kWh/revenue-tonne)</t>
  </si>
  <si>
    <t>SECTORWIDE COST-BENEFIT (using averages for energy balance)</t>
  </si>
  <si>
    <t>Maintenance cost</t>
  </si>
  <si>
    <t>Locomotives in use</t>
  </si>
  <si>
    <t>Freight cars in use</t>
  </si>
  <si>
    <t>Payload and distance</t>
  </si>
  <si>
    <t>Diesel maintenance (annualized)</t>
  </si>
  <si>
    <t>Battery maintenance cost ($/day)</t>
  </si>
  <si>
    <t>Battery diesel engine maintenance cost (annualized)</t>
  </si>
  <si>
    <t>Diesel NOx and PM/Sox damages</t>
  </si>
  <si>
    <t>Diesel CO2 emissions damages</t>
  </si>
  <si>
    <t>Battery Nox and PM/Sox damages</t>
  </si>
  <si>
    <t>Battery CO2 damages</t>
  </si>
  <si>
    <t>Total diesel pollution damages per locomotive ($/year)</t>
  </si>
  <si>
    <t>CO2 damages (2020 USD/locomotive per year)</t>
  </si>
  <si>
    <t>Undiscounted annual net savings without environmental</t>
  </si>
  <si>
    <t xml:space="preserve">Total </t>
  </si>
  <si>
    <t>Battery-electric</t>
  </si>
  <si>
    <t>Diesel</t>
  </si>
  <si>
    <t>Criteria pollutants</t>
  </si>
  <si>
    <t>CO2 emissions</t>
  </si>
  <si>
    <t>Discounted Annual Costs</t>
  </si>
  <si>
    <t>Battery</t>
  </si>
  <si>
    <t>Electricity</t>
  </si>
  <si>
    <t>Charging Infrastructure</t>
  </si>
  <si>
    <t>maintenance (diesel)</t>
  </si>
  <si>
    <t>Diesel Fuel</t>
  </si>
  <si>
    <t>Air pollution (diesel)</t>
  </si>
  <si>
    <t>Air pollution (battery)</t>
  </si>
  <si>
    <t>GHG emissions (diesel)</t>
  </si>
  <si>
    <t>GHG emissions (battery)</t>
  </si>
  <si>
    <t>Costs by component for each technology</t>
  </si>
  <si>
    <t>total locomotives</t>
  </si>
  <si>
    <t>total CO2 emissions (tonnes)</t>
  </si>
  <si>
    <t>total pollution damages from diesel (not CO2) ($)</t>
  </si>
  <si>
    <t>maintenance (battery)</t>
  </si>
  <si>
    <t>USD</t>
  </si>
  <si>
    <t>NPV per locomotive (without damages)</t>
  </si>
  <si>
    <t>Station Utilization (%)</t>
  </si>
  <si>
    <t>Infrastructure cost without generation</t>
  </si>
  <si>
    <t>Enter in increments of .05</t>
  </si>
  <si>
    <t>total</t>
  </si>
  <si>
    <t xml:space="preserve">Difference </t>
  </si>
  <si>
    <t>percentage drop from original</t>
  </si>
  <si>
    <t>MAIN INPUTS</t>
  </si>
  <si>
    <t>Charging station utilization (percent)</t>
  </si>
  <si>
    <t xml:space="preserve">Cost of battery plus charging infrastructure </t>
  </si>
  <si>
    <t>Battery lifetime (cycles)</t>
  </si>
  <si>
    <t xml:space="preserve"> 2.12 is average of total reported gallons consumed and total cost in 2019 for five biggest railroads</t>
  </si>
  <si>
    <t>https://www.energytrend.com/news/20210212-20941.html</t>
  </si>
  <si>
    <t>tonnes</t>
  </si>
  <si>
    <t>kg</t>
  </si>
  <si>
    <t>Units</t>
  </si>
  <si>
    <t>million gallons</t>
  </si>
  <si>
    <t>Refer to charging costs spreadsheet</t>
  </si>
  <si>
    <t>ARB typical train characteristics</t>
  </si>
  <si>
    <t>Input</t>
  </si>
  <si>
    <t>Value</t>
  </si>
  <si>
    <t>Enter CES90 or 100% RE values from "damages" sheet</t>
  </si>
  <si>
    <t>MWh</t>
  </si>
  <si>
    <t>Total generation</t>
  </si>
  <si>
    <t>unknown</t>
  </si>
  <si>
    <t>SO2 (Short tons)</t>
  </si>
  <si>
    <t>Nox (short Tons)</t>
  </si>
  <si>
    <t>US Air Pollution Damages ($/MWh)</t>
  </si>
  <si>
    <t>kg CO2/gallon</t>
  </si>
  <si>
    <t>Inputs</t>
  </si>
  <si>
    <t>million USD</t>
  </si>
  <si>
    <t>Reduction in total CO2</t>
  </si>
  <si>
    <t>$/day</t>
  </si>
  <si>
    <t>Electricity requirements for avg locomotive per day</t>
  </si>
  <si>
    <t>Tender Car Cost</t>
  </si>
  <si>
    <t>Inverter cost</t>
  </si>
  <si>
    <t>Battery Cost</t>
  </si>
  <si>
    <t xml:space="preserve">Electricity cost </t>
  </si>
  <si>
    <t>Levelized cost of charging infrastructure</t>
  </si>
  <si>
    <t>kg C02/L</t>
  </si>
  <si>
    <t>CO2 emitted per day</t>
  </si>
  <si>
    <t>CO2 conversion factor</t>
  </si>
  <si>
    <t>L</t>
  </si>
  <si>
    <t>Average fuel consumed per day per locomotive</t>
  </si>
  <si>
    <t>USD/kWh</t>
  </si>
  <si>
    <t>levelized cost of charging infrastructure (ignoring generation)</t>
  </si>
  <si>
    <t>liters</t>
  </si>
  <si>
    <t>Volume of 48' box car</t>
  </si>
  <si>
    <t>Battery + inverter volume</t>
  </si>
  <si>
    <t>tons</t>
  </si>
  <si>
    <t>max payload of standard box car</t>
  </si>
  <si>
    <t>$</t>
  </si>
  <si>
    <t>$/liter</t>
  </si>
  <si>
    <t>liter/day</t>
  </si>
  <si>
    <t>Locomotive fuel use</t>
  </si>
  <si>
    <t>Diesel price</t>
  </si>
  <si>
    <t>Locomotive fuel cost</t>
  </si>
  <si>
    <t>Locomotive maintenance costs (diesel only as backup)</t>
  </si>
  <si>
    <t>Locomotive maintenance costs (diesel)</t>
  </si>
  <si>
    <t>kWh/liter</t>
  </si>
  <si>
    <t>cubic feet</t>
  </si>
  <si>
    <t>Pack energy density</t>
  </si>
  <si>
    <t>Floor space of box car</t>
  </si>
  <si>
    <t>km/liter</t>
  </si>
  <si>
    <t>freight train fuel economy</t>
  </si>
  <si>
    <t>Fuel consumed</t>
  </si>
  <si>
    <t>thousand liters</t>
  </si>
  <si>
    <t>thousand gallons</t>
  </si>
  <si>
    <t>Average fuel consumed per locomotive</t>
  </si>
  <si>
    <t>Average fuel consumption per day per locomotive</t>
  </si>
  <si>
    <t>kWh/tonne-km</t>
  </si>
  <si>
    <t>Average diesel consumption</t>
  </si>
  <si>
    <t>kWh/ton-mile</t>
  </si>
  <si>
    <t>Average diesel consumption- BTS derived</t>
  </si>
  <si>
    <t>km</t>
  </si>
  <si>
    <t>miles</t>
  </si>
  <si>
    <t>Range</t>
  </si>
  <si>
    <t>revenue-tonnes</t>
  </si>
  <si>
    <t>Locomotive payload</t>
  </si>
  <si>
    <t>Train weight</t>
  </si>
  <si>
    <t>MW</t>
  </si>
  <si>
    <t>Power rating of locomotive</t>
  </si>
  <si>
    <t>revenue-tons</t>
  </si>
  <si>
    <t>Diesel requirements per locomotive</t>
  </si>
  <si>
    <t>million liters</t>
  </si>
  <si>
    <t>million train-km</t>
  </si>
  <si>
    <t>Freight train-km traveled</t>
  </si>
  <si>
    <t>cars/locomotive</t>
  </si>
  <si>
    <t>thousand km</t>
  </si>
  <si>
    <t>Average km traveled per locomotive</t>
  </si>
  <si>
    <t>thousand miles</t>
  </si>
  <si>
    <t>Average miles traveled per locomotive in 2017</t>
  </si>
  <si>
    <t>rev-tonne-km/liter</t>
  </si>
  <si>
    <t>rev-ton-miles/gallon</t>
  </si>
  <si>
    <t>million rev-tonne-km</t>
  </si>
  <si>
    <t>Revenue freight tonne-kilometers</t>
  </si>
  <si>
    <t>million rev-ton-miles</t>
  </si>
  <si>
    <t>Revenue freight ton-miles</t>
  </si>
  <si>
    <t>kJ/rev-tonne-km</t>
  </si>
  <si>
    <t>Energy intensity</t>
  </si>
  <si>
    <t>BTU/rev-ton-mile</t>
  </si>
  <si>
    <t>kWh/locomotive-mile</t>
  </si>
  <si>
    <t>kWh/locomotive-km</t>
  </si>
  <si>
    <t>Diesel energy requirement</t>
  </si>
  <si>
    <t>Diesel energy requirements</t>
  </si>
  <si>
    <t>kW</t>
  </si>
  <si>
    <t>$/kWh</t>
  </si>
  <si>
    <t>square feet</t>
  </si>
  <si>
    <t>square meters</t>
  </si>
  <si>
    <t>inverter weight</t>
  </si>
  <si>
    <t>inverter area</t>
  </si>
  <si>
    <t>inverter volume</t>
  </si>
  <si>
    <t>inverter cost</t>
  </si>
  <si>
    <t>inverter size</t>
  </si>
  <si>
    <t>traction power of motor/locomotive</t>
  </si>
  <si>
    <t>Battery size due to higher energy efficiency of locomotive</t>
  </si>
  <si>
    <t>energy requirements</t>
  </si>
  <si>
    <t>Wh</t>
  </si>
  <si>
    <t>kJ</t>
  </si>
  <si>
    <t>total energy requirements</t>
  </si>
  <si>
    <t>hours</t>
  </si>
  <si>
    <t>operating time</t>
  </si>
  <si>
    <t>kJ/hour</t>
  </si>
  <si>
    <t>cooling load</t>
  </si>
  <si>
    <t>BTU.hour</t>
  </si>
  <si>
    <t>degrees Celsius</t>
  </si>
  <si>
    <t>Temperature change</t>
  </si>
  <si>
    <t xml:space="preserve">Battery cooling requirements </t>
  </si>
  <si>
    <t>Upsized weight to account for battery weight</t>
  </si>
  <si>
    <t>final battery weight</t>
  </si>
  <si>
    <t>final battery weight plus inverter</t>
  </si>
  <si>
    <t>pounds</t>
  </si>
  <si>
    <t>Weight of battery</t>
  </si>
  <si>
    <t>Weight of battery plus inverter</t>
  </si>
  <si>
    <t>Weight of battery per locomotive</t>
  </si>
  <si>
    <t>kWh/kg</t>
  </si>
  <si>
    <t>Cell specific energy</t>
  </si>
  <si>
    <t>Cell energy density</t>
  </si>
  <si>
    <t>Pack specific energy</t>
  </si>
  <si>
    <t>Volume of battery</t>
  </si>
  <si>
    <t>GWh</t>
  </si>
  <si>
    <t>mobile grid storage on an average day</t>
  </si>
  <si>
    <t>not including CH4 or N2O emissions</t>
  </si>
  <si>
    <t xml:space="preserve">Volume of 48' box car </t>
  </si>
  <si>
    <t>depends on station utilization rate</t>
  </si>
  <si>
    <t>Battery (including cooling, efficiency, and depth of charge)</t>
  </si>
  <si>
    <t>rev-tonnes</t>
  </si>
  <si>
    <t>should not exceed 1</t>
  </si>
  <si>
    <t>Industry avg.</t>
  </si>
  <si>
    <t>BNSF LLC</t>
  </si>
  <si>
    <t>Revenue (billion USD)</t>
  </si>
  <si>
    <t>Share</t>
  </si>
  <si>
    <t>Total Class I railroads</t>
  </si>
  <si>
    <t>marginal damages (thousand 2020 USD/tonne)</t>
  </si>
  <si>
    <t>marginal damages (thousand 2011 USD/tonne)</t>
  </si>
  <si>
    <r>
      <t>Fuel consumption and travel for US Class I freight trains in 2019</t>
    </r>
    <r>
      <rPr>
        <sz val="11"/>
        <rFont val="Calibri"/>
        <family val="2"/>
      </rPr>
      <t xml:space="preserve"> (figures are annual unless stated otherwise)</t>
    </r>
  </si>
  <si>
    <t>1.459972 tonne-km = 1 ton-mile, 1 gal = 3.785412 liters</t>
  </si>
  <si>
    <t>1.459972 tonne-km = 1 ton-mile.</t>
  </si>
  <si>
    <t>based on operating CA trains, newest diesel engine have 40-50% efficiency</t>
  </si>
  <si>
    <t>estimated change in damages per year PM2.5</t>
  </si>
  <si>
    <t>estimated change in damages per year Nox</t>
  </si>
  <si>
    <t>Emissions damages including pollutants we don't account for ($/locomotive-day)</t>
  </si>
  <si>
    <t>US Power Mix Total Emissions Damage $/MWh (from "Emissions" supplementary data)</t>
  </si>
  <si>
    <t>electricity cost as function of station utilization (ERCOT assumptions) (2020 USD)</t>
  </si>
  <si>
    <t>Note: these data are replicated from Supplementary Data 1: Charging Costs</t>
  </si>
  <si>
    <t>$/MWh</t>
  </si>
  <si>
    <t>Infrastructure cost including generation</t>
  </si>
  <si>
    <r>
      <t xml:space="preserve">Fu, R., T. Remo, and R. Margolis. 2018. </t>
    </r>
    <r>
      <rPr>
        <i/>
        <sz val="11"/>
        <color theme="1"/>
        <rFont val="Calibri"/>
        <family val="2"/>
      </rPr>
      <t>2018 U.S. Utility-Scale Photovoltaics-Plus-Energy Storage System Costs Benchmark</t>
    </r>
    <r>
      <rPr>
        <sz val="11"/>
        <color theme="1"/>
        <rFont val="Calibri"/>
        <family val="2"/>
      </rPr>
      <t>. Golden, CO: National Renewable Energy Laboratory.</t>
    </r>
  </si>
  <si>
    <t>Emissions damages of only NOX and PM ($/locomotive-day)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</si>
</sst>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E+00"/>
    <numFmt numFmtId="166" formatCode="0.0"/>
    <numFmt numFmtId="167" formatCode="#,##0.0000"/>
    <numFmt numFmtId="168" formatCode="0.000"/>
    <numFmt numFmtId="169" formatCode="0.0000"/>
    <numFmt numFmtId="170" formatCode="_(* #,##0_);_(* \(#,##0\);_(* &quot;-&quot;??_);_(@_)"/>
    <numFmt numFmtId="171" formatCode="#,##0.000"/>
    <numFmt numFmtId="172" formatCode="&quot;$&quot;#,##0"/>
    <numFmt numFmtId="173" formatCode="_(&quot;$&quot;* #,##0.000_);_(&quot;$&quot;* \(#,##0.000\);_(&quot;$&quot;* &quot;-&quot;???_);_(@_)"/>
    <numFmt numFmtId="174" formatCode="&quot;$&quot;#,##0.00"/>
    <numFmt numFmtId="175" formatCode="0_);\(0\)"/>
    <numFmt numFmtId="176" formatCode="_([$$-409]* #,##0.00_);_([$$-409]* \(#,##0.00\);_([$$-409]* &quot;-&quot;??_);_(@_)"/>
    <numFmt numFmtId="177" formatCode="_(&quot;$&quot;* #,##0.0000_);_(&quot;$&quot;* \(#,##0.0000\);_(&quot;$&quot;* &quot;-&quot;????_);_(@_)"/>
    <numFmt numFmtId="178" formatCode="&quot;$&quot;#,##0.000"/>
  </numFmts>
  <fonts count="45">
    <font>
      <sz val="12"/>
      <color theme="1"/>
      <name val="Calibri"/>
      <family val="2"/>
      <scheme val="minor"/>
    </font>
    <font>
      <sz val="8"/>
      <name val="Helv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2"/>
      <color theme="2" tint="-9.9978637043366805E-2"/>
      <name val="Arial"/>
      <family val="2"/>
    </font>
    <font>
      <sz val="12"/>
      <color rgb="FF7030A0"/>
      <name val="Arial"/>
      <family val="2"/>
    </font>
    <font>
      <b/>
      <sz val="12"/>
      <color theme="5"/>
      <name val="Arial"/>
      <family val="2"/>
    </font>
    <font>
      <b/>
      <sz val="12"/>
      <color rgb="FF7030A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2" tint="-9.9978637043366805E-2"/>
      <name val="Calibri"/>
      <family val="2"/>
    </font>
    <font>
      <u/>
      <sz val="11"/>
      <color theme="10"/>
      <name val="Calibri"/>
      <family val="2"/>
    </font>
    <font>
      <b/>
      <sz val="11"/>
      <color theme="2" tint="-9.9978637043366805E-2"/>
      <name val="Calibri"/>
      <family val="2"/>
    </font>
    <font>
      <i/>
      <sz val="11"/>
      <color theme="1"/>
      <name val="Calibri"/>
      <family val="2"/>
    </font>
    <font>
      <u/>
      <sz val="11"/>
      <color theme="2" tint="-9.9978637043366805E-2"/>
      <name val="Calibri"/>
      <family val="2"/>
    </font>
    <font>
      <sz val="11"/>
      <color rgb="FFFF0000"/>
      <name val="Calibri"/>
      <family val="2"/>
    </font>
    <font>
      <sz val="11"/>
      <color theme="10"/>
      <name val="Calibri"/>
      <family val="2"/>
    </font>
    <font>
      <sz val="11"/>
      <color theme="2" tint="-0.249977111117893"/>
      <name val="Calibri"/>
      <family val="2"/>
    </font>
    <font>
      <u/>
      <sz val="11"/>
      <color theme="2" tint="-0.249977111117893"/>
      <name val="Calibri"/>
      <family val="2"/>
    </font>
    <font>
      <u/>
      <sz val="11"/>
      <color rgb="FFFF0000"/>
      <name val="Calibri"/>
      <family val="2"/>
    </font>
    <font>
      <u/>
      <sz val="11"/>
      <color theme="1"/>
      <name val="Calibri"/>
      <family val="2"/>
    </font>
    <font>
      <sz val="11"/>
      <color theme="0" tint="-0.499984740745262"/>
      <name val="Calibri"/>
      <family val="2"/>
    </font>
    <font>
      <sz val="11"/>
      <color theme="2" tint="-0.499984740745262"/>
      <name val="Calibri"/>
      <family val="2"/>
    </font>
    <font>
      <sz val="11"/>
      <color theme="6"/>
      <name val="Calibri"/>
      <family val="2"/>
    </font>
    <font>
      <strike/>
      <sz val="11"/>
      <color theme="1"/>
      <name val="Calibri"/>
      <family val="2"/>
    </font>
    <font>
      <sz val="11"/>
      <color theme="9" tint="-0.249977111117893"/>
      <name val="Calibri"/>
      <family val="2"/>
    </font>
    <font>
      <sz val="11"/>
      <color rgb="FF7030A0"/>
      <name val="Calibri"/>
      <family val="2"/>
    </font>
    <font>
      <sz val="11"/>
      <color rgb="FF666666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A1F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>
      <alignment horizontal="left"/>
    </xf>
    <xf numFmtId="0" fontId="2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" fillId="0" borderId="0"/>
    <xf numFmtId="0" fontId="14" fillId="0" borderId="0"/>
    <xf numFmtId="0" fontId="12" fillId="0" borderId="0"/>
    <xf numFmtId="0" fontId="13" fillId="0" borderId="0"/>
  </cellStyleXfs>
  <cellXfs count="51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/>
    <xf numFmtId="0" fontId="5" fillId="0" borderId="8" xfId="2" applyFont="1" applyBorder="1"/>
    <xf numFmtId="0" fontId="4" fillId="0" borderId="8" xfId="0" applyFont="1" applyBorder="1"/>
    <xf numFmtId="0" fontId="7" fillId="0" borderId="0" xfId="0" applyFont="1"/>
    <xf numFmtId="0" fontId="10" fillId="0" borderId="0" xfId="0" applyFont="1"/>
    <xf numFmtId="8" fontId="7" fillId="0" borderId="0" xfId="0" applyNumberFormat="1" applyFont="1"/>
    <xf numFmtId="164" fontId="7" fillId="0" borderId="0" xfId="0" applyNumberFormat="1" applyFont="1"/>
    <xf numFmtId="164" fontId="7" fillId="0" borderId="5" xfId="0" applyNumberFormat="1" applyFont="1" applyBorder="1"/>
    <xf numFmtId="4" fontId="4" fillId="0" borderId="0" xfId="0" applyNumberFormat="1" applyFont="1" applyBorder="1"/>
    <xf numFmtId="0" fontId="9" fillId="0" borderId="0" xfId="0" applyFont="1"/>
    <xf numFmtId="164" fontId="7" fillId="0" borderId="0" xfId="0" applyNumberFormat="1" applyFont="1" applyBorder="1"/>
    <xf numFmtId="165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Border="1"/>
    <xf numFmtId="0" fontId="6" fillId="4" borderId="5" xfId="0" applyFont="1" applyFill="1" applyBorder="1"/>
    <xf numFmtId="0" fontId="16" fillId="0" borderId="0" xfId="0" applyFont="1"/>
    <xf numFmtId="0" fontId="7" fillId="0" borderId="0" xfId="0" applyFont="1" applyBorder="1"/>
    <xf numFmtId="164" fontId="16" fillId="0" borderId="0" xfId="0" applyNumberFormat="1" applyFont="1"/>
    <xf numFmtId="164" fontId="16" fillId="0" borderId="0" xfId="0" applyNumberFormat="1" applyFont="1" applyBorder="1"/>
    <xf numFmtId="0" fontId="16" fillId="0" borderId="0" xfId="0" applyFont="1" applyBorder="1"/>
    <xf numFmtId="0" fontId="7" fillId="0" borderId="16" xfId="0" applyFont="1" applyBorder="1"/>
    <xf numFmtId="164" fontId="7" fillId="0" borderId="0" xfId="0" applyNumberFormat="1" applyFont="1" applyAlignment="1">
      <alignment vertical="center"/>
    </xf>
    <xf numFmtId="0" fontId="3" fillId="0" borderId="16" xfId="0" applyFont="1" applyBorder="1"/>
    <xf numFmtId="164" fontId="3" fillId="0" borderId="17" xfId="0" applyNumberFormat="1" applyFont="1" applyBorder="1"/>
    <xf numFmtId="0" fontId="7" fillId="0" borderId="17" xfId="0" applyFont="1" applyBorder="1"/>
    <xf numFmtId="0" fontId="8" fillId="0" borderId="16" xfId="0" applyFont="1" applyBorder="1" applyAlignment="1">
      <alignment vertical="center" wrapText="1"/>
    </xf>
    <xf numFmtId="7" fontId="7" fillId="0" borderId="0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164" fontId="7" fillId="0" borderId="15" xfId="0" applyNumberFormat="1" applyFont="1" applyBorder="1" applyAlignment="1">
      <alignment vertical="center"/>
    </xf>
    <xf numFmtId="164" fontId="7" fillId="0" borderId="13" xfId="0" applyNumberFormat="1" applyFont="1" applyBorder="1" applyAlignment="1">
      <alignment vertical="center"/>
    </xf>
    <xf numFmtId="0" fontId="7" fillId="0" borderId="13" xfId="0" applyFont="1" applyBorder="1"/>
    <xf numFmtId="0" fontId="7" fillId="0" borderId="12" xfId="0" applyFont="1" applyBorder="1"/>
    <xf numFmtId="39" fontId="17" fillId="0" borderId="0" xfId="0" applyNumberFormat="1" applyFont="1" applyBorder="1"/>
    <xf numFmtId="39" fontId="7" fillId="0" borderId="0" xfId="0" applyNumberFormat="1" applyFont="1" applyBorder="1"/>
    <xf numFmtId="39" fontId="3" fillId="0" borderId="17" xfId="0" applyNumberFormat="1" applyFont="1" applyBorder="1"/>
    <xf numFmtId="165" fontId="3" fillId="0" borderId="0" xfId="0" applyNumberFormat="1" applyFont="1" applyBorder="1"/>
    <xf numFmtId="0" fontId="3" fillId="0" borderId="0" xfId="0" applyFont="1" applyBorder="1"/>
    <xf numFmtId="164" fontId="9" fillId="0" borderId="0" xfId="0" applyNumberFormat="1" applyFont="1" applyBorder="1"/>
    <xf numFmtId="0" fontId="3" fillId="0" borderId="17" xfId="0" applyFont="1" applyBorder="1"/>
    <xf numFmtId="0" fontId="9" fillId="0" borderId="0" xfId="0" applyFont="1" applyBorder="1"/>
    <xf numFmtId="37" fontId="7" fillId="0" borderId="0" xfId="0" applyNumberFormat="1" applyFont="1" applyBorder="1"/>
    <xf numFmtId="0" fontId="17" fillId="0" borderId="0" xfId="0" applyFont="1"/>
    <xf numFmtId="0" fontId="18" fillId="0" borderId="0" xfId="0" applyFont="1" applyBorder="1"/>
    <xf numFmtId="39" fontId="3" fillId="0" borderId="0" xfId="0" applyNumberFormat="1" applyFont="1" applyBorder="1"/>
    <xf numFmtId="166" fontId="3" fillId="0" borderId="0" xfId="0" applyNumberFormat="1" applyFont="1" applyBorder="1"/>
    <xf numFmtId="0" fontId="7" fillId="0" borderId="5" xfId="0" applyFont="1" applyFill="1" applyBorder="1"/>
    <xf numFmtId="7" fontId="7" fillId="0" borderId="0" xfId="0" applyNumberFormat="1" applyFont="1" applyBorder="1"/>
    <xf numFmtId="39" fontId="17" fillId="0" borderId="17" xfId="0" applyNumberFormat="1" applyFont="1" applyBorder="1"/>
    <xf numFmtId="39" fontId="17" fillId="0" borderId="16" xfId="0" applyNumberFormat="1" applyFont="1" applyBorder="1"/>
    <xf numFmtId="0" fontId="3" fillId="0" borderId="12" xfId="0" applyFont="1" applyBorder="1"/>
    <xf numFmtId="39" fontId="3" fillId="0" borderId="0" xfId="0" applyNumberFormat="1" applyFont="1"/>
    <xf numFmtId="0" fontId="3" fillId="0" borderId="7" xfId="0" applyFont="1" applyBorder="1"/>
    <xf numFmtId="0" fontId="7" fillId="0" borderId="7" xfId="0" applyFont="1" applyBorder="1"/>
    <xf numFmtId="0" fontId="3" fillId="0" borderId="8" xfId="0" applyFont="1" applyBorder="1"/>
    <xf numFmtId="0" fontId="7" fillId="0" borderId="4" xfId="0" applyFont="1" applyBorder="1"/>
    <xf numFmtId="0" fontId="10" fillId="3" borderId="22" xfId="0" applyFont="1" applyFill="1" applyBorder="1"/>
    <xf numFmtId="39" fontId="3" fillId="0" borderId="12" xfId="0" applyNumberFormat="1" applyFont="1" applyBorder="1"/>
    <xf numFmtId="0" fontId="9" fillId="0" borderId="16" xfId="0" applyFont="1" applyBorder="1"/>
    <xf numFmtId="39" fontId="7" fillId="0" borderId="17" xfId="0" applyNumberFormat="1" applyFont="1" applyBorder="1"/>
    <xf numFmtId="164" fontId="3" fillId="0" borderId="0" xfId="0" applyNumberFormat="1" applyFont="1" applyFill="1" applyBorder="1"/>
    <xf numFmtId="0" fontId="7" fillId="0" borderId="0" xfId="0" applyFont="1" applyFill="1" applyBorder="1"/>
    <xf numFmtId="164" fontId="16" fillId="0" borderId="0" xfId="0" applyNumberFormat="1" applyFont="1" applyFill="1" applyBorder="1"/>
    <xf numFmtId="0" fontId="3" fillId="0" borderId="0" xfId="0" applyFont="1" applyFill="1" applyBorder="1"/>
    <xf numFmtId="0" fontId="9" fillId="0" borderId="21" xfId="0" applyFont="1" applyBorder="1"/>
    <xf numFmtId="39" fontId="19" fillId="0" borderId="2" xfId="0" applyNumberFormat="1" applyFont="1" applyBorder="1"/>
    <xf numFmtId="39" fontId="19" fillId="0" borderId="25" xfId="0" applyNumberFormat="1" applyFont="1" applyBorder="1"/>
    <xf numFmtId="0" fontId="7" fillId="0" borderId="1" xfId="0" applyFont="1" applyBorder="1"/>
    <xf numFmtId="164" fontId="7" fillId="0" borderId="3" xfId="0" applyNumberFormat="1" applyFont="1" applyBorder="1"/>
    <xf numFmtId="164" fontId="7" fillId="0" borderId="8" xfId="0" applyNumberFormat="1" applyFont="1" applyBorder="1"/>
    <xf numFmtId="44" fontId="3" fillId="7" borderId="8" xfId="3" applyFont="1" applyFill="1" applyBorder="1"/>
    <xf numFmtId="44" fontId="3" fillId="7" borderId="6" xfId="3" applyFont="1" applyFill="1" applyBorder="1"/>
    <xf numFmtId="0" fontId="10" fillId="3" borderId="23" xfId="0" applyFont="1" applyFill="1" applyBorder="1"/>
    <xf numFmtId="0" fontId="9" fillId="3" borderId="24" xfId="0" applyFont="1" applyFill="1" applyBorder="1"/>
    <xf numFmtId="0" fontId="3" fillId="0" borderId="4" xfId="0" applyFont="1" applyBorder="1"/>
    <xf numFmtId="0" fontId="9" fillId="7" borderId="1" xfId="0" applyFont="1" applyFill="1" applyBorder="1"/>
    <xf numFmtId="164" fontId="9" fillId="7" borderId="3" xfId="0" applyNumberFormat="1" applyFont="1" applyFill="1" applyBorder="1"/>
    <xf numFmtId="37" fontId="3" fillId="0" borderId="8" xfId="0" applyNumberFormat="1" applyFont="1" applyBorder="1"/>
    <xf numFmtId="168" fontId="7" fillId="0" borderId="6" xfId="0" applyNumberFormat="1" applyFont="1" applyBorder="1"/>
    <xf numFmtId="0" fontId="3" fillId="7" borderId="2" xfId="0" applyFont="1" applyFill="1" applyBorder="1"/>
    <xf numFmtId="0" fontId="3" fillId="7" borderId="3" xfId="0" applyFont="1" applyFill="1" applyBorder="1"/>
    <xf numFmtId="164" fontId="3" fillId="0" borderId="8" xfId="0" applyNumberFormat="1" applyFont="1" applyBorder="1"/>
    <xf numFmtId="39" fontId="3" fillId="0" borderId="5" xfId="0" applyNumberFormat="1" applyFont="1" applyBorder="1"/>
    <xf numFmtId="0" fontId="9" fillId="7" borderId="11" xfId="0" applyFont="1" applyFill="1" applyBorder="1"/>
    <xf numFmtId="0" fontId="3" fillId="7" borderId="10" xfId="0" applyFont="1" applyFill="1" applyBorder="1"/>
    <xf numFmtId="0" fontId="3" fillId="7" borderId="14" xfId="0" applyFont="1" applyFill="1" applyBorder="1"/>
    <xf numFmtId="0" fontId="3" fillId="0" borderId="26" xfId="0" applyFont="1" applyBorder="1"/>
    <xf numFmtId="39" fontId="3" fillId="0" borderId="27" xfId="0" applyNumberFormat="1" applyFont="1" applyBorder="1"/>
    <xf numFmtId="0" fontId="10" fillId="7" borderId="1" xfId="0" applyFont="1" applyFill="1" applyBorder="1"/>
    <xf numFmtId="0" fontId="7" fillId="7" borderId="2" xfId="0" applyFont="1" applyFill="1" applyBorder="1"/>
    <xf numFmtId="0" fontId="10" fillId="0" borderId="7" xfId="0" applyFont="1" applyBorder="1"/>
    <xf numFmtId="0" fontId="10" fillId="0" borderId="0" xfId="0" applyFont="1" applyBorder="1"/>
    <xf numFmtId="0" fontId="9" fillId="0" borderId="8" xfId="0" applyFont="1" applyBorder="1"/>
    <xf numFmtId="0" fontId="7" fillId="0" borderId="7" xfId="0" applyFont="1" applyFill="1" applyBorder="1"/>
    <xf numFmtId="5" fontId="7" fillId="0" borderId="0" xfId="0" applyNumberFormat="1" applyFont="1" applyFill="1" applyBorder="1"/>
    <xf numFmtId="5" fontId="7" fillId="0" borderId="0" xfId="0" applyNumberFormat="1" applyFont="1" applyBorder="1"/>
    <xf numFmtId="5" fontId="7" fillId="0" borderId="8" xfId="0" applyNumberFormat="1" applyFont="1" applyBorder="1"/>
    <xf numFmtId="0" fontId="7" fillId="0" borderId="4" xfId="0" applyFont="1" applyFill="1" applyBorder="1"/>
    <xf numFmtId="164" fontId="7" fillId="0" borderId="6" xfId="0" applyNumberFormat="1" applyFont="1" applyBorder="1"/>
    <xf numFmtId="0" fontId="3" fillId="0" borderId="7" xfId="0" applyFont="1" applyFill="1" applyBorder="1"/>
    <xf numFmtId="0" fontId="9" fillId="7" borderId="18" xfId="0" applyFont="1" applyFill="1" applyBorder="1"/>
    <xf numFmtId="0" fontId="3" fillId="7" borderId="19" xfId="0" applyFont="1" applyFill="1" applyBorder="1"/>
    <xf numFmtId="0" fontId="3" fillId="7" borderId="20" xfId="0" applyFont="1" applyFill="1" applyBorder="1"/>
    <xf numFmtId="8" fontId="7" fillId="0" borderId="0" xfId="0" applyNumberFormat="1" applyFont="1" applyFill="1"/>
    <xf numFmtId="0" fontId="9" fillId="0" borderId="0" xfId="0" applyFont="1" applyFill="1"/>
    <xf numFmtId="9" fontId="7" fillId="0" borderId="3" xfId="0" applyNumberFormat="1" applyFont="1" applyBorder="1"/>
    <xf numFmtId="9" fontId="7" fillId="0" borderId="8" xfId="0" applyNumberFormat="1" applyFont="1" applyBorder="1"/>
    <xf numFmtId="2" fontId="7" fillId="0" borderId="8" xfId="0" applyNumberFormat="1" applyFont="1" applyBorder="1"/>
    <xf numFmtId="37" fontId="7" fillId="0" borderId="8" xfId="0" applyNumberFormat="1" applyFont="1" applyBorder="1"/>
    <xf numFmtId="0" fontId="7" fillId="0" borderId="8" xfId="0" applyFont="1" applyFill="1" applyBorder="1"/>
    <xf numFmtId="2" fontId="8" fillId="0" borderId="8" xfId="0" applyNumberFormat="1" applyFont="1" applyFill="1" applyBorder="1"/>
    <xf numFmtId="8" fontId="7" fillId="0" borderId="8" xfId="0" applyNumberFormat="1" applyFont="1" applyFill="1" applyBorder="1"/>
    <xf numFmtId="175" fontId="3" fillId="0" borderId="6" xfId="0" applyNumberFormat="1" applyFont="1" applyFill="1" applyBorder="1"/>
    <xf numFmtId="0" fontId="9" fillId="0" borderId="17" xfId="0" applyFont="1" applyBorder="1"/>
    <xf numFmtId="0" fontId="16" fillId="0" borderId="0" xfId="0" applyFont="1" applyFill="1" applyBorder="1"/>
    <xf numFmtId="164" fontId="9" fillId="0" borderId="0" xfId="0" applyNumberFormat="1" applyFont="1" applyFill="1" applyBorder="1"/>
    <xf numFmtId="0" fontId="9" fillId="0" borderId="16" xfId="0" applyFont="1" applyBorder="1" applyAlignment="1">
      <alignment wrapText="1"/>
    </xf>
    <xf numFmtId="164" fontId="9" fillId="0" borderId="0" xfId="0" applyNumberFormat="1" applyFont="1" applyBorder="1" applyAlignment="1">
      <alignment wrapText="1"/>
    </xf>
    <xf numFmtId="164" fontId="9" fillId="0" borderId="17" xfId="0" applyNumberFormat="1" applyFont="1" applyBorder="1" applyAlignment="1">
      <alignment wrapText="1"/>
    </xf>
    <xf numFmtId="0" fontId="20" fillId="3" borderId="22" xfId="0" applyFont="1" applyFill="1" applyBorder="1" applyAlignment="1">
      <alignment horizontal="left" vertical="center"/>
    </xf>
    <xf numFmtId="2" fontId="21" fillId="3" borderId="23" xfId="0" applyNumberFormat="1" applyFont="1" applyFill="1" applyBorder="1" applyAlignment="1">
      <alignment horizontal="left" vertical="center"/>
    </xf>
    <xf numFmtId="2" fontId="20" fillId="3" borderId="23" xfId="0" applyNumberFormat="1" applyFont="1" applyFill="1" applyBorder="1" applyAlignment="1">
      <alignment horizontal="left" vertical="center"/>
    </xf>
    <xf numFmtId="0" fontId="20" fillId="3" borderId="24" xfId="0" applyFont="1" applyFill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0" borderId="16" xfId="0" applyFont="1" applyFill="1" applyBorder="1" applyAlignment="1">
      <alignment horizontal="left" vertical="center" wrapText="1"/>
    </xf>
    <xf numFmtId="2" fontId="22" fillId="9" borderId="0" xfId="0" applyNumberFormat="1" applyFont="1" applyFill="1" applyBorder="1" applyAlignment="1">
      <alignment horizontal="left" vertical="center"/>
    </xf>
    <xf numFmtId="2" fontId="21" fillId="0" borderId="0" xfId="0" applyNumberFormat="1" applyFont="1" applyBorder="1" applyAlignment="1">
      <alignment horizontal="left" vertical="center"/>
    </xf>
    <xf numFmtId="0" fontId="21" fillId="0" borderId="17" xfId="0" applyFont="1" applyFill="1" applyBorder="1" applyAlignment="1">
      <alignment horizontal="left" vertical="center"/>
    </xf>
    <xf numFmtId="0" fontId="21" fillId="0" borderId="16" xfId="0" applyFont="1" applyFill="1" applyBorder="1" applyAlignment="1">
      <alignment horizontal="left" vertical="center" wrapText="1"/>
    </xf>
    <xf numFmtId="2" fontId="21" fillId="9" borderId="0" xfId="0" applyNumberFormat="1" applyFont="1" applyFill="1" applyBorder="1" applyAlignment="1">
      <alignment horizontal="left" vertical="center"/>
    </xf>
    <xf numFmtId="2" fontId="21" fillId="6" borderId="0" xfId="0" applyNumberFormat="1" applyFont="1" applyFill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0" xfId="2" applyFont="1" applyBorder="1" applyAlignment="1">
      <alignment horizontal="left" vertical="center"/>
    </xf>
    <xf numFmtId="1" fontId="22" fillId="9" borderId="0" xfId="0" applyNumberFormat="1" applyFont="1" applyFill="1" applyBorder="1" applyAlignment="1">
      <alignment horizontal="left" vertical="center"/>
    </xf>
    <xf numFmtId="2" fontId="22" fillId="6" borderId="0" xfId="0" applyNumberFormat="1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 wrapText="1"/>
    </xf>
    <xf numFmtId="169" fontId="22" fillId="9" borderId="13" xfId="0" applyNumberFormat="1" applyFont="1" applyFill="1" applyBorder="1" applyAlignment="1">
      <alignment horizontal="left" vertical="center"/>
    </xf>
    <xf numFmtId="2" fontId="22" fillId="0" borderId="13" xfId="0" applyNumberFormat="1" applyFont="1" applyFill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169" fontId="22" fillId="0" borderId="13" xfId="0" applyNumberFormat="1" applyFont="1" applyFill="1" applyBorder="1" applyAlignment="1">
      <alignment horizontal="left" vertical="center"/>
    </xf>
    <xf numFmtId="0" fontId="23" fillId="12" borderId="0" xfId="0" applyFont="1" applyFill="1" applyAlignment="1">
      <alignment horizontal="left" vertical="center"/>
    </xf>
    <xf numFmtId="2" fontId="23" fillId="12" borderId="0" xfId="0" applyNumberFormat="1" applyFont="1" applyFill="1" applyBorder="1" applyAlignment="1">
      <alignment horizontal="left" vertical="center"/>
    </xf>
    <xf numFmtId="2" fontId="23" fillId="12" borderId="0" xfId="0" applyNumberFormat="1" applyFont="1" applyFill="1" applyBorder="1" applyAlignment="1">
      <alignment horizontal="left" vertical="center" wrapText="1"/>
    </xf>
    <xf numFmtId="0" fontId="20" fillId="12" borderId="0" xfId="0" applyFont="1" applyFill="1" applyAlignment="1">
      <alignment horizontal="left" vertical="center"/>
    </xf>
    <xf numFmtId="0" fontId="23" fillId="11" borderId="18" xfId="0" applyFont="1" applyFill="1" applyBorder="1" applyAlignment="1">
      <alignment horizontal="left" vertical="center"/>
    </xf>
    <xf numFmtId="2" fontId="22" fillId="11" borderId="19" xfId="0" applyNumberFormat="1" applyFont="1" applyFill="1" applyBorder="1" applyAlignment="1">
      <alignment horizontal="left" vertical="center"/>
    </xf>
    <xf numFmtId="0" fontId="21" fillId="11" borderId="20" xfId="0" applyFont="1" applyFill="1" applyBorder="1" applyAlignment="1">
      <alignment horizontal="left" vertical="center"/>
    </xf>
    <xf numFmtId="0" fontId="22" fillId="11" borderId="19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 wrapText="1"/>
    </xf>
    <xf numFmtId="3" fontId="22" fillId="0" borderId="0" xfId="0" applyNumberFormat="1" applyFont="1" applyBorder="1" applyAlignment="1">
      <alignment horizontal="left" vertical="center"/>
    </xf>
    <xf numFmtId="2" fontId="22" fillId="0" borderId="0" xfId="0" applyNumberFormat="1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4" fillId="0" borderId="7" xfId="0" applyFont="1" applyFill="1" applyBorder="1" applyAlignment="1">
      <alignment horizontal="left" vertical="center" wrapText="1"/>
    </xf>
    <xf numFmtId="2" fontId="24" fillId="0" borderId="0" xfId="0" applyNumberFormat="1" applyFont="1" applyBorder="1" applyAlignment="1">
      <alignment horizontal="left" vertical="center"/>
    </xf>
    <xf numFmtId="0" fontId="24" fillId="0" borderId="8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7" xfId="1" applyFont="1" applyFill="1" applyBorder="1" applyAlignment="1">
      <alignment horizontal="left" vertical="center" wrapText="1"/>
    </xf>
    <xf numFmtId="0" fontId="25" fillId="0" borderId="0" xfId="2" applyFont="1" applyAlignment="1">
      <alignment horizontal="left" vertical="center"/>
    </xf>
    <xf numFmtId="0" fontId="24" fillId="0" borderId="7" xfId="1" applyFont="1" applyFill="1" applyBorder="1" applyAlignment="1">
      <alignment horizontal="left" vertical="center" wrapText="1"/>
    </xf>
    <xf numFmtId="3" fontId="26" fillId="0" borderId="0" xfId="0" applyNumberFormat="1" applyFont="1" applyBorder="1" applyAlignment="1">
      <alignment horizontal="left" vertical="center"/>
    </xf>
    <xf numFmtId="3" fontId="22" fillId="0" borderId="0" xfId="0" applyNumberFormat="1" applyFont="1" applyFill="1" applyBorder="1" applyAlignment="1">
      <alignment horizontal="left" vertical="center"/>
    </xf>
    <xf numFmtId="0" fontId="21" fillId="0" borderId="7" xfId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0" borderId="7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7" xfId="0" applyFont="1" applyBorder="1" applyAlignment="1">
      <alignment horizontal="left" vertical="center" wrapText="1"/>
    </xf>
    <xf numFmtId="166" fontId="22" fillId="0" borderId="0" xfId="0" applyNumberFormat="1" applyFont="1" applyBorder="1" applyAlignment="1">
      <alignment horizontal="left" vertical="center"/>
    </xf>
    <xf numFmtId="2" fontId="22" fillId="0" borderId="0" xfId="0" applyNumberFormat="1" applyFont="1" applyFill="1" applyBorder="1" applyAlignment="1">
      <alignment horizontal="left" vertical="center"/>
    </xf>
    <xf numFmtId="2" fontId="24" fillId="0" borderId="0" xfId="1" applyNumberFormat="1" applyFont="1" applyBorder="1" applyAlignment="1">
      <alignment horizontal="left" vertical="center"/>
    </xf>
    <xf numFmtId="2" fontId="22" fillId="0" borderId="0" xfId="1" applyNumberFormat="1" applyFont="1" applyBorder="1" applyAlignment="1">
      <alignment horizontal="left" vertical="center"/>
    </xf>
    <xf numFmtId="166" fontId="26" fillId="0" borderId="0" xfId="0" applyNumberFormat="1" applyFont="1" applyBorder="1" applyAlignment="1">
      <alignment horizontal="left" vertical="center"/>
    </xf>
    <xf numFmtId="0" fontId="22" fillId="0" borderId="7" xfId="8" applyFont="1" applyBorder="1" applyAlignment="1">
      <alignment horizontal="left" vertical="center"/>
    </xf>
    <xf numFmtId="3" fontId="22" fillId="0" borderId="0" xfId="1" applyNumberFormat="1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3" fontId="24" fillId="0" borderId="0" xfId="1" applyNumberFormat="1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4" fillId="0" borderId="8" xfId="1" applyFont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/>
    </xf>
    <xf numFmtId="167" fontId="24" fillId="0" borderId="0" xfId="1" applyNumberFormat="1" applyFont="1" applyFill="1" applyBorder="1" applyAlignment="1">
      <alignment horizontal="left" vertical="center"/>
    </xf>
    <xf numFmtId="2" fontId="24" fillId="0" borderId="0" xfId="0" applyNumberFormat="1" applyFont="1" applyFill="1" applyBorder="1" applyAlignment="1">
      <alignment horizontal="left" vertical="center"/>
    </xf>
    <xf numFmtId="0" fontId="24" fillId="0" borderId="8" xfId="1" applyFont="1" applyFill="1" applyBorder="1" applyAlignment="1">
      <alignment horizontal="left" vertical="center" wrapText="1"/>
    </xf>
    <xf numFmtId="0" fontId="24" fillId="0" borderId="0" xfId="1" applyFont="1" applyFill="1" applyAlignment="1">
      <alignment horizontal="left" vertical="center"/>
    </xf>
    <xf numFmtId="167" fontId="21" fillId="0" borderId="0" xfId="1" applyNumberFormat="1" applyFont="1" applyBorder="1" applyAlignment="1">
      <alignment horizontal="left" vertical="center"/>
    </xf>
    <xf numFmtId="0" fontId="21" fillId="0" borderId="8" xfId="1" applyFont="1" applyBorder="1" applyAlignment="1">
      <alignment horizontal="left" vertical="center" wrapText="1"/>
    </xf>
    <xf numFmtId="0" fontId="23" fillId="0" borderId="7" xfId="0" applyFont="1" applyFill="1" applyBorder="1" applyAlignment="1">
      <alignment horizontal="left" vertical="center" wrapText="1"/>
    </xf>
    <xf numFmtId="3" fontId="21" fillId="0" borderId="0" xfId="0" applyNumberFormat="1" applyFont="1" applyFill="1" applyBorder="1" applyAlignment="1">
      <alignment horizontal="left" vertical="center"/>
    </xf>
    <xf numFmtId="0" fontId="22" fillId="0" borderId="8" xfId="1" applyFont="1" applyFill="1" applyBorder="1" applyAlignment="1">
      <alignment horizontal="left" vertical="center" wrapText="1"/>
    </xf>
    <xf numFmtId="0" fontId="22" fillId="0" borderId="0" xfId="1" applyFont="1" applyAlignment="1">
      <alignment horizontal="left" vertical="center"/>
    </xf>
    <xf numFmtId="3" fontId="24" fillId="0" borderId="0" xfId="0" applyNumberFormat="1" applyFont="1" applyFill="1" applyBorder="1" applyAlignment="1">
      <alignment horizontal="left" vertical="center"/>
    </xf>
    <xf numFmtId="0" fontId="24" fillId="0" borderId="8" xfId="0" applyFont="1" applyFill="1" applyBorder="1" applyAlignment="1">
      <alignment horizontal="left" vertical="center"/>
    </xf>
    <xf numFmtId="3" fontId="24" fillId="0" borderId="0" xfId="0" applyNumberFormat="1" applyFont="1" applyBorder="1" applyAlignment="1">
      <alignment horizontal="left" vertical="center"/>
    </xf>
    <xf numFmtId="0" fontId="21" fillId="0" borderId="4" xfId="0" applyFont="1" applyFill="1" applyBorder="1" applyAlignment="1">
      <alignment horizontal="left" vertical="center"/>
    </xf>
    <xf numFmtId="2" fontId="21" fillId="0" borderId="5" xfId="0" applyNumberFormat="1" applyFont="1" applyBorder="1" applyAlignment="1">
      <alignment horizontal="left" vertical="center"/>
    </xf>
    <xf numFmtId="2" fontId="22" fillId="0" borderId="5" xfId="0" applyNumberFormat="1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9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4" fontId="9" fillId="5" borderId="22" xfId="0" applyNumberFormat="1" applyFont="1" applyFill="1" applyBorder="1" applyAlignment="1">
      <alignment horizontal="center"/>
    </xf>
    <xf numFmtId="164" fontId="9" fillId="5" borderId="23" xfId="0" applyNumberFormat="1" applyFont="1" applyFill="1" applyBorder="1" applyAlignment="1">
      <alignment horizontal="center"/>
    </xf>
    <xf numFmtId="164" fontId="9" fillId="5" borderId="24" xfId="0" applyNumberFormat="1" applyFont="1" applyFill="1" applyBorder="1" applyAlignment="1">
      <alignment horizontal="center"/>
    </xf>
    <xf numFmtId="2" fontId="21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4" fillId="0" borderId="0" xfId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/>
    </xf>
    <xf numFmtId="0" fontId="22" fillId="0" borderId="0" xfId="1" applyFont="1" applyAlignment="1">
      <alignment horizontal="left" vertical="center" wrapText="1"/>
    </xf>
    <xf numFmtId="2" fontId="22" fillId="0" borderId="0" xfId="0" applyNumberFormat="1" applyFont="1" applyAlignment="1">
      <alignment horizontal="left" vertical="center"/>
    </xf>
    <xf numFmtId="0" fontId="20" fillId="6" borderId="18" xfId="0" applyFont="1" applyFill="1" applyBorder="1" applyAlignment="1">
      <alignment horizontal="left" vertical="center"/>
    </xf>
    <xf numFmtId="0" fontId="21" fillId="6" borderId="19" xfId="0" applyFont="1" applyFill="1" applyBorder="1" applyAlignment="1">
      <alignment horizontal="left" vertical="center"/>
    </xf>
    <xf numFmtId="2" fontId="22" fillId="6" borderId="19" xfId="0" applyNumberFormat="1" applyFont="1" applyFill="1" applyBorder="1" applyAlignment="1">
      <alignment horizontal="left" vertical="center"/>
    </xf>
    <xf numFmtId="0" fontId="21" fillId="6" borderId="20" xfId="0" applyFont="1" applyFill="1" applyBorder="1" applyAlignment="1">
      <alignment horizontal="left" vertical="center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1" fontId="21" fillId="0" borderId="0" xfId="0" applyNumberFormat="1" applyFont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center" wrapText="1"/>
    </xf>
    <xf numFmtId="2" fontId="22" fillId="0" borderId="8" xfId="0" applyNumberFormat="1" applyFont="1" applyBorder="1" applyAlignment="1">
      <alignment horizontal="left" vertical="center"/>
    </xf>
    <xf numFmtId="1" fontId="24" fillId="0" borderId="0" xfId="0" applyNumberFormat="1" applyFont="1" applyBorder="1" applyAlignment="1">
      <alignment horizontal="left" vertical="center"/>
    </xf>
    <xf numFmtId="2" fontId="24" fillId="0" borderId="8" xfId="0" applyNumberFormat="1" applyFont="1" applyBorder="1" applyAlignment="1">
      <alignment horizontal="left" vertical="center"/>
    </xf>
    <xf numFmtId="1" fontId="21" fillId="0" borderId="0" xfId="0" applyNumberFormat="1" applyFont="1" applyBorder="1" applyAlignment="1">
      <alignment horizontal="left" vertical="center"/>
    </xf>
    <xf numFmtId="1" fontId="21" fillId="0" borderId="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" fontId="22" fillId="0" borderId="5" xfId="0" applyNumberFormat="1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166" fontId="21" fillId="0" borderId="0" xfId="0" applyNumberFormat="1" applyFont="1" applyBorder="1" applyAlignment="1">
      <alignment horizontal="left" vertical="center"/>
    </xf>
    <xf numFmtId="166" fontId="24" fillId="0" borderId="0" xfId="0" applyNumberFormat="1" applyFont="1" applyBorder="1" applyAlignment="1">
      <alignment horizontal="left" vertical="center"/>
    </xf>
    <xf numFmtId="0" fontId="28" fillId="0" borderId="0" xfId="2" applyFont="1" applyBorder="1" applyAlignment="1">
      <alignment horizontal="left" vertical="center"/>
    </xf>
    <xf numFmtId="0" fontId="25" fillId="0" borderId="0" xfId="2" applyFont="1" applyBorder="1" applyAlignment="1">
      <alignment horizontal="left" vertical="center"/>
    </xf>
    <xf numFmtId="0" fontId="23" fillId="6" borderId="18" xfId="0" applyFont="1" applyFill="1" applyBorder="1" applyAlignment="1">
      <alignment horizontal="left" vertical="center" wrapText="1"/>
    </xf>
    <xf numFmtId="2" fontId="21" fillId="6" borderId="19" xfId="0" applyNumberFormat="1" applyFont="1" applyFill="1" applyBorder="1" applyAlignment="1">
      <alignment horizontal="left" vertical="center"/>
    </xf>
    <xf numFmtId="0" fontId="25" fillId="0" borderId="8" xfId="2" applyFont="1" applyBorder="1" applyAlignment="1">
      <alignment horizontal="left" vertical="center"/>
    </xf>
    <xf numFmtId="0" fontId="21" fillId="0" borderId="8" xfId="2" applyFont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 wrapText="1"/>
    </xf>
    <xf numFmtId="2" fontId="23" fillId="6" borderId="19" xfId="0" applyNumberFormat="1" applyFont="1" applyFill="1" applyBorder="1" applyAlignment="1">
      <alignment horizontal="left" vertical="center"/>
    </xf>
    <xf numFmtId="0" fontId="22" fillId="6" borderId="20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2" fillId="0" borderId="4" xfId="0" applyFont="1" applyFill="1" applyBorder="1" applyAlignment="1">
      <alignment horizontal="left" vertical="center" wrapText="1"/>
    </xf>
    <xf numFmtId="2" fontId="22" fillId="0" borderId="22" xfId="0" applyNumberFormat="1" applyFont="1" applyFill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3" fillId="7" borderId="18" xfId="0" applyFont="1" applyFill="1" applyBorder="1" applyAlignment="1">
      <alignment horizontal="left" vertical="center" wrapText="1"/>
    </xf>
    <xf numFmtId="2" fontId="23" fillId="7" borderId="19" xfId="0" applyNumberFormat="1" applyFont="1" applyFill="1" applyBorder="1" applyAlignment="1">
      <alignment horizontal="left" vertical="center"/>
    </xf>
    <xf numFmtId="2" fontId="20" fillId="7" borderId="19" xfId="0" applyNumberFormat="1" applyFont="1" applyFill="1" applyBorder="1" applyAlignment="1">
      <alignment horizontal="left" vertical="center"/>
    </xf>
    <xf numFmtId="0" fontId="22" fillId="7" borderId="20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30" fillId="0" borderId="0" xfId="2" applyFont="1" applyBorder="1" applyAlignment="1">
      <alignment horizontal="left" vertical="center"/>
    </xf>
    <xf numFmtId="3" fontId="21" fillId="0" borderId="0" xfId="0" applyNumberFormat="1" applyFont="1" applyBorder="1" applyAlignment="1">
      <alignment horizontal="left" vertical="center"/>
    </xf>
    <xf numFmtId="3" fontId="31" fillId="0" borderId="0" xfId="0" applyNumberFormat="1" applyFont="1" applyFill="1" applyBorder="1" applyAlignment="1">
      <alignment horizontal="left" vertical="center"/>
    </xf>
    <xf numFmtId="169" fontId="21" fillId="0" borderId="0" xfId="0" applyNumberFormat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2" fontId="21" fillId="0" borderId="9" xfId="0" applyNumberFormat="1" applyFont="1" applyFill="1" applyBorder="1" applyAlignment="1">
      <alignment horizontal="left" vertical="center"/>
    </xf>
    <xf numFmtId="166" fontId="21" fillId="0" borderId="0" xfId="0" applyNumberFormat="1" applyFont="1" applyFill="1" applyBorder="1" applyAlignment="1">
      <alignment horizontal="left" vertical="center"/>
    </xf>
    <xf numFmtId="166" fontId="21" fillId="0" borderId="5" xfId="0" applyNumberFormat="1" applyFont="1" applyFill="1" applyBorder="1" applyAlignment="1">
      <alignment horizontal="left" vertical="center"/>
    </xf>
    <xf numFmtId="2" fontId="21" fillId="0" borderId="5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3" fillId="7" borderId="1" xfId="0" applyFont="1" applyFill="1" applyBorder="1" applyAlignment="1">
      <alignment horizontal="left" vertical="center" wrapText="1"/>
    </xf>
    <xf numFmtId="2" fontId="29" fillId="7" borderId="2" xfId="0" applyNumberFormat="1" applyFont="1" applyFill="1" applyBorder="1" applyAlignment="1">
      <alignment horizontal="left" vertical="center"/>
    </xf>
    <xf numFmtId="2" fontId="21" fillId="7" borderId="2" xfId="0" applyNumberFormat="1" applyFont="1" applyFill="1" applyBorder="1" applyAlignment="1">
      <alignment horizontal="left" vertical="center"/>
    </xf>
    <xf numFmtId="0" fontId="21" fillId="7" borderId="3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1" fillId="0" borderId="4" xfId="0" applyFont="1" applyFill="1" applyBorder="1" applyAlignment="1">
      <alignment horizontal="left" vertical="center" wrapText="1"/>
    </xf>
    <xf numFmtId="1" fontId="31" fillId="0" borderId="5" xfId="0" applyNumberFormat="1" applyFont="1" applyBorder="1" applyAlignment="1">
      <alignment horizontal="left" vertical="center"/>
    </xf>
    <xf numFmtId="2" fontId="31" fillId="0" borderId="5" xfId="0" applyNumberFormat="1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2" fillId="0" borderId="0" xfId="2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3" fillId="5" borderId="18" xfId="0" applyFont="1" applyFill="1" applyBorder="1" applyAlignment="1">
      <alignment horizontal="left" vertical="center" wrapText="1"/>
    </xf>
    <xf numFmtId="1" fontId="21" fillId="5" borderId="19" xfId="0" applyNumberFormat="1" applyFont="1" applyFill="1" applyBorder="1" applyAlignment="1">
      <alignment horizontal="left" vertical="center"/>
    </xf>
    <xf numFmtId="2" fontId="21" fillId="5" borderId="19" xfId="0" applyNumberFormat="1" applyFont="1" applyFill="1" applyBorder="1" applyAlignment="1">
      <alignment horizontal="left" vertical="center"/>
    </xf>
    <xf numFmtId="0" fontId="21" fillId="5" borderId="20" xfId="0" applyFont="1" applyFill="1" applyBorder="1" applyAlignment="1">
      <alignment horizontal="left" vertical="center"/>
    </xf>
    <xf numFmtId="0" fontId="28" fillId="0" borderId="0" xfId="2" applyFont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1" fontId="22" fillId="0" borderId="0" xfId="0" applyNumberFormat="1" applyFont="1" applyFill="1" applyBorder="1" applyAlignment="1">
      <alignment horizontal="left" vertical="center"/>
    </xf>
    <xf numFmtId="2" fontId="29" fillId="0" borderId="0" xfId="0" applyNumberFormat="1" applyFont="1" applyFill="1" applyBorder="1" applyAlignment="1">
      <alignment horizontal="left" vertical="center"/>
    </xf>
    <xf numFmtId="2" fontId="29" fillId="0" borderId="5" xfId="0" applyNumberFormat="1" applyFont="1" applyBorder="1" applyAlignment="1">
      <alignment horizontal="left" vertical="center"/>
    </xf>
    <xf numFmtId="0" fontId="33" fillId="0" borderId="0" xfId="2" applyFont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1" fontId="29" fillId="0" borderId="0" xfId="0" applyNumberFormat="1" applyFont="1" applyAlignment="1">
      <alignment horizontal="left" vertical="center"/>
    </xf>
    <xf numFmtId="1" fontId="22" fillId="7" borderId="2" xfId="0" applyNumberFormat="1" applyFont="1" applyFill="1" applyBorder="1" applyAlignment="1">
      <alignment horizontal="left" vertical="center"/>
    </xf>
    <xf numFmtId="0" fontId="22" fillId="7" borderId="3" xfId="0" applyFont="1" applyFill="1" applyBorder="1" applyAlignment="1">
      <alignment horizontal="left" vertical="center"/>
    </xf>
    <xf numFmtId="169" fontId="22" fillId="0" borderId="5" xfId="0" applyNumberFormat="1" applyFont="1" applyFill="1" applyBorder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0" fillId="10" borderId="18" xfId="0" applyFont="1" applyFill="1" applyBorder="1" applyAlignment="1">
      <alignment horizontal="left" vertical="center"/>
    </xf>
    <xf numFmtId="2" fontId="22" fillId="10" borderId="19" xfId="0" applyNumberFormat="1" applyFont="1" applyFill="1" applyBorder="1" applyAlignment="1">
      <alignment horizontal="left" vertical="center"/>
    </xf>
    <xf numFmtId="2" fontId="21" fillId="10" borderId="19" xfId="0" applyNumberFormat="1" applyFont="1" applyFill="1" applyBorder="1" applyAlignment="1">
      <alignment horizontal="left" vertical="center"/>
    </xf>
    <xf numFmtId="0" fontId="22" fillId="10" borderId="20" xfId="0" applyFont="1" applyFill="1" applyBorder="1" applyAlignment="1">
      <alignment horizontal="left" vertical="center"/>
    </xf>
    <xf numFmtId="0" fontId="20" fillId="7" borderId="4" xfId="0" applyFont="1" applyFill="1" applyBorder="1" applyAlignment="1">
      <alignment horizontal="left" vertical="center" wrapText="1"/>
    </xf>
    <xf numFmtId="2" fontId="21" fillId="7" borderId="5" xfId="0" applyNumberFormat="1" applyFont="1" applyFill="1" applyBorder="1" applyAlignment="1">
      <alignment horizontal="left" vertical="center"/>
    </xf>
    <xf numFmtId="0" fontId="21" fillId="7" borderId="6" xfId="0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left" vertical="center"/>
    </xf>
    <xf numFmtId="0" fontId="21" fillId="0" borderId="4" xfId="1" applyFont="1" applyFill="1" applyBorder="1" applyAlignment="1">
      <alignment horizontal="left" vertical="center" wrapText="1"/>
    </xf>
    <xf numFmtId="0" fontId="20" fillId="7" borderId="18" xfId="0" applyFont="1" applyFill="1" applyBorder="1" applyAlignment="1">
      <alignment horizontal="left" vertical="center"/>
    </xf>
    <xf numFmtId="2" fontId="21" fillId="7" borderId="19" xfId="0" applyNumberFormat="1" applyFont="1" applyFill="1" applyBorder="1" applyAlignment="1">
      <alignment horizontal="left" vertical="center"/>
    </xf>
    <xf numFmtId="0" fontId="21" fillId="7" borderId="20" xfId="0" applyFont="1" applyFill="1" applyBorder="1" applyAlignment="1">
      <alignment horizontal="left" vertical="center"/>
    </xf>
    <xf numFmtId="2" fontId="21" fillId="8" borderId="0" xfId="0" applyNumberFormat="1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 vertical="center"/>
    </xf>
    <xf numFmtId="3" fontId="21" fillId="3" borderId="0" xfId="0" applyNumberFormat="1" applyFont="1" applyFill="1" applyBorder="1" applyAlignment="1">
      <alignment horizontal="left" vertical="center"/>
    </xf>
    <xf numFmtId="0" fontId="21" fillId="0" borderId="7" xfId="0" applyFont="1" applyFill="1" applyBorder="1" applyAlignment="1">
      <alignment horizontal="left" vertical="center" wrapText="1"/>
    </xf>
    <xf numFmtId="1" fontId="21" fillId="3" borderId="0" xfId="0" applyNumberFormat="1" applyFont="1" applyFill="1" applyBorder="1" applyAlignment="1">
      <alignment horizontal="left" vertical="center"/>
    </xf>
    <xf numFmtId="2" fontId="21" fillId="3" borderId="5" xfId="0" applyNumberFormat="1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2" fontId="22" fillId="7" borderId="19" xfId="0" applyNumberFormat="1" applyFont="1" applyFill="1" applyBorder="1" applyAlignment="1">
      <alignment horizontal="left" vertical="center"/>
    </xf>
    <xf numFmtId="168" fontId="22" fillId="0" borderId="0" xfId="0" applyNumberFormat="1" applyFont="1" applyFill="1" applyBorder="1" applyAlignment="1">
      <alignment horizontal="left" vertical="center"/>
    </xf>
    <xf numFmtId="0" fontId="25" fillId="0" borderId="0" xfId="2" applyFont="1" applyFill="1" applyBorder="1" applyAlignment="1">
      <alignment horizontal="left" vertical="center"/>
    </xf>
    <xf numFmtId="2" fontId="22" fillId="3" borderId="5" xfId="0" applyNumberFormat="1" applyFont="1" applyFill="1" applyBorder="1" applyAlignment="1">
      <alignment horizontal="left" vertical="center"/>
    </xf>
    <xf numFmtId="1" fontId="22" fillId="0" borderId="0" xfId="0" applyNumberFormat="1" applyFont="1" applyBorder="1" applyAlignment="1">
      <alignment horizontal="left" vertical="center"/>
    </xf>
    <xf numFmtId="0" fontId="20" fillId="7" borderId="1" xfId="0" applyFont="1" applyFill="1" applyBorder="1" applyAlignment="1">
      <alignment horizontal="left" vertical="center"/>
    </xf>
    <xf numFmtId="0" fontId="21" fillId="0" borderId="0" xfId="0" applyFont="1" applyFill="1"/>
    <xf numFmtId="3" fontId="21" fillId="0" borderId="0" xfId="0" applyNumberFormat="1" applyFont="1" applyFill="1"/>
    <xf numFmtId="2" fontId="21" fillId="0" borderId="0" xfId="0" applyNumberFormat="1" applyFont="1" applyFill="1"/>
    <xf numFmtId="0" fontId="20" fillId="0" borderId="5" xfId="0" applyFont="1" applyFill="1" applyBorder="1"/>
    <xf numFmtId="0" fontId="20" fillId="0" borderId="0" xfId="0" applyFont="1" applyFill="1"/>
    <xf numFmtId="174" fontId="21" fillId="0" borderId="0" xfId="0" applyNumberFormat="1" applyFont="1" applyFill="1"/>
    <xf numFmtId="0" fontId="20" fillId="0" borderId="0" xfId="0" applyFont="1" applyFill="1" applyBorder="1"/>
    <xf numFmtId="172" fontId="21" fillId="0" borderId="0" xfId="0" applyNumberFormat="1" applyFont="1" applyFill="1" applyBorder="1"/>
    <xf numFmtId="0" fontId="21" fillId="0" borderId="0" xfId="0" applyFont="1" applyFill="1" applyBorder="1"/>
    <xf numFmtId="3" fontId="21" fillId="0" borderId="0" xfId="0" applyNumberFormat="1" applyFont="1" applyFill="1" applyBorder="1"/>
    <xf numFmtId="0" fontId="21" fillId="0" borderId="7" xfId="0" applyFont="1" applyFill="1" applyBorder="1"/>
    <xf numFmtId="0" fontId="21" fillId="0" borderId="0" xfId="0" applyFont="1"/>
    <xf numFmtId="0" fontId="21" fillId="7" borderId="1" xfId="0" applyFont="1" applyFill="1" applyBorder="1"/>
    <xf numFmtId="0" fontId="20" fillId="7" borderId="18" xfId="0" applyFont="1" applyFill="1" applyBorder="1" applyAlignment="1">
      <alignment horizontal="center"/>
    </xf>
    <xf numFmtId="0" fontId="20" fillId="7" borderId="19" xfId="0" applyFont="1" applyFill="1" applyBorder="1" applyAlignment="1">
      <alignment horizontal="center"/>
    </xf>
    <xf numFmtId="0" fontId="20" fillId="7" borderId="2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 vertical="center" wrapText="1" readingOrder="1"/>
    </xf>
    <xf numFmtId="0" fontId="21" fillId="0" borderId="0" xfId="0" applyFont="1" applyFill="1" applyBorder="1" applyAlignment="1">
      <alignment vertical="center" wrapText="1" readingOrder="1"/>
    </xf>
    <xf numFmtId="0" fontId="21" fillId="0" borderId="0" xfId="0" applyFont="1" applyBorder="1"/>
    <xf numFmtId="0" fontId="21" fillId="7" borderId="4" xfId="0" applyFont="1" applyFill="1" applyBorder="1"/>
    <xf numFmtId="9" fontId="20" fillId="7" borderId="18" xfId="0" applyNumberFormat="1" applyFont="1" applyFill="1" applyBorder="1"/>
    <xf numFmtId="9" fontId="20" fillId="7" borderId="19" xfId="0" applyNumberFormat="1" applyFont="1" applyFill="1" applyBorder="1"/>
    <xf numFmtId="9" fontId="20" fillId="7" borderId="20" xfId="0" applyNumberFormat="1" applyFont="1" applyFill="1" applyBorder="1"/>
    <xf numFmtId="0" fontId="21" fillId="0" borderId="7" xfId="0" applyFont="1" applyBorder="1"/>
    <xf numFmtId="173" fontId="21" fillId="0" borderId="0" xfId="0" applyNumberFormat="1" applyFont="1" applyBorder="1"/>
    <xf numFmtId="178" fontId="21" fillId="0" borderId="8" xfId="0" applyNumberFormat="1" applyFont="1" applyBorder="1"/>
    <xf numFmtId="0" fontId="21" fillId="0" borderId="4" xfId="0" applyFont="1" applyBorder="1"/>
    <xf numFmtId="173" fontId="21" fillId="0" borderId="5" xfId="0" applyNumberFormat="1" applyFont="1" applyBorder="1"/>
    <xf numFmtId="173" fontId="21" fillId="0" borderId="6" xfId="0" applyNumberFormat="1" applyFont="1" applyBorder="1"/>
    <xf numFmtId="9" fontId="20" fillId="7" borderId="32" xfId="0" applyNumberFormat="1" applyFont="1" applyFill="1" applyBorder="1" applyAlignment="1">
      <alignment horizontal="left" vertical="center" wrapText="1"/>
    </xf>
    <xf numFmtId="0" fontId="20" fillId="7" borderId="30" xfId="0" applyFont="1" applyFill="1" applyBorder="1" applyAlignment="1">
      <alignment horizontal="left" vertical="center" wrapText="1"/>
    </xf>
    <xf numFmtId="0" fontId="20" fillId="7" borderId="19" xfId="0" applyFont="1" applyFill="1" applyBorder="1" applyAlignment="1">
      <alignment horizontal="left" vertical="center" wrapText="1"/>
    </xf>
    <xf numFmtId="0" fontId="20" fillId="7" borderId="20" xfId="0" applyFont="1" applyFill="1" applyBorder="1" applyAlignment="1">
      <alignment horizontal="left" vertical="center" wrapText="1"/>
    </xf>
    <xf numFmtId="9" fontId="20" fillId="7" borderId="31" xfId="0" applyNumberFormat="1" applyFont="1" applyFill="1" applyBorder="1" applyAlignment="1">
      <alignment wrapText="1"/>
    </xf>
    <xf numFmtId="177" fontId="20" fillId="7" borderId="19" xfId="0" applyNumberFormat="1" applyFont="1" applyFill="1" applyBorder="1" applyAlignment="1">
      <alignment wrapText="1"/>
    </xf>
    <xf numFmtId="176" fontId="20" fillId="7" borderId="20" xfId="0" applyNumberFormat="1" applyFont="1" applyFill="1" applyBorder="1" applyAlignment="1">
      <alignment wrapText="1"/>
    </xf>
    <xf numFmtId="2" fontId="21" fillId="0" borderId="16" xfId="0" applyNumberFormat="1" applyFont="1" applyBorder="1"/>
    <xf numFmtId="177" fontId="21" fillId="0" borderId="0" xfId="0" applyNumberFormat="1" applyFont="1" applyBorder="1"/>
    <xf numFmtId="2" fontId="21" fillId="0" borderId="17" xfId="0" applyNumberFormat="1" applyFont="1" applyBorder="1"/>
    <xf numFmtId="44" fontId="21" fillId="0" borderId="0" xfId="0" applyNumberFormat="1" applyFont="1"/>
    <xf numFmtId="2" fontId="21" fillId="0" borderId="16" xfId="3" applyNumberFormat="1" applyFont="1" applyBorder="1"/>
    <xf numFmtId="2" fontId="21" fillId="0" borderId="15" xfId="0" applyNumberFormat="1" applyFont="1" applyBorder="1"/>
    <xf numFmtId="177" fontId="21" fillId="0" borderId="13" xfId="0" applyNumberFormat="1" applyFont="1" applyBorder="1"/>
    <xf numFmtId="2" fontId="21" fillId="0" borderId="12" xfId="0" applyNumberFormat="1" applyFont="1" applyBorder="1"/>
    <xf numFmtId="0" fontId="20" fillId="7" borderId="18" xfId="0" applyFont="1" applyFill="1" applyBorder="1"/>
    <xf numFmtId="0" fontId="20" fillId="7" borderId="19" xfId="0" applyFont="1" applyFill="1" applyBorder="1"/>
    <xf numFmtId="0" fontId="20" fillId="7" borderId="20" xfId="0" applyFont="1" applyFill="1" applyBorder="1"/>
    <xf numFmtId="0" fontId="20" fillId="0" borderId="0" xfId="0" applyFont="1"/>
    <xf numFmtId="0" fontId="20" fillId="7" borderId="30" xfId="0" applyFont="1" applyFill="1" applyBorder="1" applyAlignment="1">
      <alignment horizontal="center" wrapText="1"/>
    </xf>
    <xf numFmtId="2" fontId="21" fillId="0" borderId="0" xfId="0" applyNumberFormat="1" applyFont="1" applyBorder="1"/>
    <xf numFmtId="2" fontId="21" fillId="0" borderId="8" xfId="0" applyNumberFormat="1" applyFont="1" applyBorder="1"/>
    <xf numFmtId="0" fontId="20" fillId="7" borderId="31" xfId="0" applyFont="1" applyFill="1" applyBorder="1" applyAlignment="1">
      <alignment horizontal="center" wrapText="1"/>
    </xf>
    <xf numFmtId="0" fontId="37" fillId="0" borderId="0" xfId="0" applyFont="1"/>
    <xf numFmtId="0" fontId="21" fillId="0" borderId="5" xfId="0" applyFont="1" applyBorder="1"/>
    <xf numFmtId="1" fontId="21" fillId="0" borderId="5" xfId="0" applyNumberFormat="1" applyFont="1" applyBorder="1"/>
    <xf numFmtId="1" fontId="21" fillId="0" borderId="6" xfId="0" applyNumberFormat="1" applyFont="1" applyBorder="1"/>
    <xf numFmtId="0" fontId="20" fillId="3" borderId="30" xfId="0" applyFont="1" applyFill="1" applyBorder="1" applyAlignment="1">
      <alignment horizontal="center" wrapText="1"/>
    </xf>
    <xf numFmtId="0" fontId="21" fillId="0" borderId="2" xfId="0" applyFont="1" applyBorder="1"/>
    <xf numFmtId="2" fontId="21" fillId="0" borderId="2" xfId="0" applyNumberFormat="1" applyFont="1" applyBorder="1"/>
    <xf numFmtId="2" fontId="21" fillId="0" borderId="3" xfId="0" applyNumberFormat="1" applyFont="1" applyBorder="1"/>
    <xf numFmtId="0" fontId="20" fillId="3" borderId="31" xfId="0" applyFont="1" applyFill="1" applyBorder="1" applyAlignment="1">
      <alignment horizontal="center" wrapText="1"/>
    </xf>
    <xf numFmtId="166" fontId="21" fillId="0" borderId="0" xfId="0" applyNumberFormat="1" applyFont="1"/>
    <xf numFmtId="0" fontId="20" fillId="7" borderId="18" xfId="0" applyFont="1" applyFill="1" applyBorder="1" applyAlignment="1">
      <alignment vertical="center"/>
    </xf>
    <xf numFmtId="0" fontId="21" fillId="7" borderId="20" xfId="0" applyFont="1" applyFill="1" applyBorder="1" applyAlignment="1">
      <alignment vertical="center"/>
    </xf>
    <xf numFmtId="167" fontId="21" fillId="0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7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168" fontId="21" fillId="0" borderId="0" xfId="0" applyNumberFormat="1" applyFont="1" applyBorder="1" applyAlignment="1">
      <alignment vertical="center"/>
    </xf>
    <xf numFmtId="0" fontId="21" fillId="0" borderId="8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34" fillId="0" borderId="0" xfId="2" applyFont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3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0" fontId="20" fillId="7" borderId="19" xfId="0" applyFont="1" applyFill="1" applyBorder="1" applyAlignment="1">
      <alignment vertical="center"/>
    </xf>
    <xf numFmtId="0" fontId="20" fillId="7" borderId="20" xfId="0" applyFont="1" applyFill="1" applyBorder="1" applyAlignment="1">
      <alignment vertical="center"/>
    </xf>
    <xf numFmtId="168" fontId="21" fillId="0" borderId="0" xfId="0" applyNumberFormat="1" applyFont="1" applyFill="1" applyBorder="1" applyAlignment="1">
      <alignment vertical="center"/>
    </xf>
    <xf numFmtId="168" fontId="21" fillId="0" borderId="8" xfId="0" applyNumberFormat="1" applyFont="1" applyFill="1" applyBorder="1" applyAlignment="1">
      <alignment vertical="center"/>
    </xf>
    <xf numFmtId="168" fontId="21" fillId="0" borderId="5" xfId="0" applyNumberFormat="1" applyFont="1" applyFill="1" applyBorder="1" applyAlignment="1">
      <alignment vertical="center"/>
    </xf>
    <xf numFmtId="168" fontId="21" fillId="0" borderId="6" xfId="0" applyNumberFormat="1" applyFont="1" applyFill="1" applyBorder="1" applyAlignment="1">
      <alignment vertical="center"/>
    </xf>
    <xf numFmtId="168" fontId="21" fillId="0" borderId="0" xfId="0" applyNumberFormat="1" applyFont="1" applyFill="1" applyAlignment="1">
      <alignment vertical="center"/>
    </xf>
    <xf numFmtId="0" fontId="20" fillId="0" borderId="5" xfId="0" applyFont="1" applyBorder="1" applyAlignment="1">
      <alignment vertical="center"/>
    </xf>
    <xf numFmtId="0" fontId="38" fillId="0" borderId="0" xfId="0" applyFont="1" applyBorder="1" applyAlignment="1">
      <alignment vertical="center" shrinkToFit="1"/>
    </xf>
    <xf numFmtId="49" fontId="21" fillId="0" borderId="0" xfId="0" applyNumberFormat="1" applyFont="1" applyBorder="1" applyAlignment="1">
      <alignment vertical="center" shrinkToFit="1"/>
    </xf>
    <xf numFmtId="2" fontId="21" fillId="0" borderId="0" xfId="0" applyNumberFormat="1" applyFont="1" applyFill="1" applyBorder="1" applyAlignment="1">
      <alignment vertical="center"/>
    </xf>
    <xf numFmtId="2" fontId="21" fillId="0" borderId="8" xfId="0" applyNumberFormat="1" applyFont="1" applyFill="1" applyBorder="1" applyAlignment="1">
      <alignment vertical="center"/>
    </xf>
    <xf numFmtId="2" fontId="21" fillId="0" borderId="0" xfId="0" applyNumberFormat="1" applyFont="1" applyBorder="1" applyAlignment="1">
      <alignment vertical="center"/>
    </xf>
    <xf numFmtId="2" fontId="21" fillId="0" borderId="8" xfId="0" applyNumberFormat="1" applyFont="1" applyBorder="1" applyAlignment="1">
      <alignment vertical="center"/>
    </xf>
    <xf numFmtId="2" fontId="21" fillId="0" borderId="5" xfId="0" applyNumberFormat="1" applyFont="1" applyBorder="1" applyAlignment="1">
      <alignment vertical="center"/>
    </xf>
    <xf numFmtId="2" fontId="21" fillId="0" borderId="6" xfId="0" applyNumberFormat="1" applyFont="1" applyBorder="1" applyAlignment="1">
      <alignment vertical="center"/>
    </xf>
    <xf numFmtId="0" fontId="21" fillId="0" borderId="7" xfId="0" applyFont="1" applyFill="1" applyBorder="1" applyAlignment="1">
      <alignment vertical="center"/>
    </xf>
    <xf numFmtId="0" fontId="21" fillId="0" borderId="4" xfId="0" applyFont="1" applyFill="1" applyBorder="1" applyAlignment="1">
      <alignment vertical="center"/>
    </xf>
    <xf numFmtId="168" fontId="21" fillId="0" borderId="5" xfId="0" applyNumberFormat="1" applyFont="1" applyBorder="1" applyAlignment="1">
      <alignment vertical="center"/>
    </xf>
    <xf numFmtId="2" fontId="21" fillId="3" borderId="6" xfId="0" applyNumberFormat="1" applyFont="1" applyFill="1" applyBorder="1" applyAlignment="1">
      <alignment vertical="center"/>
    </xf>
    <xf numFmtId="0" fontId="20" fillId="7" borderId="20" xfId="0" applyFont="1" applyFill="1" applyBorder="1" applyAlignment="1">
      <alignment vertical="center" wrapText="1"/>
    </xf>
    <xf numFmtId="166" fontId="21" fillId="0" borderId="0" xfId="0" applyNumberFormat="1" applyFont="1" applyBorder="1" applyAlignment="1">
      <alignment vertical="center"/>
    </xf>
    <xf numFmtId="166" fontId="21" fillId="0" borderId="8" xfId="0" applyNumberFormat="1" applyFont="1" applyBorder="1" applyAlignment="1">
      <alignment vertical="center"/>
    </xf>
    <xf numFmtId="166" fontId="21" fillId="0" borderId="5" xfId="0" applyNumberFormat="1" applyFont="1" applyBorder="1" applyAlignment="1">
      <alignment vertical="center"/>
    </xf>
    <xf numFmtId="166" fontId="21" fillId="0" borderId="6" xfId="0" applyNumberFormat="1" applyFont="1" applyBorder="1" applyAlignment="1">
      <alignment vertical="center"/>
    </xf>
    <xf numFmtId="0" fontId="21" fillId="0" borderId="7" xfId="0" applyFont="1" applyBorder="1" applyAlignment="1">
      <alignment wrapText="1"/>
    </xf>
    <xf numFmtId="3" fontId="21" fillId="0" borderId="8" xfId="0" applyNumberFormat="1" applyFont="1" applyBorder="1" applyAlignment="1">
      <alignment wrapText="1"/>
    </xf>
    <xf numFmtId="3" fontId="21" fillId="0" borderId="8" xfId="0" applyNumberFormat="1" applyFont="1" applyBorder="1"/>
    <xf numFmtId="3" fontId="21" fillId="0" borderId="6" xfId="0" applyNumberFormat="1" applyFont="1" applyBorder="1"/>
    <xf numFmtId="0" fontId="20" fillId="7" borderId="18" xfId="0" applyFont="1" applyFill="1" applyBorder="1" applyAlignment="1">
      <alignment wrapText="1"/>
    </xf>
    <xf numFmtId="0" fontId="21" fillId="0" borderId="8" xfId="0" applyFont="1" applyBorder="1"/>
    <xf numFmtId="0" fontId="21" fillId="0" borderId="6" xfId="0" applyFont="1" applyBorder="1"/>
    <xf numFmtId="3" fontId="21" fillId="0" borderId="0" xfId="0" applyNumberFormat="1" applyFont="1" applyBorder="1"/>
    <xf numFmtId="3" fontId="21" fillId="0" borderId="5" xfId="0" applyNumberFormat="1" applyFont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3" fontId="21" fillId="0" borderId="5" xfId="0" applyNumberFormat="1" applyFont="1" applyBorder="1" applyAlignment="1">
      <alignment vertical="center"/>
    </xf>
    <xf numFmtId="3" fontId="21" fillId="0" borderId="6" xfId="0" applyNumberFormat="1" applyFont="1" applyBorder="1" applyAlignment="1">
      <alignment vertical="center"/>
    </xf>
    <xf numFmtId="0" fontId="21" fillId="7" borderId="19" xfId="0" applyFont="1" applyFill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wrapText="1"/>
    </xf>
    <xf numFmtId="0" fontId="24" fillId="0" borderId="8" xfId="0" applyFont="1" applyBorder="1"/>
    <xf numFmtId="3" fontId="21" fillId="7" borderId="19" xfId="0" applyNumberFormat="1" applyFont="1" applyFill="1" applyBorder="1" applyAlignment="1">
      <alignment horizontal="right" vertical="center" wrapText="1"/>
    </xf>
    <xf numFmtId="0" fontId="41" fillId="0" borderId="0" xfId="0" applyFont="1"/>
    <xf numFmtId="4" fontId="41" fillId="0" borderId="0" xfId="0" applyNumberFormat="1" applyFont="1"/>
    <xf numFmtId="0" fontId="21" fillId="7" borderId="19" xfId="0" applyFont="1" applyFill="1" applyBorder="1"/>
    <xf numFmtId="0" fontId="21" fillId="7" borderId="20" xfId="0" applyFont="1" applyFill="1" applyBorder="1"/>
    <xf numFmtId="4" fontId="20" fillId="0" borderId="7" xfId="7" applyNumberFormat="1" applyFont="1" applyFill="1" applyBorder="1" applyAlignment="1">
      <alignment horizontal="left"/>
    </xf>
    <xf numFmtId="4" fontId="20" fillId="0" borderId="0" xfId="7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1" fillId="0" borderId="7" xfId="7" applyFont="1" applyFill="1" applyBorder="1" applyAlignment="1">
      <alignment horizontal="left"/>
    </xf>
    <xf numFmtId="3" fontId="21" fillId="0" borderId="0" xfId="0" applyNumberFormat="1" applyFont="1" applyFill="1" applyBorder="1" applyAlignment="1">
      <alignment horizontal="right" wrapText="1"/>
    </xf>
    <xf numFmtId="3" fontId="20" fillId="0" borderId="0" xfId="0" applyNumberFormat="1" applyFont="1" applyFill="1" applyBorder="1" applyAlignment="1">
      <alignment horizontal="right" wrapText="1"/>
    </xf>
    <xf numFmtId="169" fontId="21" fillId="0" borderId="0" xfId="0" applyNumberFormat="1" applyFont="1" applyFill="1" applyBorder="1"/>
    <xf numFmtId="169" fontId="21" fillId="0" borderId="8" xfId="0" applyNumberFormat="1" applyFont="1" applyBorder="1"/>
    <xf numFmtId="171" fontId="21" fillId="0" borderId="0" xfId="7" applyNumberFormat="1" applyFont="1" applyFill="1" applyBorder="1" applyAlignment="1">
      <alignment horizontal="right"/>
    </xf>
    <xf numFmtId="169" fontId="21" fillId="0" borderId="5" xfId="0" applyNumberFormat="1" applyFont="1" applyBorder="1"/>
    <xf numFmtId="169" fontId="21" fillId="0" borderId="0" xfId="0" applyNumberFormat="1" applyFont="1" applyBorder="1"/>
    <xf numFmtId="0" fontId="21" fillId="0" borderId="7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left"/>
    </xf>
    <xf numFmtId="4" fontId="21" fillId="0" borderId="0" xfId="0" applyNumberFormat="1" applyFont="1"/>
    <xf numFmtId="0" fontId="21" fillId="0" borderId="0" xfId="0" applyFont="1" applyFill="1" applyBorder="1" applyAlignment="1">
      <alignment horizontal="left"/>
    </xf>
    <xf numFmtId="0" fontId="21" fillId="0" borderId="1" xfId="0" applyFont="1" applyBorder="1"/>
    <xf numFmtId="3" fontId="21" fillId="0" borderId="3" xfId="0" applyNumberFormat="1" applyFont="1" applyBorder="1"/>
    <xf numFmtId="0" fontId="31" fillId="0" borderId="7" xfId="0" applyFont="1" applyBorder="1"/>
    <xf numFmtId="0" fontId="31" fillId="0" borderId="0" xfId="0" applyFont="1" applyBorder="1"/>
    <xf numFmtId="0" fontId="31" fillId="0" borderId="8" xfId="0" applyFont="1" applyBorder="1"/>
    <xf numFmtId="2" fontId="21" fillId="0" borderId="5" xfId="0" applyNumberFormat="1" applyFont="1" applyBorder="1"/>
    <xf numFmtId="1" fontId="21" fillId="0" borderId="5" xfId="0" applyNumberFormat="1" applyFont="1" applyFill="1" applyBorder="1"/>
    <xf numFmtId="1" fontId="21" fillId="0" borderId="6" xfId="0" applyNumberFormat="1" applyFont="1" applyFill="1" applyBorder="1"/>
    <xf numFmtId="0" fontId="40" fillId="0" borderId="0" xfId="0" applyFont="1"/>
    <xf numFmtId="168" fontId="21" fillId="0" borderId="8" xfId="0" applyNumberFormat="1" applyFont="1" applyFill="1" applyBorder="1"/>
    <xf numFmtId="0" fontId="25" fillId="0" borderId="0" xfId="2" applyFont="1" applyFill="1"/>
    <xf numFmtId="0" fontId="21" fillId="0" borderId="4" xfId="0" applyFont="1" applyFill="1" applyBorder="1"/>
    <xf numFmtId="0" fontId="21" fillId="0" borderId="5" xfId="0" applyFont="1" applyFill="1" applyBorder="1"/>
    <xf numFmtId="0" fontId="21" fillId="0" borderId="6" xfId="0" applyFont="1" applyFill="1" applyBorder="1"/>
    <xf numFmtId="0" fontId="42" fillId="7" borderId="19" xfId="0" applyFont="1" applyFill="1" applyBorder="1"/>
    <xf numFmtId="0" fontId="43" fillId="0" borderId="7" xfId="0" applyFont="1" applyFill="1" applyBorder="1"/>
    <xf numFmtId="37" fontId="22" fillId="0" borderId="0" xfId="0" applyNumberFormat="1" applyFont="1" applyFill="1" applyBorder="1"/>
    <xf numFmtId="170" fontId="22" fillId="0" borderId="0" xfId="0" applyNumberFormat="1" applyFont="1" applyFill="1" applyBorder="1"/>
    <xf numFmtId="37" fontId="43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 applyBorder="1"/>
    <xf numFmtId="0" fontId="43" fillId="0" borderId="8" xfId="0" applyFont="1" applyFill="1" applyBorder="1"/>
    <xf numFmtId="0" fontId="43" fillId="0" borderId="0" xfId="0" applyFont="1" applyFill="1" applyBorder="1"/>
    <xf numFmtId="0" fontId="25" fillId="0" borderId="0" xfId="2" applyFont="1" applyFill="1" applyBorder="1"/>
    <xf numFmtId="164" fontId="22" fillId="0" borderId="0" xfId="0" applyNumberFormat="1" applyFont="1" applyFill="1" applyBorder="1"/>
    <xf numFmtId="5" fontId="22" fillId="0" borderId="0" xfId="0" applyNumberFormat="1" applyFont="1" applyFill="1" applyBorder="1"/>
    <xf numFmtId="42" fontId="22" fillId="0" borderId="0" xfId="0" applyNumberFormat="1" applyFont="1" applyFill="1" applyBorder="1"/>
    <xf numFmtId="0" fontId="42" fillId="0" borderId="4" xfId="0" applyFont="1" applyFill="1" applyBorder="1"/>
    <xf numFmtId="44" fontId="42" fillId="0" borderId="5" xfId="0" applyNumberFormat="1" applyFont="1" applyFill="1" applyBorder="1"/>
    <xf numFmtId="44" fontId="42" fillId="0" borderId="6" xfId="0" applyNumberFormat="1" applyFont="1" applyFill="1" applyBorder="1"/>
    <xf numFmtId="0" fontId="21" fillId="0" borderId="8" xfId="0" applyFont="1" applyFill="1" applyBorder="1"/>
    <xf numFmtId="0" fontId="44" fillId="0" borderId="7" xfId="0" applyFont="1" applyFill="1" applyBorder="1" applyAlignment="1">
      <alignment horizontal="left" vertical="center"/>
    </xf>
    <xf numFmtId="0" fontId="44" fillId="0" borderId="4" xfId="0" applyFont="1" applyFill="1" applyBorder="1" applyAlignment="1">
      <alignment horizontal="left" vertical="center"/>
    </xf>
    <xf numFmtId="168" fontId="21" fillId="0" borderId="6" xfId="0" applyNumberFormat="1" applyFont="1" applyFill="1" applyBorder="1"/>
    <xf numFmtId="1" fontId="21" fillId="0" borderId="0" xfId="0" applyNumberFormat="1" applyFont="1" applyFill="1"/>
  </cellXfs>
  <cellStyles count="9">
    <cellStyle name="Currency" xfId="3" builtinId="4"/>
    <cellStyle name="Currency 2" xfId="4" xr:uid="{A5A939EF-3FD9-0841-96BC-13BA8B74C690}"/>
    <cellStyle name="Hyperlink" xfId="2" builtinId="8"/>
    <cellStyle name="Normal" xfId="0" builtinId="0"/>
    <cellStyle name="Normal 2" xfId="7" xr:uid="{B98C495B-DDE5-1940-906D-E8DFCDCC86D7}"/>
    <cellStyle name="Normal 2 11" xfId="5" xr:uid="{ADFC5BD3-A35C-434C-904E-D8171063B078}"/>
    <cellStyle name="Normal 2 2" xfId="6" xr:uid="{9960397E-C863-5F43-A3CF-82C7DD2C64E9}"/>
    <cellStyle name="Normal 3" xfId="8" xr:uid="{36444D4C-E9D2-A849-8C53-285514A6A2C4}"/>
    <cellStyle name="Source Text" xfId="1" xr:uid="{4992534D-8884-164B-A019-A25BFD81A812}"/>
  </cellStyles>
  <dxfs count="0"/>
  <tableStyles count="0" defaultTableStyle="TableStyleMedium2" defaultPivotStyle="PivotStyleLight16"/>
  <colors>
    <mruColors>
      <color rgb="FFFFA1FB"/>
      <color rgb="FF00A8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344808</xdr:colOff>
      <xdr:row>10</xdr:row>
      <xdr:rowOff>162560</xdr:rowOff>
    </xdr:from>
    <xdr:to>
      <xdr:col>20</xdr:col>
      <xdr:colOff>347980</xdr:colOff>
      <xdr:row>35</xdr:row>
      <xdr:rowOff>99060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A3F820-2804-7445-B9CC-030E1682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21848" y="1991360"/>
          <a:ext cx="4940932" cy="450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ts.gov/content/class-i-rail-freight-fuel-consumption-and-travel-metric" TargetMode="External"/><Relationship Id="rId13" Type="http://schemas.openxmlformats.org/officeDocument/2006/relationships/hyperlink" Target="https://www.bts.gov/content/energy-intensity-class-i-railroad-freight-service-1" TargetMode="External"/><Relationship Id="rId3" Type="http://schemas.openxmlformats.org/officeDocument/2006/relationships/hyperlink" Target="https://www.calculator.net/btu-calculator.html?roomwidth=10&amp;roomwidthunit=feet&amp;roomlength=50&amp;roomlengthunit=feet&amp;ceilingheight=11&amp;ceilingheightunit=feet&amp;insulation=normal&amp;temperature=15&amp;temperatureunit=c&amp;ctype=house&amp;x=95&amp;y=27" TargetMode="External"/><Relationship Id="rId7" Type="http://schemas.openxmlformats.org/officeDocument/2006/relationships/hyperlink" Target="https://www.csx.com/index.cfm/customers/resources/equipment/railroad-equipment/" TargetMode="External"/><Relationship Id="rId12" Type="http://schemas.openxmlformats.org/officeDocument/2006/relationships/hyperlink" Target="https://www.bts.gov/content/class-i-rail-freight-fuel-consumption-and-travel-metric" TargetMode="External"/><Relationship Id="rId2" Type="http://schemas.openxmlformats.org/officeDocument/2006/relationships/hyperlink" Target="https://www.servicetitan.com/tools/hvac-load-calculator" TargetMode="External"/><Relationship Id="rId1" Type="http://schemas.openxmlformats.org/officeDocument/2006/relationships/hyperlink" Target="https://www.rpc.com.au/pdf/BYD_b-box_datasheet.pdf" TargetMode="External"/><Relationship Id="rId6" Type="http://schemas.openxmlformats.org/officeDocument/2006/relationships/hyperlink" Target="https://prod.stb.gov/reports-data/economic-data/annual-report-financial-data/" TargetMode="External"/><Relationship Id="rId11" Type="http://schemas.openxmlformats.org/officeDocument/2006/relationships/hyperlink" Target="https://www.bts.gov/content/class-i-rail-freight-fuel-consumption-and-travel-metric" TargetMode="External"/><Relationship Id="rId5" Type="http://schemas.openxmlformats.org/officeDocument/2006/relationships/hyperlink" Target="https://www.tmeic.com/sites/default/files/assets/files/library/Solar_Ware_Samurai_brochure_3_2%20MW_July2017.pdf" TargetMode="External"/><Relationship Id="rId15" Type="http://schemas.openxmlformats.org/officeDocument/2006/relationships/hyperlink" Target="https://www.epa.gov/sites/production/files/2015-07/documents/emission-factors_2014.pdf" TargetMode="External"/><Relationship Id="rId10" Type="http://schemas.openxmlformats.org/officeDocument/2006/relationships/hyperlink" Target="https://www.bts.gov/content/class-i-rail-freight-fuel-consumption-and-travel-metric" TargetMode="External"/><Relationship Id="rId4" Type="http://schemas.openxmlformats.org/officeDocument/2006/relationships/hyperlink" Target="https://www.tmeic.com/sites/default/files/assets/files/library/Solar_Ware_Samurai_brochure_3_2%20MW_July2017.pdf" TargetMode="External"/><Relationship Id="rId9" Type="http://schemas.openxmlformats.org/officeDocument/2006/relationships/hyperlink" Target="https://www.bts.gov/content/class-i-rail-freight-fuel-consumption-and-travel-metric" TargetMode="External"/><Relationship Id="rId14" Type="http://schemas.openxmlformats.org/officeDocument/2006/relationships/hyperlink" Target="https://www.bts.gov/content/energy-intensity-class-i-railroad-freight-service-1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ia.gov/outlooks/steo/report/electricity.ph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eia.gov/energyexplained/index.php?page=about_energy_conversion_calculator" TargetMode="External"/><Relationship Id="rId1" Type="http://schemas.openxmlformats.org/officeDocument/2006/relationships/hyperlink" Target="http://www.world-nuclear.org/information-library/facts-and-figures/heat-values-of-various-fuels.asp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prod.stb.gov/reports-data/economic-data/annual-report-financial-data/" TargetMode="External"/><Relationship Id="rId2" Type="http://schemas.openxmlformats.org/officeDocument/2006/relationships/hyperlink" Target="https://tedb.ornl.gov/wp-content/uploads/2020/02/TEDB_Ed_38.pdf" TargetMode="External"/><Relationship Id="rId1" Type="http://schemas.openxmlformats.org/officeDocument/2006/relationships/hyperlink" Target="https://tedb.ornl.gov/wp-content/uploads/2020/02/TEDB_Ed_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FFFD-E943-9F44-9D28-F9422C30C461}">
  <dimension ref="A1:N147"/>
  <sheetViews>
    <sheetView zoomScale="116" workbookViewId="0">
      <pane ySplit="8" topLeftCell="A9" activePane="bottomLeft" state="frozen"/>
      <selection pane="bottomLeft" activeCell="A83" sqref="A83"/>
    </sheetView>
  </sheetViews>
  <sheetFormatPr baseColWidth="10" defaultRowHeight="15"/>
  <cols>
    <col min="1" max="1" width="61.6640625" style="175" customWidth="1"/>
    <col min="2" max="2" width="18.33203125" style="215" customWidth="1"/>
    <col min="3" max="3" width="19.6640625" style="215" customWidth="1"/>
    <col min="4" max="4" width="52.6640625" style="178" customWidth="1"/>
    <col min="5" max="5" width="26.33203125" style="178" customWidth="1"/>
    <col min="6" max="6" width="11.1640625" style="178" bestFit="1" customWidth="1"/>
    <col min="7" max="7" width="10.83203125" style="178"/>
    <col min="8" max="8" width="16.5" style="178" bestFit="1" customWidth="1"/>
    <col min="9" max="16384" width="10.83203125" style="178"/>
  </cols>
  <sheetData>
    <row r="1" spans="1:7" ht="16" thickBot="1"/>
    <row r="2" spans="1:7">
      <c r="A2" s="128" t="s">
        <v>312</v>
      </c>
      <c r="B2" s="129"/>
      <c r="C2" s="130" t="s">
        <v>83</v>
      </c>
      <c r="D2" s="131" t="s">
        <v>19</v>
      </c>
      <c r="E2" s="132"/>
    </row>
    <row r="3" spans="1:7" ht="18" customHeight="1">
      <c r="A3" s="133" t="s">
        <v>313</v>
      </c>
      <c r="B3" s="134">
        <v>0.3</v>
      </c>
      <c r="C3" s="135"/>
      <c r="D3" s="136" t="s">
        <v>308</v>
      </c>
      <c r="E3" s="132"/>
    </row>
    <row r="4" spans="1:7" ht="16">
      <c r="A4" s="137" t="s">
        <v>1</v>
      </c>
      <c r="B4" s="138">
        <v>3</v>
      </c>
      <c r="C4" s="139">
        <v>2</v>
      </c>
      <c r="D4" s="140" t="s">
        <v>316</v>
      </c>
      <c r="E4" s="141" t="s">
        <v>70</v>
      </c>
    </row>
    <row r="5" spans="1:7" ht="16">
      <c r="A5" s="133" t="s">
        <v>22</v>
      </c>
      <c r="B5" s="142">
        <v>100</v>
      </c>
      <c r="C5" s="143" t="s">
        <v>248</v>
      </c>
      <c r="D5" s="140"/>
      <c r="E5" s="132"/>
    </row>
    <row r="6" spans="1:7" ht="16">
      <c r="A6" s="133" t="s">
        <v>315</v>
      </c>
      <c r="B6" s="142">
        <v>5000</v>
      </c>
      <c r="C6" s="135"/>
      <c r="D6" s="140"/>
      <c r="E6" s="144"/>
    </row>
    <row r="7" spans="1:7" ht="17" thickBot="1">
      <c r="A7" s="145" t="s">
        <v>228</v>
      </c>
      <c r="B7" s="146">
        <v>2.5999999999999999E-2</v>
      </c>
      <c r="C7" s="147"/>
      <c r="D7" s="148" t="s">
        <v>229</v>
      </c>
      <c r="E7" s="149"/>
    </row>
    <row r="8" spans="1:7" s="217" customFormat="1" ht="26" customHeight="1">
      <c r="A8" s="150" t="s">
        <v>324</v>
      </c>
      <c r="B8" s="151" t="s">
        <v>325</v>
      </c>
      <c r="C8" s="152" t="s">
        <v>320</v>
      </c>
      <c r="D8" s="153" t="s">
        <v>19</v>
      </c>
      <c r="E8" s="150" t="s">
        <v>3</v>
      </c>
      <c r="F8" s="216"/>
      <c r="G8" s="216"/>
    </row>
    <row r="9" spans="1:7" s="175" customFormat="1">
      <c r="A9" s="154" t="s">
        <v>460</v>
      </c>
      <c r="B9" s="155"/>
      <c r="C9" s="155"/>
      <c r="D9" s="156"/>
      <c r="E9" s="157"/>
      <c r="F9" s="218"/>
      <c r="G9" s="218"/>
    </row>
    <row r="10" spans="1:7" ht="16">
      <c r="A10" s="158" t="s">
        <v>271</v>
      </c>
      <c r="B10" s="159">
        <v>24597</v>
      </c>
      <c r="C10" s="160"/>
      <c r="D10" s="161"/>
      <c r="E10" s="162" t="s">
        <v>53</v>
      </c>
      <c r="F10" s="162"/>
      <c r="G10" s="162"/>
    </row>
    <row r="11" spans="1:7" ht="16">
      <c r="A11" s="158" t="s">
        <v>272</v>
      </c>
      <c r="B11" s="159">
        <v>1675511</v>
      </c>
      <c r="C11" s="160"/>
      <c r="D11" s="161"/>
      <c r="E11" s="162" t="s">
        <v>53</v>
      </c>
      <c r="G11" s="162"/>
    </row>
    <row r="12" spans="1:7" s="166" customFormat="1" ht="16">
      <c r="A12" s="163" t="s">
        <v>73</v>
      </c>
      <c r="B12" s="164">
        <f>B11/B10</f>
        <v>68.118510387445625</v>
      </c>
      <c r="C12" s="164" t="s">
        <v>392</v>
      </c>
      <c r="D12" s="165"/>
    </row>
    <row r="13" spans="1:7" ht="16">
      <c r="A13" s="167" t="s">
        <v>391</v>
      </c>
      <c r="B13" s="159">
        <v>715.53043584000011</v>
      </c>
      <c r="C13" s="160" t="s">
        <v>390</v>
      </c>
      <c r="D13" s="161"/>
      <c r="E13" s="168" t="s">
        <v>238</v>
      </c>
      <c r="G13" s="162"/>
    </row>
    <row r="14" spans="1:7" ht="16">
      <c r="A14" s="167" t="s">
        <v>369</v>
      </c>
      <c r="B14" s="160">
        <v>5.5286087445069729E-2</v>
      </c>
      <c r="C14" s="160" t="s">
        <v>368</v>
      </c>
      <c r="D14" s="161"/>
      <c r="E14" s="168" t="s">
        <v>238</v>
      </c>
      <c r="G14" s="162"/>
    </row>
    <row r="15" spans="1:7" s="166" customFormat="1" ht="16">
      <c r="A15" s="169" t="s">
        <v>370</v>
      </c>
      <c r="B15" s="170">
        <v>3419</v>
      </c>
      <c r="C15" s="164" t="s">
        <v>321</v>
      </c>
      <c r="D15" s="165"/>
      <c r="E15" s="166" t="s">
        <v>53</v>
      </c>
    </row>
    <row r="16" spans="1:7" ht="16">
      <c r="A16" s="167" t="s">
        <v>370</v>
      </c>
      <c r="B16" s="171">
        <v>12942.323628</v>
      </c>
      <c r="C16" s="160" t="s">
        <v>389</v>
      </c>
      <c r="D16" s="161"/>
      <c r="E16" s="168" t="s">
        <v>238</v>
      </c>
      <c r="G16" s="162"/>
    </row>
    <row r="17" spans="1:12" s="175" customFormat="1" ht="16">
      <c r="A17" s="172" t="s">
        <v>2</v>
      </c>
      <c r="B17" s="173">
        <f>B26/B15</f>
        <v>472.21351272301843</v>
      </c>
      <c r="C17" s="173" t="s">
        <v>398</v>
      </c>
      <c r="D17" s="174"/>
      <c r="E17" s="175" t="s">
        <v>53</v>
      </c>
    </row>
    <row r="18" spans="1:12">
      <c r="A18" s="176" t="s">
        <v>264</v>
      </c>
      <c r="B18" s="135">
        <f>B17*1.459972/3.785412</f>
        <v>182.12509142921581</v>
      </c>
      <c r="C18" s="135" t="s">
        <v>397</v>
      </c>
      <c r="D18" s="177" t="s">
        <v>461</v>
      </c>
    </row>
    <row r="19" spans="1:12" s="219" customFormat="1" ht="16">
      <c r="A19" s="179" t="s">
        <v>394</v>
      </c>
      <c r="B19" s="180">
        <v>87.960205455101374</v>
      </c>
      <c r="C19" s="181" t="s">
        <v>393</v>
      </c>
      <c r="D19" s="161" t="s">
        <v>161</v>
      </c>
      <c r="E19" s="168" t="s">
        <v>238</v>
      </c>
      <c r="G19" s="220"/>
    </row>
    <row r="20" spans="1:12" s="166" customFormat="1" ht="16">
      <c r="A20" s="169" t="s">
        <v>396</v>
      </c>
      <c r="B20" s="182">
        <v>54.66</v>
      </c>
      <c r="C20" s="182" t="s">
        <v>395</v>
      </c>
      <c r="D20" s="165" t="s">
        <v>161</v>
      </c>
      <c r="E20" s="166" t="s">
        <v>53</v>
      </c>
    </row>
    <row r="21" spans="1:12" ht="16">
      <c r="A21" s="167" t="s">
        <v>373</v>
      </c>
      <c r="B21" s="180">
        <v>526.17488425417741</v>
      </c>
      <c r="C21" s="183" t="s">
        <v>371</v>
      </c>
      <c r="D21" s="161"/>
      <c r="E21" s="168" t="s">
        <v>238</v>
      </c>
      <c r="G21" s="162"/>
    </row>
    <row r="22" spans="1:12" s="166" customFormat="1" ht="16">
      <c r="A22" s="169" t="s">
        <v>373</v>
      </c>
      <c r="B22" s="184">
        <v>139.00069114119609</v>
      </c>
      <c r="C22" s="182" t="s">
        <v>372</v>
      </c>
      <c r="D22" s="165"/>
      <c r="E22" s="166" t="s">
        <v>53</v>
      </c>
    </row>
    <row r="23" spans="1:12" s="166" customFormat="1" ht="16">
      <c r="A23" s="163" t="s">
        <v>374</v>
      </c>
      <c r="B23" s="164">
        <f>B22/365</f>
        <v>0.38082381134574272</v>
      </c>
      <c r="C23" s="164" t="s">
        <v>372</v>
      </c>
      <c r="D23" s="165" t="s">
        <v>54</v>
      </c>
    </row>
    <row r="24" spans="1:12" ht="16">
      <c r="A24" s="158" t="s">
        <v>374</v>
      </c>
      <c r="B24" s="160">
        <f>B21/365*10^3</f>
        <v>1441.5750253539109</v>
      </c>
      <c r="C24" s="160" t="s">
        <v>351</v>
      </c>
      <c r="D24" s="161"/>
      <c r="E24" s="162"/>
      <c r="G24" s="162"/>
    </row>
    <row r="25" spans="1:12">
      <c r="A25" s="185" t="s">
        <v>400</v>
      </c>
      <c r="B25" s="186">
        <v>2357121.8740560003</v>
      </c>
      <c r="C25" s="160" t="s">
        <v>399</v>
      </c>
      <c r="D25" s="161"/>
      <c r="E25" s="168" t="s">
        <v>239</v>
      </c>
      <c r="G25" s="162"/>
    </row>
    <row r="26" spans="1:12" s="166" customFormat="1">
      <c r="A26" s="187" t="s">
        <v>402</v>
      </c>
      <c r="B26" s="188">
        <v>1614498</v>
      </c>
      <c r="C26" s="164" t="s">
        <v>401</v>
      </c>
      <c r="D26" s="165"/>
      <c r="E26" s="166" t="s">
        <v>77</v>
      </c>
    </row>
    <row r="27" spans="1:12">
      <c r="A27" s="189" t="s">
        <v>404</v>
      </c>
      <c r="B27" s="186">
        <v>212.24917278915345</v>
      </c>
      <c r="C27" s="135" t="s">
        <v>403</v>
      </c>
      <c r="D27" s="177"/>
      <c r="E27" s="168" t="s">
        <v>239</v>
      </c>
    </row>
    <row r="28" spans="1:12" s="166" customFormat="1" ht="16">
      <c r="A28" s="187" t="s">
        <v>404</v>
      </c>
      <c r="B28" s="188">
        <v>293.72306438286085</v>
      </c>
      <c r="C28" s="164" t="s">
        <v>405</v>
      </c>
      <c r="D28" s="190" t="s">
        <v>78</v>
      </c>
      <c r="E28" s="166" t="s">
        <v>77</v>
      </c>
    </row>
    <row r="29" spans="1:12" s="222" customFormat="1" ht="16">
      <c r="A29" s="191" t="s">
        <v>378</v>
      </c>
      <c r="B29" s="192">
        <f>B28/3412.14</f>
        <v>8.6081774013628071E-2</v>
      </c>
      <c r="C29" s="193" t="s">
        <v>377</v>
      </c>
      <c r="D29" s="194" t="s">
        <v>247</v>
      </c>
      <c r="E29" s="195"/>
      <c r="F29" s="221"/>
      <c r="G29" s="221"/>
      <c r="H29" s="221"/>
      <c r="I29" s="221"/>
      <c r="J29" s="221"/>
      <c r="K29" s="221"/>
      <c r="L29" s="221"/>
    </row>
    <row r="30" spans="1:12" ht="16">
      <c r="A30" s="189" t="s">
        <v>376</v>
      </c>
      <c r="B30" s="196">
        <f>B27/3600</f>
        <v>5.8958103552542628E-2</v>
      </c>
      <c r="C30" s="135" t="s">
        <v>375</v>
      </c>
      <c r="D30" s="197" t="s">
        <v>240</v>
      </c>
    </row>
    <row r="31" spans="1:12" ht="16">
      <c r="A31" s="198" t="s">
        <v>273</v>
      </c>
      <c r="B31" s="160"/>
      <c r="C31" s="160"/>
      <c r="D31" s="177"/>
    </row>
    <row r="32" spans="1:12" s="166" customFormat="1" ht="16">
      <c r="A32" s="176" t="s">
        <v>241</v>
      </c>
      <c r="B32" s="199">
        <f>B25*10^6/B10</f>
        <v>95829648.902549118</v>
      </c>
      <c r="C32" s="193"/>
      <c r="D32" s="200" t="s">
        <v>462</v>
      </c>
      <c r="E32" s="201"/>
      <c r="F32" s="223"/>
      <c r="G32" s="223"/>
      <c r="H32" s="223"/>
      <c r="I32" s="223"/>
      <c r="J32" s="223"/>
      <c r="K32" s="223"/>
      <c r="L32" s="223"/>
    </row>
    <row r="33" spans="1:7" s="166" customFormat="1">
      <c r="A33" s="191" t="s">
        <v>35</v>
      </c>
      <c r="B33" s="202">
        <f>B26/B10*10^6</f>
        <v>65638004.634711549</v>
      </c>
      <c r="C33" s="193"/>
      <c r="D33" s="203"/>
    </row>
    <row r="34" spans="1:7" s="166" customFormat="1">
      <c r="A34" s="191" t="s">
        <v>243</v>
      </c>
      <c r="B34" s="202">
        <f>B33/365</f>
        <v>179830.14968414122</v>
      </c>
      <c r="C34" s="193"/>
      <c r="D34" s="203"/>
    </row>
    <row r="35" spans="1:7">
      <c r="A35" s="176" t="s">
        <v>242</v>
      </c>
      <c r="B35" s="199">
        <f>B32/365</f>
        <v>262546.9832946551</v>
      </c>
      <c r="C35" s="181"/>
      <c r="D35" s="174"/>
      <c r="G35" s="162"/>
    </row>
    <row r="36" spans="1:7" s="166" customFormat="1">
      <c r="A36" s="191" t="s">
        <v>91</v>
      </c>
      <c r="B36" s="204">
        <f>B34/150</f>
        <v>1198.8676645609414</v>
      </c>
      <c r="C36" s="164"/>
      <c r="D36" s="165"/>
    </row>
    <row r="37" spans="1:7">
      <c r="A37" s="205" t="s">
        <v>244</v>
      </c>
      <c r="B37" s="206">
        <f>B35/241</f>
        <v>1089.4065696873656</v>
      </c>
      <c r="C37" s="207"/>
      <c r="D37" s="208"/>
      <c r="G37" s="162"/>
    </row>
    <row r="38" spans="1:7">
      <c r="C38" s="224"/>
      <c r="G38" s="162"/>
    </row>
    <row r="39" spans="1:7">
      <c r="A39" s="225" t="s">
        <v>323</v>
      </c>
      <c r="B39" s="226"/>
      <c r="C39" s="227"/>
      <c r="D39" s="228"/>
      <c r="E39" s="132"/>
      <c r="G39" s="162"/>
    </row>
    <row r="40" spans="1:7">
      <c r="A40" s="189" t="s">
        <v>386</v>
      </c>
      <c r="B40" s="160">
        <v>3.3</v>
      </c>
      <c r="C40" s="160" t="s">
        <v>385</v>
      </c>
      <c r="D40" s="177" t="s">
        <v>81</v>
      </c>
      <c r="E40" s="132"/>
      <c r="G40" s="162"/>
    </row>
    <row r="41" spans="1:7" s="166" customFormat="1">
      <c r="A41" s="187" t="s">
        <v>384</v>
      </c>
      <c r="B41" s="229">
        <v>7500</v>
      </c>
      <c r="C41" s="164" t="s">
        <v>387</v>
      </c>
      <c r="D41" s="165"/>
      <c r="E41" s="230"/>
    </row>
    <row r="42" spans="1:7">
      <c r="A42" s="189" t="s">
        <v>384</v>
      </c>
      <c r="B42" s="231">
        <f>B41/1.102</f>
        <v>6805.807622504537</v>
      </c>
      <c r="C42" s="135" t="s">
        <v>382</v>
      </c>
      <c r="D42" s="177" t="s">
        <v>245</v>
      </c>
      <c r="E42" s="132"/>
      <c r="G42" s="162"/>
    </row>
    <row r="43" spans="1:7" s="166" customFormat="1">
      <c r="A43" s="187" t="s">
        <v>383</v>
      </c>
      <c r="B43" s="229">
        <f>B41/4</f>
        <v>1875</v>
      </c>
      <c r="C43" s="164" t="s">
        <v>387</v>
      </c>
      <c r="D43" s="165"/>
      <c r="E43" s="230"/>
    </row>
    <row r="44" spans="1:7">
      <c r="A44" s="189" t="s">
        <v>383</v>
      </c>
      <c r="B44" s="231">
        <f>B43/1.102</f>
        <v>1701.4519056261342</v>
      </c>
      <c r="C44" s="135" t="s">
        <v>382</v>
      </c>
      <c r="D44" s="177"/>
      <c r="E44" s="132"/>
    </row>
    <row r="45" spans="1:7">
      <c r="A45" s="189" t="s">
        <v>55</v>
      </c>
      <c r="B45" s="232">
        <v>0.39</v>
      </c>
      <c r="C45" s="181"/>
      <c r="D45" s="177" t="s">
        <v>463</v>
      </c>
      <c r="E45" s="132" t="s">
        <v>84</v>
      </c>
      <c r="G45" s="162"/>
    </row>
    <row r="46" spans="1:7" s="166" customFormat="1">
      <c r="A46" s="187" t="s">
        <v>381</v>
      </c>
      <c r="B46" s="233">
        <v>150</v>
      </c>
      <c r="C46" s="164" t="s">
        <v>380</v>
      </c>
      <c r="D46" s="165"/>
      <c r="E46" s="230"/>
    </row>
    <row r="47" spans="1:7">
      <c r="A47" s="189" t="s">
        <v>381</v>
      </c>
      <c r="B47" s="232">
        <f>B46*1.60934</f>
        <v>241.40100000000001</v>
      </c>
      <c r="C47" s="135" t="s">
        <v>379</v>
      </c>
      <c r="D47" s="234" t="s">
        <v>246</v>
      </c>
      <c r="E47" s="132"/>
      <c r="G47" s="162"/>
    </row>
    <row r="48" spans="1:7" s="166" customFormat="1">
      <c r="A48" s="191" t="s">
        <v>409</v>
      </c>
      <c r="B48" s="235">
        <f>B29*B43</f>
        <v>161.40332627555264</v>
      </c>
      <c r="C48" s="164" t="s">
        <v>406</v>
      </c>
      <c r="D48" s="236" t="s">
        <v>246</v>
      </c>
      <c r="E48" s="230"/>
    </row>
    <row r="49" spans="1:14">
      <c r="A49" s="176" t="s">
        <v>408</v>
      </c>
      <c r="B49" s="237">
        <f>B48/1.609344</f>
        <v>100.29137727891155</v>
      </c>
      <c r="C49" s="135" t="s">
        <v>407</v>
      </c>
      <c r="D49" s="177"/>
      <c r="E49" s="132"/>
      <c r="G49" s="162"/>
    </row>
    <row r="50" spans="1:14">
      <c r="A50" s="205" t="s">
        <v>388</v>
      </c>
      <c r="B50" s="238">
        <f>B49*B47/1000</f>
        <v>24.210438766506531</v>
      </c>
      <c r="C50" s="207" t="s">
        <v>327</v>
      </c>
      <c r="D50" s="208"/>
      <c r="E50" s="132"/>
      <c r="G50" s="162"/>
    </row>
    <row r="51" spans="1:14">
      <c r="A51" s="239"/>
      <c r="B51" s="240"/>
      <c r="C51" s="207"/>
      <c r="D51" s="241"/>
      <c r="E51" s="132"/>
      <c r="F51" s="132"/>
      <c r="G51" s="242"/>
      <c r="H51" s="132"/>
      <c r="I51" s="132"/>
      <c r="J51" s="132"/>
      <c r="K51" s="132"/>
      <c r="L51" s="132"/>
      <c r="M51" s="132"/>
      <c r="N51" s="132"/>
    </row>
    <row r="52" spans="1:14">
      <c r="A52" s="225" t="s">
        <v>65</v>
      </c>
      <c r="B52" s="226"/>
      <c r="C52" s="227"/>
      <c r="D52" s="228"/>
      <c r="E52" s="132"/>
      <c r="F52" s="132"/>
      <c r="G52" s="242"/>
      <c r="H52" s="132"/>
      <c r="I52" s="132"/>
      <c r="J52" s="132"/>
      <c r="K52" s="132"/>
      <c r="L52" s="132"/>
      <c r="M52" s="132"/>
      <c r="N52" s="132"/>
    </row>
    <row r="53" spans="1:14">
      <c r="A53" s="189" t="s">
        <v>419</v>
      </c>
      <c r="B53" s="237">
        <v>3300</v>
      </c>
      <c r="C53" s="160" t="s">
        <v>410</v>
      </c>
      <c r="D53" s="177" t="s">
        <v>88</v>
      </c>
      <c r="E53" s="132"/>
      <c r="F53" s="132"/>
      <c r="G53" s="242"/>
      <c r="H53" s="132"/>
      <c r="I53" s="132"/>
      <c r="J53" s="132"/>
      <c r="K53" s="132"/>
      <c r="L53" s="132"/>
      <c r="M53" s="132"/>
      <c r="N53" s="132"/>
    </row>
    <row r="54" spans="1:14">
      <c r="A54" s="189" t="s">
        <v>418</v>
      </c>
      <c r="B54" s="243">
        <v>3.3</v>
      </c>
      <c r="C54" s="160" t="s">
        <v>385</v>
      </c>
      <c r="D54" s="177"/>
      <c r="E54" s="132"/>
      <c r="F54" s="132"/>
      <c r="G54" s="242"/>
      <c r="H54" s="132"/>
      <c r="I54" s="132"/>
      <c r="J54" s="132"/>
      <c r="K54" s="132"/>
      <c r="L54" s="132"/>
      <c r="M54" s="132"/>
      <c r="N54" s="132"/>
    </row>
    <row r="55" spans="1:14">
      <c r="A55" s="189" t="s">
        <v>417</v>
      </c>
      <c r="B55" s="132">
        <v>70</v>
      </c>
      <c r="C55" s="160" t="s">
        <v>411</v>
      </c>
      <c r="D55" s="177"/>
      <c r="E55" s="132" t="s">
        <v>472</v>
      </c>
      <c r="F55" s="132"/>
      <c r="G55" s="242"/>
      <c r="H55" s="132"/>
      <c r="I55" s="132"/>
      <c r="J55" s="132"/>
      <c r="K55" s="132"/>
      <c r="L55" s="132"/>
      <c r="M55" s="132"/>
      <c r="N55" s="132"/>
    </row>
    <row r="56" spans="1:14" s="166" customFormat="1">
      <c r="A56" s="191" t="s">
        <v>416</v>
      </c>
      <c r="B56" s="244">
        <f>92*197*46/1728</f>
        <v>482.46759259259261</v>
      </c>
      <c r="C56" s="164" t="s">
        <v>365</v>
      </c>
      <c r="D56" s="165" t="s">
        <v>87</v>
      </c>
      <c r="E56" s="245" t="s">
        <v>66</v>
      </c>
      <c r="F56" s="230"/>
      <c r="G56" s="230"/>
      <c r="H56" s="230"/>
      <c r="I56" s="230"/>
      <c r="J56" s="230"/>
      <c r="K56" s="230"/>
      <c r="L56" s="230"/>
      <c r="M56" s="230"/>
      <c r="N56" s="230"/>
    </row>
    <row r="57" spans="1:14">
      <c r="A57" s="176" t="s">
        <v>416</v>
      </c>
      <c r="B57" s="237">
        <f>B56*28.3168</f>
        <v>13661.938325925927</v>
      </c>
      <c r="C57" s="160" t="s">
        <v>351</v>
      </c>
      <c r="D57" s="165" t="s">
        <v>37</v>
      </c>
      <c r="E57" s="246"/>
      <c r="F57" s="132"/>
      <c r="G57" s="242"/>
      <c r="H57" s="132"/>
      <c r="I57" s="132"/>
      <c r="J57" s="132"/>
      <c r="K57" s="132"/>
      <c r="L57" s="132"/>
      <c r="M57" s="132"/>
      <c r="N57" s="132"/>
    </row>
    <row r="58" spans="1:14" s="166" customFormat="1">
      <c r="A58" s="191" t="s">
        <v>415</v>
      </c>
      <c r="B58" s="244">
        <f>197*46/144</f>
        <v>62.930555555555557</v>
      </c>
      <c r="C58" s="164" t="s">
        <v>412</v>
      </c>
      <c r="D58" s="165"/>
      <c r="E58" s="245"/>
      <c r="F58" s="230"/>
      <c r="G58" s="230"/>
      <c r="H58" s="230"/>
      <c r="I58" s="230"/>
      <c r="J58" s="230"/>
      <c r="K58" s="230"/>
      <c r="L58" s="230"/>
      <c r="M58" s="230"/>
      <c r="N58" s="230"/>
    </row>
    <row r="59" spans="1:14">
      <c r="A59" s="176" t="s">
        <v>415</v>
      </c>
      <c r="B59" s="243">
        <f>B58/10.764</f>
        <v>5.8463912630579307</v>
      </c>
      <c r="C59" s="160" t="s">
        <v>413</v>
      </c>
      <c r="D59" s="177" t="s">
        <v>263</v>
      </c>
      <c r="E59" s="246"/>
      <c r="F59" s="132"/>
      <c r="G59" s="242"/>
      <c r="H59" s="132"/>
      <c r="I59" s="132"/>
      <c r="J59" s="132"/>
      <c r="K59" s="132"/>
      <c r="L59" s="132"/>
      <c r="M59" s="132"/>
      <c r="N59" s="132"/>
    </row>
    <row r="60" spans="1:14">
      <c r="A60" s="205" t="s">
        <v>414</v>
      </c>
      <c r="B60" s="241">
        <v>5500</v>
      </c>
      <c r="C60" s="207" t="s">
        <v>319</v>
      </c>
      <c r="D60" s="208"/>
      <c r="E60" s="246" t="s">
        <v>67</v>
      </c>
      <c r="F60" s="132"/>
      <c r="G60" s="242"/>
      <c r="H60" s="132"/>
      <c r="I60" s="132"/>
      <c r="J60" s="132"/>
      <c r="K60" s="132"/>
      <c r="L60" s="132"/>
      <c r="M60" s="132"/>
      <c r="N60" s="132"/>
    </row>
    <row r="61" spans="1:14">
      <c r="A61" s="178"/>
      <c r="B61" s="178"/>
      <c r="C61" s="224"/>
      <c r="E61" s="132"/>
      <c r="F61" s="132"/>
      <c r="G61" s="242"/>
      <c r="H61" s="132"/>
      <c r="I61" s="132"/>
      <c r="J61" s="132"/>
      <c r="K61" s="132"/>
      <c r="L61" s="132"/>
      <c r="M61" s="132"/>
      <c r="N61" s="132"/>
    </row>
    <row r="62" spans="1:14" ht="16">
      <c r="A62" s="247" t="s">
        <v>432</v>
      </c>
      <c r="B62" s="248"/>
      <c r="C62" s="248"/>
      <c r="D62" s="228"/>
      <c r="E62" s="132"/>
      <c r="F62" s="132"/>
      <c r="G62" s="242"/>
      <c r="H62" s="132"/>
      <c r="I62" s="132"/>
      <c r="J62" s="132"/>
      <c r="K62" s="132"/>
      <c r="L62" s="132"/>
      <c r="M62" s="132"/>
      <c r="N62" s="132"/>
    </row>
    <row r="63" spans="1:14" ht="16">
      <c r="A63" s="158" t="s">
        <v>367</v>
      </c>
      <c r="B63" s="237">
        <f>9.33*50</f>
        <v>466.5</v>
      </c>
      <c r="C63" s="135" t="s">
        <v>365</v>
      </c>
      <c r="D63" s="177"/>
      <c r="E63" s="246" t="s">
        <v>59</v>
      </c>
      <c r="F63" s="132"/>
      <c r="G63" s="242"/>
      <c r="H63" s="132"/>
      <c r="I63" s="132"/>
      <c r="J63" s="132"/>
      <c r="K63" s="132"/>
      <c r="L63" s="132"/>
      <c r="M63" s="132"/>
      <c r="N63" s="132"/>
    </row>
    <row r="64" spans="1:14" ht="16">
      <c r="A64" s="158" t="s">
        <v>431</v>
      </c>
      <c r="B64" s="237">
        <v>15</v>
      </c>
      <c r="C64" s="135" t="s">
        <v>430</v>
      </c>
      <c r="D64" s="177"/>
      <c r="E64" s="246" t="s">
        <v>61</v>
      </c>
      <c r="F64" s="132"/>
      <c r="G64" s="242"/>
      <c r="H64" s="132"/>
      <c r="I64" s="132"/>
      <c r="J64" s="132"/>
      <c r="K64" s="132"/>
      <c r="L64" s="132"/>
      <c r="M64" s="132"/>
      <c r="N64" s="132"/>
    </row>
    <row r="65" spans="1:14" s="166" customFormat="1" ht="16">
      <c r="A65" s="163" t="s">
        <v>428</v>
      </c>
      <c r="B65" s="235">
        <v>19000</v>
      </c>
      <c r="C65" s="164" t="s">
        <v>429</v>
      </c>
      <c r="D65" s="165"/>
      <c r="E65" s="245" t="s">
        <v>62</v>
      </c>
      <c r="F65" s="230"/>
      <c r="G65" s="230"/>
      <c r="H65" s="230"/>
      <c r="I65" s="230"/>
      <c r="J65" s="230"/>
      <c r="K65" s="230"/>
      <c r="L65" s="230"/>
      <c r="M65" s="230"/>
      <c r="N65" s="230"/>
    </row>
    <row r="66" spans="1:14" ht="16">
      <c r="A66" s="158" t="s">
        <v>428</v>
      </c>
      <c r="B66" s="237">
        <f>B65*1.055</f>
        <v>20045</v>
      </c>
      <c r="C66" s="135" t="s">
        <v>427</v>
      </c>
      <c r="D66" s="177" t="s">
        <v>265</v>
      </c>
      <c r="E66" s="246"/>
      <c r="F66" s="132"/>
      <c r="G66" s="242"/>
      <c r="H66" s="132"/>
      <c r="I66" s="132"/>
      <c r="J66" s="132"/>
      <c r="K66" s="132"/>
      <c r="L66" s="132"/>
      <c r="M66" s="132"/>
      <c r="N66" s="132"/>
    </row>
    <row r="67" spans="1:14" ht="16">
      <c r="A67" s="158" t="s">
        <v>426</v>
      </c>
      <c r="B67" s="237">
        <v>12</v>
      </c>
      <c r="C67" s="135" t="s">
        <v>425</v>
      </c>
      <c r="D67" s="177"/>
      <c r="E67" s="132"/>
      <c r="F67" s="132"/>
      <c r="G67" s="242"/>
      <c r="H67" s="132"/>
      <c r="I67" s="132"/>
      <c r="J67" s="132"/>
      <c r="K67" s="132"/>
      <c r="L67" s="132"/>
      <c r="M67" s="132"/>
      <c r="N67" s="132"/>
    </row>
    <row r="68" spans="1:14" ht="16">
      <c r="A68" s="158" t="s">
        <v>424</v>
      </c>
      <c r="B68" s="237">
        <f>B66*B67</f>
        <v>240540</v>
      </c>
      <c r="C68" s="135" t="s">
        <v>423</v>
      </c>
      <c r="D68" s="249"/>
      <c r="E68" s="132"/>
      <c r="F68" s="132"/>
      <c r="G68" s="242"/>
      <c r="H68" s="132"/>
      <c r="I68" s="132"/>
      <c r="J68" s="132"/>
      <c r="K68" s="132"/>
      <c r="L68" s="132"/>
      <c r="M68" s="132"/>
      <c r="N68" s="132"/>
    </row>
    <row r="69" spans="1:14" ht="16">
      <c r="A69" s="158" t="s">
        <v>421</v>
      </c>
      <c r="B69" s="237">
        <f>B68*0.2777777</f>
        <v>66816.647958000001</v>
      </c>
      <c r="C69" s="135" t="s">
        <v>422</v>
      </c>
      <c r="D69" s="250" t="s">
        <v>266</v>
      </c>
      <c r="E69" s="132"/>
      <c r="F69" s="132"/>
      <c r="G69" s="242"/>
      <c r="H69" s="132"/>
      <c r="I69" s="132"/>
      <c r="J69" s="132"/>
      <c r="K69" s="132"/>
      <c r="L69" s="132"/>
      <c r="M69" s="132"/>
      <c r="N69" s="132"/>
    </row>
    <row r="70" spans="1:14">
      <c r="A70" s="205" t="s">
        <v>421</v>
      </c>
      <c r="B70" s="206">
        <f>B67*B69/1000000</f>
        <v>0.80179977549600001</v>
      </c>
      <c r="C70" s="206" t="s">
        <v>327</v>
      </c>
      <c r="D70" s="208"/>
      <c r="E70" s="132"/>
      <c r="F70" s="132"/>
      <c r="G70" s="242"/>
      <c r="H70" s="132"/>
      <c r="I70" s="132"/>
      <c r="J70" s="132"/>
      <c r="K70" s="132"/>
      <c r="L70" s="132"/>
      <c r="M70" s="132"/>
      <c r="N70" s="132"/>
    </row>
    <row r="71" spans="1:14">
      <c r="A71" s="251"/>
      <c r="B71" s="224"/>
      <c r="C71" s="224"/>
      <c r="E71" s="132"/>
      <c r="F71" s="132"/>
      <c r="G71" s="242"/>
      <c r="H71" s="132"/>
      <c r="I71" s="132"/>
      <c r="J71" s="132"/>
      <c r="K71" s="132"/>
      <c r="L71" s="132"/>
      <c r="M71" s="132"/>
      <c r="N71" s="132"/>
    </row>
    <row r="72" spans="1:14" ht="16">
      <c r="A72" s="247" t="s">
        <v>79</v>
      </c>
      <c r="B72" s="252"/>
      <c r="C72" s="248"/>
      <c r="D72" s="253"/>
      <c r="E72" s="132"/>
      <c r="F72" s="132"/>
      <c r="G72" s="242"/>
      <c r="H72" s="132"/>
      <c r="I72" s="132"/>
      <c r="J72" s="132"/>
      <c r="K72" s="132"/>
      <c r="L72" s="132"/>
      <c r="M72" s="132"/>
      <c r="N72" s="132"/>
    </row>
    <row r="73" spans="1:14" ht="16">
      <c r="A73" s="158" t="s">
        <v>57</v>
      </c>
      <c r="B73" s="181">
        <v>0.95</v>
      </c>
      <c r="C73" s="135"/>
      <c r="D73" s="177"/>
      <c r="E73" s="246" t="s">
        <v>58</v>
      </c>
      <c r="F73" s="132"/>
      <c r="G73" s="242"/>
      <c r="H73" s="132"/>
    </row>
    <row r="74" spans="1:14" ht="16">
      <c r="A74" s="158" t="s">
        <v>25</v>
      </c>
      <c r="B74" s="181">
        <f>B73/B45</f>
        <v>2.4358974358974357</v>
      </c>
      <c r="C74" s="173"/>
      <c r="D74" s="161"/>
      <c r="E74" s="132"/>
      <c r="F74" s="132"/>
      <c r="G74" s="242"/>
      <c r="H74" s="132"/>
    </row>
    <row r="75" spans="1:14" ht="16">
      <c r="A75" s="158" t="s">
        <v>420</v>
      </c>
      <c r="B75" s="181">
        <f>B50/B74</f>
        <v>9.9390222304605764</v>
      </c>
      <c r="C75" s="135" t="s">
        <v>327</v>
      </c>
      <c r="D75" s="161" t="s">
        <v>18</v>
      </c>
      <c r="E75" s="132"/>
      <c r="F75" s="132"/>
      <c r="G75" s="242"/>
      <c r="H75" s="132"/>
    </row>
    <row r="76" spans="1:14" ht="16">
      <c r="A76" s="158" t="s">
        <v>63</v>
      </c>
      <c r="B76" s="181">
        <f>B75+$B$70</f>
        <v>10.740822005956577</v>
      </c>
      <c r="C76" s="135" t="s">
        <v>327</v>
      </c>
      <c r="D76" s="161"/>
      <c r="E76" s="132"/>
      <c r="F76" s="132"/>
      <c r="G76" s="242"/>
      <c r="H76" s="132"/>
    </row>
    <row r="77" spans="1:14" ht="17" thickBot="1">
      <c r="A77" s="158" t="s">
        <v>56</v>
      </c>
      <c r="B77" s="181">
        <v>0.8</v>
      </c>
      <c r="C77" s="135"/>
      <c r="D77" s="177"/>
      <c r="E77" s="254"/>
      <c r="F77" s="132"/>
      <c r="G77" s="242"/>
      <c r="H77" s="132"/>
    </row>
    <row r="78" spans="1:14" ht="16">
      <c r="A78" s="255" t="s">
        <v>450</v>
      </c>
      <c r="B78" s="256">
        <f>B76/B77</f>
        <v>13.42602750744572</v>
      </c>
      <c r="C78" s="206" t="s">
        <v>327</v>
      </c>
      <c r="D78" s="257"/>
      <c r="G78" s="242"/>
      <c r="H78" s="132"/>
    </row>
    <row r="79" spans="1:14">
      <c r="A79" s="251"/>
      <c r="B79" s="181"/>
      <c r="D79" s="242"/>
      <c r="G79" s="242"/>
      <c r="H79" s="132"/>
    </row>
    <row r="80" spans="1:14" s="262" customFormat="1" ht="16">
      <c r="A80" s="258" t="s">
        <v>109</v>
      </c>
      <c r="B80" s="259" t="s">
        <v>92</v>
      </c>
      <c r="C80" s="260"/>
      <c r="D80" s="261"/>
      <c r="G80" s="263"/>
    </row>
    <row r="81" spans="1:8" ht="16">
      <c r="A81" s="158" t="s">
        <v>441</v>
      </c>
      <c r="B81" s="160">
        <v>0.20699999999999999</v>
      </c>
      <c r="C81" s="160" t="s">
        <v>440</v>
      </c>
      <c r="D81" s="177"/>
      <c r="E81" s="242" t="s">
        <v>317</v>
      </c>
      <c r="F81" s="132"/>
      <c r="G81" s="242"/>
      <c r="H81" s="132"/>
    </row>
    <row r="82" spans="1:8" ht="16">
      <c r="A82" s="158" t="s">
        <v>442</v>
      </c>
      <c r="B82" s="135">
        <v>0.46600000000000003</v>
      </c>
      <c r="C82" s="135" t="s">
        <v>364</v>
      </c>
      <c r="D82" s="161"/>
      <c r="E82" s="264" t="s">
        <v>93</v>
      </c>
      <c r="F82" s="132"/>
      <c r="G82" s="242"/>
      <c r="H82" s="132"/>
    </row>
    <row r="83" spans="1:8" ht="16">
      <c r="A83" s="158" t="s">
        <v>23</v>
      </c>
      <c r="B83" s="135">
        <f>B84/B81</f>
        <v>0.77294685990338174</v>
      </c>
      <c r="C83" s="135"/>
      <c r="D83" s="177" t="s">
        <v>64</v>
      </c>
      <c r="E83" s="254"/>
      <c r="F83" s="132"/>
      <c r="G83" s="242"/>
      <c r="H83" s="132"/>
    </row>
    <row r="84" spans="1:8" ht="16">
      <c r="A84" s="158" t="s">
        <v>443</v>
      </c>
      <c r="B84" s="135">
        <v>0.16</v>
      </c>
      <c r="C84" s="173" t="s">
        <v>440</v>
      </c>
      <c r="D84" s="161" t="s">
        <v>267</v>
      </c>
      <c r="E84" s="168"/>
      <c r="F84" s="132"/>
      <c r="G84" s="242"/>
      <c r="H84" s="132"/>
    </row>
    <row r="85" spans="1:8" ht="16">
      <c r="A85" s="158" t="s">
        <v>439</v>
      </c>
      <c r="B85" s="265">
        <f>B78*1000/$B$84</f>
        <v>83912.671921535744</v>
      </c>
      <c r="C85" s="266" t="s">
        <v>319</v>
      </c>
      <c r="D85" s="177" t="s">
        <v>85</v>
      </c>
      <c r="H85" s="162"/>
    </row>
    <row r="86" spans="1:8" ht="16">
      <c r="A86" s="158" t="s">
        <v>438</v>
      </c>
      <c r="B86" s="265">
        <f>B85+B60</f>
        <v>89412.671921535744</v>
      </c>
      <c r="C86" s="266" t="s">
        <v>319</v>
      </c>
      <c r="D86" s="177"/>
      <c r="H86" s="162"/>
    </row>
    <row r="87" spans="1:8" ht="16">
      <c r="A87" s="158" t="s">
        <v>438</v>
      </c>
      <c r="B87" s="265">
        <f>B86/1000</f>
        <v>89.412671921535747</v>
      </c>
      <c r="C87" s="199" t="s">
        <v>318</v>
      </c>
      <c r="D87" s="177"/>
      <c r="H87" s="162"/>
    </row>
    <row r="88" spans="1:8" s="166" customFormat="1" ht="16">
      <c r="A88" s="163" t="s">
        <v>437</v>
      </c>
      <c r="B88" s="204">
        <f>B85*2.2</f>
        <v>184607.87822737865</v>
      </c>
      <c r="C88" s="202" t="s">
        <v>436</v>
      </c>
      <c r="D88" s="165"/>
    </row>
    <row r="89" spans="1:8" ht="16">
      <c r="A89" s="251" t="s">
        <v>253</v>
      </c>
      <c r="B89" s="173">
        <f>B44-B87</f>
        <v>1612.0392337045985</v>
      </c>
      <c r="C89" s="173" t="s">
        <v>451</v>
      </c>
      <c r="D89" s="177"/>
      <c r="H89" s="162"/>
    </row>
    <row r="90" spans="1:8" s="175" customFormat="1" ht="17" thickBot="1">
      <c r="A90" s="158" t="s">
        <v>268</v>
      </c>
      <c r="B90" s="267">
        <f>B78*1000/B89/B47</f>
        <v>3.4501093522664977E-2</v>
      </c>
      <c r="C90" s="173">
        <f>B90*1875*25/1000</f>
        <v>1.6172387588749206</v>
      </c>
      <c r="D90" s="268"/>
      <c r="E90" s="269"/>
      <c r="F90" s="269"/>
      <c r="G90" s="269"/>
      <c r="H90" s="218"/>
    </row>
    <row r="91" spans="1:8" ht="17" thickBot="1">
      <c r="A91" s="158" t="s">
        <v>113</v>
      </c>
      <c r="B91" s="270">
        <f>B90*$B$44*$B$47/1000</f>
        <v>14.170709750677487</v>
      </c>
      <c r="C91" s="173"/>
      <c r="D91" s="177" t="s">
        <v>108</v>
      </c>
      <c r="H91" s="162"/>
    </row>
    <row r="92" spans="1:8">
      <c r="A92" s="176" t="s">
        <v>433</v>
      </c>
      <c r="B92" s="199">
        <f>B91*1000/$B$84</f>
        <v>88566.935941734293</v>
      </c>
      <c r="C92" s="173" t="s">
        <v>319</v>
      </c>
      <c r="D92" s="177"/>
      <c r="H92" s="162"/>
    </row>
    <row r="93" spans="1:8">
      <c r="A93" s="176" t="s">
        <v>434</v>
      </c>
      <c r="B93" s="271">
        <f>B92/1000</f>
        <v>88.566935941734286</v>
      </c>
      <c r="C93" s="173" t="s">
        <v>318</v>
      </c>
      <c r="D93" s="177"/>
      <c r="H93" s="162"/>
    </row>
    <row r="94" spans="1:8">
      <c r="A94" s="205" t="s">
        <v>435</v>
      </c>
      <c r="B94" s="272">
        <f>B93+(B60/1000)</f>
        <v>94.066935941734286</v>
      </c>
      <c r="C94" s="273" t="s">
        <v>318</v>
      </c>
      <c r="D94" s="208"/>
      <c r="H94" s="162"/>
    </row>
    <row r="95" spans="1:8">
      <c r="A95" s="274"/>
      <c r="H95" s="162"/>
    </row>
    <row r="96" spans="1:8" ht="16">
      <c r="A96" s="275" t="s">
        <v>110</v>
      </c>
      <c r="B96" s="276"/>
      <c r="C96" s="277"/>
      <c r="D96" s="278"/>
      <c r="E96" s="279"/>
      <c r="G96" s="162"/>
    </row>
    <row r="97" spans="1:7" s="132" customFormat="1" ht="16">
      <c r="A97" s="158" t="s">
        <v>366</v>
      </c>
      <c r="B97" s="135">
        <f>B84*(B82/B81)</f>
        <v>0.36019323671497588</v>
      </c>
      <c r="C97" s="135" t="s">
        <v>364</v>
      </c>
      <c r="D97" s="177"/>
      <c r="E97" s="254"/>
      <c r="G97" s="242"/>
    </row>
    <row r="98" spans="1:7" s="132" customFormat="1" ht="16">
      <c r="A98" s="158" t="s">
        <v>444</v>
      </c>
      <c r="B98" s="237">
        <f>B91/B97*1000</f>
        <v>39341.965107165226</v>
      </c>
      <c r="C98" s="135" t="s">
        <v>351</v>
      </c>
      <c r="D98" s="177"/>
      <c r="E98" s="254"/>
      <c r="G98" s="242"/>
    </row>
    <row r="99" spans="1:7" s="166" customFormat="1" ht="16">
      <c r="A99" s="163" t="s">
        <v>444</v>
      </c>
      <c r="B99" s="235">
        <f>B91/B97*1000/28.3168</f>
        <v>1389.3506719391041</v>
      </c>
      <c r="C99" s="235" t="s">
        <v>365</v>
      </c>
      <c r="D99" s="165" t="s">
        <v>37</v>
      </c>
    </row>
    <row r="100" spans="1:7" s="285" customFormat="1" ht="16">
      <c r="A100" s="280" t="s">
        <v>367</v>
      </c>
      <c r="B100" s="281">
        <f>9.33*60.75</f>
        <v>566.79750000000001</v>
      </c>
      <c r="C100" s="282" t="s">
        <v>365</v>
      </c>
      <c r="D100" s="283"/>
      <c r="E100" s="284"/>
    </row>
    <row r="102" spans="1:7" ht="16">
      <c r="A102" s="286" t="s">
        <v>112</v>
      </c>
      <c r="B102" s="287"/>
      <c r="C102" s="288"/>
      <c r="D102" s="289"/>
      <c r="E102" s="168"/>
      <c r="G102" s="162"/>
    </row>
    <row r="103" spans="1:7" s="166" customFormat="1" ht="16">
      <c r="A103" s="163" t="s">
        <v>355</v>
      </c>
      <c r="B103" s="204">
        <v>103</v>
      </c>
      <c r="C103" s="164" t="s">
        <v>354</v>
      </c>
      <c r="D103" s="165" t="s">
        <v>111</v>
      </c>
    </row>
    <row r="104" spans="1:7" ht="16">
      <c r="A104" s="158" t="s">
        <v>355</v>
      </c>
      <c r="B104" s="159">
        <f>B103*1.102</f>
        <v>113.50600000000001</v>
      </c>
      <c r="C104" s="135" t="s">
        <v>318</v>
      </c>
      <c r="D104" s="177" t="s">
        <v>245</v>
      </c>
      <c r="G104" s="162"/>
    </row>
    <row r="105" spans="1:7" s="166" customFormat="1" ht="16">
      <c r="A105" s="163" t="s">
        <v>448</v>
      </c>
      <c r="B105" s="235">
        <f>48*9.5*10</f>
        <v>4560</v>
      </c>
      <c r="C105" s="164" t="s">
        <v>365</v>
      </c>
      <c r="D105" s="165"/>
      <c r="E105" s="290"/>
    </row>
    <row r="106" spans="1:7" ht="16">
      <c r="A106" s="158" t="s">
        <v>352</v>
      </c>
      <c r="B106" s="237">
        <f>B105*28.3168</f>
        <v>129124.60800000001</v>
      </c>
      <c r="C106" s="135" t="s">
        <v>351</v>
      </c>
      <c r="D106" s="165" t="s">
        <v>37</v>
      </c>
      <c r="E106" s="168"/>
      <c r="G106" s="162"/>
    </row>
    <row r="107" spans="1:7">
      <c r="A107" s="291" t="s">
        <v>60</v>
      </c>
      <c r="B107" s="181">
        <f>B98/$B$106</f>
        <v>0.30468216489892636</v>
      </c>
      <c r="C107" s="173"/>
      <c r="D107" s="161"/>
      <c r="G107" s="162"/>
    </row>
    <row r="108" spans="1:7">
      <c r="A108" s="291" t="s">
        <v>353</v>
      </c>
      <c r="B108" s="292">
        <f>B98+B57</f>
        <v>53003.903433091153</v>
      </c>
      <c r="C108" s="173" t="s">
        <v>351</v>
      </c>
      <c r="D108" s="161"/>
      <c r="G108" s="162"/>
    </row>
    <row r="109" spans="1:7">
      <c r="A109" s="291" t="s">
        <v>68</v>
      </c>
      <c r="B109" s="181">
        <f>$B$57/$B$106</f>
        <v>0.10580429662118258</v>
      </c>
      <c r="C109" s="173"/>
      <c r="D109" s="161"/>
      <c r="G109" s="162"/>
    </row>
    <row r="110" spans="1:7">
      <c r="A110" s="176" t="s">
        <v>95</v>
      </c>
      <c r="B110" s="293">
        <f>B107+B109</f>
        <v>0.41048646152010893</v>
      </c>
      <c r="C110" s="173"/>
      <c r="D110" s="177" t="s">
        <v>452</v>
      </c>
      <c r="G110" s="162"/>
    </row>
    <row r="111" spans="1:7">
      <c r="A111" s="176" t="s">
        <v>69</v>
      </c>
      <c r="B111" s="135">
        <f>B58/B100</f>
        <v>0.11102828709645959</v>
      </c>
      <c r="C111" s="135"/>
      <c r="D111" s="177"/>
      <c r="G111" s="162"/>
    </row>
    <row r="112" spans="1:7" s="279" customFormat="1">
      <c r="A112" s="205" t="s">
        <v>94</v>
      </c>
      <c r="B112" s="294">
        <f>B94/B103</f>
        <v>0.91327122273528438</v>
      </c>
      <c r="C112" s="206"/>
      <c r="D112" s="208" t="s">
        <v>452</v>
      </c>
      <c r="E112" s="295"/>
    </row>
    <row r="113" spans="1:7">
      <c r="A113" s="296"/>
      <c r="E113" s="297"/>
    </row>
    <row r="114" spans="1:7" ht="16">
      <c r="A114" s="275" t="s">
        <v>314</v>
      </c>
      <c r="B114" s="298"/>
      <c r="C114" s="277"/>
      <c r="D114" s="299"/>
    </row>
    <row r="115" spans="1:7" ht="16">
      <c r="A115" s="158" t="s">
        <v>0</v>
      </c>
      <c r="B115" s="237">
        <v>1</v>
      </c>
      <c r="C115" s="135"/>
      <c r="D115" s="161"/>
    </row>
    <row r="116" spans="1:7" ht="16">
      <c r="A116" s="158" t="s">
        <v>350</v>
      </c>
      <c r="B116" s="144">
        <f>VLOOKUP(B3,'levelized energy costs'!B13:C31,2)</f>
        <v>4.9634842716068883E-2</v>
      </c>
      <c r="C116" s="173" t="s">
        <v>349</v>
      </c>
      <c r="D116" s="177" t="s">
        <v>449</v>
      </c>
      <c r="E116" s="178" t="s">
        <v>322</v>
      </c>
      <c r="G116" s="162"/>
    </row>
    <row r="117" spans="1:7" ht="16">
      <c r="A117" s="255" t="s">
        <v>256</v>
      </c>
      <c r="B117" s="300">
        <f>B7+B116</f>
        <v>7.5634842716068879E-2</v>
      </c>
      <c r="C117" s="273" t="s">
        <v>349</v>
      </c>
      <c r="D117" s="208"/>
      <c r="G117" s="162"/>
    </row>
    <row r="118" spans="1:7">
      <c r="A118" s="301"/>
      <c r="B118" s="224"/>
      <c r="D118" s="162"/>
      <c r="E118" s="302"/>
      <c r="F118" s="302"/>
      <c r="G118" s="162"/>
    </row>
    <row r="119" spans="1:7">
      <c r="A119" s="303" t="s">
        <v>269</v>
      </c>
      <c r="B119" s="304"/>
      <c r="C119" s="305"/>
      <c r="D119" s="306"/>
      <c r="E119" s="302"/>
      <c r="F119" s="302"/>
      <c r="G119" s="162"/>
    </row>
    <row r="120" spans="1:7" ht="16">
      <c r="A120" s="307" t="s">
        <v>86</v>
      </c>
      <c r="B120" s="308"/>
      <c r="C120" s="308"/>
      <c r="D120" s="309"/>
      <c r="E120" s="302"/>
      <c r="F120" s="302"/>
    </row>
    <row r="121" spans="1:7" ht="16">
      <c r="A121" s="172" t="s">
        <v>348</v>
      </c>
      <c r="B121" s="135">
        <f>B24</f>
        <v>1441.5750253539109</v>
      </c>
      <c r="C121" s="135" t="s">
        <v>347</v>
      </c>
      <c r="D121" s="177"/>
      <c r="E121" s="302"/>
      <c r="F121" s="302"/>
    </row>
    <row r="122" spans="1:7" ht="16">
      <c r="A122" s="172" t="s">
        <v>346</v>
      </c>
      <c r="B122" s="135">
        <v>10.210000000000001</v>
      </c>
      <c r="C122" s="135" t="s">
        <v>333</v>
      </c>
      <c r="D122" s="177" t="s">
        <v>447</v>
      </c>
      <c r="E122" s="310" t="s">
        <v>260</v>
      </c>
      <c r="F122" s="302"/>
    </row>
    <row r="123" spans="1:7" ht="16">
      <c r="A123" s="172" t="s">
        <v>288</v>
      </c>
      <c r="B123" s="135">
        <f>B122/3.785</f>
        <v>2.6974900924702774</v>
      </c>
      <c r="C123" s="135" t="s">
        <v>344</v>
      </c>
      <c r="D123" s="177" t="s">
        <v>259</v>
      </c>
      <c r="E123" s="311"/>
      <c r="F123" s="302"/>
    </row>
    <row r="124" spans="1:7" ht="16">
      <c r="A124" s="172" t="s">
        <v>345</v>
      </c>
      <c r="B124" s="237">
        <f>$B$123*B121</f>
        <v>3888.6343484447634</v>
      </c>
      <c r="C124" s="237" t="s">
        <v>319</v>
      </c>
      <c r="D124" s="177"/>
      <c r="E124" s="311"/>
      <c r="F124" s="302"/>
    </row>
    <row r="125" spans="1:7" ht="16">
      <c r="A125" s="312" t="s">
        <v>345</v>
      </c>
      <c r="B125" s="206">
        <f>B124/1000</f>
        <v>3.8886343484447634</v>
      </c>
      <c r="C125" s="206" t="s">
        <v>318</v>
      </c>
      <c r="D125" s="208"/>
      <c r="E125" s="302"/>
      <c r="F125" s="302"/>
    </row>
    <row r="126" spans="1:7">
      <c r="A126" s="176"/>
      <c r="B126" s="135"/>
      <c r="C126" s="135"/>
      <c r="D126" s="254"/>
      <c r="E126" s="302"/>
      <c r="G126" s="162"/>
    </row>
    <row r="127" spans="1:7">
      <c r="A127" s="313" t="s">
        <v>254</v>
      </c>
      <c r="B127" s="314"/>
      <c r="C127" s="314"/>
      <c r="D127" s="315"/>
      <c r="E127" s="302"/>
      <c r="G127" s="162"/>
    </row>
    <row r="128" spans="1:7">
      <c r="A128" s="176" t="s">
        <v>338</v>
      </c>
      <c r="B128" s="316">
        <f>B90*B35/1000</f>
        <v>9.0581580247424558</v>
      </c>
      <c r="C128" s="135" t="s">
        <v>327</v>
      </c>
      <c r="D128" s="177"/>
      <c r="E128" s="302"/>
      <c r="G128" s="162"/>
    </row>
    <row r="129" spans="1:7">
      <c r="A129" s="176" t="s">
        <v>339</v>
      </c>
      <c r="B129" s="265">
        <v>135000</v>
      </c>
      <c r="C129" s="135" t="s">
        <v>356</v>
      </c>
      <c r="D129" s="177"/>
      <c r="E129" s="317"/>
      <c r="G129" s="162"/>
    </row>
    <row r="130" spans="1:7">
      <c r="A130" s="189" t="s">
        <v>340</v>
      </c>
      <c r="B130" s="199">
        <f>B53*B55</f>
        <v>231000</v>
      </c>
      <c r="C130" s="135" t="s">
        <v>356</v>
      </c>
      <c r="D130" s="177"/>
      <c r="E130" s="317"/>
      <c r="G130" s="162"/>
    </row>
    <row r="131" spans="1:7">
      <c r="A131" s="176" t="s">
        <v>341</v>
      </c>
      <c r="B131" s="199">
        <f>B128*B5*1000</f>
        <v>905815.80247424566</v>
      </c>
      <c r="C131" s="135" t="s">
        <v>356</v>
      </c>
      <c r="D131" s="177"/>
      <c r="E131" s="302"/>
      <c r="G131" s="162"/>
    </row>
    <row r="132" spans="1:7">
      <c r="A132" s="189" t="s">
        <v>255</v>
      </c>
      <c r="B132" s="318">
        <f>B131+$B$130+$B$129</f>
        <v>1271815.8024742457</v>
      </c>
      <c r="C132" s="135" t="s">
        <v>356</v>
      </c>
      <c r="D132" s="177" t="s">
        <v>120</v>
      </c>
      <c r="E132" s="302"/>
      <c r="G132" s="162"/>
    </row>
    <row r="133" spans="1:7" ht="16">
      <c r="A133" s="319" t="s">
        <v>342</v>
      </c>
      <c r="B133" s="320">
        <f>B128*1000*B7</f>
        <v>235.51210864330383</v>
      </c>
      <c r="C133" s="135" t="s">
        <v>337</v>
      </c>
      <c r="D133" s="177"/>
      <c r="E133" s="302"/>
      <c r="G133" s="162"/>
    </row>
    <row r="134" spans="1:7">
      <c r="A134" s="239" t="s">
        <v>343</v>
      </c>
      <c r="B134" s="321">
        <f>B116*B128*1000</f>
        <v>449.60024885538894</v>
      </c>
      <c r="C134" s="206" t="s">
        <v>337</v>
      </c>
      <c r="D134" s="208"/>
      <c r="E134" s="302"/>
      <c r="G134" s="162"/>
    </row>
    <row r="135" spans="1:7" s="323" customFormat="1">
      <c r="A135" s="172"/>
      <c r="B135" s="271"/>
      <c r="C135" s="135"/>
      <c r="D135" s="132"/>
      <c r="E135" s="322"/>
    </row>
    <row r="136" spans="1:7">
      <c r="A136" s="313" t="s">
        <v>21</v>
      </c>
      <c r="B136" s="314"/>
      <c r="C136" s="324"/>
      <c r="D136" s="261"/>
      <c r="E136" s="302"/>
      <c r="G136" s="162"/>
    </row>
    <row r="137" spans="1:7" ht="16">
      <c r="A137" s="158" t="s">
        <v>360</v>
      </c>
      <c r="B137" s="325">
        <f>B4/3.785412</f>
        <v>0.79251611185255399</v>
      </c>
      <c r="C137" s="181" t="s">
        <v>357</v>
      </c>
      <c r="D137" s="165" t="s">
        <v>74</v>
      </c>
      <c r="E137" s="326"/>
      <c r="G137" s="162"/>
    </row>
    <row r="138" spans="1:7" ht="16">
      <c r="A138" s="158" t="s">
        <v>359</v>
      </c>
      <c r="B138" s="181">
        <f>B24</f>
        <v>1441.5750253539109</v>
      </c>
      <c r="C138" s="181" t="s">
        <v>358</v>
      </c>
      <c r="D138" s="177"/>
      <c r="E138" s="311"/>
      <c r="G138" s="162"/>
    </row>
    <row r="139" spans="1:7" ht="16">
      <c r="A139" s="255" t="s">
        <v>361</v>
      </c>
      <c r="B139" s="327">
        <f>$B$137*B138</f>
        <v>1142.4714340372284</v>
      </c>
      <c r="C139" s="207" t="s">
        <v>337</v>
      </c>
      <c r="D139" s="208"/>
      <c r="E139" s="302"/>
      <c r="G139" s="162"/>
    </row>
    <row r="140" spans="1:7">
      <c r="A140" s="158"/>
      <c r="B140" s="160"/>
      <c r="C140" s="160"/>
      <c r="D140" s="132"/>
      <c r="E140" s="302"/>
      <c r="G140" s="162"/>
    </row>
    <row r="141" spans="1:7" ht="16">
      <c r="A141" s="258" t="s">
        <v>270</v>
      </c>
      <c r="B141" s="324"/>
      <c r="C141" s="324"/>
      <c r="D141" s="315"/>
      <c r="E141" s="302"/>
      <c r="G141" s="162"/>
    </row>
    <row r="142" spans="1:7" ht="16">
      <c r="A142" s="158" t="s">
        <v>363</v>
      </c>
      <c r="B142" s="328">
        <v>200</v>
      </c>
      <c r="C142" s="160" t="s">
        <v>337</v>
      </c>
      <c r="D142" s="177"/>
      <c r="E142" s="310" t="s">
        <v>104</v>
      </c>
      <c r="G142" s="162"/>
    </row>
    <row r="143" spans="1:7" ht="16">
      <c r="A143" s="255" t="s">
        <v>362</v>
      </c>
      <c r="B143" s="240">
        <v>100</v>
      </c>
      <c r="C143" s="207" t="s">
        <v>337</v>
      </c>
      <c r="D143" s="208"/>
      <c r="E143" s="310" t="s">
        <v>104</v>
      </c>
      <c r="G143" s="162"/>
    </row>
    <row r="144" spans="1:7">
      <c r="A144" s="158"/>
      <c r="B144" s="181"/>
      <c r="C144" s="160"/>
      <c r="D144" s="132"/>
      <c r="E144" s="311"/>
      <c r="G144" s="162"/>
    </row>
    <row r="145" spans="1:5">
      <c r="A145" s="329" t="s">
        <v>119</v>
      </c>
      <c r="B145" s="277"/>
      <c r="C145" s="277"/>
      <c r="D145" s="278"/>
      <c r="E145" s="302"/>
    </row>
    <row r="146" spans="1:5">
      <c r="A146" s="205" t="s">
        <v>446</v>
      </c>
      <c r="B146" s="238">
        <f>B10*B128/1000</f>
        <v>222.8035129345902</v>
      </c>
      <c r="C146" s="206" t="s">
        <v>445</v>
      </c>
      <c r="D146" s="208"/>
      <c r="E146" s="302"/>
    </row>
    <row r="147" spans="1:5">
      <c r="A147" s="178"/>
      <c r="B147" s="178"/>
      <c r="C147" s="178"/>
      <c r="E147" s="302"/>
    </row>
  </sheetData>
  <hyperlinks>
    <hyperlink ref="E73" r:id="rId1" xr:uid="{341BD72B-1B77-E64A-AF07-FDBF4032DAE6}"/>
    <hyperlink ref="E64" r:id="rId2" xr:uid="{92544B9D-6529-6F4E-86C1-A54DA722240D}"/>
    <hyperlink ref="E65" r:id="rId3" location="housebtu" display="https://www.calculator.net/btu-calculator.html?roomwidth=10&amp;roomwidthunit=feet&amp;roomlength=50&amp;roomlengthunit=feet&amp;ceilingheight=11&amp;ceilingheightunit=feet&amp;insulation=normal&amp;temperature=15&amp;temperatureunit=c&amp;ctype=house&amp;x=95&amp;y=27 - housebtu" xr:uid="{F979AB53-7E45-C74D-A29B-9626FCCD49D0}"/>
    <hyperlink ref="E56" r:id="rId4" display="https://www.tmeic.com/sites/default/files/assets/files/library/Solar_Ware_Samurai_brochure_3_2 MW_July2017.pdf" xr:uid="{FF743EFF-DC5B-CA44-A1B4-CDEFA47B1CB9}"/>
    <hyperlink ref="E60" r:id="rId5" display="https://www.tmeic.com/sites/default/files/assets/files/library/Solar_Ware_Samurai_brochure_3_2 MW_July2017.pdf" xr:uid="{E05879EC-C8F2-A04F-96BE-84F2F107DAC9}"/>
    <hyperlink ref="E4" r:id="rId6" xr:uid="{4D5540AF-D4D0-834C-8070-6DCD50DC7172}"/>
    <hyperlink ref="E63" r:id="rId7" xr:uid="{A962BABD-E691-D043-B3C2-17EA15DBC886}"/>
    <hyperlink ref="E13" r:id="rId8" xr:uid="{A791C81B-B29D-7946-9180-8C14F8225882}"/>
    <hyperlink ref="E14" r:id="rId9" xr:uid="{DE971290-53C8-5C45-9404-0A61D76D7DAD}"/>
    <hyperlink ref="E16" r:id="rId10" xr:uid="{94EE7851-3A8C-A642-BDA5-A1D6CB5A895F}"/>
    <hyperlink ref="E19" r:id="rId11" xr:uid="{2E1AE323-E62A-E640-A583-C9CC10AE20B0}"/>
    <hyperlink ref="E21" r:id="rId12" xr:uid="{DD509124-85B0-C948-BF66-5E5F07B6314D}"/>
    <hyperlink ref="E25" r:id="rId13" xr:uid="{2558CDBF-4404-9A42-BF7F-53CE528E42B8}"/>
    <hyperlink ref="E27" r:id="rId14" xr:uid="{E4EB8A86-6B38-B74D-9452-FC5838D6AD45}"/>
    <hyperlink ref="E122" r:id="rId15" display="https://www.epa.gov/sites/production/files/2015-07/documents/emission-factors_2014.pdf" xr:uid="{A1078E3F-7012-FC4C-9545-A1BC64A5BF05}"/>
  </hyperlinks>
  <pageMargins left="0.7" right="0.7" top="0.75" bottom="0.75" header="0.3" footer="0.3"/>
  <ignoredErrors>
    <ignoredError sqref="B4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3BAA5-7150-8C46-8B8E-CE036BD77B75}">
  <dimension ref="A1:Z81"/>
  <sheetViews>
    <sheetView workbookViewId="0">
      <selection activeCell="B26" sqref="B26"/>
    </sheetView>
  </sheetViews>
  <sheetFormatPr baseColWidth="10" defaultRowHeight="16"/>
  <cols>
    <col min="1" max="1" width="4.5" style="1" customWidth="1"/>
    <col min="2" max="2" width="40.6640625" style="1" customWidth="1"/>
    <col min="3" max="3" width="15.83203125" style="1" customWidth="1"/>
    <col min="4" max="4" width="8.33203125" style="1" customWidth="1"/>
    <col min="5" max="5" width="61.5" style="1" bestFit="1" customWidth="1"/>
    <col min="6" max="6" width="16.83203125" style="1" customWidth="1"/>
    <col min="7" max="8" width="15.83203125" style="1" customWidth="1"/>
    <col min="9" max="9" width="22.5" style="1" customWidth="1"/>
    <col min="10" max="13" width="15.83203125" style="1" customWidth="1"/>
    <col min="14" max="14" width="17.5" style="1" customWidth="1"/>
    <col min="15" max="21" width="15.83203125" style="1" customWidth="1"/>
    <col min="22" max="26" width="14" style="1" bestFit="1" customWidth="1"/>
    <col min="27" max="16384" width="10.83203125" style="1"/>
  </cols>
  <sheetData>
    <row r="1" spans="1:26">
      <c r="A1" s="13"/>
      <c r="B1" s="76" t="s">
        <v>26</v>
      </c>
      <c r="C1" s="114">
        <v>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>
      <c r="A2" s="13"/>
      <c r="B2" s="61" t="s">
        <v>27</v>
      </c>
      <c r="C2" s="115">
        <v>0.03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>
      <c r="A3" s="13"/>
      <c r="B3" s="62" t="s">
        <v>33</v>
      </c>
      <c r="C3" s="116">
        <f>MROUND(master!B6/365, 0.5)</f>
        <v>13.5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>
      <c r="A4" s="13"/>
      <c r="B4" s="62" t="s">
        <v>29</v>
      </c>
      <c r="C4" s="78">
        <f>-master!B131</f>
        <v>-905815.80247424566</v>
      </c>
      <c r="D4" s="13"/>
      <c r="E4" s="13" t="s">
        <v>89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6">
      <c r="A5" s="13"/>
      <c r="B5" s="62" t="s">
        <v>121</v>
      </c>
      <c r="C5" s="117">
        <f>-master!B132</f>
        <v>-1271815.8024742457</v>
      </c>
      <c r="D5" s="13"/>
      <c r="E5" s="13" t="s">
        <v>106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6">
      <c r="A6" s="13"/>
      <c r="B6" s="62" t="s">
        <v>107</v>
      </c>
      <c r="C6" s="117">
        <f>-master!B128*50*1000</f>
        <v>-452907.90123712283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6">
      <c r="A7" s="13"/>
      <c r="B7" s="62"/>
      <c r="C7" s="118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6">
      <c r="A8" s="13"/>
      <c r="B8" s="62" t="s">
        <v>31</v>
      </c>
      <c r="C8" s="119">
        <f>master!B133</f>
        <v>235.51210864330383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6">
      <c r="A9" s="13"/>
      <c r="B9" s="62" t="s">
        <v>233</v>
      </c>
      <c r="C9" s="119">
        <f>master!B134</f>
        <v>449.60024885538894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6">
      <c r="A10" s="25"/>
      <c r="B10" s="62" t="s">
        <v>30</v>
      </c>
      <c r="C10" s="119">
        <f>master!B139</f>
        <v>1142.4714340372284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6">
      <c r="A11" s="25"/>
      <c r="B11" s="62"/>
      <c r="C11" s="120"/>
      <c r="D11" s="14"/>
      <c r="E11" s="97" t="s">
        <v>34</v>
      </c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88"/>
      <c r="W11" s="88"/>
      <c r="X11" s="88"/>
      <c r="Y11" s="88"/>
      <c r="Z11" s="89"/>
    </row>
    <row r="12" spans="1:26">
      <c r="A12" s="13"/>
      <c r="B12" s="83" t="s">
        <v>275</v>
      </c>
      <c r="C12" s="121">
        <f>-master!B143</f>
        <v>-100</v>
      </c>
      <c r="E12" s="9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46"/>
      <c r="W12" s="46"/>
      <c r="X12" s="46"/>
      <c r="Y12" s="46"/>
      <c r="Z12" s="63"/>
    </row>
    <row r="13" spans="1:26" s="19" customFormat="1">
      <c r="A13" s="14"/>
      <c r="C13" s="113"/>
      <c r="E13" s="99" t="s">
        <v>24</v>
      </c>
      <c r="F13" s="100">
        <v>0</v>
      </c>
      <c r="G13" s="100">
        <v>1</v>
      </c>
      <c r="H13" s="100">
        <v>2</v>
      </c>
      <c r="I13" s="100">
        <v>3</v>
      </c>
      <c r="J13" s="100">
        <v>4</v>
      </c>
      <c r="K13" s="100">
        <v>5</v>
      </c>
      <c r="L13" s="100">
        <v>6</v>
      </c>
      <c r="M13" s="100">
        <v>7</v>
      </c>
      <c r="N13" s="100">
        <v>8</v>
      </c>
      <c r="O13" s="100">
        <v>9</v>
      </c>
      <c r="P13" s="100">
        <v>10</v>
      </c>
      <c r="Q13" s="100">
        <v>11</v>
      </c>
      <c r="R13" s="100">
        <v>12</v>
      </c>
      <c r="S13" s="100">
        <v>13</v>
      </c>
      <c r="T13" s="100">
        <v>14</v>
      </c>
      <c r="U13" s="100">
        <v>15</v>
      </c>
      <c r="V13" s="49">
        <v>16</v>
      </c>
      <c r="W13" s="49">
        <v>17</v>
      </c>
      <c r="X13" s="49">
        <v>18</v>
      </c>
      <c r="Y13" s="49">
        <v>19</v>
      </c>
      <c r="Z13" s="101">
        <v>20</v>
      </c>
    </row>
    <row r="14" spans="1:26">
      <c r="A14" s="13"/>
      <c r="B14" s="13"/>
      <c r="C14" s="112"/>
      <c r="D14" s="13"/>
      <c r="E14" s="62" t="s">
        <v>20</v>
      </c>
      <c r="F14" s="20">
        <f>IF(MOD(F13,$C$3)=0.5,$C$5,IF(MOD(F13,$C$3)=0,$C$5,0))</f>
        <v>-1271815.8024742457</v>
      </c>
      <c r="G14" s="20">
        <f t="shared" ref="G14:P14" si="0">IF(MOD(G13,$C$3)=0.5,$C$4,IF(MOD(G13,$C$3)=0,$C$4,0))</f>
        <v>0</v>
      </c>
      <c r="H14" s="20">
        <f t="shared" si="0"/>
        <v>0</v>
      </c>
      <c r="I14" s="20">
        <f t="shared" si="0"/>
        <v>0</v>
      </c>
      <c r="J14" s="20">
        <f t="shared" si="0"/>
        <v>0</v>
      </c>
      <c r="K14" s="20">
        <f t="shared" si="0"/>
        <v>0</v>
      </c>
      <c r="L14" s="20">
        <f t="shared" si="0"/>
        <v>0</v>
      </c>
      <c r="M14" s="20">
        <f t="shared" si="0"/>
        <v>0</v>
      </c>
      <c r="N14" s="20">
        <f t="shared" si="0"/>
        <v>0</v>
      </c>
      <c r="O14" s="20">
        <f t="shared" si="0"/>
        <v>0</v>
      </c>
      <c r="P14" s="20">
        <f t="shared" si="0"/>
        <v>0</v>
      </c>
      <c r="Q14" s="20">
        <f>IF(MOD(Q13,$C$3)=0.5,$C$4,IF(MOD(Q13,$C$3)=0,$C$6,0))</f>
        <v>0</v>
      </c>
      <c r="R14" s="20">
        <f t="shared" ref="R14:Z14" si="1">IF(MOD(R13,$C$3)=0.5,$C$4,IF(MOD(R13,$C$3)=0,$C$4,0))</f>
        <v>0</v>
      </c>
      <c r="S14" s="20">
        <f t="shared" si="1"/>
        <v>0</v>
      </c>
      <c r="T14" s="20">
        <f t="shared" si="1"/>
        <v>-905815.80247424566</v>
      </c>
      <c r="U14" s="20">
        <f t="shared" si="1"/>
        <v>0</v>
      </c>
      <c r="V14" s="20">
        <f t="shared" si="1"/>
        <v>0</v>
      </c>
      <c r="W14" s="20">
        <f t="shared" si="1"/>
        <v>0</v>
      </c>
      <c r="X14" s="20">
        <f t="shared" si="1"/>
        <v>0</v>
      </c>
      <c r="Y14" s="20">
        <f t="shared" si="1"/>
        <v>0</v>
      </c>
      <c r="Z14" s="78">
        <f t="shared" si="1"/>
        <v>0</v>
      </c>
    </row>
    <row r="15" spans="1:26">
      <c r="A15" s="13"/>
      <c r="B15" s="14"/>
      <c r="D15" s="13"/>
      <c r="E15" s="62" t="s">
        <v>232</v>
      </c>
      <c r="F15" s="26"/>
      <c r="G15" s="20">
        <f>-$C$8*365</f>
        <v>-85961.919654805897</v>
      </c>
      <c r="H15" s="20">
        <f>G15</f>
        <v>-85961.919654805897</v>
      </c>
      <c r="I15" s="20">
        <f t="shared" ref="I15:U15" si="2">H15</f>
        <v>-85961.919654805897</v>
      </c>
      <c r="J15" s="20">
        <f t="shared" si="2"/>
        <v>-85961.919654805897</v>
      </c>
      <c r="K15" s="20">
        <f t="shared" si="2"/>
        <v>-85961.919654805897</v>
      </c>
      <c r="L15" s="20">
        <f t="shared" si="2"/>
        <v>-85961.919654805897</v>
      </c>
      <c r="M15" s="20">
        <f t="shared" si="2"/>
        <v>-85961.919654805897</v>
      </c>
      <c r="N15" s="20">
        <f t="shared" si="2"/>
        <v>-85961.919654805897</v>
      </c>
      <c r="O15" s="20">
        <f t="shared" si="2"/>
        <v>-85961.919654805897</v>
      </c>
      <c r="P15" s="20">
        <f t="shared" si="2"/>
        <v>-85961.919654805897</v>
      </c>
      <c r="Q15" s="20">
        <f t="shared" si="2"/>
        <v>-85961.919654805897</v>
      </c>
      <c r="R15" s="20">
        <f t="shared" si="2"/>
        <v>-85961.919654805897</v>
      </c>
      <c r="S15" s="20">
        <f t="shared" si="2"/>
        <v>-85961.919654805897</v>
      </c>
      <c r="T15" s="20">
        <f t="shared" si="2"/>
        <v>-85961.919654805897</v>
      </c>
      <c r="U15" s="20">
        <f t="shared" si="2"/>
        <v>-85961.919654805897</v>
      </c>
      <c r="V15" s="20">
        <f t="shared" ref="V15:X15" si="3">U15</f>
        <v>-85961.919654805897</v>
      </c>
      <c r="W15" s="20">
        <f t="shared" si="3"/>
        <v>-85961.919654805897</v>
      </c>
      <c r="X15" s="20">
        <f t="shared" si="3"/>
        <v>-85961.919654805897</v>
      </c>
      <c r="Y15" s="20">
        <f t="shared" ref="Y15:Z15" si="4">X15</f>
        <v>-85961.919654805897</v>
      </c>
      <c r="Z15" s="78">
        <f t="shared" si="4"/>
        <v>-85961.919654805897</v>
      </c>
    </row>
    <row r="16" spans="1:26">
      <c r="A16" s="13"/>
      <c r="B16" s="15"/>
      <c r="C16" s="15"/>
      <c r="D16" s="13"/>
      <c r="E16" s="62" t="s">
        <v>231</v>
      </c>
      <c r="F16" s="26"/>
      <c r="G16" s="20">
        <f>-$C$9*365</f>
        <v>-164104.09083221696</v>
      </c>
      <c r="H16" s="20">
        <f t="shared" ref="H16:Z16" si="5">-$C$9*365</f>
        <v>-164104.09083221696</v>
      </c>
      <c r="I16" s="20">
        <f t="shared" si="5"/>
        <v>-164104.09083221696</v>
      </c>
      <c r="J16" s="20">
        <f t="shared" si="5"/>
        <v>-164104.09083221696</v>
      </c>
      <c r="K16" s="20">
        <f t="shared" si="5"/>
        <v>-164104.09083221696</v>
      </c>
      <c r="L16" s="20">
        <f t="shared" si="5"/>
        <v>-164104.09083221696</v>
      </c>
      <c r="M16" s="20">
        <f t="shared" si="5"/>
        <v>-164104.09083221696</v>
      </c>
      <c r="N16" s="20">
        <f t="shared" si="5"/>
        <v>-164104.09083221696</v>
      </c>
      <c r="O16" s="20">
        <f t="shared" si="5"/>
        <v>-164104.09083221696</v>
      </c>
      <c r="P16" s="20">
        <f t="shared" si="5"/>
        <v>-164104.09083221696</v>
      </c>
      <c r="Q16" s="20">
        <f t="shared" si="5"/>
        <v>-164104.09083221696</v>
      </c>
      <c r="R16" s="20">
        <f t="shared" si="5"/>
        <v>-164104.09083221696</v>
      </c>
      <c r="S16" s="20">
        <f t="shared" si="5"/>
        <v>-164104.09083221696</v>
      </c>
      <c r="T16" s="20">
        <f t="shared" si="5"/>
        <v>-164104.09083221696</v>
      </c>
      <c r="U16" s="20">
        <f t="shared" si="5"/>
        <v>-164104.09083221696</v>
      </c>
      <c r="V16" s="20">
        <f t="shared" si="5"/>
        <v>-164104.09083221696</v>
      </c>
      <c r="W16" s="20">
        <f t="shared" si="5"/>
        <v>-164104.09083221696</v>
      </c>
      <c r="X16" s="20">
        <f t="shared" si="5"/>
        <v>-164104.09083221696</v>
      </c>
      <c r="Y16" s="20">
        <f t="shared" si="5"/>
        <v>-164104.09083221696</v>
      </c>
      <c r="Z16" s="78">
        <f t="shared" si="5"/>
        <v>-164104.09083221696</v>
      </c>
    </row>
    <row r="17" spans="1:26">
      <c r="A17" s="13"/>
      <c r="B17" s="13"/>
      <c r="C17" s="15"/>
      <c r="D17" s="13"/>
      <c r="E17" s="102" t="s">
        <v>274</v>
      </c>
      <c r="F17" s="70"/>
      <c r="G17" s="20">
        <f>master!$B$142*365</f>
        <v>73000</v>
      </c>
      <c r="H17" s="20">
        <f>master!$B$142*365</f>
        <v>73000</v>
      </c>
      <c r="I17" s="20">
        <f>master!$B$142*365</f>
        <v>73000</v>
      </c>
      <c r="J17" s="20">
        <f>master!$B$142*365</f>
        <v>73000</v>
      </c>
      <c r="K17" s="20">
        <f>master!$B$142*365</f>
        <v>73000</v>
      </c>
      <c r="L17" s="20">
        <f>master!$B$142*365</f>
        <v>73000</v>
      </c>
      <c r="M17" s="20">
        <f>master!$B$142*365</f>
        <v>73000</v>
      </c>
      <c r="N17" s="20">
        <f>master!$B$142*365</f>
        <v>73000</v>
      </c>
      <c r="O17" s="20">
        <f>master!$B$142*365</f>
        <v>73000</v>
      </c>
      <c r="P17" s="20">
        <f>master!$B$142*365</f>
        <v>73000</v>
      </c>
      <c r="Q17" s="20">
        <f>master!$B$142*365</f>
        <v>73000</v>
      </c>
      <c r="R17" s="20">
        <f>master!$B$142*365</f>
        <v>73000</v>
      </c>
      <c r="S17" s="20">
        <f>master!$B$142*365</f>
        <v>73000</v>
      </c>
      <c r="T17" s="20">
        <f>master!$B$142*365</f>
        <v>73000</v>
      </c>
      <c r="U17" s="20">
        <f>master!$B$142*365</f>
        <v>73000</v>
      </c>
      <c r="V17" s="20">
        <f>master!$B$142*365</f>
        <v>73000</v>
      </c>
      <c r="W17" s="20">
        <f>master!$B$142*365</f>
        <v>73000</v>
      </c>
      <c r="X17" s="20">
        <f>master!$B$142*365</f>
        <v>73000</v>
      </c>
      <c r="Y17" s="20">
        <f>master!$B$142*365</f>
        <v>73000</v>
      </c>
      <c r="Z17" s="78">
        <f>master!$B$142*365</f>
        <v>73000</v>
      </c>
    </row>
    <row r="18" spans="1:26">
      <c r="A18" s="13"/>
      <c r="B18" s="13"/>
      <c r="C18" s="13"/>
      <c r="D18" s="13"/>
      <c r="E18" s="102" t="s">
        <v>276</v>
      </c>
      <c r="F18" s="103"/>
      <c r="G18" s="104">
        <f>$C$12*365</f>
        <v>-36500</v>
      </c>
      <c r="H18" s="104">
        <f t="shared" ref="H18:Z18" si="6">$C$12*365</f>
        <v>-36500</v>
      </c>
      <c r="I18" s="104">
        <f t="shared" si="6"/>
        <v>-36500</v>
      </c>
      <c r="J18" s="104">
        <f t="shared" si="6"/>
        <v>-36500</v>
      </c>
      <c r="K18" s="104">
        <f t="shared" si="6"/>
        <v>-36500</v>
      </c>
      <c r="L18" s="104">
        <f t="shared" si="6"/>
        <v>-36500</v>
      </c>
      <c r="M18" s="104">
        <f t="shared" si="6"/>
        <v>-36500</v>
      </c>
      <c r="N18" s="104">
        <f t="shared" si="6"/>
        <v>-36500</v>
      </c>
      <c r="O18" s="104">
        <f t="shared" si="6"/>
        <v>-36500</v>
      </c>
      <c r="P18" s="104">
        <f t="shared" si="6"/>
        <v>-36500</v>
      </c>
      <c r="Q18" s="104">
        <f t="shared" si="6"/>
        <v>-36500</v>
      </c>
      <c r="R18" s="104">
        <f t="shared" si="6"/>
        <v>-36500</v>
      </c>
      <c r="S18" s="104">
        <f t="shared" si="6"/>
        <v>-36500</v>
      </c>
      <c r="T18" s="104">
        <f t="shared" si="6"/>
        <v>-36500</v>
      </c>
      <c r="U18" s="104">
        <f t="shared" si="6"/>
        <v>-36500</v>
      </c>
      <c r="V18" s="104">
        <f t="shared" si="6"/>
        <v>-36500</v>
      </c>
      <c r="W18" s="104">
        <f t="shared" si="6"/>
        <v>-36500</v>
      </c>
      <c r="X18" s="104">
        <f t="shared" si="6"/>
        <v>-36500</v>
      </c>
      <c r="Y18" s="104">
        <f t="shared" si="6"/>
        <v>-36500</v>
      </c>
      <c r="Z18" s="105">
        <f t="shared" si="6"/>
        <v>-36500</v>
      </c>
    </row>
    <row r="19" spans="1:26">
      <c r="A19" s="13"/>
      <c r="B19" s="13"/>
      <c r="C19" s="13"/>
      <c r="D19" s="13"/>
      <c r="E19" s="106" t="s">
        <v>7</v>
      </c>
      <c r="F19" s="55"/>
      <c r="G19" s="17">
        <f>$C$10*365</f>
        <v>417002.07342358836</v>
      </c>
      <c r="H19" s="17">
        <f t="shared" ref="H19:Z19" si="7">G19</f>
        <v>417002.07342358836</v>
      </c>
      <c r="I19" s="17">
        <f t="shared" si="7"/>
        <v>417002.07342358836</v>
      </c>
      <c r="J19" s="17">
        <f t="shared" si="7"/>
        <v>417002.07342358836</v>
      </c>
      <c r="K19" s="17">
        <f t="shared" si="7"/>
        <v>417002.07342358836</v>
      </c>
      <c r="L19" s="17">
        <f t="shared" si="7"/>
        <v>417002.07342358836</v>
      </c>
      <c r="M19" s="17">
        <f t="shared" si="7"/>
        <v>417002.07342358836</v>
      </c>
      <c r="N19" s="17">
        <f t="shared" si="7"/>
        <v>417002.07342358836</v>
      </c>
      <c r="O19" s="17">
        <f t="shared" si="7"/>
        <v>417002.07342358836</v>
      </c>
      <c r="P19" s="17">
        <f t="shared" si="7"/>
        <v>417002.07342358836</v>
      </c>
      <c r="Q19" s="17">
        <f t="shared" si="7"/>
        <v>417002.07342358836</v>
      </c>
      <c r="R19" s="17">
        <f t="shared" si="7"/>
        <v>417002.07342358836</v>
      </c>
      <c r="S19" s="17">
        <f t="shared" si="7"/>
        <v>417002.07342358836</v>
      </c>
      <c r="T19" s="17">
        <f t="shared" si="7"/>
        <v>417002.07342358836</v>
      </c>
      <c r="U19" s="17">
        <f t="shared" si="7"/>
        <v>417002.07342358836</v>
      </c>
      <c r="V19" s="17">
        <f t="shared" si="7"/>
        <v>417002.07342358836</v>
      </c>
      <c r="W19" s="17">
        <f t="shared" si="7"/>
        <v>417002.07342358836</v>
      </c>
      <c r="X19" s="17">
        <f t="shared" si="7"/>
        <v>417002.07342358836</v>
      </c>
      <c r="Y19" s="17">
        <f t="shared" si="7"/>
        <v>417002.07342358836</v>
      </c>
      <c r="Z19" s="107">
        <f t="shared" si="7"/>
        <v>417002.07342358836</v>
      </c>
    </row>
    <row r="20" spans="1:26">
      <c r="A20" s="13"/>
      <c r="B20" s="51" t="s">
        <v>326</v>
      </c>
      <c r="C20" s="13"/>
      <c r="D20" s="13"/>
      <c r="E20" s="102" t="s">
        <v>277</v>
      </c>
      <c r="F20" s="70"/>
      <c r="G20" s="20">
        <f>damages!B22</f>
        <v>261206.20348312633</v>
      </c>
      <c r="H20" s="20">
        <f>damages!C22</f>
        <v>249357.08042881594</v>
      </c>
      <c r="I20" s="20">
        <f>damages!D22</f>
        <v>237507.95737450561</v>
      </c>
      <c r="J20" s="20">
        <f>damages!E22</f>
        <v>225658.83432019522</v>
      </c>
      <c r="K20" s="20">
        <f>damages!F22</f>
        <v>213809.71126588489</v>
      </c>
      <c r="L20" s="20">
        <f>damages!G22</f>
        <v>201960.58821157453</v>
      </c>
      <c r="M20" s="20">
        <f>damages!H22</f>
        <v>190111.46515726417</v>
      </c>
      <c r="N20" s="20">
        <f>damages!I22</f>
        <v>178262.34210295381</v>
      </c>
      <c r="O20" s="20">
        <f>damages!J22</f>
        <v>166413.21904864346</v>
      </c>
      <c r="P20" s="20">
        <f>damages!K22</f>
        <v>154564.0959943331</v>
      </c>
      <c r="Q20" s="20">
        <f>damages!L22</f>
        <v>141799.01171509744</v>
      </c>
      <c r="R20" s="20">
        <f>damages!M22</f>
        <v>134155.85912605605</v>
      </c>
      <c r="S20" s="20">
        <f>damages!N22</f>
        <v>126512.70653701466</v>
      </c>
      <c r="T20" s="20">
        <f>damages!O22</f>
        <v>118869.55394797328</v>
      </c>
      <c r="U20" s="20">
        <f>damages!P22</f>
        <v>111226.40135893189</v>
      </c>
      <c r="V20" s="20">
        <f>damages!Q22</f>
        <v>103821.98295669636</v>
      </c>
      <c r="W20" s="20">
        <f>damages!R22</f>
        <v>98911.956564683132</v>
      </c>
      <c r="X20" s="20">
        <f>damages!S22</f>
        <v>94001.93017266989</v>
      </c>
      <c r="Y20" s="20">
        <f>damages!T22</f>
        <v>89091.903780656634</v>
      </c>
      <c r="Z20" s="78">
        <f>damages!U22</f>
        <v>84181.877388643392</v>
      </c>
    </row>
    <row r="21" spans="1:26">
      <c r="A21" s="13"/>
      <c r="B21" s="51"/>
      <c r="C21" s="13"/>
      <c r="D21" s="13"/>
      <c r="E21" s="102" t="s">
        <v>279</v>
      </c>
      <c r="F21" s="70"/>
      <c r="G21" s="20">
        <f>-(damages!B29+damages!B30)</f>
        <v>-19394.940612295926</v>
      </c>
      <c r="H21" s="20">
        <f>-(damages!C29+damages!C30)</f>
        <v>-17735.768015552763</v>
      </c>
      <c r="I21" s="20">
        <f>-(damages!D29+damages!D30)</f>
        <v>-16105.565169484646</v>
      </c>
      <c r="J21" s="20">
        <f>-(damages!E29+damages!E30)</f>
        <v>-15002.461361000202</v>
      </c>
      <c r="K21" s="20">
        <f>-(damages!F29+damages!F30)</f>
        <v>-13914.388377209321</v>
      </c>
      <c r="L21" s="20">
        <f>-(damages!G29+damages!G30)</f>
        <v>-13033.626755053057</v>
      </c>
      <c r="M21" s="20">
        <f>-(damages!H29+damages!H30)</f>
        <v>-12165.53654489757</v>
      </c>
      <c r="N21" s="20">
        <f>-(damages!I29+damages!I30)</f>
        <v>-10803.5898009309</v>
      </c>
      <c r="O21" s="20">
        <f>-(damages!J29+damages!J30)</f>
        <v>-9463.0487513693733</v>
      </c>
      <c r="P21" s="20">
        <f>-(damages!K29+damages!K30)</f>
        <v>-7781.1776100093975</v>
      </c>
      <c r="Q21" s="20">
        <f>-(damages!L29+damages!L30)</f>
        <v>-6121.8666710313682</v>
      </c>
      <c r="R21" s="20">
        <f>-(damages!M29+damages!M30)</f>
        <v>-4723.4662444155338</v>
      </c>
      <c r="S21" s="20">
        <f>-(damages!N29+damages!N30)</f>
        <v>-3343.3883576754888</v>
      </c>
      <c r="T21" s="20">
        <f>-(damages!O29+damages!O30)</f>
        <v>-2345.6484202080155</v>
      </c>
      <c r="U21" s="20">
        <f>-(damages!P29+damages!P30)</f>
        <v>-1362.6457098566432</v>
      </c>
      <c r="V21" s="20">
        <f>-(damages!Q29+damages!Q30)</f>
        <v>-394.05924172701236</v>
      </c>
      <c r="W21" s="20">
        <f>-(damages!R29+damages!R30)</f>
        <v>-381.91570462204197</v>
      </c>
      <c r="X21" s="20">
        <f>-(damages!S29+damages!S30)</f>
        <v>-369.99530406316728</v>
      </c>
      <c r="Y21" s="20">
        <f>-(damages!T29+damages!T30)</f>
        <v>-358.28234428884588</v>
      </c>
      <c r="Z21" s="78">
        <f>-(damages!U29+damages!U30)</f>
        <v>-346.77606930221566</v>
      </c>
    </row>
    <row r="22" spans="1:26">
      <c r="A22" s="13"/>
      <c r="B22" s="51"/>
      <c r="C22" s="13"/>
      <c r="D22" s="13"/>
      <c r="E22" s="102" t="s">
        <v>278</v>
      </c>
      <c r="F22" s="70"/>
      <c r="G22" s="20">
        <f>damages!B8</f>
        <v>177418.94214779232</v>
      </c>
      <c r="H22" s="20">
        <f>damages!C8</f>
        <v>182741.51041222611</v>
      </c>
      <c r="I22" s="20">
        <f>damages!D8</f>
        <v>188223.75572459289</v>
      </c>
      <c r="J22" s="20">
        <f>damages!E8</f>
        <v>193870.46839633066</v>
      </c>
      <c r="K22" s="20">
        <f>damages!F8</f>
        <v>199686.58244822061</v>
      </c>
      <c r="L22" s="20">
        <f>damages!G8</f>
        <v>205677.17992166724</v>
      </c>
      <c r="M22" s="20">
        <f>damages!H8</f>
        <v>211847.49531931727</v>
      </c>
      <c r="N22" s="20">
        <f>damages!I8</f>
        <v>218202.92017889678</v>
      </c>
      <c r="O22" s="20">
        <f>damages!J8</f>
        <v>224749.00778426367</v>
      </c>
      <c r="P22" s="20">
        <f>damages!K8</f>
        <v>231491.47801779158</v>
      </c>
      <c r="Q22" s="20">
        <f>damages!L8</f>
        <v>238436.22235832532</v>
      </c>
      <c r="R22" s="20">
        <f>damages!M8</f>
        <v>245589.30902907508</v>
      </c>
      <c r="S22" s="20">
        <f>damages!N8</f>
        <v>252956.98829994735</v>
      </c>
      <c r="T22" s="20">
        <f>damages!O8</f>
        <v>260545.69794894577</v>
      </c>
      <c r="U22" s="20">
        <f>damages!P8</f>
        <v>268362.06888741418</v>
      </c>
      <c r="V22" s="20">
        <f>damages!Q8</f>
        <v>276412.93095403659</v>
      </c>
      <c r="W22" s="20">
        <f>damages!R8</f>
        <v>284705.31888265774</v>
      </c>
      <c r="X22" s="20">
        <f>damages!S8</f>
        <v>293246.47844913747</v>
      </c>
      <c r="Y22" s="20">
        <f>damages!T8</f>
        <v>302043.87280261162</v>
      </c>
      <c r="Z22" s="78">
        <f>damages!U8</f>
        <v>311105.18898668996</v>
      </c>
    </row>
    <row r="23" spans="1:26">
      <c r="A23" s="13"/>
      <c r="B23" s="51"/>
      <c r="C23" s="13"/>
      <c r="D23" s="13"/>
      <c r="E23" s="102" t="s">
        <v>280</v>
      </c>
      <c r="F23" s="70"/>
      <c r="G23" s="20">
        <f>-(damages!B28)</f>
        <v>-149122.73020293223</v>
      </c>
      <c r="H23" s="20">
        <f>-(damages!C28)</f>
        <v>-144465.66796798995</v>
      </c>
      <c r="I23" s="20">
        <f>-(damages!D28)</f>
        <v>-139559.17139562097</v>
      </c>
      <c r="J23" s="20">
        <f>-(damages!E28)</f>
        <v>-136420.4068093618</v>
      </c>
      <c r="K23" s="20">
        <f>-(damages!F28)</f>
        <v>-133070.51385777077</v>
      </c>
      <c r="L23" s="20">
        <f>-(damages!G28)</f>
        <v>-128832.50966099893</v>
      </c>
      <c r="M23" s="20">
        <f>-(damages!H28)</f>
        <v>-124342.40376405687</v>
      </c>
      <c r="N23" s="20">
        <f>-(damages!I28)</f>
        <v>-117078.83062179046</v>
      </c>
      <c r="O23" s="20">
        <f>-(damages!J28)</f>
        <v>-109445.50956025551</v>
      </c>
      <c r="P23" s="20">
        <f>-(damages!K28)</f>
        <v>-98354.03942390134</v>
      </c>
      <c r="Q23" s="20">
        <f>-(damages!L28)</f>
        <v>-86697.185397540306</v>
      </c>
      <c r="R23" s="20">
        <f>-(damages!M28)</f>
        <v>-74715.822521873386</v>
      </c>
      <c r="S23" s="20">
        <f>-(damages!N28)</f>
        <v>-62134.346319352189</v>
      </c>
      <c r="T23" s="20">
        <f>-(damages!O28)</f>
        <v>-50317.431493745964</v>
      </c>
      <c r="U23" s="20">
        <f>-(damages!P28)</f>
        <v>-37943.719246575558</v>
      </c>
      <c r="V23" s="20">
        <f>-(damages!Q28)</f>
        <v>-24991.966126235999</v>
      </c>
      <c r="W23" s="20">
        <f>-(damages!R28)</f>
        <v>-25202.17812069679</v>
      </c>
      <c r="X23" s="20">
        <f>-(damages!S28)</f>
        <v>-25412.39189615547</v>
      </c>
      <c r="Y23" s="20">
        <f>-(damages!T28)</f>
        <v>-25622.445751070638</v>
      </c>
      <c r="Z23" s="78">
        <f>-(damages!U28)</f>
        <v>-25832.170668823295</v>
      </c>
    </row>
    <row r="24" spans="1:26">
      <c r="E24" s="108"/>
      <c r="F24" s="72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63"/>
    </row>
    <row r="25" spans="1:26" s="25" customFormat="1">
      <c r="C25" s="27"/>
      <c r="E25" s="108" t="s">
        <v>283</v>
      </c>
      <c r="F25" s="69">
        <f>SUM(F14:F19)</f>
        <v>-1271815.8024742457</v>
      </c>
      <c r="G25" s="23">
        <f t="shared" ref="G25:Z25" si="8">SUM(G14:G19)</f>
        <v>203436.06293656549</v>
      </c>
      <c r="H25" s="23">
        <f t="shared" si="8"/>
        <v>203436.06293656549</v>
      </c>
      <c r="I25" s="23">
        <f t="shared" si="8"/>
        <v>203436.06293656549</v>
      </c>
      <c r="J25" s="23">
        <f t="shared" si="8"/>
        <v>203436.06293656549</v>
      </c>
      <c r="K25" s="23">
        <f t="shared" si="8"/>
        <v>203436.06293656549</v>
      </c>
      <c r="L25" s="23">
        <f t="shared" si="8"/>
        <v>203436.06293656549</v>
      </c>
      <c r="M25" s="23">
        <f t="shared" si="8"/>
        <v>203436.06293656549</v>
      </c>
      <c r="N25" s="23">
        <f t="shared" si="8"/>
        <v>203436.06293656549</v>
      </c>
      <c r="O25" s="23">
        <f t="shared" si="8"/>
        <v>203436.06293656549</v>
      </c>
      <c r="P25" s="23">
        <f t="shared" si="8"/>
        <v>203436.06293656549</v>
      </c>
      <c r="Q25" s="23">
        <f t="shared" si="8"/>
        <v>203436.06293656549</v>
      </c>
      <c r="R25" s="23">
        <f t="shared" si="8"/>
        <v>203436.06293656549</v>
      </c>
      <c r="S25" s="23">
        <f t="shared" si="8"/>
        <v>203436.06293656549</v>
      </c>
      <c r="T25" s="23">
        <f t="shared" si="8"/>
        <v>-702379.73953768006</v>
      </c>
      <c r="U25" s="23">
        <f t="shared" si="8"/>
        <v>203436.06293656549</v>
      </c>
      <c r="V25" s="23">
        <f t="shared" si="8"/>
        <v>203436.06293656549</v>
      </c>
      <c r="W25" s="23">
        <f t="shared" si="8"/>
        <v>203436.06293656549</v>
      </c>
      <c r="X25" s="23">
        <f t="shared" si="8"/>
        <v>203436.06293656549</v>
      </c>
      <c r="Y25" s="23">
        <f t="shared" si="8"/>
        <v>203436.06293656549</v>
      </c>
      <c r="Z25" s="90">
        <f t="shared" si="8"/>
        <v>203436.06293656549</v>
      </c>
    </row>
    <row r="26" spans="1:26" s="25" customFormat="1">
      <c r="C26" s="27"/>
      <c r="E26" s="108" t="s">
        <v>207</v>
      </c>
      <c r="F26" s="69">
        <f>SUM(F14:F21)</f>
        <v>-1271815.8024742457</v>
      </c>
      <c r="G26" s="23">
        <f t="shared" ref="G26:Z26" si="9">SUM(G14:G21)</f>
        <v>445247.32580739592</v>
      </c>
      <c r="H26" s="23">
        <f t="shared" si="9"/>
        <v>435057.37534982862</v>
      </c>
      <c r="I26" s="23">
        <f t="shared" si="9"/>
        <v>424838.45514158643</v>
      </c>
      <c r="J26" s="23">
        <f t="shared" si="9"/>
        <v>414092.43589576054</v>
      </c>
      <c r="K26" s="23">
        <f t="shared" si="9"/>
        <v>403331.3858252411</v>
      </c>
      <c r="L26" s="23">
        <f t="shared" si="9"/>
        <v>392363.02439308696</v>
      </c>
      <c r="M26" s="23">
        <f t="shared" si="9"/>
        <v>381381.99154893204</v>
      </c>
      <c r="N26" s="23">
        <f t="shared" si="9"/>
        <v>370894.81523858843</v>
      </c>
      <c r="O26" s="23">
        <f t="shared" si="9"/>
        <v>360386.23323383962</v>
      </c>
      <c r="P26" s="23">
        <f t="shared" si="9"/>
        <v>350218.9813208892</v>
      </c>
      <c r="Q26" s="23">
        <f>SUM(Q14:Q21)</f>
        <v>339113.20798063162</v>
      </c>
      <c r="R26" s="23">
        <f t="shared" si="9"/>
        <v>332868.45581820601</v>
      </c>
      <c r="S26" s="23">
        <f t="shared" si="9"/>
        <v>326605.38111590466</v>
      </c>
      <c r="T26" s="23">
        <f t="shared" si="9"/>
        <v>-585855.83400991478</v>
      </c>
      <c r="U26" s="23">
        <f t="shared" si="9"/>
        <v>313299.81858564075</v>
      </c>
      <c r="V26" s="23">
        <f t="shared" si="9"/>
        <v>306863.98665153485</v>
      </c>
      <c r="W26" s="23">
        <f t="shared" si="9"/>
        <v>301966.10379662656</v>
      </c>
      <c r="X26" s="23">
        <f t="shared" si="9"/>
        <v>297067.99780517217</v>
      </c>
      <c r="Y26" s="23">
        <f t="shared" si="9"/>
        <v>292169.68437293329</v>
      </c>
      <c r="Z26" s="90">
        <f t="shared" si="9"/>
        <v>287271.16425590665</v>
      </c>
    </row>
    <row r="27" spans="1:26" s="25" customFormat="1">
      <c r="C27" s="27"/>
      <c r="E27" s="61" t="s">
        <v>208</v>
      </c>
      <c r="F27" s="23">
        <f>SUM(F14:F23)</f>
        <v>-1271815.8024742457</v>
      </c>
      <c r="G27" s="23">
        <f t="shared" ref="G27:Z27" si="10">SUM(G14:G23)</f>
        <v>473543.53775225591</v>
      </c>
      <c r="H27" s="23">
        <f t="shared" si="10"/>
        <v>473333.21779406478</v>
      </c>
      <c r="I27" s="23">
        <f t="shared" si="10"/>
        <v>473503.03947055835</v>
      </c>
      <c r="J27" s="23">
        <f t="shared" si="10"/>
        <v>471542.49748272949</v>
      </c>
      <c r="K27" s="23">
        <f t="shared" si="10"/>
        <v>469947.45441569091</v>
      </c>
      <c r="L27" s="23">
        <f t="shared" si="10"/>
        <v>469207.69465375529</v>
      </c>
      <c r="M27" s="23">
        <f t="shared" si="10"/>
        <v>468887.0831041924</v>
      </c>
      <c r="N27" s="23">
        <f t="shared" si="10"/>
        <v>472018.90479569475</v>
      </c>
      <c r="O27" s="23">
        <f t="shared" si="10"/>
        <v>475689.73145784781</v>
      </c>
      <c r="P27" s="23">
        <f t="shared" si="10"/>
        <v>483356.41991477949</v>
      </c>
      <c r="Q27" s="23">
        <f t="shared" si="10"/>
        <v>490852.24494141655</v>
      </c>
      <c r="R27" s="23">
        <f t="shared" si="10"/>
        <v>503741.94232540776</v>
      </c>
      <c r="S27" s="23">
        <f t="shared" si="10"/>
        <v>517428.02309649985</v>
      </c>
      <c r="T27" s="23">
        <f t="shared" si="10"/>
        <v>-375627.56755471491</v>
      </c>
      <c r="U27" s="23">
        <f t="shared" si="10"/>
        <v>543718.16822647932</v>
      </c>
      <c r="V27" s="23">
        <f t="shared" si="10"/>
        <v>558284.95147933543</v>
      </c>
      <c r="W27" s="23">
        <f t="shared" si="10"/>
        <v>561469.24455858755</v>
      </c>
      <c r="X27" s="23">
        <f t="shared" si="10"/>
        <v>564902.08435815421</v>
      </c>
      <c r="Y27" s="23">
        <f t="shared" si="10"/>
        <v>568591.11142447428</v>
      </c>
      <c r="Z27" s="90">
        <f t="shared" si="10"/>
        <v>572544.18257377332</v>
      </c>
    </row>
    <row r="28" spans="1:26">
      <c r="A28" s="13"/>
      <c r="B28" s="13"/>
      <c r="C28" s="16"/>
      <c r="D28" s="13"/>
      <c r="E28" s="62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78"/>
    </row>
    <row r="29" spans="1:26">
      <c r="E29" s="109" t="s">
        <v>289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1"/>
    </row>
    <row r="30" spans="1:26">
      <c r="A30" s="13"/>
      <c r="B30" s="13"/>
      <c r="C30" s="14"/>
      <c r="D30" s="13"/>
      <c r="E30" s="62" t="s">
        <v>290</v>
      </c>
      <c r="F30" s="20">
        <f t="shared" ref="F30:Z30" si="11">F14/(1+$C$2)^$F13</f>
        <v>-1271815.8024742457</v>
      </c>
      <c r="G30" s="20">
        <f t="shared" si="11"/>
        <v>0</v>
      </c>
      <c r="H30" s="20">
        <f t="shared" si="11"/>
        <v>0</v>
      </c>
      <c r="I30" s="20">
        <f t="shared" si="11"/>
        <v>0</v>
      </c>
      <c r="J30" s="20">
        <f t="shared" si="11"/>
        <v>0</v>
      </c>
      <c r="K30" s="20">
        <f t="shared" si="11"/>
        <v>0</v>
      </c>
      <c r="L30" s="20">
        <f t="shared" si="11"/>
        <v>0</v>
      </c>
      <c r="M30" s="20">
        <f t="shared" si="11"/>
        <v>0</v>
      </c>
      <c r="N30" s="20">
        <f t="shared" si="11"/>
        <v>0</v>
      </c>
      <c r="O30" s="20">
        <f t="shared" si="11"/>
        <v>0</v>
      </c>
      <c r="P30" s="20">
        <f t="shared" si="11"/>
        <v>0</v>
      </c>
      <c r="Q30" s="20">
        <f t="shared" si="11"/>
        <v>0</v>
      </c>
      <c r="R30" s="20">
        <f t="shared" si="11"/>
        <v>0</v>
      </c>
      <c r="S30" s="20">
        <f t="shared" si="11"/>
        <v>0</v>
      </c>
      <c r="T30" s="20">
        <f t="shared" si="11"/>
        <v>-905815.80247424566</v>
      </c>
      <c r="U30" s="20">
        <f t="shared" si="11"/>
        <v>0</v>
      </c>
      <c r="V30" s="20">
        <f t="shared" si="11"/>
        <v>0</v>
      </c>
      <c r="W30" s="20">
        <f t="shared" si="11"/>
        <v>0</v>
      </c>
      <c r="X30" s="20">
        <f t="shared" si="11"/>
        <v>0</v>
      </c>
      <c r="Y30" s="20">
        <f t="shared" si="11"/>
        <v>0</v>
      </c>
      <c r="Z30" s="78">
        <f t="shared" si="11"/>
        <v>0</v>
      </c>
    </row>
    <row r="31" spans="1:26">
      <c r="A31" s="13"/>
      <c r="B31" s="13"/>
      <c r="C31" s="13"/>
      <c r="D31" s="13"/>
      <c r="E31" s="62" t="s">
        <v>291</v>
      </c>
      <c r="F31" s="20">
        <f t="shared" ref="F31:Z31" si="12">F15/(1+$C$2)^F13</f>
        <v>0</v>
      </c>
      <c r="G31" s="20">
        <f t="shared" si="12"/>
        <v>-83458.174422141645</v>
      </c>
      <c r="H31" s="20">
        <f t="shared" si="12"/>
        <v>-81027.35380790451</v>
      </c>
      <c r="I31" s="20">
        <f t="shared" si="12"/>
        <v>-78667.333794082049</v>
      </c>
      <c r="J31" s="20">
        <f t="shared" si="12"/>
        <v>-76376.052227264139</v>
      </c>
      <c r="K31" s="20">
        <f t="shared" si="12"/>
        <v>-74151.507016761301</v>
      </c>
      <c r="L31" s="20">
        <f t="shared" si="12"/>
        <v>-71991.754385205146</v>
      </c>
      <c r="M31" s="20">
        <f t="shared" si="12"/>
        <v>-69894.907170102073</v>
      </c>
      <c r="N31" s="20">
        <f t="shared" si="12"/>
        <v>-67859.133174856383</v>
      </c>
      <c r="O31" s="20">
        <f t="shared" si="12"/>
        <v>-65882.653567821733</v>
      </c>
      <c r="P31" s="20">
        <f t="shared" si="12"/>
        <v>-63963.741327982265</v>
      </c>
      <c r="Q31" s="20">
        <f t="shared" si="12"/>
        <v>-62100.719735905113</v>
      </c>
      <c r="R31" s="20">
        <f t="shared" si="12"/>
        <v>-60291.960908645749</v>
      </c>
      <c r="S31" s="20">
        <f t="shared" si="12"/>
        <v>-58535.884377325972</v>
      </c>
      <c r="T31" s="20">
        <f t="shared" si="12"/>
        <v>-56830.955706141714</v>
      </c>
      <c r="U31" s="20">
        <f t="shared" si="12"/>
        <v>-55175.685151593898</v>
      </c>
      <c r="V31" s="20">
        <f t="shared" si="12"/>
        <v>-53568.626360770781</v>
      </c>
      <c r="W31" s="20">
        <f t="shared" si="12"/>
        <v>-52008.375107544445</v>
      </c>
      <c r="X31" s="20">
        <f t="shared" si="12"/>
        <v>-50493.568065577136</v>
      </c>
      <c r="Y31" s="20">
        <f t="shared" si="12"/>
        <v>-49022.881617065177</v>
      </c>
      <c r="Z31" s="78">
        <f t="shared" si="12"/>
        <v>-47595.030696179783</v>
      </c>
    </row>
    <row r="32" spans="1:26">
      <c r="A32" s="13"/>
      <c r="B32" s="13"/>
      <c r="C32" s="13"/>
      <c r="D32" s="13"/>
      <c r="E32" s="62" t="s">
        <v>292</v>
      </c>
      <c r="F32" s="20">
        <f t="shared" ref="F32:Z32" si="13">F16/(1+$C$2)^F13</f>
        <v>0</v>
      </c>
      <c r="G32" s="20">
        <f t="shared" si="13"/>
        <v>-159324.3600312786</v>
      </c>
      <c r="H32" s="20">
        <f t="shared" si="13"/>
        <v>-154683.84469056176</v>
      </c>
      <c r="I32" s="20">
        <f t="shared" si="13"/>
        <v>-150178.48999083665</v>
      </c>
      <c r="J32" s="20">
        <f t="shared" si="13"/>
        <v>-145804.35921440451</v>
      </c>
      <c r="K32" s="20">
        <f t="shared" si="13"/>
        <v>-141557.63030524712</v>
      </c>
      <c r="L32" s="20">
        <f t="shared" si="13"/>
        <v>-137434.59252936611</v>
      </c>
      <c r="M32" s="20">
        <f t="shared" si="13"/>
        <v>-133431.6432323943</v>
      </c>
      <c r="N32" s="20">
        <f t="shared" si="13"/>
        <v>-129545.28469164495</v>
      </c>
      <c r="O32" s="20">
        <f t="shared" si="13"/>
        <v>-125772.12105984947</v>
      </c>
      <c r="P32" s="20">
        <f t="shared" si="13"/>
        <v>-122108.85539791211</v>
      </c>
      <c r="Q32" s="20">
        <f t="shared" si="13"/>
        <v>-118552.28679408942</v>
      </c>
      <c r="R32" s="20">
        <f t="shared" si="13"/>
        <v>-115099.30756707712</v>
      </c>
      <c r="S32" s="20">
        <f t="shared" si="13"/>
        <v>-111746.90055056031</v>
      </c>
      <c r="T32" s="20">
        <f t="shared" si="13"/>
        <v>-108492.13645685467</v>
      </c>
      <c r="U32" s="20">
        <f t="shared" si="13"/>
        <v>-105332.17131733462</v>
      </c>
      <c r="V32" s="20">
        <f t="shared" si="13"/>
        <v>-102264.24399741227</v>
      </c>
      <c r="W32" s="20">
        <f t="shared" si="13"/>
        <v>-99285.673783895414</v>
      </c>
      <c r="X32" s="20">
        <f t="shared" si="13"/>
        <v>-96393.858042616906</v>
      </c>
      <c r="Y32" s="20">
        <f t="shared" si="13"/>
        <v>-93586.269944288259</v>
      </c>
      <c r="Z32" s="78">
        <f t="shared" si="13"/>
        <v>-90860.456256590536</v>
      </c>
    </row>
    <row r="33" spans="1:26">
      <c r="A33" s="13"/>
      <c r="B33" s="13"/>
      <c r="C33" s="13"/>
      <c r="D33" s="13"/>
      <c r="E33" s="62" t="s">
        <v>293</v>
      </c>
      <c r="F33" s="20">
        <f>F18/(1+$C$2)^F$13</f>
        <v>0</v>
      </c>
      <c r="G33" s="20">
        <f t="shared" ref="G33:Z33" si="14">(G17)/(1+$C$2)^G$13</f>
        <v>70873.786407766995</v>
      </c>
      <c r="H33" s="20">
        <f t="shared" si="14"/>
        <v>68809.501366764074</v>
      </c>
      <c r="I33" s="20">
        <f t="shared" si="14"/>
        <v>66805.341132780653</v>
      </c>
      <c r="J33" s="20">
        <f t="shared" si="14"/>
        <v>64859.554497845296</v>
      </c>
      <c r="K33" s="20">
        <f t="shared" si="14"/>
        <v>62970.441260043983</v>
      </c>
      <c r="L33" s="20">
        <f t="shared" si="14"/>
        <v>61136.350737906774</v>
      </c>
      <c r="M33" s="20">
        <f t="shared" si="14"/>
        <v>59355.680328064824</v>
      </c>
      <c r="N33" s="20">
        <f t="shared" si="14"/>
        <v>57626.874104917311</v>
      </c>
      <c r="O33" s="20">
        <f t="shared" si="14"/>
        <v>55948.42146108477</v>
      </c>
      <c r="P33" s="20">
        <f t="shared" si="14"/>
        <v>54318.85578746094</v>
      </c>
      <c r="Q33" s="20">
        <f t="shared" si="14"/>
        <v>52736.753191709649</v>
      </c>
      <c r="R33" s="20">
        <f t="shared" si="14"/>
        <v>51200.731254087041</v>
      </c>
      <c r="S33" s="20">
        <f t="shared" si="14"/>
        <v>49709.447819501984</v>
      </c>
      <c r="T33" s="20">
        <f t="shared" si="14"/>
        <v>48261.599824759207</v>
      </c>
      <c r="U33" s="20">
        <f t="shared" si="14"/>
        <v>46855.922159960392</v>
      </c>
      <c r="V33" s="20">
        <f t="shared" si="14"/>
        <v>45491.186563068346</v>
      </c>
      <c r="W33" s="20">
        <f t="shared" si="14"/>
        <v>44166.200546668297</v>
      </c>
      <c r="X33" s="20">
        <f t="shared" si="14"/>
        <v>42879.806355988643</v>
      </c>
      <c r="Y33" s="20">
        <f t="shared" si="14"/>
        <v>41630.879957270525</v>
      </c>
      <c r="Z33" s="78">
        <f t="shared" si="14"/>
        <v>40418.330055602455</v>
      </c>
    </row>
    <row r="34" spans="1:26">
      <c r="A34" s="13"/>
      <c r="B34" s="13"/>
      <c r="C34" s="13"/>
      <c r="D34" s="13"/>
      <c r="E34" s="62" t="s">
        <v>303</v>
      </c>
      <c r="F34" s="20"/>
      <c r="G34" s="20">
        <f t="shared" ref="G34:Z34" si="15">(G18)/(1+$C$2)^G$13</f>
        <v>-35436.893203883497</v>
      </c>
      <c r="H34" s="20">
        <f t="shared" si="15"/>
        <v>-34404.750683382037</v>
      </c>
      <c r="I34" s="20">
        <f t="shared" si="15"/>
        <v>-33402.670566390327</v>
      </c>
      <c r="J34" s="20">
        <f t="shared" si="15"/>
        <v>-32429.777248922648</v>
      </c>
      <c r="K34" s="20">
        <f t="shared" si="15"/>
        <v>-31485.220630021991</v>
      </c>
      <c r="L34" s="20">
        <f t="shared" si="15"/>
        <v>-30568.175368953387</v>
      </c>
      <c r="M34" s="20">
        <f t="shared" si="15"/>
        <v>-29677.840164032412</v>
      </c>
      <c r="N34" s="20">
        <f t="shared" si="15"/>
        <v>-28813.437052458656</v>
      </c>
      <c r="O34" s="20">
        <f t="shared" si="15"/>
        <v>-27974.210730542385</v>
      </c>
      <c r="P34" s="20">
        <f t="shared" si="15"/>
        <v>-27159.42789373047</v>
      </c>
      <c r="Q34" s="20">
        <f t="shared" si="15"/>
        <v>-26368.376595854825</v>
      </c>
      <c r="R34" s="20">
        <f t="shared" si="15"/>
        <v>-25600.36562704352</v>
      </c>
      <c r="S34" s="20">
        <f t="shared" si="15"/>
        <v>-24854.723909750992</v>
      </c>
      <c r="T34" s="20">
        <f t="shared" si="15"/>
        <v>-24130.799912379603</v>
      </c>
      <c r="U34" s="20">
        <f t="shared" si="15"/>
        <v>-23427.961079980196</v>
      </c>
      <c r="V34" s="20">
        <f t="shared" si="15"/>
        <v>-22745.593281534173</v>
      </c>
      <c r="W34" s="20">
        <f t="shared" si="15"/>
        <v>-22083.100273334148</v>
      </c>
      <c r="X34" s="20">
        <f t="shared" si="15"/>
        <v>-21439.903177994322</v>
      </c>
      <c r="Y34" s="20">
        <f t="shared" si="15"/>
        <v>-20815.439978635262</v>
      </c>
      <c r="Z34" s="78">
        <f t="shared" si="15"/>
        <v>-20209.165027801228</v>
      </c>
    </row>
    <row r="35" spans="1:26">
      <c r="A35" s="13"/>
      <c r="B35" s="13"/>
      <c r="C35" s="13"/>
      <c r="D35" s="13"/>
      <c r="E35" s="62" t="s">
        <v>294</v>
      </c>
      <c r="F35" s="20">
        <f t="shared" ref="F35:Z35" si="16">F19/(1+$C$2)^F$13</f>
        <v>0</v>
      </c>
      <c r="G35" s="20">
        <f t="shared" si="16"/>
        <v>404856.3819646489</v>
      </c>
      <c r="H35" s="20">
        <f t="shared" si="16"/>
        <v>393064.44850936788</v>
      </c>
      <c r="I35" s="20">
        <f t="shared" si="16"/>
        <v>381615.96942657075</v>
      </c>
      <c r="J35" s="20">
        <f t="shared" si="16"/>
        <v>370500.94119084539</v>
      </c>
      <c r="K35" s="20">
        <f t="shared" si="16"/>
        <v>359709.65164159751</v>
      </c>
      <c r="L35" s="20">
        <f t="shared" si="16"/>
        <v>349232.6714966966</v>
      </c>
      <c r="M35" s="20">
        <f t="shared" si="16"/>
        <v>339060.84611329762</v>
      </c>
      <c r="N35" s="20">
        <f t="shared" si="16"/>
        <v>329185.28748863854</v>
      </c>
      <c r="O35" s="20">
        <f t="shared" si="16"/>
        <v>319597.36649382376</v>
      </c>
      <c r="P35" s="20">
        <f t="shared" si="16"/>
        <v>310288.70533380948</v>
      </c>
      <c r="Q35" s="20">
        <f t="shared" si="16"/>
        <v>301251.1702269995</v>
      </c>
      <c r="R35" s="20">
        <f t="shared" si="16"/>
        <v>292476.8642980578</v>
      </c>
      <c r="S35" s="20">
        <f t="shared" si="16"/>
        <v>283958.12067772605</v>
      </c>
      <c r="T35" s="20">
        <f t="shared" si="16"/>
        <v>275687.49580361752</v>
      </c>
      <c r="U35" s="20">
        <f t="shared" si="16"/>
        <v>267657.76291613345</v>
      </c>
      <c r="V35" s="20">
        <f t="shared" si="16"/>
        <v>259861.90574381896</v>
      </c>
      <c r="W35" s="20">
        <f t="shared" si="16"/>
        <v>252293.11237263976</v>
      </c>
      <c r="X35" s="20">
        <f t="shared" si="16"/>
        <v>244944.769293825</v>
      </c>
      <c r="Y35" s="20">
        <f t="shared" si="16"/>
        <v>237810.45562507282</v>
      </c>
      <c r="Z35" s="78">
        <f t="shared" si="16"/>
        <v>230883.93750007072</v>
      </c>
    </row>
    <row r="36" spans="1:26">
      <c r="A36" s="13"/>
      <c r="B36" s="13"/>
      <c r="C36" s="13"/>
      <c r="D36" s="13"/>
      <c r="E36" s="62" t="s">
        <v>295</v>
      </c>
      <c r="F36" s="20">
        <f t="shared" ref="F36:Z36" si="17">F20/(1+$C$2)^F$13</f>
        <v>0</v>
      </c>
      <c r="G36" s="20">
        <f t="shared" si="17"/>
        <v>253598.2558088605</v>
      </c>
      <c r="H36" s="20">
        <f t="shared" si="17"/>
        <v>235042.96392573847</v>
      </c>
      <c r="I36" s="20">
        <f t="shared" si="17"/>
        <v>217353.42622128455</v>
      </c>
      <c r="J36" s="20">
        <f t="shared" si="17"/>
        <v>200494.9515412458</v>
      </c>
      <c r="K36" s="20">
        <f t="shared" si="17"/>
        <v>184434.13512459409</v>
      </c>
      <c r="L36" s="20">
        <f t="shared" si="17"/>
        <v>169138.81309776413</v>
      </c>
      <c r="M36" s="20">
        <f t="shared" si="17"/>
        <v>154578.01852841926</v>
      </c>
      <c r="N36" s="20">
        <f t="shared" si="17"/>
        <v>140721.93898650166</v>
      </c>
      <c r="O36" s="20">
        <f t="shared" si="17"/>
        <v>127541.87556204553</v>
      </c>
      <c r="P36" s="20">
        <f t="shared" si="17"/>
        <v>115010.20329089655</v>
      </c>
      <c r="Q36" s="20">
        <f t="shared" si="17"/>
        <v>102438.62306366354</v>
      </c>
      <c r="R36" s="20">
        <f t="shared" si="17"/>
        <v>94094.220401018581</v>
      </c>
      <c r="S36" s="20">
        <f t="shared" si="17"/>
        <v>86148.997042543808</v>
      </c>
      <c r="T36" s="20">
        <f t="shared" si="17"/>
        <v>78586.778684722085</v>
      </c>
      <c r="U36" s="20">
        <f t="shared" si="17"/>
        <v>71391.994578172948</v>
      </c>
      <c r="V36" s="20">
        <f t="shared" si="17"/>
        <v>64698.427342887349</v>
      </c>
      <c r="W36" s="20">
        <f t="shared" si="17"/>
        <v>59843.360412316979</v>
      </c>
      <c r="X36" s="20">
        <f t="shared" si="17"/>
        <v>55216.226888948637</v>
      </c>
      <c r="Y36" s="20">
        <f t="shared" si="17"/>
        <v>50807.867828180992</v>
      </c>
      <c r="Z36" s="78">
        <f t="shared" si="17"/>
        <v>46609.464451978711</v>
      </c>
    </row>
    <row r="37" spans="1:26">
      <c r="A37" s="13"/>
      <c r="B37" s="13"/>
      <c r="C37" s="13"/>
      <c r="D37" s="13"/>
      <c r="E37" s="62" t="s">
        <v>296</v>
      </c>
      <c r="F37" s="20"/>
      <c r="G37" s="20">
        <f t="shared" ref="G37:Z37" si="18">(G21)/(1+$C$2)^G$13</f>
        <v>-18830.039429413519</v>
      </c>
      <c r="H37" s="20">
        <f t="shared" si="18"/>
        <v>-16717.662376805321</v>
      </c>
      <c r="I37" s="20">
        <f t="shared" si="18"/>
        <v>-14738.87363402263</v>
      </c>
      <c r="J37" s="20">
        <f t="shared" si="18"/>
        <v>-13329.492606104259</v>
      </c>
      <c r="K37" s="20">
        <f t="shared" si="18"/>
        <v>-12002.673643513674</v>
      </c>
      <c r="L37" s="20">
        <f t="shared" si="18"/>
        <v>-10915.4572148478</v>
      </c>
      <c r="M37" s="20">
        <f t="shared" si="18"/>
        <v>-9891.6944955935669</v>
      </c>
      <c r="N37" s="20">
        <f t="shared" si="18"/>
        <v>-8528.4535525947085</v>
      </c>
      <c r="O37" s="20">
        <f t="shared" si="18"/>
        <v>-7252.6389020329543</v>
      </c>
      <c r="P37" s="20">
        <f t="shared" si="18"/>
        <v>-5789.9269103386359</v>
      </c>
      <c r="Q37" s="20">
        <f t="shared" si="18"/>
        <v>-4422.5667356538961</v>
      </c>
      <c r="R37" s="20">
        <f t="shared" si="18"/>
        <v>-3312.9441886037202</v>
      </c>
      <c r="S37" s="20">
        <f t="shared" si="18"/>
        <v>-2276.6847822767145</v>
      </c>
      <c r="T37" s="20">
        <f t="shared" si="18"/>
        <v>-1550.7499367898338</v>
      </c>
      <c r="U37" s="20">
        <f t="shared" si="18"/>
        <v>-874.63042894036778</v>
      </c>
      <c r="V37" s="20">
        <f t="shared" si="18"/>
        <v>-245.56469153842147</v>
      </c>
      <c r="W37" s="20">
        <f t="shared" si="18"/>
        <v>-231.06528222272931</v>
      </c>
      <c r="X37" s="20">
        <f t="shared" si="18"/>
        <v>-217.33324645005138</v>
      </c>
      <c r="Y37" s="20">
        <f t="shared" si="18"/>
        <v>-204.32341460134811</v>
      </c>
      <c r="Z37" s="78">
        <f t="shared" si="18"/>
        <v>-192.00150170467703</v>
      </c>
    </row>
    <row r="38" spans="1:26">
      <c r="A38" s="13"/>
      <c r="B38" s="13"/>
      <c r="C38" s="13"/>
      <c r="D38" s="13"/>
      <c r="E38" s="62" t="s">
        <v>297</v>
      </c>
      <c r="F38" s="20">
        <f>F23/(1+$C$2)^F$13</f>
        <v>0</v>
      </c>
      <c r="G38" s="20">
        <f t="shared" ref="G38:Z38" si="19">(G22)/(1+$C$2)^G$13</f>
        <v>172251.40014348767</v>
      </c>
      <c r="H38" s="20">
        <f t="shared" si="19"/>
        <v>172251.40014348773</v>
      </c>
      <c r="I38" s="20">
        <f t="shared" si="19"/>
        <v>172251.4001434877</v>
      </c>
      <c r="J38" s="20">
        <f t="shared" si="19"/>
        <v>172251.4001434877</v>
      </c>
      <c r="K38" s="20">
        <f t="shared" si="19"/>
        <v>172251.40014348773</v>
      </c>
      <c r="L38" s="20">
        <f t="shared" si="19"/>
        <v>172251.40014348773</v>
      </c>
      <c r="M38" s="20">
        <f t="shared" si="19"/>
        <v>172251.40014348773</v>
      </c>
      <c r="N38" s="20">
        <f t="shared" si="19"/>
        <v>172251.40014348776</v>
      </c>
      <c r="O38" s="20">
        <f t="shared" si="19"/>
        <v>172251.40014348773</v>
      </c>
      <c r="P38" s="20">
        <f t="shared" si="19"/>
        <v>172251.40014348773</v>
      </c>
      <c r="Q38" s="20">
        <f t="shared" si="19"/>
        <v>172251.40014348773</v>
      </c>
      <c r="R38" s="20">
        <f t="shared" si="19"/>
        <v>172251.40014348776</v>
      </c>
      <c r="S38" s="20">
        <f t="shared" si="19"/>
        <v>172251.40014348779</v>
      </c>
      <c r="T38" s="20">
        <f t="shared" si="19"/>
        <v>172251.40014348776</v>
      </c>
      <c r="U38" s="20">
        <f t="shared" si="19"/>
        <v>172251.40014348776</v>
      </c>
      <c r="V38" s="20">
        <f t="shared" si="19"/>
        <v>172251.40014348779</v>
      </c>
      <c r="W38" s="20">
        <f t="shared" si="19"/>
        <v>172251.40014348782</v>
      </c>
      <c r="X38" s="20">
        <f t="shared" si="19"/>
        <v>172251.40014348782</v>
      </c>
      <c r="Y38" s="20">
        <f t="shared" si="19"/>
        <v>172251.40014348784</v>
      </c>
      <c r="Z38" s="78">
        <f t="shared" si="19"/>
        <v>172251.40014348784</v>
      </c>
    </row>
    <row r="39" spans="1:26">
      <c r="A39" s="13"/>
      <c r="B39" s="13"/>
      <c r="C39" s="13"/>
      <c r="D39" s="13"/>
      <c r="E39" s="64" t="s">
        <v>298</v>
      </c>
      <c r="F39" s="17"/>
      <c r="G39" s="17">
        <f t="shared" ref="G39:Z39" si="20">(G23)/(1+$C$2)^G$13</f>
        <v>-144779.34971158468</v>
      </c>
      <c r="H39" s="17">
        <f t="shared" si="20"/>
        <v>-136172.74763690258</v>
      </c>
      <c r="I39" s="17">
        <f t="shared" si="20"/>
        <v>-127716.41168894059</v>
      </c>
      <c r="J39" s="17">
        <f t="shared" si="20"/>
        <v>-121207.76452150721</v>
      </c>
      <c r="K39" s="17">
        <f t="shared" si="20"/>
        <v>-114787.79419622771</v>
      </c>
      <c r="L39" s="17">
        <f t="shared" si="20"/>
        <v>-107895.19859013142</v>
      </c>
      <c r="M39" s="17">
        <f t="shared" si="20"/>
        <v>-101101.75300058252</v>
      </c>
      <c r="N39" s="17">
        <f t="shared" si="20"/>
        <v>-92423.110035518592</v>
      </c>
      <c r="O39" s="17">
        <f t="shared" si="20"/>
        <v>-83880.869806854214</v>
      </c>
      <c r="P39" s="17">
        <f t="shared" si="20"/>
        <v>-73184.642240837595</v>
      </c>
      <c r="Q39" s="17">
        <f t="shared" si="20"/>
        <v>-62631.891352410639</v>
      </c>
      <c r="R39" s="17">
        <f t="shared" si="20"/>
        <v>-52404.174648911008</v>
      </c>
      <c r="S39" s="17">
        <f t="shared" si="20"/>
        <v>-42310.466385763058</v>
      </c>
      <c r="T39" s="17">
        <f t="shared" si="20"/>
        <v>-33265.749903574018</v>
      </c>
      <c r="U39" s="17">
        <f t="shared" si="20"/>
        <v>-24354.629527081306</v>
      </c>
      <c r="V39" s="17">
        <f t="shared" si="20"/>
        <v>-15574.167035979266</v>
      </c>
      <c r="W39" s="17">
        <f t="shared" si="20"/>
        <v>-15247.732234130828</v>
      </c>
      <c r="X39" s="17">
        <f t="shared" si="20"/>
        <v>-14927.101966433445</v>
      </c>
      <c r="Y39" s="17">
        <f t="shared" si="20"/>
        <v>-14612.122784582163</v>
      </c>
      <c r="Z39" s="107">
        <f t="shared" si="20"/>
        <v>-14302.646577330859</v>
      </c>
    </row>
    <row r="40" spans="1:26">
      <c r="A40" s="13"/>
      <c r="B40" s="13"/>
      <c r="C40" s="13"/>
      <c r="D40" s="13"/>
      <c r="E40" s="13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s="25" customFormat="1" ht="17" thickBot="1">
      <c r="F41" s="27"/>
      <c r="I41" s="123"/>
      <c r="J41" s="124"/>
      <c r="K41" s="71"/>
      <c r="L41" s="71"/>
      <c r="M41" s="71"/>
      <c r="N41" s="71"/>
      <c r="O41" s="71"/>
      <c r="P41" s="71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7" thickBot="1">
      <c r="F42" s="22"/>
      <c r="I42" s="212" t="s">
        <v>219</v>
      </c>
      <c r="J42" s="213"/>
      <c r="K42" s="213"/>
      <c r="L42" s="213"/>
      <c r="M42" s="213"/>
      <c r="N42" s="214"/>
      <c r="O42" s="69"/>
      <c r="P42" s="69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34">
      <c r="A43" s="13"/>
      <c r="B43" s="13"/>
      <c r="D43" s="13"/>
      <c r="E43" s="65" t="s">
        <v>214</v>
      </c>
      <c r="F43" s="81" t="s">
        <v>304</v>
      </c>
      <c r="G43" s="82" t="s">
        <v>335</v>
      </c>
      <c r="I43" s="125"/>
      <c r="J43" s="126" t="s">
        <v>122</v>
      </c>
      <c r="K43" s="126" t="s">
        <v>211</v>
      </c>
      <c r="L43" s="126" t="s">
        <v>222</v>
      </c>
      <c r="M43" s="126" t="s">
        <v>223</v>
      </c>
      <c r="N43" s="127" t="s">
        <v>224</v>
      </c>
      <c r="O43" s="70"/>
      <c r="P43" s="70"/>
      <c r="Q43" s="13"/>
      <c r="R43" s="13"/>
      <c r="S43" s="13"/>
      <c r="T43" s="13"/>
      <c r="U43" s="13"/>
    </row>
    <row r="44" spans="1:26">
      <c r="A44" s="13"/>
      <c r="B44" s="13"/>
      <c r="C44" s="13"/>
      <c r="D44" s="13"/>
      <c r="E44" s="30" t="s">
        <v>290</v>
      </c>
      <c r="F44" s="50">
        <f t="shared" ref="F44:F53" si="21">SUM(F30:Z30)</f>
        <v>-2177631.6049484913</v>
      </c>
      <c r="G44" s="44">
        <f>F44/1000000</f>
        <v>-2.1776316049484912</v>
      </c>
      <c r="I44" s="30" t="s">
        <v>216</v>
      </c>
      <c r="J44" s="42">
        <v>-2.1730795954536992</v>
      </c>
      <c r="K44" s="42">
        <v>-3.9801591909073983</v>
      </c>
      <c r="L44" s="42">
        <v>-2.1730795954536992</v>
      </c>
      <c r="M44" s="43">
        <v>-2.1730795954536992</v>
      </c>
      <c r="N44" s="68">
        <v>-2.1730795954536992</v>
      </c>
      <c r="O44" s="70"/>
      <c r="P44" s="70"/>
      <c r="Q44" s="13"/>
      <c r="R44" s="13"/>
      <c r="S44" s="13"/>
      <c r="T44" s="13"/>
      <c r="U44" s="13"/>
    </row>
    <row r="45" spans="1:26">
      <c r="A45" s="13"/>
      <c r="B45" s="13"/>
      <c r="C45" s="13"/>
      <c r="D45" s="13"/>
      <c r="E45" s="30" t="s">
        <v>291</v>
      </c>
      <c r="F45" s="50">
        <f t="shared" si="21"/>
        <v>-1278896.298620871</v>
      </c>
      <c r="G45" s="44">
        <f t="shared" ref="G45:G50" si="22">F45/1000000</f>
        <v>-1.278896298620871</v>
      </c>
      <c r="I45" s="30" t="s">
        <v>215</v>
      </c>
      <c r="J45" s="42">
        <v>-1.6806580092831802</v>
      </c>
      <c r="K45" s="42">
        <v>-1.6806580092831802</v>
      </c>
      <c r="L45" s="42">
        <v>-1.6806580092831802</v>
      </c>
      <c r="M45" s="43">
        <v>-1.6806580092831802</v>
      </c>
      <c r="N45" s="68">
        <v>-1.6806580092831802</v>
      </c>
      <c r="O45" s="70"/>
      <c r="P45" s="70"/>
      <c r="Q45" s="13"/>
      <c r="R45" s="13"/>
      <c r="S45" s="13"/>
      <c r="T45" s="13"/>
      <c r="U45" s="13"/>
    </row>
    <row r="46" spans="1:26">
      <c r="A46" s="13"/>
      <c r="B46" s="13"/>
      <c r="C46" s="13"/>
      <c r="D46" s="13"/>
      <c r="E46" s="30" t="s">
        <v>292</v>
      </c>
      <c r="F46" s="50">
        <f t="shared" si="21"/>
        <v>-2441454.485854215</v>
      </c>
      <c r="G46" s="44">
        <f>F46/1000000</f>
        <v>-2.4414544858542149</v>
      </c>
      <c r="I46" s="30" t="s">
        <v>237</v>
      </c>
      <c r="J46" s="42">
        <v>-2.565654048672501</v>
      </c>
      <c r="K46" s="42">
        <v>-2.565654048672501</v>
      </c>
      <c r="L46" s="42">
        <v>-2.565654048672501</v>
      </c>
      <c r="M46" s="43">
        <v>-6.4114417594868822</v>
      </c>
      <c r="N46" s="68">
        <v>-1.2837248117343714</v>
      </c>
      <c r="O46" s="70"/>
      <c r="P46" s="70"/>
      <c r="Q46" s="13"/>
      <c r="R46" s="13"/>
      <c r="S46" s="13"/>
      <c r="T46" s="13"/>
      <c r="U46" s="13"/>
    </row>
    <row r="47" spans="1:26">
      <c r="A47" s="13"/>
      <c r="B47" s="13"/>
      <c r="C47" s="13"/>
      <c r="D47" s="13"/>
      <c r="E47" s="30" t="s">
        <v>293</v>
      </c>
      <c r="F47" s="50">
        <f t="shared" si="21"/>
        <v>1086055.6648132519</v>
      </c>
      <c r="G47" s="44">
        <f t="shared" si="22"/>
        <v>1.086055664813252</v>
      </c>
      <c r="I47" s="30" t="s">
        <v>218</v>
      </c>
      <c r="J47" s="42">
        <v>0.16425200006109855</v>
      </c>
      <c r="K47" s="42">
        <v>0.16425200006109855</v>
      </c>
      <c r="L47" s="42">
        <v>0.16425200006109855</v>
      </c>
      <c r="M47" s="42">
        <v>0.16425200006109855</v>
      </c>
      <c r="N47" s="57">
        <v>0.16425200006109855</v>
      </c>
      <c r="O47" s="70"/>
      <c r="P47" s="70"/>
      <c r="Q47" s="13"/>
      <c r="R47" s="13"/>
      <c r="S47" s="13"/>
      <c r="T47" s="13"/>
      <c r="U47" s="13"/>
    </row>
    <row r="48" spans="1:26">
      <c r="A48" s="13"/>
      <c r="B48" s="13"/>
      <c r="C48" s="13"/>
      <c r="D48" s="13"/>
      <c r="E48" s="30" t="s">
        <v>303</v>
      </c>
      <c r="F48" s="50">
        <f t="shared" si="21"/>
        <v>-543027.83240662597</v>
      </c>
      <c r="G48" s="44">
        <f t="shared" si="22"/>
        <v>-0.543027832406626</v>
      </c>
      <c r="I48" s="30" t="s">
        <v>225</v>
      </c>
      <c r="J48" s="42">
        <v>6.2662922567721884</v>
      </c>
      <c r="K48" s="42">
        <v>6.2662922567721884</v>
      </c>
      <c r="L48" s="42">
        <v>8.1734246827463348</v>
      </c>
      <c r="M48" s="43">
        <v>6.2662922567721884</v>
      </c>
      <c r="N48" s="68">
        <v>6.2662922567721884</v>
      </c>
      <c r="O48" s="70"/>
      <c r="P48" s="70"/>
      <c r="Q48" s="13"/>
      <c r="R48" s="13"/>
      <c r="S48" s="13"/>
      <c r="T48" s="13"/>
      <c r="U48" s="13"/>
    </row>
    <row r="49" spans="1:21">
      <c r="A49" s="13"/>
      <c r="B49" s="13"/>
      <c r="C49" s="13"/>
      <c r="D49" s="13"/>
      <c r="E49" s="30" t="s">
        <v>294</v>
      </c>
      <c r="F49" s="50">
        <f t="shared" si="21"/>
        <v>6203937.8641172582</v>
      </c>
      <c r="G49" s="44">
        <f t="shared" si="22"/>
        <v>6.2039378641172584</v>
      </c>
      <c r="I49" s="30" t="s">
        <v>226</v>
      </c>
      <c r="J49" s="42">
        <v>4.8139198800560647</v>
      </c>
      <c r="K49" s="42">
        <v>4.8139198800560647</v>
      </c>
      <c r="L49" s="42">
        <v>4.8139198800560647</v>
      </c>
      <c r="M49" s="43">
        <v>4.8139198800560647</v>
      </c>
      <c r="N49" s="68">
        <v>4.8139198800560647</v>
      </c>
      <c r="O49" s="70"/>
      <c r="P49" s="70"/>
      <c r="Q49" s="13"/>
      <c r="R49" s="13"/>
      <c r="S49" s="13"/>
      <c r="T49" s="13"/>
      <c r="U49" s="13"/>
    </row>
    <row r="50" spans="1:21">
      <c r="A50" s="13"/>
      <c r="B50" s="13"/>
      <c r="C50" s="13"/>
      <c r="D50" s="13"/>
      <c r="E50" s="30" t="s">
        <v>295</v>
      </c>
      <c r="F50" s="50">
        <f t="shared" si="21"/>
        <v>2507750.5427817842</v>
      </c>
      <c r="G50" s="44">
        <f t="shared" si="22"/>
        <v>2.5077505427817841</v>
      </c>
      <c r="I50" s="30" t="s">
        <v>217</v>
      </c>
      <c r="J50" s="42">
        <v>4.7489360125474303</v>
      </c>
      <c r="K50" s="42">
        <v>4.7489360125474303</v>
      </c>
      <c r="L50" s="42">
        <v>4.7489360125474303</v>
      </c>
      <c r="M50" s="43">
        <v>4.7489360125474303</v>
      </c>
      <c r="N50" s="68">
        <v>4.7489360125474303</v>
      </c>
      <c r="O50" s="70"/>
      <c r="P50" s="70"/>
      <c r="Q50" s="13"/>
      <c r="R50" s="13"/>
      <c r="S50" s="13"/>
      <c r="T50" s="13"/>
      <c r="U50" s="13"/>
    </row>
    <row r="51" spans="1:21">
      <c r="A51" s="13"/>
      <c r="B51" s="13"/>
      <c r="C51" s="13"/>
      <c r="D51" s="13"/>
      <c r="E51" s="30" t="s">
        <v>296</v>
      </c>
      <c r="F51" s="50">
        <f t="shared" si="21"/>
        <v>-131524.77697404884</v>
      </c>
      <c r="G51" s="44"/>
      <c r="I51" s="73" t="s">
        <v>72</v>
      </c>
      <c r="J51" s="74">
        <v>9.5740084960274032</v>
      </c>
      <c r="K51" s="74">
        <v>7.7669289005737028</v>
      </c>
      <c r="L51" s="74">
        <v>11.481140922001549</v>
      </c>
      <c r="M51" s="74">
        <v>5.7282207852130202</v>
      </c>
      <c r="N51" s="75">
        <v>10.855937732965533</v>
      </c>
      <c r="O51" s="70"/>
      <c r="P51" s="70"/>
      <c r="Q51" s="13"/>
      <c r="R51" s="13"/>
      <c r="S51" s="13"/>
      <c r="T51" s="13"/>
      <c r="U51" s="13"/>
    </row>
    <row r="52" spans="1:21">
      <c r="A52" s="13"/>
      <c r="B52" s="13"/>
      <c r="C52" s="13"/>
      <c r="D52" s="13"/>
      <c r="E52" s="30" t="s">
        <v>297</v>
      </c>
      <c r="F52" s="50">
        <f t="shared" si="21"/>
        <v>3445028.002869756</v>
      </c>
      <c r="G52" s="48"/>
      <c r="I52" s="32"/>
      <c r="J52" s="46"/>
      <c r="K52" s="46"/>
      <c r="L52" s="46"/>
      <c r="M52" s="46"/>
      <c r="N52" s="48"/>
      <c r="O52" s="70"/>
      <c r="P52" s="70"/>
      <c r="Q52" s="13"/>
      <c r="R52" s="13"/>
      <c r="S52" s="13"/>
      <c r="T52" s="13"/>
      <c r="U52" s="13"/>
    </row>
    <row r="53" spans="1:21">
      <c r="A53" s="13"/>
      <c r="B53" s="13"/>
      <c r="C53" s="13"/>
      <c r="D53" s="13"/>
      <c r="E53" s="30" t="s">
        <v>298</v>
      </c>
      <c r="F53" s="50">
        <f t="shared" si="21"/>
        <v>-1392780.3238452838</v>
      </c>
      <c r="G53" s="48"/>
      <c r="I53" s="209" t="s">
        <v>334</v>
      </c>
      <c r="J53" s="210"/>
      <c r="K53" s="210"/>
      <c r="L53" s="210"/>
      <c r="M53" s="210"/>
      <c r="N53" s="211"/>
      <c r="O53" s="70"/>
      <c r="P53" s="70"/>
      <c r="Q53" s="13"/>
      <c r="R53" s="13"/>
      <c r="S53" s="13"/>
      <c r="T53" s="13"/>
      <c r="U53" s="13"/>
    </row>
    <row r="54" spans="1:21" ht="18" thickBot="1">
      <c r="A54" s="13"/>
      <c r="B54" s="13"/>
      <c r="C54" s="13"/>
      <c r="D54" s="13"/>
      <c r="E54" s="67" t="s">
        <v>284</v>
      </c>
      <c r="F54" s="50">
        <f>SUM(F44:F53)</f>
        <v>5277456.7519325148</v>
      </c>
      <c r="G54" s="66">
        <f>F54/1000000</f>
        <v>5.2774567519325144</v>
      </c>
      <c r="I54" s="35" t="s">
        <v>221</v>
      </c>
      <c r="J54" s="36">
        <v>2.2999999999999998</v>
      </c>
      <c r="K54" s="26">
        <v>2.2999999999999998</v>
      </c>
      <c r="L54" s="26">
        <v>3</v>
      </c>
      <c r="M54" s="26">
        <v>2.2999999999999998</v>
      </c>
      <c r="N54" s="34">
        <v>2.2999999999999998</v>
      </c>
      <c r="O54" s="70"/>
      <c r="P54" s="70"/>
      <c r="Q54" s="13"/>
      <c r="R54" s="13"/>
      <c r="S54" s="13"/>
      <c r="T54" s="13"/>
      <c r="U54" s="13"/>
    </row>
    <row r="55" spans="1:21" ht="19" customHeight="1">
      <c r="A55" s="13"/>
      <c r="B55" s="13"/>
      <c r="C55" s="13"/>
      <c r="D55" s="13"/>
      <c r="E55" s="76" t="s">
        <v>305</v>
      </c>
      <c r="F55" s="77">
        <f>SUM(F44:F49)</f>
        <v>848983.3071003072</v>
      </c>
      <c r="I55" s="35" t="s">
        <v>22</v>
      </c>
      <c r="J55" s="37">
        <v>100</v>
      </c>
      <c r="K55" s="26">
        <v>200</v>
      </c>
      <c r="L55" s="26">
        <v>100</v>
      </c>
      <c r="M55" s="26">
        <v>100</v>
      </c>
      <c r="N55" s="34">
        <v>100</v>
      </c>
      <c r="O55" s="70"/>
      <c r="P55" s="70"/>
      <c r="Q55" s="13"/>
      <c r="R55" s="13"/>
      <c r="S55" s="13"/>
      <c r="T55" s="13"/>
      <c r="U55" s="13"/>
    </row>
    <row r="56" spans="1:21" ht="21" customHeight="1">
      <c r="A56" s="13"/>
      <c r="B56" s="13"/>
      <c r="C56" s="13"/>
      <c r="D56" s="13"/>
      <c r="E56" s="62" t="s">
        <v>205</v>
      </c>
      <c r="F56" s="78">
        <f>SUM(F44:F51)</f>
        <v>3225209.0729080425</v>
      </c>
      <c r="I56" s="35" t="s">
        <v>123</v>
      </c>
      <c r="J56" s="37">
        <v>25</v>
      </c>
      <c r="K56" s="26">
        <v>25</v>
      </c>
      <c r="L56" s="26">
        <v>25</v>
      </c>
      <c r="M56" s="26">
        <v>10</v>
      </c>
      <c r="N56" s="34">
        <v>50</v>
      </c>
      <c r="O56" s="70"/>
      <c r="P56" s="70"/>
      <c r="Q56" s="13"/>
      <c r="R56" s="13"/>
      <c r="S56" s="13"/>
      <c r="T56" s="13"/>
      <c r="U56" s="13"/>
    </row>
    <row r="57" spans="1:21" ht="17" thickBot="1">
      <c r="A57" s="13"/>
      <c r="B57" s="13"/>
      <c r="C57" s="13"/>
      <c r="D57" s="13"/>
      <c r="E57" s="62" t="s">
        <v>206</v>
      </c>
      <c r="F57" s="78">
        <f>F54</f>
        <v>5277456.7519325148</v>
      </c>
      <c r="I57" s="38" t="s">
        <v>220</v>
      </c>
      <c r="J57" s="39" t="s">
        <v>164</v>
      </c>
      <c r="K57" s="39" t="s">
        <v>164</v>
      </c>
      <c r="L57" s="40" t="s">
        <v>164</v>
      </c>
      <c r="M57" s="40" t="s">
        <v>164</v>
      </c>
      <c r="N57" s="41" t="s">
        <v>164</v>
      </c>
      <c r="O57" s="70"/>
      <c r="P57" s="70"/>
      <c r="Q57" s="13"/>
      <c r="R57" s="13"/>
      <c r="S57" s="13"/>
      <c r="T57" s="13"/>
      <c r="U57" s="13"/>
    </row>
    <row r="58" spans="1:21">
      <c r="A58" s="13"/>
      <c r="B58" s="13"/>
      <c r="C58" s="13"/>
      <c r="D58" s="13"/>
      <c r="E58" s="62"/>
      <c r="F58" s="78"/>
      <c r="G58" s="31"/>
      <c r="O58" s="72"/>
      <c r="P58" s="72"/>
      <c r="Q58" s="13"/>
      <c r="R58" s="13"/>
      <c r="S58" s="13"/>
      <c r="T58" s="13"/>
      <c r="U58" s="13"/>
    </row>
    <row r="59" spans="1:21">
      <c r="A59" s="13"/>
      <c r="B59" s="13"/>
      <c r="C59" s="13"/>
      <c r="D59" s="13"/>
      <c r="E59" s="62" t="s">
        <v>36</v>
      </c>
      <c r="F59" s="79">
        <f>F55*master!$B$10*10^(-9)</f>
        <v>20.882442404746261</v>
      </c>
      <c r="G59" s="31"/>
      <c r="O59" s="72"/>
      <c r="P59" s="72"/>
      <c r="Q59" s="13"/>
      <c r="R59" s="13"/>
      <c r="S59" s="13"/>
      <c r="T59" s="13"/>
      <c r="U59" s="13"/>
    </row>
    <row r="60" spans="1:21" ht="17" thickBot="1">
      <c r="E60" s="62" t="s">
        <v>209</v>
      </c>
      <c r="F60" s="79">
        <f>F56*master!$B$10*10^(-9)</f>
        <v>79.330467566319129</v>
      </c>
      <c r="G60" s="21"/>
    </row>
    <row r="61" spans="1:21">
      <c r="E61" s="64" t="s">
        <v>210</v>
      </c>
      <c r="F61" s="80">
        <f>F57*master!$B$10*10^(-9)</f>
        <v>129.80960372728407</v>
      </c>
      <c r="G61" s="21"/>
      <c r="I61" s="92" t="s">
        <v>299</v>
      </c>
      <c r="J61" s="93"/>
      <c r="K61" s="94"/>
      <c r="N61" s="19"/>
    </row>
    <row r="62" spans="1:21">
      <c r="B62" s="46"/>
      <c r="C62" s="46"/>
      <c r="D62" s="46"/>
      <c r="E62" s="46"/>
      <c r="F62" s="46"/>
      <c r="G62" s="45"/>
      <c r="H62" s="26"/>
      <c r="I62" s="32"/>
      <c r="J62" s="49" t="s">
        <v>285</v>
      </c>
      <c r="K62" s="122" t="s">
        <v>286</v>
      </c>
      <c r="L62" s="26"/>
      <c r="M62" s="26"/>
      <c r="N62" s="26"/>
      <c r="O62" s="26"/>
      <c r="Q62" s="46"/>
    </row>
    <row r="63" spans="1:21">
      <c r="B63" s="46"/>
      <c r="C63" s="52"/>
      <c r="D63" s="46"/>
      <c r="E63" s="84" t="s">
        <v>336</v>
      </c>
      <c r="F63" s="85" t="s">
        <v>318</v>
      </c>
      <c r="G63" s="46"/>
      <c r="H63" s="26"/>
      <c r="I63" s="32" t="s">
        <v>216</v>
      </c>
      <c r="J63" s="53">
        <f>-G44</f>
        <v>2.1776316049484912</v>
      </c>
      <c r="K63" s="48">
        <v>0</v>
      </c>
      <c r="L63" s="26"/>
      <c r="M63" s="26"/>
      <c r="N63" s="26"/>
      <c r="O63" s="43"/>
      <c r="P63" s="26"/>
      <c r="Q63" s="53"/>
    </row>
    <row r="64" spans="1:21">
      <c r="B64" s="46"/>
      <c r="C64" s="46"/>
      <c r="D64" s="46"/>
      <c r="E64" s="61" t="s">
        <v>310</v>
      </c>
      <c r="F64" s="86">
        <f>F52+F53</f>
        <v>2052247.6790244721</v>
      </c>
      <c r="G64" s="46"/>
      <c r="H64" s="29"/>
      <c r="I64" s="32" t="s">
        <v>215</v>
      </c>
      <c r="J64" s="53">
        <f>-G45</f>
        <v>1.278896298620871</v>
      </c>
      <c r="K64" s="33">
        <v>0</v>
      </c>
      <c r="L64" s="28"/>
      <c r="M64" s="28"/>
      <c r="N64" s="29"/>
      <c r="O64" s="43"/>
      <c r="Q64" s="53"/>
    </row>
    <row r="65" spans="2:17">
      <c r="B65" s="46"/>
      <c r="C65" s="46"/>
      <c r="D65" s="46"/>
      <c r="E65" s="83" t="s">
        <v>311</v>
      </c>
      <c r="F65" s="87">
        <f>(F52-F64)/F52</f>
        <v>0.40428708349687681</v>
      </c>
      <c r="G65" s="46"/>
      <c r="H65" s="46"/>
      <c r="I65" s="32" t="s">
        <v>237</v>
      </c>
      <c r="J65" s="53">
        <f>-G46</f>
        <v>2.4414544858542149</v>
      </c>
      <c r="K65" s="48">
        <v>0</v>
      </c>
      <c r="L65" s="46"/>
      <c r="M65" s="46"/>
      <c r="N65" s="46"/>
      <c r="O65" s="43"/>
      <c r="P65" s="26"/>
      <c r="Q65" s="53"/>
    </row>
    <row r="66" spans="2:17">
      <c r="B66" s="46"/>
      <c r="C66" s="46"/>
      <c r="D66" s="46"/>
      <c r="G66" s="46"/>
      <c r="H66" s="26"/>
      <c r="I66" s="32" t="s">
        <v>218</v>
      </c>
      <c r="J66" s="53">
        <f>-SUM(G34:Z34)*10^-6</f>
        <v>0.54302783240662589</v>
      </c>
      <c r="K66" s="44">
        <f>SUM(G33:Z33)*10^-6</f>
        <v>1.0860556648132518</v>
      </c>
      <c r="L66" s="23"/>
      <c r="M66" s="23"/>
      <c r="N66" s="26"/>
      <c r="O66" s="43"/>
      <c r="P66" s="26"/>
      <c r="Q66" s="53"/>
    </row>
    <row r="67" spans="2:17">
      <c r="B67" s="46"/>
      <c r="C67" s="46"/>
      <c r="D67" s="46"/>
      <c r="G67" s="26"/>
      <c r="I67" s="32" t="s">
        <v>227</v>
      </c>
      <c r="J67" s="53">
        <v>0</v>
      </c>
      <c r="K67" s="44">
        <f>SUM(G35:Z35)*10^-6</f>
        <v>6.2039378641172576</v>
      </c>
      <c r="L67" s="42"/>
      <c r="M67" s="42"/>
      <c r="N67" s="26"/>
      <c r="O67" s="43"/>
    </row>
    <row r="68" spans="2:17">
      <c r="B68" s="46"/>
      <c r="C68" s="46"/>
      <c r="D68" s="46"/>
      <c r="F68" s="26"/>
      <c r="G68" s="43"/>
      <c r="H68" s="26"/>
      <c r="I68" s="32" t="s">
        <v>287</v>
      </c>
      <c r="J68" s="53">
        <f>(-SUM(G37:Z37))*10^-6</f>
        <v>0.13152477697404885</v>
      </c>
      <c r="K68" s="44">
        <f>SUM(G36:Z36)*10^-6</f>
        <v>2.5077505427817841</v>
      </c>
      <c r="L68" s="42"/>
      <c r="M68" s="42"/>
      <c r="N68" s="26"/>
      <c r="O68" s="43"/>
    </row>
    <row r="69" spans="2:17">
      <c r="B69" s="46"/>
      <c r="C69" s="46"/>
      <c r="D69" s="46"/>
      <c r="F69" s="47"/>
      <c r="G69" s="43"/>
      <c r="H69" s="26"/>
      <c r="I69" s="95" t="s">
        <v>288</v>
      </c>
      <c r="J69" s="91">
        <f>-SUM(F39:Z39)*10^-6</f>
        <v>1.3927803238452838</v>
      </c>
      <c r="K69" s="96">
        <f>SUM(G38:Z38)*10^-6</f>
        <v>3.4450280028697557</v>
      </c>
      <c r="L69" s="42"/>
      <c r="M69" s="42"/>
      <c r="O69" s="60"/>
      <c r="Q69" s="60"/>
    </row>
    <row r="70" spans="2:17">
      <c r="B70" s="46"/>
      <c r="C70" s="46"/>
      <c r="D70" s="46"/>
      <c r="E70" s="46"/>
      <c r="F70" s="46"/>
      <c r="G70" s="43"/>
      <c r="H70" s="26"/>
      <c r="I70" s="58"/>
      <c r="J70" s="42"/>
      <c r="K70" s="57"/>
      <c r="L70" s="42"/>
      <c r="M70" s="42"/>
      <c r="N70" s="43"/>
      <c r="O70" s="43"/>
      <c r="P70" s="53"/>
      <c r="Q70" s="60"/>
    </row>
    <row r="71" spans="2:17" ht="17">
      <c r="B71" s="46"/>
      <c r="C71" s="46"/>
      <c r="D71" s="46"/>
      <c r="E71" s="49"/>
      <c r="F71" s="54"/>
      <c r="G71" s="46"/>
      <c r="H71" s="26"/>
      <c r="I71" s="35" t="s">
        <v>221</v>
      </c>
      <c r="J71" s="36">
        <v>2.2999999999999998</v>
      </c>
      <c r="K71" s="57"/>
      <c r="L71" s="42"/>
      <c r="M71" s="42"/>
      <c r="N71" s="26"/>
      <c r="O71" s="56"/>
      <c r="P71" s="53"/>
    </row>
    <row r="72" spans="2:17" ht="17">
      <c r="B72" s="46"/>
      <c r="C72" s="46"/>
      <c r="D72" s="46"/>
      <c r="E72" s="46"/>
      <c r="F72" s="54"/>
      <c r="G72" s="46"/>
      <c r="H72" s="26"/>
      <c r="I72" s="35" t="s">
        <v>22</v>
      </c>
      <c r="J72" s="37">
        <v>100</v>
      </c>
      <c r="K72" s="57"/>
      <c r="L72" s="42"/>
      <c r="M72" s="42"/>
      <c r="N72" s="26"/>
      <c r="O72" s="20"/>
      <c r="P72" s="53"/>
    </row>
    <row r="73" spans="2:17" ht="17">
      <c r="B73" s="46"/>
      <c r="C73" s="46"/>
      <c r="D73" s="46"/>
      <c r="E73" s="46"/>
      <c r="F73" s="46"/>
      <c r="G73" s="46"/>
      <c r="H73" s="26"/>
      <c r="I73" s="35" t="s">
        <v>123</v>
      </c>
      <c r="J73" s="37">
        <v>30</v>
      </c>
      <c r="K73" s="57"/>
      <c r="L73" s="42"/>
      <c r="M73" s="42"/>
      <c r="N73" s="26"/>
      <c r="O73" s="23"/>
      <c r="P73" s="53"/>
    </row>
    <row r="74" spans="2:17" ht="17" thickBot="1">
      <c r="B74" s="46"/>
      <c r="C74" s="46"/>
      <c r="D74" s="46"/>
      <c r="E74" s="46"/>
      <c r="F74" s="46"/>
      <c r="G74" s="46"/>
      <c r="H74" s="46"/>
      <c r="I74" s="38" t="s">
        <v>220</v>
      </c>
      <c r="J74" s="39" t="s">
        <v>164</v>
      </c>
      <c r="K74" s="59"/>
      <c r="L74" s="46"/>
      <c r="M74" s="46"/>
      <c r="N74" s="23"/>
      <c r="O74" s="23"/>
      <c r="P74" s="46"/>
    </row>
    <row r="75" spans="2:17">
      <c r="B75" s="46"/>
      <c r="C75" s="46"/>
      <c r="D75" s="46"/>
      <c r="E75" s="46"/>
      <c r="F75" s="46"/>
      <c r="G75" s="46"/>
      <c r="H75" s="46"/>
      <c r="I75" s="42"/>
      <c r="J75" s="42"/>
      <c r="K75" s="42"/>
      <c r="L75" s="42"/>
      <c r="M75" s="42"/>
      <c r="N75" s="46"/>
      <c r="O75" s="46"/>
      <c r="P75" s="46"/>
    </row>
    <row r="76" spans="2:17"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</row>
    <row r="81" s="25" customFormat="1"/>
  </sheetData>
  <sheetProtection sheet="1" objects="1" scenarios="1"/>
  <mergeCells count="2">
    <mergeCell ref="I53:N53"/>
    <mergeCell ref="I42:N42"/>
  </mergeCells>
  <pageMargins left="0.7" right="0.7" top="0.75" bottom="0.75" header="0.3" footer="0.3"/>
  <ignoredErrors>
    <ignoredError sqref="Q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F176-C8B4-F947-8442-1C365931A6AC}">
  <dimension ref="A1:W47"/>
  <sheetViews>
    <sheetView workbookViewId="0">
      <selection activeCell="A23" sqref="A23"/>
    </sheetView>
  </sheetViews>
  <sheetFormatPr baseColWidth="10" defaultRowHeight="15"/>
  <cols>
    <col min="1" max="1" width="51.83203125" style="330" customWidth="1"/>
    <col min="2" max="2" width="13.6640625" style="330" bestFit="1" customWidth="1"/>
    <col min="3" max="22" width="8.6640625" style="330" bestFit="1" customWidth="1"/>
    <col min="23" max="23" width="17.33203125" style="330" bestFit="1" customWidth="1"/>
    <col min="24" max="16384" width="10.83203125" style="330"/>
  </cols>
  <sheetData>
    <row r="1" spans="1:23">
      <c r="A1" s="330" t="s">
        <v>300</v>
      </c>
      <c r="B1" s="331">
        <f>master!B10</f>
        <v>24597</v>
      </c>
    </row>
    <row r="2" spans="1:23">
      <c r="A2" s="330" t="s">
        <v>163</v>
      </c>
      <c r="B2" s="332">
        <f>master!B128</f>
        <v>9.0581580247424558</v>
      </c>
    </row>
    <row r="3" spans="1:23">
      <c r="A3" s="330" t="s">
        <v>302</v>
      </c>
      <c r="B3" s="331">
        <f>B1*B22</f>
        <v>6424888987.0744581</v>
      </c>
    </row>
    <row r="4" spans="1:23">
      <c r="A4" s="330" t="s">
        <v>301</v>
      </c>
      <c r="B4" s="331">
        <f>B7*B1*365</f>
        <v>34911789.760073982</v>
      </c>
    </row>
    <row r="5" spans="1:23">
      <c r="A5" s="333" t="s">
        <v>173</v>
      </c>
      <c r="B5" s="333">
        <v>2020</v>
      </c>
      <c r="C5" s="333">
        <v>2021</v>
      </c>
      <c r="D5" s="333">
        <v>2022</v>
      </c>
      <c r="E5" s="333">
        <v>2023</v>
      </c>
      <c r="F5" s="333">
        <v>2024</v>
      </c>
      <c r="G5" s="333">
        <v>2025</v>
      </c>
      <c r="H5" s="333">
        <v>2026</v>
      </c>
      <c r="I5" s="333">
        <v>2027</v>
      </c>
      <c r="J5" s="333">
        <v>2028</v>
      </c>
      <c r="K5" s="333">
        <v>2029</v>
      </c>
      <c r="L5" s="333">
        <v>2030</v>
      </c>
      <c r="M5" s="333">
        <v>2031</v>
      </c>
      <c r="N5" s="333">
        <v>2032</v>
      </c>
      <c r="O5" s="333">
        <v>2033</v>
      </c>
      <c r="P5" s="333">
        <v>2034</v>
      </c>
      <c r="Q5" s="333">
        <v>2035</v>
      </c>
      <c r="R5" s="333">
        <v>2036</v>
      </c>
      <c r="S5" s="333">
        <v>2037</v>
      </c>
      <c r="T5" s="333">
        <v>2038</v>
      </c>
      <c r="U5" s="333">
        <v>2039</v>
      </c>
      <c r="V5" s="333">
        <v>2040</v>
      </c>
      <c r="W5" s="330" t="s">
        <v>261</v>
      </c>
    </row>
    <row r="6" spans="1:23">
      <c r="A6" s="330" t="s">
        <v>234</v>
      </c>
      <c r="B6" s="332">
        <v>125</v>
      </c>
      <c r="C6" s="332">
        <f>B6*1.03</f>
        <v>128.75</v>
      </c>
      <c r="D6" s="332">
        <f t="shared" ref="D6:V6" si="0">C6*1.03</f>
        <v>132.61250000000001</v>
      </c>
      <c r="E6" s="332">
        <f t="shared" si="0"/>
        <v>136.59087500000001</v>
      </c>
      <c r="F6" s="332">
        <f>E6*1.03</f>
        <v>140.68860125</v>
      </c>
      <c r="G6" s="332">
        <f t="shared" si="0"/>
        <v>144.90925928750002</v>
      </c>
      <c r="H6" s="332">
        <f t="shared" si="0"/>
        <v>149.25653706612502</v>
      </c>
      <c r="I6" s="332">
        <f t="shared" si="0"/>
        <v>153.73423317810878</v>
      </c>
      <c r="J6" s="332">
        <f t="shared" si="0"/>
        <v>158.34626017345204</v>
      </c>
      <c r="K6" s="332">
        <f t="shared" si="0"/>
        <v>163.0966479786556</v>
      </c>
      <c r="L6" s="332">
        <f t="shared" si="0"/>
        <v>167.98954741801526</v>
      </c>
      <c r="M6" s="332">
        <f t="shared" si="0"/>
        <v>173.02923384055572</v>
      </c>
      <c r="N6" s="332">
        <f t="shared" si="0"/>
        <v>178.22011085577239</v>
      </c>
      <c r="O6" s="332">
        <f t="shared" si="0"/>
        <v>183.56671418144558</v>
      </c>
      <c r="P6" s="332">
        <f t="shared" si="0"/>
        <v>189.07371560688895</v>
      </c>
      <c r="Q6" s="332">
        <f t="shared" si="0"/>
        <v>194.74592707509564</v>
      </c>
      <c r="R6" s="332">
        <f t="shared" si="0"/>
        <v>200.5883048873485</v>
      </c>
      <c r="S6" s="332">
        <f t="shared" si="0"/>
        <v>206.60595403396897</v>
      </c>
      <c r="T6" s="332">
        <f t="shared" si="0"/>
        <v>212.80413265498805</v>
      </c>
      <c r="U6" s="332">
        <f t="shared" si="0"/>
        <v>219.1882566346377</v>
      </c>
      <c r="V6" s="332">
        <f t="shared" si="0"/>
        <v>225.76390433367683</v>
      </c>
    </row>
    <row r="7" spans="1:23">
      <c r="A7" s="330" t="s">
        <v>168</v>
      </c>
      <c r="B7" s="332">
        <f>master!$B125</f>
        <v>3.8886343484447634</v>
      </c>
      <c r="C7" s="332">
        <f>master!$B125</f>
        <v>3.8886343484447634</v>
      </c>
      <c r="D7" s="332">
        <f>master!$B125</f>
        <v>3.8886343484447634</v>
      </c>
      <c r="E7" s="332">
        <f>master!$B125</f>
        <v>3.8886343484447634</v>
      </c>
      <c r="F7" s="332">
        <f>master!$B125</f>
        <v>3.8886343484447634</v>
      </c>
      <c r="G7" s="332">
        <f>master!$B125</f>
        <v>3.8886343484447634</v>
      </c>
      <c r="H7" s="332">
        <f>master!$B125</f>
        <v>3.8886343484447634</v>
      </c>
      <c r="I7" s="332">
        <f>master!$B125</f>
        <v>3.8886343484447634</v>
      </c>
      <c r="J7" s="332">
        <f>master!$B125</f>
        <v>3.8886343484447634</v>
      </c>
      <c r="K7" s="332">
        <f>master!$B125</f>
        <v>3.8886343484447634</v>
      </c>
      <c r="L7" s="332">
        <f>master!$B125</f>
        <v>3.8886343484447634</v>
      </c>
      <c r="M7" s="332">
        <f>master!$B125</f>
        <v>3.8886343484447634</v>
      </c>
      <c r="N7" s="332">
        <f>master!$B125</f>
        <v>3.8886343484447634</v>
      </c>
      <c r="O7" s="332">
        <f>master!$B125</f>
        <v>3.8886343484447634</v>
      </c>
      <c r="P7" s="332">
        <f>master!$B125</f>
        <v>3.8886343484447634</v>
      </c>
      <c r="Q7" s="332">
        <f>master!$B125</f>
        <v>3.8886343484447634</v>
      </c>
      <c r="R7" s="332">
        <f>master!$B125</f>
        <v>3.8886343484447634</v>
      </c>
      <c r="S7" s="332">
        <f>master!$B125</f>
        <v>3.8886343484447634</v>
      </c>
      <c r="T7" s="332">
        <f>master!$B125</f>
        <v>3.8886343484447634</v>
      </c>
      <c r="U7" s="332">
        <f>master!$B125</f>
        <v>3.8886343484447634</v>
      </c>
      <c r="V7" s="332">
        <f>master!$B125</f>
        <v>3.8886343484447634</v>
      </c>
      <c r="W7" s="331">
        <f>V7*365*master!B10*30</f>
        <v>1047353692.8022195</v>
      </c>
    </row>
    <row r="8" spans="1:23">
      <c r="A8" s="330" t="s">
        <v>169</v>
      </c>
      <c r="B8" s="331">
        <f>B7*B6*365</f>
        <v>177418.94214779232</v>
      </c>
      <c r="C8" s="331">
        <f t="shared" ref="C8:V8" si="1">C7*C6*365</f>
        <v>182741.51041222611</v>
      </c>
      <c r="D8" s="331">
        <f t="shared" si="1"/>
        <v>188223.75572459289</v>
      </c>
      <c r="E8" s="331">
        <f t="shared" si="1"/>
        <v>193870.46839633066</v>
      </c>
      <c r="F8" s="331">
        <f t="shared" si="1"/>
        <v>199686.58244822061</v>
      </c>
      <c r="G8" s="331">
        <f t="shared" si="1"/>
        <v>205677.17992166724</v>
      </c>
      <c r="H8" s="331">
        <f t="shared" si="1"/>
        <v>211847.49531931727</v>
      </c>
      <c r="I8" s="331">
        <f t="shared" si="1"/>
        <v>218202.92017889678</v>
      </c>
      <c r="J8" s="331">
        <f t="shared" si="1"/>
        <v>224749.00778426367</v>
      </c>
      <c r="K8" s="331">
        <f t="shared" si="1"/>
        <v>231491.47801779158</v>
      </c>
      <c r="L8" s="331">
        <f t="shared" si="1"/>
        <v>238436.22235832532</v>
      </c>
      <c r="M8" s="331">
        <f t="shared" si="1"/>
        <v>245589.30902907508</v>
      </c>
      <c r="N8" s="331">
        <f t="shared" si="1"/>
        <v>252956.98829994735</v>
      </c>
      <c r="O8" s="331">
        <f t="shared" si="1"/>
        <v>260545.69794894577</v>
      </c>
      <c r="P8" s="331">
        <f t="shared" si="1"/>
        <v>268362.06888741418</v>
      </c>
      <c r="Q8" s="331">
        <f t="shared" si="1"/>
        <v>276412.93095403659</v>
      </c>
      <c r="R8" s="331">
        <f t="shared" si="1"/>
        <v>284705.31888265774</v>
      </c>
      <c r="S8" s="331">
        <f t="shared" si="1"/>
        <v>293246.47844913747</v>
      </c>
      <c r="T8" s="331">
        <f t="shared" si="1"/>
        <v>302043.87280261162</v>
      </c>
      <c r="U8" s="331">
        <f t="shared" si="1"/>
        <v>311105.18898668996</v>
      </c>
      <c r="V8" s="331">
        <f t="shared" si="1"/>
        <v>320438.34465629066</v>
      </c>
    </row>
    <row r="9" spans="1:23">
      <c r="B9" s="331"/>
      <c r="C9" s="331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1"/>
      <c r="R9" s="331"/>
      <c r="S9" s="331"/>
      <c r="T9" s="331"/>
      <c r="U9" s="331"/>
      <c r="V9" s="331"/>
    </row>
    <row r="10" spans="1:23">
      <c r="A10" s="334" t="s">
        <v>176</v>
      </c>
      <c r="B10" s="331"/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1"/>
      <c r="R10" s="331"/>
      <c r="S10" s="331"/>
      <c r="T10" s="331"/>
      <c r="U10" s="331"/>
      <c r="V10" s="331"/>
    </row>
    <row r="11" spans="1:23">
      <c r="A11" s="330" t="s">
        <v>177</v>
      </c>
      <c r="B11" s="331">
        <f>criteria_pollutants!$C$69/criteria_pollutants!$B$48*1000000</f>
        <v>231480.8382935675</v>
      </c>
      <c r="C11" s="331">
        <f>criteria_pollutants!$C$69/criteria_pollutants!$B$48*1000000</f>
        <v>231480.8382935675</v>
      </c>
      <c r="D11" s="331">
        <f>criteria_pollutants!$C$69/criteria_pollutants!$B$48*1000000</f>
        <v>231480.8382935675</v>
      </c>
      <c r="E11" s="331">
        <f>criteria_pollutants!$C$69/criteria_pollutants!$B$48*1000000</f>
        <v>231480.8382935675</v>
      </c>
      <c r="F11" s="331">
        <f>criteria_pollutants!$C$69/criteria_pollutants!$B$48*1000000</f>
        <v>231480.8382935675</v>
      </c>
      <c r="G11" s="331">
        <f>criteria_pollutants!$C$69/criteria_pollutants!$B$48*1000000</f>
        <v>231480.8382935675</v>
      </c>
      <c r="H11" s="331">
        <f>criteria_pollutants!$C$69/criteria_pollutants!$B$48*1000000</f>
        <v>231480.8382935675</v>
      </c>
      <c r="I11" s="331">
        <f>criteria_pollutants!$C$69/criteria_pollutants!$B$48*1000000</f>
        <v>231480.8382935675</v>
      </c>
      <c r="J11" s="331">
        <f>criteria_pollutants!$C$69/criteria_pollutants!$B$48*1000000</f>
        <v>231480.8382935675</v>
      </c>
      <c r="K11" s="331">
        <f>criteria_pollutants!$C$69/criteria_pollutants!$B$48*1000000</f>
        <v>231480.8382935675</v>
      </c>
      <c r="L11" s="331">
        <f>criteria_pollutants!$C$69/criteria_pollutants!$B$48*1000000</f>
        <v>231480.8382935675</v>
      </c>
      <c r="M11" s="331">
        <f>criteria_pollutants!$C$69/criteria_pollutants!$B$48*1000000</f>
        <v>231480.8382935675</v>
      </c>
      <c r="N11" s="331">
        <f>criteria_pollutants!$C$69/criteria_pollutants!$B$48*1000000</f>
        <v>231480.8382935675</v>
      </c>
      <c r="O11" s="331">
        <f>criteria_pollutants!$C$69/criteria_pollutants!$B$48*1000000</f>
        <v>231480.8382935675</v>
      </c>
      <c r="P11" s="331">
        <f>criteria_pollutants!$C$69/criteria_pollutants!$B$48*1000000</f>
        <v>231480.8382935675</v>
      </c>
      <c r="Q11" s="331">
        <f>criteria_pollutants!$C$69/criteria_pollutants!$B$48*1000000</f>
        <v>231480.8382935675</v>
      </c>
      <c r="R11" s="331">
        <f>criteria_pollutants!$C$69/criteria_pollutants!$B$48*1000000</f>
        <v>231480.8382935675</v>
      </c>
      <c r="S11" s="331">
        <f>criteria_pollutants!$C$69/criteria_pollutants!$B$48*1000000</f>
        <v>231480.8382935675</v>
      </c>
      <c r="T11" s="331">
        <f>criteria_pollutants!$C$69/criteria_pollutants!$B$48*1000000</f>
        <v>231480.8382935675</v>
      </c>
      <c r="U11" s="331">
        <f>criteria_pollutants!$C$69/criteria_pollutants!$B$48*1000000</f>
        <v>231480.8382935675</v>
      </c>
      <c r="V11" s="331">
        <f>criteria_pollutants!$C$69/criteria_pollutants!$B$48*1000000</f>
        <v>231480.8382935675</v>
      </c>
    </row>
    <row r="12" spans="1:23">
      <c r="A12" s="330" t="s">
        <v>178</v>
      </c>
      <c r="B12" s="331">
        <f>criteria_pollutants!$C$68*1000000/criteria_pollutants!$B$48</f>
        <v>20892.305168390292</v>
      </c>
      <c r="C12" s="331">
        <f>criteria_pollutants!$C$68*1000000/criteria_pollutants!$B$48</f>
        <v>20892.305168390292</v>
      </c>
      <c r="D12" s="331">
        <f>criteria_pollutants!$C$68*1000000/criteria_pollutants!$B$48</f>
        <v>20892.305168390292</v>
      </c>
      <c r="E12" s="331">
        <f>criteria_pollutants!$C$68*1000000/criteria_pollutants!$B$48</f>
        <v>20892.305168390292</v>
      </c>
      <c r="F12" s="331">
        <f>criteria_pollutants!$C$68*1000000/criteria_pollutants!$B$48</f>
        <v>20892.305168390292</v>
      </c>
      <c r="G12" s="331">
        <f>criteria_pollutants!$C$68*1000000/criteria_pollutants!$B$48</f>
        <v>20892.305168390292</v>
      </c>
      <c r="H12" s="331">
        <f>criteria_pollutants!$C$68*1000000/criteria_pollutants!$B$48</f>
        <v>20892.305168390292</v>
      </c>
      <c r="I12" s="331">
        <f>criteria_pollutants!$C$68*1000000/criteria_pollutants!$B$48</f>
        <v>20892.305168390292</v>
      </c>
      <c r="J12" s="331">
        <f>criteria_pollutants!$C$68*1000000/criteria_pollutants!$B$48</f>
        <v>20892.305168390292</v>
      </c>
      <c r="K12" s="331">
        <f>criteria_pollutants!$C$68*1000000/criteria_pollutants!$B$48</f>
        <v>20892.305168390292</v>
      </c>
      <c r="L12" s="331">
        <f>criteria_pollutants!$C$68*1000000/criteria_pollutants!$B$48</f>
        <v>20892.305168390292</v>
      </c>
      <c r="M12" s="331">
        <f>criteria_pollutants!$C$68*1000000/criteria_pollutants!$B$48</f>
        <v>20892.305168390292</v>
      </c>
      <c r="N12" s="331">
        <f>criteria_pollutants!$C$68*1000000/criteria_pollutants!$B$48</f>
        <v>20892.305168390292</v>
      </c>
      <c r="O12" s="331">
        <f>criteria_pollutants!$C$68*1000000/criteria_pollutants!$B$48</f>
        <v>20892.305168390292</v>
      </c>
      <c r="P12" s="331">
        <f>criteria_pollutants!$C$68*1000000/criteria_pollutants!$B$48</f>
        <v>20892.305168390292</v>
      </c>
      <c r="Q12" s="331">
        <f>criteria_pollutants!$C$68*1000000/criteria_pollutants!$B$48</f>
        <v>20892.305168390292</v>
      </c>
      <c r="R12" s="331">
        <f>criteria_pollutants!$C$68*1000000/criteria_pollutants!$B$48</f>
        <v>20892.305168390292</v>
      </c>
      <c r="S12" s="331">
        <f>criteria_pollutants!$C$68*1000000/criteria_pollutants!$B$48</f>
        <v>20892.305168390292</v>
      </c>
      <c r="T12" s="331">
        <f>criteria_pollutants!$C$68*1000000/criteria_pollutants!$B$48</f>
        <v>20892.305168390292</v>
      </c>
      <c r="U12" s="331">
        <f>criteria_pollutants!$C$68*1000000/criteria_pollutants!$B$48</f>
        <v>20892.305168390292</v>
      </c>
      <c r="V12" s="331">
        <f>criteria_pollutants!$C$68*1000000/criteria_pollutants!$B$48</f>
        <v>20892.305168390292</v>
      </c>
    </row>
    <row r="13" spans="1:23">
      <c r="A13" s="330" t="s">
        <v>175</v>
      </c>
      <c r="B13" s="331">
        <f>0.035*(B11+B12)</f>
        <v>8833.0600211685232</v>
      </c>
      <c r="C13" s="331">
        <f t="shared" ref="C13:V13" si="2">0.035*(C11+C12)</f>
        <v>8833.0600211685232</v>
      </c>
      <c r="D13" s="331">
        <f t="shared" si="2"/>
        <v>8833.0600211685232</v>
      </c>
      <c r="E13" s="331">
        <f t="shared" si="2"/>
        <v>8833.0600211685232</v>
      </c>
      <c r="F13" s="331">
        <f t="shared" si="2"/>
        <v>8833.0600211685232</v>
      </c>
      <c r="G13" s="331">
        <f t="shared" si="2"/>
        <v>8833.0600211685232</v>
      </c>
      <c r="H13" s="331">
        <f t="shared" si="2"/>
        <v>8833.0600211685232</v>
      </c>
      <c r="I13" s="331">
        <f t="shared" si="2"/>
        <v>8833.0600211685232</v>
      </c>
      <c r="J13" s="331">
        <f t="shared" si="2"/>
        <v>8833.0600211685232</v>
      </c>
      <c r="K13" s="331">
        <f t="shared" si="2"/>
        <v>8833.0600211685232</v>
      </c>
      <c r="L13" s="331">
        <f t="shared" si="2"/>
        <v>8833.0600211685232</v>
      </c>
      <c r="M13" s="331">
        <f t="shared" si="2"/>
        <v>8833.0600211685232</v>
      </c>
      <c r="N13" s="331">
        <f t="shared" si="2"/>
        <v>8833.0600211685232</v>
      </c>
      <c r="O13" s="331">
        <f t="shared" si="2"/>
        <v>8833.0600211685232</v>
      </c>
      <c r="P13" s="331">
        <f t="shared" si="2"/>
        <v>8833.0600211685232</v>
      </c>
      <c r="Q13" s="331">
        <f t="shared" si="2"/>
        <v>8833.0600211685232</v>
      </c>
      <c r="R13" s="331">
        <f t="shared" si="2"/>
        <v>8833.0600211685232</v>
      </c>
      <c r="S13" s="331">
        <f t="shared" si="2"/>
        <v>8833.0600211685232</v>
      </c>
      <c r="T13" s="331">
        <f t="shared" si="2"/>
        <v>8833.0600211685232</v>
      </c>
      <c r="U13" s="331">
        <f t="shared" si="2"/>
        <v>8833.0600211685232</v>
      </c>
      <c r="V13" s="331">
        <f t="shared" si="2"/>
        <v>8833.0600211685232</v>
      </c>
    </row>
    <row r="14" spans="1:23">
      <c r="A14" s="330" t="s">
        <v>281</v>
      </c>
      <c r="B14" s="331">
        <f>SUM(B11:B13)</f>
        <v>261206.20348312633</v>
      </c>
      <c r="C14" s="331">
        <f t="shared" ref="C14:V14" si="3">SUM(C11:C13)</f>
        <v>261206.20348312633</v>
      </c>
      <c r="D14" s="331">
        <f t="shared" si="3"/>
        <v>261206.20348312633</v>
      </c>
      <c r="E14" s="331">
        <f t="shared" si="3"/>
        <v>261206.20348312633</v>
      </c>
      <c r="F14" s="331">
        <f t="shared" si="3"/>
        <v>261206.20348312633</v>
      </c>
      <c r="G14" s="331">
        <f t="shared" si="3"/>
        <v>261206.20348312633</v>
      </c>
      <c r="H14" s="331">
        <f t="shared" si="3"/>
        <v>261206.20348312633</v>
      </c>
      <c r="I14" s="331">
        <f t="shared" si="3"/>
        <v>261206.20348312633</v>
      </c>
      <c r="J14" s="331">
        <f t="shared" si="3"/>
        <v>261206.20348312633</v>
      </c>
      <c r="K14" s="331">
        <f t="shared" si="3"/>
        <v>261206.20348312633</v>
      </c>
      <c r="L14" s="331">
        <f t="shared" si="3"/>
        <v>261206.20348312633</v>
      </c>
      <c r="M14" s="331">
        <f t="shared" si="3"/>
        <v>261206.20348312633</v>
      </c>
      <c r="N14" s="331">
        <f t="shared" si="3"/>
        <v>261206.20348312633</v>
      </c>
      <c r="O14" s="331">
        <f t="shared" si="3"/>
        <v>261206.20348312633</v>
      </c>
      <c r="P14" s="331">
        <f t="shared" si="3"/>
        <v>261206.20348312633</v>
      </c>
      <c r="Q14" s="331">
        <f t="shared" si="3"/>
        <v>261206.20348312633</v>
      </c>
      <c r="R14" s="331">
        <f t="shared" si="3"/>
        <v>261206.20348312633</v>
      </c>
      <c r="S14" s="331">
        <f t="shared" si="3"/>
        <v>261206.20348312633</v>
      </c>
      <c r="T14" s="331">
        <f t="shared" si="3"/>
        <v>261206.20348312633</v>
      </c>
      <c r="U14" s="331">
        <f t="shared" si="3"/>
        <v>261206.20348312633</v>
      </c>
      <c r="V14" s="331">
        <f t="shared" si="3"/>
        <v>261206.20348312633</v>
      </c>
    </row>
    <row r="15" spans="1:23">
      <c r="A15" s="330" t="s">
        <v>182</v>
      </c>
      <c r="B15" s="331">
        <f t="shared" ref="B15:V15" si="4">(B8+B11+B12)/365</f>
        <v>1177.5125633143839</v>
      </c>
      <c r="C15" s="331">
        <f t="shared" si="4"/>
        <v>1192.0949421210516</v>
      </c>
      <c r="D15" s="331">
        <f t="shared" si="4"/>
        <v>1207.1147922919195</v>
      </c>
      <c r="E15" s="331">
        <f t="shared" si="4"/>
        <v>1222.5852379679134</v>
      </c>
      <c r="F15" s="331">
        <f t="shared" si="4"/>
        <v>1238.5197970141874</v>
      </c>
      <c r="G15" s="331">
        <f t="shared" si="4"/>
        <v>1254.9323928318493</v>
      </c>
      <c r="H15" s="331">
        <f t="shared" si="4"/>
        <v>1271.837366524041</v>
      </c>
      <c r="I15" s="331">
        <f t="shared" si="4"/>
        <v>1289.2494894269987</v>
      </c>
      <c r="J15" s="331">
        <f t="shared" si="4"/>
        <v>1307.1839760170451</v>
      </c>
      <c r="K15" s="331">
        <f t="shared" si="4"/>
        <v>1325.6564972047927</v>
      </c>
      <c r="L15" s="331">
        <f t="shared" si="4"/>
        <v>1344.6831940281727</v>
      </c>
      <c r="M15" s="331">
        <f t="shared" si="4"/>
        <v>1364.2806917562546</v>
      </c>
      <c r="N15" s="331">
        <f t="shared" si="4"/>
        <v>1384.4661144161785</v>
      </c>
      <c r="O15" s="331">
        <f t="shared" si="4"/>
        <v>1405.2570997559001</v>
      </c>
      <c r="P15" s="331">
        <f t="shared" si="4"/>
        <v>1426.6718146558137</v>
      </c>
      <c r="Q15" s="331">
        <f t="shared" si="4"/>
        <v>1448.7289710027242</v>
      </c>
      <c r="R15" s="331">
        <f t="shared" si="4"/>
        <v>1471.4478420400424</v>
      </c>
      <c r="S15" s="331">
        <f t="shared" si="4"/>
        <v>1494.8482792084801</v>
      </c>
      <c r="T15" s="331">
        <f t="shared" si="4"/>
        <v>1518.9507294919708</v>
      </c>
      <c r="U15" s="331">
        <f t="shared" si="4"/>
        <v>1543.7762532839663</v>
      </c>
      <c r="V15" s="331">
        <f t="shared" si="4"/>
        <v>1569.3465427897218</v>
      </c>
      <c r="W15" s="330" t="s">
        <v>262</v>
      </c>
    </row>
    <row r="16" spans="1:23">
      <c r="A16" s="330" t="s">
        <v>183</v>
      </c>
      <c r="B16" s="331">
        <f t="shared" ref="B16:V16" si="5">B15/$B$2</f>
        <v>129.99470312816311</v>
      </c>
      <c r="C16" s="331">
        <f t="shared" si="5"/>
        <v>131.60456451133129</v>
      </c>
      <c r="D16" s="331">
        <f t="shared" si="5"/>
        <v>133.26272173599449</v>
      </c>
      <c r="E16" s="331">
        <f t="shared" si="5"/>
        <v>134.97062367739761</v>
      </c>
      <c r="F16" s="331">
        <f t="shared" si="5"/>
        <v>136.72976267704286</v>
      </c>
      <c r="G16" s="331">
        <f t="shared" si="5"/>
        <v>138.54167584667744</v>
      </c>
      <c r="H16" s="331">
        <f t="shared" si="5"/>
        <v>140.40794641140104</v>
      </c>
      <c r="I16" s="331">
        <f t="shared" si="5"/>
        <v>142.33020509306638</v>
      </c>
      <c r="J16" s="331">
        <f t="shared" si="5"/>
        <v>144.31013153518165</v>
      </c>
      <c r="K16" s="331">
        <f t="shared" si="5"/>
        <v>146.34945577056038</v>
      </c>
      <c r="L16" s="331">
        <f t="shared" si="5"/>
        <v>148.44995973300047</v>
      </c>
      <c r="M16" s="331">
        <f t="shared" si="5"/>
        <v>150.61347881431382</v>
      </c>
      <c r="N16" s="331">
        <f t="shared" si="5"/>
        <v>152.8419034680665</v>
      </c>
      <c r="O16" s="331">
        <f t="shared" si="5"/>
        <v>155.13718086143177</v>
      </c>
      <c r="P16" s="331">
        <f t="shared" si="5"/>
        <v>157.50131657659807</v>
      </c>
      <c r="Q16" s="331">
        <f t="shared" si="5"/>
        <v>159.93637636321927</v>
      </c>
      <c r="R16" s="331">
        <f t="shared" si="5"/>
        <v>162.44448794343913</v>
      </c>
      <c r="S16" s="331">
        <f t="shared" si="5"/>
        <v>165.02784287106562</v>
      </c>
      <c r="T16" s="331">
        <f t="shared" si="5"/>
        <v>167.68869844652087</v>
      </c>
      <c r="U16" s="331">
        <f t="shared" si="5"/>
        <v>170.42937968923979</v>
      </c>
      <c r="V16" s="331">
        <f t="shared" si="5"/>
        <v>173.25228136924028</v>
      </c>
      <c r="W16" s="331">
        <f>B15*365*master!B10</f>
        <v>10571595929.743023</v>
      </c>
    </row>
    <row r="17" spans="1:23">
      <c r="B17" s="331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1"/>
    </row>
    <row r="18" spans="1:23">
      <c r="A18" s="334" t="s">
        <v>179</v>
      </c>
    </row>
    <row r="19" spans="1:23">
      <c r="A19" s="330" t="s">
        <v>171</v>
      </c>
      <c r="B19" s="331">
        <f>B11</f>
        <v>231480.8382935675</v>
      </c>
      <c r="C19" s="331">
        <f>criteria_pollutants!D79*1000000/criteria_pollutants!$B$48</f>
        <v>220902.92293711964</v>
      </c>
      <c r="D19" s="331">
        <f>criteria_pollutants!E79*1000000/criteria_pollutants!$B$48</f>
        <v>210325.00758067181</v>
      </c>
      <c r="E19" s="331">
        <f>criteria_pollutants!F79*1000000/criteria_pollutants!$B$48</f>
        <v>199747.09222422395</v>
      </c>
      <c r="F19" s="331">
        <f>criteria_pollutants!G79*1000000/criteria_pollutants!$B$48</f>
        <v>189169.17686777611</v>
      </c>
      <c r="G19" s="331">
        <f>criteria_pollutants!H79*1000000/criteria_pollutants!$B$48</f>
        <v>178591.26151132825</v>
      </c>
      <c r="H19" s="331">
        <f>criteria_pollutants!I79*1000000/criteria_pollutants!$B$48</f>
        <v>168013.34615488042</v>
      </c>
      <c r="I19" s="331">
        <f>criteria_pollutants!J79*1000000/criteria_pollutants!$B$48</f>
        <v>157435.43079843256</v>
      </c>
      <c r="J19" s="331">
        <f>criteria_pollutants!K79*1000000/criteria_pollutants!$B$48</f>
        <v>146857.51544198472</v>
      </c>
      <c r="K19" s="331">
        <f>criteria_pollutants!L79*1000000/criteria_pollutants!$B$48</f>
        <v>136279.60008553686</v>
      </c>
      <c r="L19" s="331">
        <f>criteria_pollutants!M79*1000000/criteria_pollutants!$B$48</f>
        <v>125701.68472908901</v>
      </c>
      <c r="M19" s="331">
        <f>criteria_pollutants!N79*1000000/criteria_pollutants!$B$48</f>
        <v>119013.40640954126</v>
      </c>
      <c r="N19" s="331">
        <f>criteria_pollutants!O79*1000000/criteria_pollutants!$B$48</f>
        <v>112325.12808999351</v>
      </c>
      <c r="O19" s="331">
        <f>criteria_pollutants!P79*1000000/criteria_pollutants!$B$48</f>
        <v>105636.84977044577</v>
      </c>
      <c r="P19" s="331">
        <f>criteria_pollutants!Q79*1000000/criteria_pollutants!$B$48</f>
        <v>98948.571450898016</v>
      </c>
      <c r="Q19" s="331">
        <f>criteria_pollutants!R79*1000000/criteria_pollutants!$B$48</f>
        <v>92490.954181404231</v>
      </c>
      <c r="R19" s="331">
        <f>criteria_pollutants!S79*1000000/criteria_pollutants!$B$48</f>
        <v>88269.274958427282</v>
      </c>
      <c r="S19" s="331">
        <f>criteria_pollutants!T79*1000000/criteria_pollutants!$B$48</f>
        <v>84047.595735450348</v>
      </c>
      <c r="T19" s="331">
        <f>criteria_pollutants!U79*1000000/criteria_pollutants!$B$48</f>
        <v>79825.916512473385</v>
      </c>
      <c r="U19" s="331">
        <f>criteria_pollutants!V79*1000000/criteria_pollutants!$B$48</f>
        <v>75604.237289496436</v>
      </c>
      <c r="V19" s="331">
        <f>criteria_pollutants!W79*1000000/criteria_pollutants!$B$48</f>
        <v>71382.558066519487</v>
      </c>
    </row>
    <row r="20" spans="1:23">
      <c r="A20" s="330" t="s">
        <v>172</v>
      </c>
      <c r="B20" s="331">
        <f>criteria_pollutants!C78*1000000/criteria_pollutants!$B$48</f>
        <v>20892.305168390292</v>
      </c>
      <c r="C20" s="331">
        <f>criteria_pollutants!D78*1000000/criteria_pollutants!$B$48</f>
        <v>20021.792453040696</v>
      </c>
      <c r="D20" s="331">
        <f>criteria_pollutants!E78*1000000/criteria_pollutants!$B$48</f>
        <v>19151.2797376911</v>
      </c>
      <c r="E20" s="331">
        <f>criteria_pollutants!F78*1000000/criteria_pollutants!$B$48</f>
        <v>18280.767022341504</v>
      </c>
      <c r="F20" s="331">
        <f>criteria_pollutants!G78*1000000/criteria_pollutants!$B$48</f>
        <v>17410.254306991908</v>
      </c>
      <c r="G20" s="331">
        <f>criteria_pollutants!H78*1000000/criteria_pollutants!$B$48</f>
        <v>16539.741591642309</v>
      </c>
      <c r="H20" s="331">
        <f>criteria_pollutants!I78*1000000/criteria_pollutants!$B$48</f>
        <v>15669.228876292713</v>
      </c>
      <c r="I20" s="331">
        <f>criteria_pollutants!J78*1000000/criteria_pollutants!$B$48</f>
        <v>14798.716160943117</v>
      </c>
      <c r="J20" s="331">
        <f>criteria_pollutants!K78*1000000/criteria_pollutants!$B$48</f>
        <v>13928.203445593519</v>
      </c>
      <c r="K20" s="331">
        <f>criteria_pollutants!L78*1000000/criteria_pollutants!$B$48</f>
        <v>13057.690730243923</v>
      </c>
      <c r="L20" s="331">
        <f>criteria_pollutants!M78*1000000/criteria_pollutants!$B$48</f>
        <v>11302.19132414522</v>
      </c>
      <c r="M20" s="331">
        <f>criteria_pollutants!N78*1000000/criteria_pollutants!$B$48</f>
        <v>10605.781151865544</v>
      </c>
      <c r="N20" s="331">
        <f>criteria_pollutants!O78*1000000/criteria_pollutants!$B$48</f>
        <v>9909.3709795858686</v>
      </c>
      <c r="O20" s="331">
        <f>criteria_pollutants!P78*1000000/criteria_pollutants!$B$48</f>
        <v>9212.9608073061918</v>
      </c>
      <c r="P20" s="331">
        <f>criteria_pollutants!Q78*1000000/criteria_pollutants!$B$48</f>
        <v>8516.550635026515</v>
      </c>
      <c r="Q20" s="331">
        <f>criteria_pollutants!R78*1000000/criteria_pollutants!$B$48</f>
        <v>7820.1404627468382</v>
      </c>
      <c r="R20" s="331">
        <f>criteria_pollutants!S78*1000000/criteria_pollutants!$B$48</f>
        <v>7297.8328335370825</v>
      </c>
      <c r="S20" s="331">
        <f>criteria_pollutants!T78*1000000/criteria_pollutants!$B$48</f>
        <v>6775.5252043273249</v>
      </c>
      <c r="T20" s="331">
        <f>criteria_pollutants!U78*1000000/criteria_pollutants!$B$48</f>
        <v>6253.2175751175682</v>
      </c>
      <c r="U20" s="331">
        <f>criteria_pollutants!V78*1000000/criteria_pollutants!$B$48</f>
        <v>5730.9099459078116</v>
      </c>
      <c r="V20" s="331">
        <f>criteria_pollutants!W78*1000000/criteria_pollutants!$B$48</f>
        <v>5208.6023166980549</v>
      </c>
    </row>
    <row r="21" spans="1:23">
      <c r="A21" s="330" t="s">
        <v>175</v>
      </c>
      <c r="B21" s="331">
        <f>0.035*(B20+B19)</f>
        <v>8833.0600211685232</v>
      </c>
      <c r="C21" s="331">
        <f t="shared" ref="C21:V21" si="6">0.035*(C20+C19)</f>
        <v>8432.3650386556128</v>
      </c>
      <c r="D21" s="331">
        <f t="shared" si="6"/>
        <v>8031.6700561427024</v>
      </c>
      <c r="E21" s="331">
        <f t="shared" si="6"/>
        <v>7630.975073629791</v>
      </c>
      <c r="F21" s="331">
        <f t="shared" si="6"/>
        <v>7230.2800911168815</v>
      </c>
      <c r="G21" s="331">
        <f t="shared" si="6"/>
        <v>6829.5851086039711</v>
      </c>
      <c r="H21" s="331">
        <f t="shared" si="6"/>
        <v>6428.8901260910598</v>
      </c>
      <c r="I21" s="331">
        <f t="shared" si="6"/>
        <v>6028.1951435781493</v>
      </c>
      <c r="J21" s="331">
        <f t="shared" si="6"/>
        <v>5627.5001610652389</v>
      </c>
      <c r="K21" s="331">
        <f t="shared" si="6"/>
        <v>5226.8051785523276</v>
      </c>
      <c r="L21" s="331">
        <f t="shared" si="6"/>
        <v>4795.1356618631989</v>
      </c>
      <c r="M21" s="331">
        <f t="shared" si="6"/>
        <v>4536.6715646492385</v>
      </c>
      <c r="N21" s="331">
        <f t="shared" si="6"/>
        <v>4278.2074674352789</v>
      </c>
      <c r="O21" s="331">
        <f t="shared" si="6"/>
        <v>4019.7433702213193</v>
      </c>
      <c r="P21" s="331">
        <f t="shared" si="6"/>
        <v>3761.2792730073593</v>
      </c>
      <c r="Q21" s="331">
        <f t="shared" si="6"/>
        <v>3510.888312545288</v>
      </c>
      <c r="R21" s="331">
        <f t="shared" si="6"/>
        <v>3344.8487727187535</v>
      </c>
      <c r="S21" s="331">
        <f t="shared" si="6"/>
        <v>3178.8092328922189</v>
      </c>
      <c r="T21" s="331">
        <f t="shared" si="6"/>
        <v>3012.7696930656834</v>
      </c>
      <c r="U21" s="331">
        <f t="shared" si="6"/>
        <v>2846.7301532391489</v>
      </c>
      <c r="V21" s="331">
        <f t="shared" si="6"/>
        <v>2680.6906134126143</v>
      </c>
    </row>
    <row r="22" spans="1:23">
      <c r="A22" s="330" t="s">
        <v>281</v>
      </c>
      <c r="B22" s="331">
        <f>SUM(B19:B21)</f>
        <v>261206.20348312633</v>
      </c>
      <c r="C22" s="331">
        <f t="shared" ref="C22:V22" si="7">SUM(C19:C21)</f>
        <v>249357.08042881594</v>
      </c>
      <c r="D22" s="331">
        <f t="shared" si="7"/>
        <v>237507.95737450561</v>
      </c>
      <c r="E22" s="331">
        <f t="shared" si="7"/>
        <v>225658.83432019522</v>
      </c>
      <c r="F22" s="331">
        <f t="shared" si="7"/>
        <v>213809.71126588489</v>
      </c>
      <c r="G22" s="331">
        <f t="shared" si="7"/>
        <v>201960.58821157453</v>
      </c>
      <c r="H22" s="331">
        <f t="shared" si="7"/>
        <v>190111.46515726417</v>
      </c>
      <c r="I22" s="331">
        <f t="shared" si="7"/>
        <v>178262.34210295381</v>
      </c>
      <c r="J22" s="331">
        <f t="shared" si="7"/>
        <v>166413.21904864346</v>
      </c>
      <c r="K22" s="331">
        <f t="shared" si="7"/>
        <v>154564.0959943331</v>
      </c>
      <c r="L22" s="331">
        <f t="shared" si="7"/>
        <v>141799.01171509744</v>
      </c>
      <c r="M22" s="331">
        <f t="shared" si="7"/>
        <v>134155.85912605605</v>
      </c>
      <c r="N22" s="331">
        <f t="shared" si="7"/>
        <v>126512.70653701466</v>
      </c>
      <c r="O22" s="331">
        <f t="shared" si="7"/>
        <v>118869.55394797328</v>
      </c>
      <c r="P22" s="331">
        <f t="shared" si="7"/>
        <v>111226.40135893189</v>
      </c>
      <c r="Q22" s="331">
        <f t="shared" si="7"/>
        <v>103821.98295669636</v>
      </c>
      <c r="R22" s="331">
        <f t="shared" si="7"/>
        <v>98911.956564683132</v>
      </c>
      <c r="S22" s="331">
        <f t="shared" si="7"/>
        <v>94001.93017266989</v>
      </c>
      <c r="T22" s="331">
        <f t="shared" si="7"/>
        <v>89091.903780656634</v>
      </c>
      <c r="U22" s="331">
        <f t="shared" si="7"/>
        <v>84181.877388643392</v>
      </c>
      <c r="V22" s="331">
        <f t="shared" si="7"/>
        <v>79271.850996630164</v>
      </c>
    </row>
    <row r="23" spans="1:23">
      <c r="A23" s="330" t="s">
        <v>235</v>
      </c>
      <c r="B23" s="331">
        <f t="shared" ref="B23:V23" si="8">(B8+B19+B20)/365</f>
        <v>1177.5125633143839</v>
      </c>
      <c r="C23" s="331">
        <f t="shared" si="8"/>
        <v>1160.729385759963</v>
      </c>
      <c r="D23" s="331">
        <f t="shared" si="8"/>
        <v>1144.3836795697418</v>
      </c>
      <c r="E23" s="331">
        <f t="shared" si="8"/>
        <v>1128.4885688846468</v>
      </c>
      <c r="F23" s="331">
        <f t="shared" si="8"/>
        <v>1113.0575715698319</v>
      </c>
      <c r="G23" s="331">
        <f t="shared" si="8"/>
        <v>1098.1046110264049</v>
      </c>
      <c r="H23" s="331">
        <f t="shared" si="8"/>
        <v>1083.644028357508</v>
      </c>
      <c r="I23" s="331">
        <f t="shared" si="8"/>
        <v>1069.6905948993765</v>
      </c>
      <c r="J23" s="331">
        <f t="shared" si="8"/>
        <v>1056.259525128334</v>
      </c>
      <c r="K23" s="331">
        <f t="shared" si="8"/>
        <v>1043.3664899549929</v>
      </c>
      <c r="L23" s="331">
        <f t="shared" si="8"/>
        <v>1028.6030093467386</v>
      </c>
      <c r="M23" s="331">
        <f t="shared" si="8"/>
        <v>1027.9684838095395</v>
      </c>
      <c r="N23" s="331">
        <f t="shared" si="8"/>
        <v>1027.9218832041827</v>
      </c>
      <c r="O23" s="331">
        <f t="shared" si="8"/>
        <v>1028.4808452786237</v>
      </c>
      <c r="P23" s="331">
        <f t="shared" si="8"/>
        <v>1029.6635369132568</v>
      </c>
      <c r="Q23" s="331">
        <f t="shared" si="8"/>
        <v>1032.1206180772265</v>
      </c>
      <c r="R23" s="331">
        <f t="shared" si="8"/>
        <v>1041.8422648619785</v>
      </c>
      <c r="S23" s="331">
        <f t="shared" si="8"/>
        <v>1052.2454777778496</v>
      </c>
      <c r="T23" s="331">
        <f t="shared" si="8"/>
        <v>1063.3507038087741</v>
      </c>
      <c r="U23" s="331">
        <f t="shared" si="8"/>
        <v>1075.1790033482032</v>
      </c>
      <c r="V23" s="331">
        <f t="shared" si="8"/>
        <v>1087.7520686013925</v>
      </c>
    </row>
    <row r="24" spans="1:23">
      <c r="A24" s="330" t="s">
        <v>236</v>
      </c>
      <c r="B24" s="331">
        <f>B23/$B$2</f>
        <v>129.99470312816311</v>
      </c>
      <c r="C24" s="331">
        <f t="shared" ref="C24:V24" si="9">C23/$B$2</f>
        <v>128.14187857944387</v>
      </c>
      <c r="D24" s="331">
        <f t="shared" si="9"/>
        <v>126.33734987221966</v>
      </c>
      <c r="E24" s="331">
        <f t="shared" si="9"/>
        <v>124.58256588173536</v>
      </c>
      <c r="F24" s="331">
        <f t="shared" si="9"/>
        <v>122.87901894949317</v>
      </c>
      <c r="G24" s="331">
        <f t="shared" si="9"/>
        <v>121.22824618724032</v>
      </c>
      <c r="H24" s="331">
        <f t="shared" si="9"/>
        <v>119.63183082007652</v>
      </c>
      <c r="I24" s="331">
        <f t="shared" si="9"/>
        <v>118.09140356985439</v>
      </c>
      <c r="J24" s="331">
        <f t="shared" si="9"/>
        <v>116.60864408008226</v>
      </c>
      <c r="K24" s="331">
        <f t="shared" si="9"/>
        <v>115.18528238357358</v>
      </c>
      <c r="L24" s="331">
        <f t="shared" si="9"/>
        <v>113.55542777428904</v>
      </c>
      <c r="M24" s="331">
        <f t="shared" si="9"/>
        <v>113.48537760123334</v>
      </c>
      <c r="N24" s="331">
        <f t="shared" si="9"/>
        <v>113.48023300061702</v>
      </c>
      <c r="O24" s="331">
        <f t="shared" si="9"/>
        <v>113.5419411396133</v>
      </c>
      <c r="P24" s="331">
        <f t="shared" si="9"/>
        <v>113.67250760041057</v>
      </c>
      <c r="Q24" s="331">
        <f t="shared" si="9"/>
        <v>113.9437637605767</v>
      </c>
      <c r="R24" s="331">
        <f t="shared" si="9"/>
        <v>115.01701140741585</v>
      </c>
      <c r="S24" s="331">
        <f t="shared" si="9"/>
        <v>116.16550240166156</v>
      </c>
      <c r="T24" s="331">
        <f t="shared" si="9"/>
        <v>117.39149404373607</v>
      </c>
      <c r="U24" s="331">
        <f t="shared" si="9"/>
        <v>118.69731135307424</v>
      </c>
      <c r="V24" s="331">
        <f t="shared" si="9"/>
        <v>120.085349099694</v>
      </c>
    </row>
    <row r="25" spans="1:23">
      <c r="W25" s="335"/>
    </row>
    <row r="26" spans="1:23">
      <c r="A26" s="333" t="s">
        <v>180</v>
      </c>
      <c r="B26" s="333">
        <v>2020</v>
      </c>
      <c r="C26" s="333">
        <v>2021</v>
      </c>
      <c r="D26" s="333">
        <v>2022</v>
      </c>
      <c r="E26" s="333">
        <v>2023</v>
      </c>
      <c r="F26" s="333">
        <v>2024</v>
      </c>
      <c r="G26" s="333">
        <v>2025</v>
      </c>
      <c r="H26" s="333">
        <v>2026</v>
      </c>
      <c r="I26" s="333">
        <v>2027</v>
      </c>
      <c r="J26" s="333">
        <v>2028</v>
      </c>
      <c r="K26" s="333">
        <v>2029</v>
      </c>
      <c r="L26" s="333">
        <v>2030</v>
      </c>
      <c r="M26" s="333">
        <v>2031</v>
      </c>
      <c r="N26" s="333">
        <v>2032</v>
      </c>
      <c r="O26" s="333">
        <v>2033</v>
      </c>
      <c r="P26" s="333">
        <v>2034</v>
      </c>
      <c r="Q26" s="333">
        <v>2035</v>
      </c>
      <c r="R26" s="333">
        <v>2036</v>
      </c>
      <c r="S26" s="333">
        <v>2037</v>
      </c>
      <c r="T26" s="333">
        <v>2038</v>
      </c>
      <c r="U26" s="333">
        <v>2039</v>
      </c>
      <c r="V26" s="333">
        <v>2040</v>
      </c>
    </row>
    <row r="27" spans="1:23">
      <c r="A27" s="334" t="s">
        <v>164</v>
      </c>
    </row>
    <row r="28" spans="1:23">
      <c r="A28" s="330" t="s">
        <v>282</v>
      </c>
      <c r="B28" s="331">
        <f>$B$2*'grid emissions damages'!C5*365</f>
        <v>149122.73020293223</v>
      </c>
      <c r="C28" s="331">
        <f>$B$2*'grid emissions damages'!D5*365</f>
        <v>144465.66796798995</v>
      </c>
      <c r="D28" s="331">
        <f>$B$2*'grid emissions damages'!E5*365</f>
        <v>139559.17139562097</v>
      </c>
      <c r="E28" s="331">
        <f>$B$2*'grid emissions damages'!F5*365</f>
        <v>136420.4068093618</v>
      </c>
      <c r="F28" s="331">
        <f>$B$2*'grid emissions damages'!G5*365</f>
        <v>133070.51385777077</v>
      </c>
      <c r="G28" s="331">
        <f>$B$2*'grid emissions damages'!H5*365</f>
        <v>128832.50966099893</v>
      </c>
      <c r="H28" s="331">
        <f>$B$2*'grid emissions damages'!I5*365</f>
        <v>124342.40376405687</v>
      </c>
      <c r="I28" s="331">
        <f>$B$2*'grid emissions damages'!J5*365</f>
        <v>117078.83062179046</v>
      </c>
      <c r="J28" s="331">
        <f>$B$2*'grid emissions damages'!K5*365</f>
        <v>109445.50956025551</v>
      </c>
      <c r="K28" s="331">
        <f>$B$2*'grid emissions damages'!L5*365</f>
        <v>98354.03942390134</v>
      </c>
      <c r="L28" s="331">
        <f>$B$2*'grid emissions damages'!M5*365</f>
        <v>86697.185397540306</v>
      </c>
      <c r="M28" s="331">
        <f>$B$2*'grid emissions damages'!N5*365</f>
        <v>74715.822521873386</v>
      </c>
      <c r="N28" s="331">
        <f>$B$2*'grid emissions damages'!O5*365</f>
        <v>62134.346319352189</v>
      </c>
      <c r="O28" s="331">
        <f>$B$2*'grid emissions damages'!P5*365</f>
        <v>50317.431493745964</v>
      </c>
      <c r="P28" s="331">
        <f>$B$2*'grid emissions damages'!Q5*365</f>
        <v>37943.719246575558</v>
      </c>
      <c r="Q28" s="331">
        <f>$B$2*'grid emissions damages'!R5*365</f>
        <v>24991.966126235999</v>
      </c>
      <c r="R28" s="331">
        <f>$B$2*'grid emissions damages'!S5*365</f>
        <v>25202.17812069679</v>
      </c>
      <c r="S28" s="331">
        <f>$B$2*'grid emissions damages'!T5*365</f>
        <v>25412.39189615547</v>
      </c>
      <c r="T28" s="331">
        <f>$B$2*'grid emissions damages'!U5*365</f>
        <v>25622.445751070638</v>
      </c>
      <c r="U28" s="331">
        <f>$B$2*'grid emissions damages'!V5*365</f>
        <v>25832.170668823295</v>
      </c>
      <c r="V28" s="331">
        <f>$B$2*'grid emissions damages'!W5*365</f>
        <v>26041.390093761722</v>
      </c>
    </row>
    <row r="29" spans="1:23">
      <c r="A29" s="330" t="s">
        <v>146</v>
      </c>
      <c r="B29" s="331">
        <f>$B$2*'grid emissions damages'!C6*365</f>
        <v>5799.578207308783</v>
      </c>
      <c r="C29" s="331">
        <f>$B$2*'grid emissions damages'!D6*365</f>
        <v>5315.0798750271761</v>
      </c>
      <c r="D29" s="331">
        <f>$B$2*'grid emissions damages'!E6*365</f>
        <v>4839.0406096979486</v>
      </c>
      <c r="E29" s="331">
        <f>$B$2*'grid emissions damages'!F6*365</f>
        <v>4506.3294456617614</v>
      </c>
      <c r="F29" s="331">
        <f>$B$2*'grid emissions damages'!G6*365</f>
        <v>4178.1512851331327</v>
      </c>
      <c r="G29" s="331">
        <f>$B$2*'grid emissions damages'!H6*365</f>
        <v>3881.3327464894683</v>
      </c>
      <c r="H29" s="331">
        <f>$B$2*'grid emissions damages'!I6*365</f>
        <v>3588.783935742882</v>
      </c>
      <c r="I29" s="331">
        <f>$B$2*'grid emissions damages'!J6*365</f>
        <v>3199.1868239997361</v>
      </c>
      <c r="J29" s="331">
        <f>$B$2*'grid emissions damages'!K6*365</f>
        <v>2815.7130327242944</v>
      </c>
      <c r="K29" s="331">
        <f>$B$2*'grid emissions damages'!L6*365</f>
        <v>2362.1119122163918</v>
      </c>
      <c r="L29" s="331">
        <f>$B$2*'grid emissions damages'!M6*365</f>
        <v>1914.5952899400456</v>
      </c>
      <c r="M29" s="331">
        <f>$B$2*'grid emissions damages'!N6*365</f>
        <v>1514.2400074223481</v>
      </c>
      <c r="N29" s="331">
        <f>$B$2*'grid emissions damages'!O6*365</f>
        <v>1119.1303792920394</v>
      </c>
      <c r="O29" s="331">
        <f>$B$2*'grid emissions damages'!P6*365</f>
        <v>828.64375833553038</v>
      </c>
      <c r="P29" s="331">
        <f>$B$2*'grid emissions damages'!Q6*365</f>
        <v>542.44780628486603</v>
      </c>
      <c r="Q29" s="331">
        <f>$B$2*'grid emissions damages'!R6*365</f>
        <v>260.4512791257531</v>
      </c>
      <c r="R29" s="331">
        <f>$B$2*'grid emissions damages'!S6*365</f>
        <v>254.71144292370269</v>
      </c>
      <c r="S29" s="331">
        <f>$B$2*'grid emissions damages'!T6*365</f>
        <v>249.08085988137546</v>
      </c>
      <c r="T29" s="331">
        <f>$B$2*'grid emissions damages'!U6*365</f>
        <v>243.54239612894452</v>
      </c>
      <c r="U29" s="331">
        <f>$B$2*'grid emissions damages'!V6*365</f>
        <v>238.10634015662163</v>
      </c>
      <c r="V29" s="331">
        <f>$B$2*'grid emissions damages'!W6*365</f>
        <v>232.76233598436929</v>
      </c>
    </row>
    <row r="30" spans="1:23">
      <c r="A30" s="330" t="s">
        <v>174</v>
      </c>
      <c r="B30" s="331">
        <f>$B$2*'grid emissions damages'!C7*365</f>
        <v>13595.362404987145</v>
      </c>
      <c r="C30" s="331">
        <f>$B$2*'grid emissions damages'!D7*365</f>
        <v>12420.688140525588</v>
      </c>
      <c r="D30" s="331">
        <f>$B$2*'grid emissions damages'!E7*365</f>
        <v>11266.524559786696</v>
      </c>
      <c r="E30" s="331">
        <f>$B$2*'grid emissions damages'!F7*365</f>
        <v>10496.131915338441</v>
      </c>
      <c r="F30" s="331">
        <f>$B$2*'grid emissions damages'!G7*365</f>
        <v>9736.2370920761896</v>
      </c>
      <c r="G30" s="331">
        <f>$B$2*'grid emissions damages'!H7*365</f>
        <v>9152.2940085635892</v>
      </c>
      <c r="H30" s="331">
        <f>$B$2*'grid emissions damages'!I7*365</f>
        <v>8576.7526091546879</v>
      </c>
      <c r="I30" s="331">
        <f>$B$2*'grid emissions damages'!J7*365</f>
        <v>7604.4029769311646</v>
      </c>
      <c r="J30" s="331">
        <f>$B$2*'grid emissions damages'!K7*365</f>
        <v>6647.3357186450785</v>
      </c>
      <c r="K30" s="331">
        <f>$B$2*'grid emissions damages'!L7*365</f>
        <v>5419.0656977930057</v>
      </c>
      <c r="L30" s="331">
        <f>$B$2*'grid emissions damages'!M7*365</f>
        <v>4207.2713810913228</v>
      </c>
      <c r="M30" s="331">
        <f>$B$2*'grid emissions damages'!N7*365</f>
        <v>3209.2262369931855</v>
      </c>
      <c r="N30" s="331">
        <f>$B$2*'grid emissions damages'!O7*365</f>
        <v>2224.2579783834494</v>
      </c>
      <c r="O30" s="331">
        <f>$B$2*'grid emissions damages'!P7*365</f>
        <v>1517.0046618724853</v>
      </c>
      <c r="P30" s="331">
        <f>$B$2*'grid emissions damages'!Q7*365</f>
        <v>820.19790357177715</v>
      </c>
      <c r="Q30" s="331">
        <f>$B$2*'grid emissions damages'!R7*365</f>
        <v>133.60796260125926</v>
      </c>
      <c r="R30" s="331">
        <f>$B$2*'grid emissions damages'!S7*365</f>
        <v>127.20426169833927</v>
      </c>
      <c r="S30" s="331">
        <f>$B$2*'grid emissions damages'!T7*365</f>
        <v>120.91444418179184</v>
      </c>
      <c r="T30" s="331">
        <f>$B$2*'grid emissions damages'!U7*365</f>
        <v>114.73994815990135</v>
      </c>
      <c r="U30" s="331">
        <f>$B$2*'grid emissions damages'!V7*365</f>
        <v>108.669729145594</v>
      </c>
      <c r="V30" s="331">
        <f>$B$2*'grid emissions damages'!W7*365</f>
        <v>102.69758658129803</v>
      </c>
    </row>
    <row r="31" spans="1:23">
      <c r="B31" s="331"/>
    </row>
    <row r="32" spans="1:23">
      <c r="A32" s="336" t="s">
        <v>181</v>
      </c>
      <c r="B32" s="337"/>
      <c r="C32" s="337"/>
      <c r="D32" s="337"/>
      <c r="E32" s="337"/>
      <c r="F32" s="337"/>
      <c r="G32" s="337"/>
      <c r="H32" s="337"/>
      <c r="I32" s="337"/>
      <c r="J32" s="337"/>
      <c r="K32" s="337"/>
      <c r="L32" s="337"/>
      <c r="M32" s="337"/>
      <c r="N32" s="337"/>
      <c r="O32" s="337"/>
      <c r="P32" s="337"/>
      <c r="Q32" s="337"/>
      <c r="R32" s="337"/>
      <c r="S32" s="337"/>
      <c r="T32" s="337"/>
      <c r="U32" s="337"/>
      <c r="V32" s="337"/>
    </row>
    <row r="33" spans="1:22">
      <c r="A33" s="338" t="s">
        <v>166</v>
      </c>
      <c r="B33" s="339">
        <f t="shared" ref="B33:V33" si="10">B8-B28</f>
        <v>28296.211944860086</v>
      </c>
      <c r="C33" s="339">
        <f t="shared" si="10"/>
        <v>38275.842444236157</v>
      </c>
      <c r="D33" s="339">
        <f t="shared" si="10"/>
        <v>48664.58432897192</v>
      </c>
      <c r="E33" s="339">
        <f t="shared" si="10"/>
        <v>57450.061586968863</v>
      </c>
      <c r="F33" s="339">
        <f t="shared" si="10"/>
        <v>66616.068590449839</v>
      </c>
      <c r="G33" s="339">
        <f t="shared" si="10"/>
        <v>76844.67026066831</v>
      </c>
      <c r="H33" s="339">
        <f t="shared" si="10"/>
        <v>87505.091555260398</v>
      </c>
      <c r="I33" s="339">
        <f t="shared" si="10"/>
        <v>101124.08955710632</v>
      </c>
      <c r="J33" s="339">
        <f t="shared" si="10"/>
        <v>115303.49822400816</v>
      </c>
      <c r="K33" s="339">
        <f t="shared" si="10"/>
        <v>133137.43859389023</v>
      </c>
      <c r="L33" s="339">
        <f t="shared" si="10"/>
        <v>151739.03696078502</v>
      </c>
      <c r="M33" s="339">
        <f t="shared" si="10"/>
        <v>170873.48650720168</v>
      </c>
      <c r="N33" s="339">
        <f t="shared" si="10"/>
        <v>190822.64198059516</v>
      </c>
      <c r="O33" s="339">
        <f t="shared" si="10"/>
        <v>210228.2664551998</v>
      </c>
      <c r="P33" s="339">
        <f t="shared" si="10"/>
        <v>230418.34964083863</v>
      </c>
      <c r="Q33" s="339">
        <f t="shared" si="10"/>
        <v>251420.96482780061</v>
      </c>
      <c r="R33" s="339">
        <f t="shared" si="10"/>
        <v>259503.14076196094</v>
      </c>
      <c r="S33" s="339">
        <f t="shared" si="10"/>
        <v>267834.08655298199</v>
      </c>
      <c r="T33" s="339">
        <f t="shared" si="10"/>
        <v>276421.42705154099</v>
      </c>
      <c r="U33" s="339">
        <f t="shared" si="10"/>
        <v>285273.01831786666</v>
      </c>
      <c r="V33" s="339">
        <f t="shared" si="10"/>
        <v>294396.95456252893</v>
      </c>
    </row>
    <row r="34" spans="1:22">
      <c r="A34" s="338" t="s">
        <v>146</v>
      </c>
      <c r="B34" s="339">
        <f t="shared" ref="B34:V34" si="11">B11-B29</f>
        <v>225681.26008625873</v>
      </c>
      <c r="C34" s="339">
        <f t="shared" si="11"/>
        <v>226165.75841854032</v>
      </c>
      <c r="D34" s="339">
        <f t="shared" si="11"/>
        <v>226641.79768386955</v>
      </c>
      <c r="E34" s="339">
        <f t="shared" si="11"/>
        <v>226974.50884790573</v>
      </c>
      <c r="F34" s="339">
        <f t="shared" si="11"/>
        <v>227302.68700843438</v>
      </c>
      <c r="G34" s="339">
        <f t="shared" si="11"/>
        <v>227599.50554707804</v>
      </c>
      <c r="H34" s="339">
        <f t="shared" si="11"/>
        <v>227892.05435782461</v>
      </c>
      <c r="I34" s="339">
        <f t="shared" si="11"/>
        <v>228281.65146956776</v>
      </c>
      <c r="J34" s="339">
        <f t="shared" si="11"/>
        <v>228665.1252608432</v>
      </c>
      <c r="K34" s="339">
        <f t="shared" si="11"/>
        <v>229118.72638135112</v>
      </c>
      <c r="L34" s="339">
        <f t="shared" si="11"/>
        <v>229566.24300362746</v>
      </c>
      <c r="M34" s="339">
        <f t="shared" si="11"/>
        <v>229966.59828614516</v>
      </c>
      <c r="N34" s="339">
        <f t="shared" si="11"/>
        <v>230361.70791427547</v>
      </c>
      <c r="O34" s="339">
        <f t="shared" si="11"/>
        <v>230652.19453523197</v>
      </c>
      <c r="P34" s="339">
        <f t="shared" si="11"/>
        <v>230938.39048728262</v>
      </c>
      <c r="Q34" s="339">
        <f t="shared" si="11"/>
        <v>231220.38701444175</v>
      </c>
      <c r="R34" s="339">
        <f t="shared" si="11"/>
        <v>231226.12685064381</v>
      </c>
      <c r="S34" s="339">
        <f t="shared" si="11"/>
        <v>231231.75743368611</v>
      </c>
      <c r="T34" s="339">
        <f t="shared" si="11"/>
        <v>231237.29589743857</v>
      </c>
      <c r="U34" s="339">
        <f t="shared" si="11"/>
        <v>231242.73195341087</v>
      </c>
      <c r="V34" s="339">
        <f t="shared" si="11"/>
        <v>231248.07595758315</v>
      </c>
    </row>
    <row r="35" spans="1:22">
      <c r="A35" s="340" t="s">
        <v>200</v>
      </c>
      <c r="B35" s="337">
        <f t="shared" ref="B35:V35" si="12">B12-B30-B31</f>
        <v>7296.9427634031472</v>
      </c>
      <c r="C35" s="337">
        <f t="shared" si="12"/>
        <v>8471.6170278647041</v>
      </c>
      <c r="D35" s="337">
        <f t="shared" si="12"/>
        <v>9625.7806086035962</v>
      </c>
      <c r="E35" s="337">
        <f t="shared" si="12"/>
        <v>10396.173253051851</v>
      </c>
      <c r="F35" s="337">
        <f t="shared" si="12"/>
        <v>11156.068076314103</v>
      </c>
      <c r="G35" s="337">
        <f t="shared" si="12"/>
        <v>11740.011159826703</v>
      </c>
      <c r="H35" s="337">
        <f t="shared" si="12"/>
        <v>12315.552559235604</v>
      </c>
      <c r="I35" s="337">
        <f t="shared" si="12"/>
        <v>13287.902191459129</v>
      </c>
      <c r="J35" s="337">
        <f t="shared" si="12"/>
        <v>14244.969449745215</v>
      </c>
      <c r="K35" s="337">
        <f t="shared" si="12"/>
        <v>15473.239470597287</v>
      </c>
      <c r="L35" s="337">
        <f t="shared" si="12"/>
        <v>16685.033787298969</v>
      </c>
      <c r="M35" s="337">
        <f t="shared" si="12"/>
        <v>17683.078931397107</v>
      </c>
      <c r="N35" s="337">
        <f t="shared" si="12"/>
        <v>18668.047190006844</v>
      </c>
      <c r="O35" s="337">
        <f t="shared" si="12"/>
        <v>19375.300506517808</v>
      </c>
      <c r="P35" s="337">
        <f t="shared" si="12"/>
        <v>20072.107264818515</v>
      </c>
      <c r="Q35" s="337">
        <f t="shared" si="12"/>
        <v>20758.697205789034</v>
      </c>
      <c r="R35" s="337">
        <f t="shared" si="12"/>
        <v>20765.100906691954</v>
      </c>
      <c r="S35" s="337">
        <f t="shared" si="12"/>
        <v>20771.390724208501</v>
      </c>
      <c r="T35" s="337">
        <f t="shared" si="12"/>
        <v>20777.56522023039</v>
      </c>
      <c r="U35" s="337">
        <f t="shared" si="12"/>
        <v>20783.635439244699</v>
      </c>
      <c r="V35" s="337">
        <f t="shared" si="12"/>
        <v>20789.607581808996</v>
      </c>
    </row>
    <row r="36" spans="1:22">
      <c r="A36" s="338" t="s">
        <v>212</v>
      </c>
      <c r="B36" s="337">
        <f>B35+B34</f>
        <v>232978.20284966187</v>
      </c>
      <c r="C36" s="337">
        <f t="shared" ref="C36:V36" si="13">C35+C34</f>
        <v>234637.37544640503</v>
      </c>
      <c r="D36" s="337">
        <f t="shared" si="13"/>
        <v>236267.57829247313</v>
      </c>
      <c r="E36" s="337">
        <f t="shared" si="13"/>
        <v>237370.68210095758</v>
      </c>
      <c r="F36" s="337">
        <f t="shared" si="13"/>
        <v>238458.7550847485</v>
      </c>
      <c r="G36" s="337">
        <f t="shared" si="13"/>
        <v>239339.51670690475</v>
      </c>
      <c r="H36" s="337">
        <f t="shared" si="13"/>
        <v>240207.60691706021</v>
      </c>
      <c r="I36" s="337">
        <f t="shared" si="13"/>
        <v>241569.55366102688</v>
      </c>
      <c r="J36" s="337">
        <f t="shared" si="13"/>
        <v>242910.0947105884</v>
      </c>
      <c r="K36" s="337">
        <f t="shared" si="13"/>
        <v>244591.96585194842</v>
      </c>
      <c r="L36" s="337">
        <f t="shared" si="13"/>
        <v>246251.27679092644</v>
      </c>
      <c r="M36" s="337">
        <f t="shared" si="13"/>
        <v>247649.67721754228</v>
      </c>
      <c r="N36" s="337">
        <f t="shared" si="13"/>
        <v>249029.75510428232</v>
      </c>
      <c r="O36" s="337">
        <f t="shared" si="13"/>
        <v>250027.49504174979</v>
      </c>
      <c r="P36" s="337">
        <f t="shared" si="13"/>
        <v>251010.49775210113</v>
      </c>
      <c r="Q36" s="337">
        <f t="shared" si="13"/>
        <v>251979.08422023078</v>
      </c>
      <c r="R36" s="337">
        <f t="shared" si="13"/>
        <v>251991.22775733576</v>
      </c>
      <c r="S36" s="337">
        <f t="shared" si="13"/>
        <v>252003.14815789461</v>
      </c>
      <c r="T36" s="337">
        <f t="shared" si="13"/>
        <v>252014.86111766897</v>
      </c>
      <c r="U36" s="337">
        <f t="shared" si="13"/>
        <v>252026.36739265558</v>
      </c>
      <c r="V36" s="337">
        <f t="shared" si="13"/>
        <v>252037.68353939214</v>
      </c>
    </row>
    <row r="37" spans="1:22">
      <c r="A37" s="338"/>
      <c r="B37" s="338"/>
    </row>
    <row r="38" spans="1:22">
      <c r="A38" s="336" t="s">
        <v>213</v>
      </c>
      <c r="B38" s="338"/>
    </row>
    <row r="39" spans="1:22">
      <c r="A39" s="338" t="s">
        <v>166</v>
      </c>
      <c r="B39" s="339">
        <f t="shared" ref="B39:V39" si="14">B8</f>
        <v>177418.94214779232</v>
      </c>
      <c r="C39" s="339">
        <f t="shared" si="14"/>
        <v>182741.51041222611</v>
      </c>
      <c r="D39" s="339">
        <f t="shared" si="14"/>
        <v>188223.75572459289</v>
      </c>
      <c r="E39" s="339">
        <f t="shared" si="14"/>
        <v>193870.46839633066</v>
      </c>
      <c r="F39" s="339">
        <f t="shared" si="14"/>
        <v>199686.58244822061</v>
      </c>
      <c r="G39" s="339">
        <f t="shared" si="14"/>
        <v>205677.17992166724</v>
      </c>
      <c r="H39" s="339">
        <f t="shared" si="14"/>
        <v>211847.49531931727</v>
      </c>
      <c r="I39" s="339">
        <f t="shared" si="14"/>
        <v>218202.92017889678</v>
      </c>
      <c r="J39" s="339">
        <f t="shared" si="14"/>
        <v>224749.00778426367</v>
      </c>
      <c r="K39" s="339">
        <f t="shared" si="14"/>
        <v>231491.47801779158</v>
      </c>
      <c r="L39" s="339">
        <f t="shared" si="14"/>
        <v>238436.22235832532</v>
      </c>
      <c r="M39" s="339">
        <f t="shared" si="14"/>
        <v>245589.30902907508</v>
      </c>
      <c r="N39" s="339">
        <f t="shared" si="14"/>
        <v>252956.98829994735</v>
      </c>
      <c r="O39" s="339">
        <f t="shared" si="14"/>
        <v>260545.69794894577</v>
      </c>
      <c r="P39" s="339">
        <f t="shared" si="14"/>
        <v>268362.06888741418</v>
      </c>
      <c r="Q39" s="339">
        <f t="shared" si="14"/>
        <v>276412.93095403659</v>
      </c>
      <c r="R39" s="339">
        <f t="shared" si="14"/>
        <v>284705.31888265774</v>
      </c>
      <c r="S39" s="339">
        <f t="shared" si="14"/>
        <v>293246.47844913747</v>
      </c>
      <c r="T39" s="339">
        <f t="shared" si="14"/>
        <v>302043.87280261162</v>
      </c>
      <c r="U39" s="339">
        <f t="shared" si="14"/>
        <v>311105.18898668996</v>
      </c>
      <c r="V39" s="339">
        <f t="shared" si="14"/>
        <v>320438.34465629066</v>
      </c>
    </row>
    <row r="40" spans="1:22">
      <c r="A40" s="338" t="s">
        <v>212</v>
      </c>
      <c r="B40" s="339">
        <f t="shared" ref="B40:V40" si="15">B11+B12</f>
        <v>252373.14346195781</v>
      </c>
      <c r="C40" s="339">
        <f t="shared" si="15"/>
        <v>252373.14346195781</v>
      </c>
      <c r="D40" s="339">
        <f t="shared" si="15"/>
        <v>252373.14346195781</v>
      </c>
      <c r="E40" s="339">
        <f t="shared" si="15"/>
        <v>252373.14346195781</v>
      </c>
      <c r="F40" s="339">
        <f t="shared" si="15"/>
        <v>252373.14346195781</v>
      </c>
      <c r="G40" s="339">
        <f t="shared" si="15"/>
        <v>252373.14346195781</v>
      </c>
      <c r="H40" s="339">
        <f t="shared" si="15"/>
        <v>252373.14346195781</v>
      </c>
      <c r="I40" s="339">
        <f t="shared" si="15"/>
        <v>252373.14346195781</v>
      </c>
      <c r="J40" s="339">
        <f t="shared" si="15"/>
        <v>252373.14346195781</v>
      </c>
      <c r="K40" s="339">
        <f t="shared" si="15"/>
        <v>252373.14346195781</v>
      </c>
      <c r="L40" s="339">
        <f t="shared" si="15"/>
        <v>252373.14346195781</v>
      </c>
      <c r="M40" s="339">
        <f t="shared" si="15"/>
        <v>252373.14346195781</v>
      </c>
      <c r="N40" s="339">
        <f t="shared" si="15"/>
        <v>252373.14346195781</v>
      </c>
      <c r="O40" s="339">
        <f t="shared" si="15"/>
        <v>252373.14346195781</v>
      </c>
      <c r="P40" s="339">
        <f t="shared" si="15"/>
        <v>252373.14346195781</v>
      </c>
      <c r="Q40" s="339">
        <f t="shared" si="15"/>
        <v>252373.14346195781</v>
      </c>
      <c r="R40" s="339">
        <f t="shared" si="15"/>
        <v>252373.14346195781</v>
      </c>
      <c r="S40" s="339">
        <f t="shared" si="15"/>
        <v>252373.14346195781</v>
      </c>
      <c r="T40" s="339">
        <f t="shared" si="15"/>
        <v>252373.14346195781</v>
      </c>
      <c r="U40" s="339">
        <f t="shared" si="15"/>
        <v>252373.14346195781</v>
      </c>
      <c r="V40" s="339">
        <f t="shared" si="15"/>
        <v>252373.14346195781</v>
      </c>
    </row>
    <row r="41" spans="1:22">
      <c r="A41" s="338"/>
      <c r="B41" s="338"/>
    </row>
    <row r="42" spans="1:22">
      <c r="A42" s="338"/>
      <c r="B42" s="338"/>
    </row>
    <row r="43" spans="1:22">
      <c r="A43" s="338"/>
      <c r="B43" s="338"/>
    </row>
    <row r="47" spans="1:22">
      <c r="A47" s="3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B67A8-57DC-8F4A-BA26-6C6249217107}">
  <dimension ref="A1:O31"/>
  <sheetViews>
    <sheetView workbookViewId="0">
      <selection activeCell="I18" sqref="I18"/>
    </sheetView>
  </sheetViews>
  <sheetFormatPr baseColWidth="10" defaultRowHeight="15"/>
  <cols>
    <col min="1" max="1" width="41.83203125" style="341" bestFit="1" customWidth="1"/>
    <col min="2" max="2" width="10.6640625" style="341" customWidth="1"/>
    <col min="3" max="3" width="13.6640625" style="341" customWidth="1"/>
    <col min="4" max="4" width="11.6640625" style="341" customWidth="1"/>
    <col min="5" max="5" width="8.83203125" style="341" customWidth="1"/>
    <col min="6" max="16384" width="10.83203125" style="341"/>
  </cols>
  <sheetData>
    <row r="1" spans="1:15">
      <c r="A1" s="341" t="s">
        <v>469</v>
      </c>
      <c r="J1" s="330"/>
      <c r="K1" s="338"/>
      <c r="L1" s="338"/>
      <c r="M1" s="338"/>
      <c r="N1" s="330"/>
      <c r="O1" s="330"/>
    </row>
    <row r="2" spans="1:15">
      <c r="A2" s="342"/>
      <c r="B2" s="343" t="s">
        <v>468</v>
      </c>
      <c r="C2" s="344"/>
      <c r="D2" s="344"/>
      <c r="E2" s="344"/>
      <c r="F2" s="344"/>
      <c r="G2" s="344"/>
      <c r="H2" s="345"/>
      <c r="J2" s="330"/>
      <c r="K2" s="346"/>
      <c r="L2" s="347"/>
      <c r="M2" s="348"/>
      <c r="N2" s="330"/>
      <c r="O2" s="330"/>
    </row>
    <row r="3" spans="1:15">
      <c r="A3" s="349"/>
      <c r="B3" s="350">
        <v>0.1</v>
      </c>
      <c r="C3" s="351">
        <v>0.2</v>
      </c>
      <c r="D3" s="351">
        <v>0.25</v>
      </c>
      <c r="E3" s="351">
        <v>0.3</v>
      </c>
      <c r="F3" s="351">
        <v>0.4</v>
      </c>
      <c r="G3" s="351">
        <v>0.5</v>
      </c>
      <c r="H3" s="352">
        <v>0.6</v>
      </c>
      <c r="J3" s="330"/>
      <c r="K3" s="346"/>
      <c r="L3" s="348"/>
      <c r="M3" s="348"/>
      <c r="N3" s="330"/>
      <c r="O3" s="330"/>
    </row>
    <row r="4" spans="1:15">
      <c r="A4" s="353" t="s">
        <v>201</v>
      </c>
      <c r="B4" s="354">
        <v>0.1485815353780392</v>
      </c>
      <c r="C4" s="354">
        <v>7.4322017689019609E-2</v>
      </c>
      <c r="D4" s="354">
        <v>5.9418344744823E-2</v>
      </c>
      <c r="E4" s="354">
        <v>4.9568845126013096E-2</v>
      </c>
      <c r="F4" s="354">
        <v>3.7192258844509801E-2</v>
      </c>
      <c r="G4" s="354">
        <v>2.9766307075607849E-2</v>
      </c>
      <c r="H4" s="355">
        <v>2.4815672563006548E-2</v>
      </c>
      <c r="K4" s="348"/>
      <c r="L4" s="348"/>
      <c r="M4" s="348"/>
    </row>
    <row r="5" spans="1:15">
      <c r="A5" s="353" t="s">
        <v>202</v>
      </c>
      <c r="B5" s="354">
        <v>2.6820020011693826E-2</v>
      </c>
      <c r="C5" s="354">
        <v>2.6522740711846033E-2</v>
      </c>
      <c r="D5" s="354">
        <v>2.6415720163900827E-2</v>
      </c>
      <c r="E5" s="354">
        <v>2.6423647611896767E-2</v>
      </c>
      <c r="F5" s="354">
        <v>2.6374101061922138E-2</v>
      </c>
      <c r="G5" s="354">
        <v>2.6344373131937358E-2</v>
      </c>
      <c r="H5" s="355">
        <v>2.6324554511947505E-2</v>
      </c>
      <c r="K5" s="348"/>
      <c r="L5" s="348"/>
      <c r="M5" s="348"/>
    </row>
    <row r="6" spans="1:15">
      <c r="A6" s="353" t="s">
        <v>203</v>
      </c>
      <c r="B6" s="354">
        <v>2.5289758133561634E-4</v>
      </c>
      <c r="C6" s="354">
        <v>1.2644879066780817E-4</v>
      </c>
      <c r="D6" s="354">
        <v>8.0927226027397258E-5</v>
      </c>
      <c r="E6" s="354">
        <v>8.4299193778538816E-5</v>
      </c>
      <c r="F6" s="354">
        <v>6.3224395333904085E-5</v>
      </c>
      <c r="G6" s="354">
        <v>5.0579516267123288E-5</v>
      </c>
      <c r="H6" s="355">
        <v>4.2149596889269408E-5</v>
      </c>
      <c r="K6" s="348"/>
      <c r="L6" s="348"/>
      <c r="M6" s="348"/>
    </row>
    <row r="7" spans="1:15">
      <c r="A7" s="353" t="s">
        <v>204</v>
      </c>
      <c r="B7" s="354">
        <v>1.7941689854452049E-3</v>
      </c>
      <c r="C7" s="354">
        <v>8.9708449272260244E-4</v>
      </c>
      <c r="D7" s="354">
        <v>5.7413407534246579E-4</v>
      </c>
      <c r="E7" s="354">
        <v>5.9805632848173532E-4</v>
      </c>
      <c r="F7" s="354">
        <v>4.4854224636130122E-4</v>
      </c>
      <c r="G7" s="354">
        <v>3.5883379708904112E-4</v>
      </c>
      <c r="H7" s="355">
        <v>2.9902816424086766E-4</v>
      </c>
      <c r="K7" s="348"/>
      <c r="L7" s="348"/>
      <c r="M7" s="348"/>
    </row>
    <row r="8" spans="1:15">
      <c r="A8" s="353" t="s">
        <v>72</v>
      </c>
      <c r="B8" s="354">
        <v>0.17744862195651384</v>
      </c>
      <c r="C8" s="354">
        <v>0.10186829168425605</v>
      </c>
      <c r="D8" s="354">
        <v>8.6489126210093706E-2</v>
      </c>
      <c r="E8" s="354">
        <v>7.6674848260170153E-2</v>
      </c>
      <c r="F8" s="354">
        <v>6.4078126548127154E-2</v>
      </c>
      <c r="G8" s="354">
        <v>5.6520093520901371E-2</v>
      </c>
      <c r="H8" s="355">
        <v>5.1481404836084196E-2</v>
      </c>
      <c r="K8" s="348"/>
      <c r="L8" s="348"/>
      <c r="M8" s="348"/>
    </row>
    <row r="9" spans="1:15">
      <c r="A9" s="356" t="s">
        <v>230</v>
      </c>
      <c r="B9" s="357">
        <f>B8-B5</f>
        <v>0.15062860194482003</v>
      </c>
      <c r="C9" s="357">
        <f t="shared" ref="C9:H9" si="0">C8-C5</f>
        <v>7.5345550972410025E-2</v>
      </c>
      <c r="D9" s="357">
        <f t="shared" si="0"/>
        <v>6.0073406046192879E-2</v>
      </c>
      <c r="E9" s="357">
        <f t="shared" si="0"/>
        <v>5.0251200648273389E-2</v>
      </c>
      <c r="F9" s="357">
        <f t="shared" si="0"/>
        <v>3.7704025486205016E-2</v>
      </c>
      <c r="G9" s="357">
        <f t="shared" si="0"/>
        <v>3.0175720388964013E-2</v>
      </c>
      <c r="H9" s="358">
        <f t="shared" si="0"/>
        <v>2.5156850324136691E-2</v>
      </c>
    </row>
    <row r="11" spans="1:15" ht="51" customHeight="1">
      <c r="B11" s="359" t="s">
        <v>306</v>
      </c>
      <c r="C11" s="360" t="s">
        <v>307</v>
      </c>
      <c r="D11" s="361" t="s">
        <v>471</v>
      </c>
      <c r="E11" s="362"/>
    </row>
    <row r="12" spans="1:15" ht="16">
      <c r="B12" s="363"/>
      <c r="C12" s="364" t="s">
        <v>411</v>
      </c>
      <c r="D12" s="364" t="s">
        <v>411</v>
      </c>
      <c r="E12" s="365" t="s">
        <v>470</v>
      </c>
    </row>
    <row r="13" spans="1:15">
      <c r="B13" s="366">
        <v>0.1</v>
      </c>
      <c r="C13" s="367">
        <f t="shared" ref="C13:C31" si="1">D13-$B$5</f>
        <v>0.1500436453475979</v>
      </c>
      <c r="D13" s="367">
        <f t="shared" ref="D13:D31" si="2">E13/1000</f>
        <v>0.17686366535929171</v>
      </c>
      <c r="E13" s="368">
        <v>176.8636653592917</v>
      </c>
    </row>
    <row r="14" spans="1:15">
      <c r="B14" s="366">
        <v>0.15</v>
      </c>
      <c r="C14" s="367">
        <f t="shared" si="1"/>
        <v>9.9839244031833377E-2</v>
      </c>
      <c r="D14" s="367">
        <f t="shared" si="2"/>
        <v>0.1266592640435272</v>
      </c>
      <c r="E14" s="368">
        <v>126.6592640435272</v>
      </c>
    </row>
    <row r="15" spans="1:15">
      <c r="B15" s="366">
        <v>0.2</v>
      </c>
      <c r="C15" s="367">
        <f t="shared" si="1"/>
        <v>7.4737043373951151E-2</v>
      </c>
      <c r="D15" s="367">
        <f t="shared" si="2"/>
        <v>0.10155706338564498</v>
      </c>
      <c r="E15" s="368">
        <v>101.55706338564498</v>
      </c>
    </row>
    <row r="16" spans="1:15">
      <c r="B16" s="366">
        <v>0.25</v>
      </c>
      <c r="C16" s="367">
        <f t="shared" si="1"/>
        <v>5.9675722979221801E-2</v>
      </c>
      <c r="D16" s="367">
        <f t="shared" si="2"/>
        <v>8.6495742990915628E-2</v>
      </c>
      <c r="E16" s="368">
        <v>86.49574299091563</v>
      </c>
    </row>
    <row r="17" spans="2:6">
      <c r="B17" s="366">
        <v>0.3</v>
      </c>
      <c r="C17" s="367">
        <f t="shared" si="1"/>
        <v>4.9634842716068883E-2</v>
      </c>
      <c r="D17" s="367">
        <f t="shared" si="2"/>
        <v>7.645486272776271E-2</v>
      </c>
      <c r="E17" s="368">
        <v>76.454862727762716</v>
      </c>
      <c r="F17" s="369"/>
    </row>
    <row r="18" spans="2:6">
      <c r="B18" s="366">
        <v>0.35</v>
      </c>
      <c r="C18" s="367">
        <f t="shared" si="1"/>
        <v>4.2462785385245394E-2</v>
      </c>
      <c r="D18" s="367">
        <f t="shared" si="2"/>
        <v>6.928280539693922E-2</v>
      </c>
      <c r="E18" s="368">
        <v>69.282805396939224</v>
      </c>
    </row>
    <row r="19" spans="2:6">
      <c r="B19" s="366">
        <v>0.4</v>
      </c>
      <c r="C19" s="367">
        <f t="shared" si="1"/>
        <v>3.7083742387127777E-2</v>
      </c>
      <c r="D19" s="367">
        <f t="shared" si="2"/>
        <v>6.3903762398821604E-2</v>
      </c>
      <c r="E19" s="368">
        <v>63.903762398821598</v>
      </c>
    </row>
    <row r="20" spans="2:6">
      <c r="B20" s="370">
        <v>0.45</v>
      </c>
      <c r="C20" s="367">
        <f t="shared" si="1"/>
        <v>3.290004227748073E-2</v>
      </c>
      <c r="D20" s="367">
        <f t="shared" si="2"/>
        <v>5.9720062289174557E-2</v>
      </c>
      <c r="E20" s="368">
        <v>59.720062289174557</v>
      </c>
    </row>
    <row r="21" spans="2:6">
      <c r="B21" s="370">
        <v>0.5</v>
      </c>
      <c r="C21" s="367">
        <f t="shared" si="1"/>
        <v>2.9553082189763102E-2</v>
      </c>
      <c r="D21" s="367">
        <f t="shared" si="2"/>
        <v>5.6373102201456929E-2</v>
      </c>
      <c r="E21" s="368">
        <v>56.373102201456931</v>
      </c>
    </row>
    <row r="22" spans="2:6">
      <c r="B22" s="370">
        <v>0.55000000000000004</v>
      </c>
      <c r="C22" s="367">
        <f t="shared" si="1"/>
        <v>2.6814660299812311E-2</v>
      </c>
      <c r="D22" s="367">
        <f t="shared" si="2"/>
        <v>5.3634680311506137E-2</v>
      </c>
      <c r="E22" s="368">
        <v>53.634680311506138</v>
      </c>
    </row>
    <row r="23" spans="2:6">
      <c r="B23" s="370">
        <v>0.6</v>
      </c>
      <c r="C23" s="367">
        <f t="shared" si="1"/>
        <v>2.4532642058186643E-2</v>
      </c>
      <c r="D23" s="367">
        <f t="shared" si="2"/>
        <v>5.135266206988047E-2</v>
      </c>
      <c r="E23" s="368">
        <v>51.352662069880466</v>
      </c>
    </row>
    <row r="24" spans="2:6">
      <c r="B24" s="366">
        <v>0.65</v>
      </c>
      <c r="C24" s="367">
        <f t="shared" si="1"/>
        <v>2.2601703546041872E-2</v>
      </c>
      <c r="D24" s="367">
        <f t="shared" si="2"/>
        <v>4.9421723557735699E-2</v>
      </c>
      <c r="E24" s="368">
        <v>49.421723557735696</v>
      </c>
    </row>
    <row r="25" spans="2:6">
      <c r="B25" s="366">
        <v>0.7</v>
      </c>
      <c r="C25" s="367">
        <f t="shared" si="1"/>
        <v>2.0946613392774906E-2</v>
      </c>
      <c r="D25" s="367">
        <f t="shared" si="2"/>
        <v>4.7766633404468732E-2</v>
      </c>
      <c r="E25" s="368">
        <v>47.766633404468735</v>
      </c>
    </row>
    <row r="26" spans="2:6">
      <c r="B26" s="366">
        <v>0.75</v>
      </c>
      <c r="C26" s="367">
        <f t="shared" si="1"/>
        <v>1.9512201926610205E-2</v>
      </c>
      <c r="D26" s="367">
        <f t="shared" si="2"/>
        <v>4.6332221938304032E-2</v>
      </c>
      <c r="E26" s="368">
        <v>46.332221938304031</v>
      </c>
    </row>
    <row r="27" spans="2:6">
      <c r="B27" s="366">
        <v>0.8</v>
      </c>
      <c r="C27" s="367">
        <f t="shared" si="1"/>
        <v>1.825709189371609E-2</v>
      </c>
      <c r="D27" s="367">
        <f t="shared" si="2"/>
        <v>4.5077111905409917E-2</v>
      </c>
      <c r="E27" s="368">
        <v>45.077111905409915</v>
      </c>
    </row>
    <row r="28" spans="2:6">
      <c r="B28" s="366">
        <v>0.85</v>
      </c>
      <c r="C28" s="367">
        <f t="shared" si="1"/>
        <v>1.7149641864691874E-2</v>
      </c>
      <c r="D28" s="367">
        <f t="shared" si="2"/>
        <v>4.39696618763857E-2</v>
      </c>
      <c r="E28" s="368">
        <v>43.9696618763857</v>
      </c>
    </row>
    <row r="29" spans="2:6">
      <c r="B29" s="366">
        <v>0.9</v>
      </c>
      <c r="C29" s="367">
        <f t="shared" si="1"/>
        <v>1.6165241838892577E-2</v>
      </c>
      <c r="D29" s="367">
        <f t="shared" si="2"/>
        <v>4.2985261850586404E-2</v>
      </c>
      <c r="E29" s="368">
        <v>42.985261850586404</v>
      </c>
    </row>
    <row r="30" spans="2:6">
      <c r="B30" s="366">
        <v>0.95</v>
      </c>
      <c r="C30" s="367">
        <f t="shared" si="1"/>
        <v>1.5284462868440554E-2</v>
      </c>
      <c r="D30" s="367">
        <f t="shared" si="2"/>
        <v>4.2104482880134381E-2</v>
      </c>
      <c r="E30" s="368">
        <v>42.104482880134384</v>
      </c>
    </row>
    <row r="31" spans="2:6" ht="16" thickBot="1">
      <c r="B31" s="371">
        <v>1</v>
      </c>
      <c r="C31" s="372">
        <f t="shared" si="1"/>
        <v>1.4491761795033753E-2</v>
      </c>
      <c r="D31" s="372">
        <f t="shared" si="2"/>
        <v>4.1311781806727579E-2</v>
      </c>
      <c r="E31" s="373">
        <v>41.311781806727581</v>
      </c>
    </row>
  </sheetData>
  <mergeCells count="2">
    <mergeCell ref="B2:H2"/>
    <mergeCell ref="D11:E11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015D-5C5E-2A4C-B366-FE2A33D92445}">
  <dimension ref="A1:W41"/>
  <sheetViews>
    <sheetView workbookViewId="0">
      <selection activeCell="K28" sqref="K28"/>
    </sheetView>
  </sheetViews>
  <sheetFormatPr baseColWidth="10" defaultRowHeight="15"/>
  <cols>
    <col min="1" max="1" width="14.1640625" style="341" customWidth="1"/>
    <col min="2" max="2" width="6.33203125" style="341" bestFit="1" customWidth="1"/>
    <col min="3" max="23" width="5.6640625" style="341" bestFit="1" customWidth="1"/>
    <col min="24" max="16384" width="10.83203125" style="341"/>
  </cols>
  <sheetData>
    <row r="1" spans="1:23">
      <c r="A1" s="341" t="s">
        <v>467</v>
      </c>
    </row>
    <row r="2" spans="1:23">
      <c r="A2" s="341" t="s">
        <v>257</v>
      </c>
    </row>
    <row r="3" spans="1:23">
      <c r="A3" s="341" t="s">
        <v>258</v>
      </c>
    </row>
    <row r="4" spans="1:23" s="377" customFormat="1">
      <c r="A4" s="374"/>
      <c r="B4" s="375"/>
      <c r="C4" s="375">
        <v>2020</v>
      </c>
      <c r="D4" s="375">
        <v>2021</v>
      </c>
      <c r="E4" s="375">
        <v>2022</v>
      </c>
      <c r="F4" s="375">
        <v>2023</v>
      </c>
      <c r="G4" s="375">
        <v>2024</v>
      </c>
      <c r="H4" s="375">
        <v>2025</v>
      </c>
      <c r="I4" s="375">
        <v>2026</v>
      </c>
      <c r="J4" s="375">
        <v>2027</v>
      </c>
      <c r="K4" s="375">
        <v>2028</v>
      </c>
      <c r="L4" s="375">
        <v>2029</v>
      </c>
      <c r="M4" s="375">
        <v>2030</v>
      </c>
      <c r="N4" s="375">
        <v>2031</v>
      </c>
      <c r="O4" s="375">
        <v>2032</v>
      </c>
      <c r="P4" s="375">
        <v>2033</v>
      </c>
      <c r="Q4" s="375">
        <v>2034</v>
      </c>
      <c r="R4" s="375">
        <v>2035</v>
      </c>
      <c r="S4" s="375">
        <v>2036</v>
      </c>
      <c r="T4" s="375">
        <v>2037</v>
      </c>
      <c r="U4" s="375">
        <v>2038</v>
      </c>
      <c r="V4" s="375">
        <v>2039</v>
      </c>
      <c r="W4" s="376">
        <v>2040</v>
      </c>
    </row>
    <row r="5" spans="1:23">
      <c r="A5" s="378" t="s">
        <v>164</v>
      </c>
      <c r="B5" s="348" t="s">
        <v>166</v>
      </c>
      <c r="C5" s="379">
        <v>45.103587737985961</v>
      </c>
      <c r="D5" s="379">
        <v>43.695014981645365</v>
      </c>
      <c r="E5" s="379">
        <v>42.210998438112277</v>
      </c>
      <c r="F5" s="379">
        <v>41.261649242905285</v>
      </c>
      <c r="G5" s="379">
        <v>40.248442266012255</v>
      </c>
      <c r="H5" s="379">
        <v>38.966617598083175</v>
      </c>
      <c r="I5" s="379">
        <v>37.608542373736249</v>
      </c>
      <c r="J5" s="379">
        <v>35.411605608511643</v>
      </c>
      <c r="K5" s="379">
        <v>33.102835069220724</v>
      </c>
      <c r="L5" s="379">
        <v>29.748114459173415</v>
      </c>
      <c r="M5" s="379">
        <v>26.222388115433688</v>
      </c>
      <c r="N5" s="379">
        <v>22.598510984510124</v>
      </c>
      <c r="O5" s="379">
        <v>18.793123871482074</v>
      </c>
      <c r="P5" s="379">
        <v>15.218985617013892</v>
      </c>
      <c r="Q5" s="379">
        <v>11.476438687881371</v>
      </c>
      <c r="R5" s="379">
        <v>7.5590578001454372</v>
      </c>
      <c r="S5" s="379">
        <v>7.6226384167478614</v>
      </c>
      <c r="T5" s="379">
        <v>7.6862195720300317</v>
      </c>
      <c r="U5" s="379">
        <v>7.7497523578231542</v>
      </c>
      <c r="V5" s="379">
        <v>7.8131856534436546</v>
      </c>
      <c r="W5" s="380">
        <v>7.8764660579558292</v>
      </c>
    </row>
    <row r="6" spans="1:23" ht="17" customHeight="1">
      <c r="A6" s="381"/>
      <c r="B6" s="348" t="s">
        <v>130</v>
      </c>
      <c r="C6" s="379">
        <v>1.7541375762145179</v>
      </c>
      <c r="D6" s="379">
        <v>1.6075964485860643</v>
      </c>
      <c r="E6" s="379">
        <v>1.4636138461934951</v>
      </c>
      <c r="F6" s="379">
        <v>1.362982190924763</v>
      </c>
      <c r="G6" s="379">
        <v>1.2637215856706165</v>
      </c>
      <c r="H6" s="379">
        <v>1.1739459962500303</v>
      </c>
      <c r="I6" s="379">
        <v>1.0854618266321872</v>
      </c>
      <c r="J6" s="379">
        <v>0.96762447555861242</v>
      </c>
      <c r="K6" s="379">
        <v>0.85163918098633062</v>
      </c>
      <c r="L6" s="379">
        <v>0.71444320885629087</v>
      </c>
      <c r="M6" s="379">
        <v>0.57908755107306575</v>
      </c>
      <c r="N6" s="379">
        <v>0.45799628895071987</v>
      </c>
      <c r="O6" s="379">
        <v>0.33849162487806622</v>
      </c>
      <c r="P6" s="379">
        <v>0.25063118417131902</v>
      </c>
      <c r="Q6" s="379">
        <v>0.16406849707454177</v>
      </c>
      <c r="R6" s="379">
        <v>7.8775965967984182E-2</v>
      </c>
      <c r="S6" s="379">
        <v>7.7039897929338796E-2</v>
      </c>
      <c r="T6" s="379">
        <v>7.5336874547725391E-2</v>
      </c>
      <c r="U6" s="379">
        <v>7.3661713521291125E-2</v>
      </c>
      <c r="V6" s="379">
        <v>7.2017526701732434E-2</v>
      </c>
      <c r="W6" s="380">
        <v>7.040118182441335E-2</v>
      </c>
    </row>
    <row r="7" spans="1:23" s="382" customFormat="1">
      <c r="A7" s="381"/>
      <c r="B7" s="348" t="s">
        <v>167</v>
      </c>
      <c r="C7" s="379">
        <v>4.1120466358722556</v>
      </c>
      <c r="D7" s="379">
        <v>3.7567552347652895</v>
      </c>
      <c r="E7" s="379">
        <v>3.4076674849835924</v>
      </c>
      <c r="F7" s="379">
        <v>3.174654904109536</v>
      </c>
      <c r="G7" s="379">
        <v>2.9448174890755641</v>
      </c>
      <c r="H7" s="379">
        <v>2.7681983508304495</v>
      </c>
      <c r="I7" s="379">
        <v>2.5941203818329894</v>
      </c>
      <c r="J7" s="379">
        <v>2.3000239896243007</v>
      </c>
      <c r="K7" s="379">
        <v>2.0105498967310407</v>
      </c>
      <c r="L7" s="379">
        <v>1.639047949468879</v>
      </c>
      <c r="M7" s="379">
        <v>1.2725292355922713</v>
      </c>
      <c r="N7" s="379">
        <v>0.97066099148191731</v>
      </c>
      <c r="O7" s="379">
        <v>0.67274797573388678</v>
      </c>
      <c r="P7" s="379">
        <v>0.45883248497789342</v>
      </c>
      <c r="Q7" s="379">
        <v>0.24807665508751786</v>
      </c>
      <c r="R7" s="379">
        <v>4.0410998749008623E-2</v>
      </c>
      <c r="S7" s="379">
        <v>3.8474138518984527E-2</v>
      </c>
      <c r="T7" s="379">
        <v>3.6571723402070717E-2</v>
      </c>
      <c r="U7" s="379">
        <v>3.4704188367792578E-2</v>
      </c>
      <c r="V7" s="379">
        <v>3.2868192906014088E-2</v>
      </c>
      <c r="W7" s="380">
        <v>3.1061861599137389E-2</v>
      </c>
    </row>
    <row r="8" spans="1:23" s="382" customFormat="1">
      <c r="A8" s="381"/>
      <c r="B8" s="383" t="s">
        <v>72</v>
      </c>
      <c r="C8" s="384">
        <v>19.586695601982104</v>
      </c>
      <c r="D8" s="384">
        <v>18.462802082164718</v>
      </c>
      <c r="E8" s="384">
        <v>17.340592697383194</v>
      </c>
      <c r="F8" s="384">
        <v>16.54899879766354</v>
      </c>
      <c r="G8" s="384">
        <v>15.754326478626613</v>
      </c>
      <c r="H8" s="384">
        <v>14.957436164884108</v>
      </c>
      <c r="I8" s="384">
        <v>14.156140081775426</v>
      </c>
      <c r="J8" s="384">
        <v>12.98855015943489</v>
      </c>
      <c r="K8" s="384">
        <v>11.81696948322449</v>
      </c>
      <c r="L8" s="384">
        <v>10.283579244664747</v>
      </c>
      <c r="M8" s="384">
        <v>8.7400369009736902</v>
      </c>
      <c r="N8" s="384">
        <v>7.278659449847618</v>
      </c>
      <c r="O8" s="384">
        <v>5.8053054671388518</v>
      </c>
      <c r="P8" s="384">
        <v>4.5352397218960387</v>
      </c>
      <c r="Q8" s="384">
        <v>3.255098912971194</v>
      </c>
      <c r="R8" s="384">
        <v>1.9644536417416116</v>
      </c>
      <c r="S8" s="384">
        <v>1.9492027408739609</v>
      </c>
      <c r="T8" s="384">
        <v>1.9339653282913283</v>
      </c>
      <c r="U8" s="384">
        <v>1.9187292580821227</v>
      </c>
      <c r="V8" s="384">
        <v>1.9034869534279824</v>
      </c>
      <c r="W8" s="385">
        <v>1.8882261086229213</v>
      </c>
    </row>
    <row r="9" spans="1:23" s="382" customFormat="1">
      <c r="A9" s="386" t="s">
        <v>165</v>
      </c>
      <c r="B9" s="387" t="s">
        <v>166</v>
      </c>
      <c r="C9" s="388">
        <v>46.888937042465386</v>
      </c>
      <c r="D9" s="388">
        <v>48.599338468181003</v>
      </c>
      <c r="E9" s="388">
        <v>50.364701844151682</v>
      </c>
      <c r="F9" s="388">
        <v>52.006353104195</v>
      </c>
      <c r="G9" s="388">
        <v>53.699340939006866</v>
      </c>
      <c r="H9" s="388">
        <v>56.307930205332596</v>
      </c>
      <c r="I9" s="388">
        <v>59.009924326566853</v>
      </c>
      <c r="J9" s="388">
        <v>59.996589355879536</v>
      </c>
      <c r="K9" s="388">
        <v>61.002031251424867</v>
      </c>
      <c r="L9" s="388">
        <v>61.02094377335402</v>
      </c>
      <c r="M9" s="388">
        <v>61.011112402237387</v>
      </c>
      <c r="N9" s="388">
        <v>61.540010211842244</v>
      </c>
      <c r="O9" s="388">
        <v>62.063295521877684</v>
      </c>
      <c r="P9" s="388">
        <v>62.053985678209322</v>
      </c>
      <c r="Q9" s="388">
        <v>62.016728372991132</v>
      </c>
      <c r="R9" s="388">
        <v>61.950064275113206</v>
      </c>
      <c r="S9" s="388">
        <v>61.380762070816793</v>
      </c>
      <c r="T9" s="388">
        <v>60.766012033250526</v>
      </c>
      <c r="U9" s="388">
        <v>60.103722767845298</v>
      </c>
      <c r="V9" s="388">
        <v>59.391729381811757</v>
      </c>
      <c r="W9" s="389">
        <v>58.627790580688803</v>
      </c>
    </row>
    <row r="10" spans="1:23" s="382" customFormat="1">
      <c r="A10" s="390"/>
      <c r="B10" s="348" t="s">
        <v>130</v>
      </c>
      <c r="C10" s="379">
        <v>1.9790230248760323</v>
      </c>
      <c r="D10" s="379">
        <v>2.0054702765151435</v>
      </c>
      <c r="E10" s="379">
        <v>2.0314557749141979</v>
      </c>
      <c r="F10" s="379">
        <v>2.0522042484880041</v>
      </c>
      <c r="G10" s="379">
        <v>2.0726700327604197</v>
      </c>
      <c r="H10" s="379">
        <v>2.1948775732668411</v>
      </c>
      <c r="I10" s="379">
        <v>2.3153271530737736</v>
      </c>
      <c r="J10" s="379">
        <v>2.3107017090168198</v>
      </c>
      <c r="K10" s="379">
        <v>2.3061488123603975</v>
      </c>
      <c r="L10" s="379">
        <v>2.2318431505413718</v>
      </c>
      <c r="M10" s="379">
        <v>2.15853420730943</v>
      </c>
      <c r="N10" s="379">
        <v>2.1024973643038081</v>
      </c>
      <c r="O10" s="379">
        <v>2.0471947450872845</v>
      </c>
      <c r="P10" s="379">
        <v>2.0000116701521584</v>
      </c>
      <c r="Q10" s="379">
        <v>1.9535255187501634</v>
      </c>
      <c r="R10" s="379">
        <v>1.9077208680439</v>
      </c>
      <c r="S10" s="379">
        <v>1.835656231735598</v>
      </c>
      <c r="T10" s="379">
        <v>1.764873022416704</v>
      </c>
      <c r="U10" s="379">
        <v>1.6953373602732063</v>
      </c>
      <c r="V10" s="379">
        <v>1.6270165495538096</v>
      </c>
      <c r="W10" s="380">
        <v>1.5598790331766907</v>
      </c>
    </row>
    <row r="11" spans="1:23" s="382" customFormat="1">
      <c r="A11" s="390"/>
      <c r="B11" s="348" t="s">
        <v>167</v>
      </c>
      <c r="C11" s="379">
        <v>4.8710992085869504</v>
      </c>
      <c r="D11" s="379">
        <v>4.9541733539083035</v>
      </c>
      <c r="E11" s="379">
        <v>5.0357968207445376</v>
      </c>
      <c r="F11" s="379">
        <v>5.1255726874002807</v>
      </c>
      <c r="G11" s="379">
        <v>5.2141253997485908</v>
      </c>
      <c r="H11" s="379">
        <v>5.6319022050910377</v>
      </c>
      <c r="I11" s="379">
        <v>6.0436687810232756</v>
      </c>
      <c r="J11" s="379">
        <v>6.0646033721648545</v>
      </c>
      <c r="K11" s="379">
        <v>6.0852048462397077</v>
      </c>
      <c r="L11" s="379">
        <v>5.8731062266622702</v>
      </c>
      <c r="M11" s="379">
        <v>5.6638499207043944</v>
      </c>
      <c r="N11" s="379">
        <v>5.5054648409348719</v>
      </c>
      <c r="O11" s="379">
        <v>5.3491501740914726</v>
      </c>
      <c r="P11" s="379">
        <v>5.2386361296506259</v>
      </c>
      <c r="Q11" s="379">
        <v>5.1297591988458064</v>
      </c>
      <c r="R11" s="379">
        <v>5.022473941348629</v>
      </c>
      <c r="S11" s="379">
        <v>4.8345000458158731</v>
      </c>
      <c r="T11" s="379">
        <v>4.6498732654568125</v>
      </c>
      <c r="U11" s="379">
        <v>4.4684960825117788</v>
      </c>
      <c r="V11" s="379">
        <v>4.2902858951381857</v>
      </c>
      <c r="W11" s="380">
        <v>4.1151640503899349</v>
      </c>
    </row>
    <row r="12" spans="1:23" s="382" customFormat="1">
      <c r="A12" s="390"/>
      <c r="B12" s="383" t="s">
        <v>72</v>
      </c>
      <c r="C12" s="384">
        <v>21.113736881780955</v>
      </c>
      <c r="D12" s="384">
        <v>21.528262604647686</v>
      </c>
      <c r="E12" s="384">
        <v>21.945203186702553</v>
      </c>
      <c r="F12" s="384">
        <v>22.316946829262069</v>
      </c>
      <c r="G12" s="384">
        <v>22.691147484509433</v>
      </c>
      <c r="H12" s="384">
        <v>23.744206568276869</v>
      </c>
      <c r="I12" s="384">
        <v>24.797306176577159</v>
      </c>
      <c r="J12" s="384">
        <v>24.845073596245133</v>
      </c>
      <c r="K12" s="384">
        <v>24.893257287220393</v>
      </c>
      <c r="L12" s="384">
        <v>24.371575616603884</v>
      </c>
      <c r="M12" s="384">
        <v>23.849535126535645</v>
      </c>
      <c r="N12" s="384">
        <v>23.538622127561041</v>
      </c>
      <c r="O12" s="384">
        <v>23.228493350717894</v>
      </c>
      <c r="P12" s="384">
        <v>22.837890637629236</v>
      </c>
      <c r="Q12" s="384">
        <v>22.446124702725697</v>
      </c>
      <c r="R12" s="384">
        <v>22.053030521033772</v>
      </c>
      <c r="S12" s="384">
        <v>21.435806164735066</v>
      </c>
      <c r="T12" s="384">
        <v>20.819632872704229</v>
      </c>
      <c r="U12" s="384">
        <v>20.204227541294749</v>
      </c>
      <c r="V12" s="384">
        <v>19.589323369698739</v>
      </c>
      <c r="W12" s="385">
        <v>18.974658676781665</v>
      </c>
    </row>
    <row r="13" spans="1:23">
      <c r="A13" s="391"/>
      <c r="B13" s="391"/>
    </row>
    <row r="14" spans="1:23">
      <c r="A14" s="391"/>
      <c r="B14" s="391"/>
    </row>
    <row r="15" spans="1:23">
      <c r="A15" s="391"/>
      <c r="B15" s="391"/>
    </row>
    <row r="16" spans="1:23">
      <c r="A16" s="391"/>
      <c r="B16" s="391"/>
    </row>
    <row r="17" spans="1:2">
      <c r="A17" s="391"/>
      <c r="B17" s="391"/>
    </row>
    <row r="18" spans="1:2">
      <c r="A18" s="391"/>
      <c r="B18" s="391"/>
    </row>
    <row r="19" spans="1:2">
      <c r="A19" s="391"/>
      <c r="B19" s="391"/>
    </row>
    <row r="20" spans="1:2">
      <c r="A20" s="391"/>
      <c r="B20" s="391"/>
    </row>
    <row r="21" spans="1:2">
      <c r="A21" s="391"/>
      <c r="B21" s="391"/>
    </row>
    <row r="22" spans="1:2">
      <c r="A22" s="391"/>
      <c r="B22" s="391"/>
    </row>
    <row r="23" spans="1:2">
      <c r="A23" s="391"/>
      <c r="B23" s="391"/>
    </row>
    <row r="24" spans="1:2">
      <c r="A24" s="391"/>
      <c r="B24" s="391"/>
    </row>
    <row r="25" spans="1:2">
      <c r="A25" s="391"/>
      <c r="B25" s="391"/>
    </row>
    <row r="26" spans="1:2">
      <c r="A26" s="391"/>
      <c r="B26" s="391"/>
    </row>
    <row r="27" spans="1:2">
      <c r="A27" s="391"/>
      <c r="B27" s="391"/>
    </row>
    <row r="28" spans="1:2">
      <c r="A28" s="391"/>
      <c r="B28" s="391"/>
    </row>
    <row r="29" spans="1:2">
      <c r="A29" s="391"/>
      <c r="B29" s="391"/>
    </row>
    <row r="30" spans="1:2">
      <c r="A30" s="391"/>
      <c r="B30" s="391"/>
    </row>
    <row r="31" spans="1:2">
      <c r="A31" s="391"/>
      <c r="B31" s="391"/>
    </row>
    <row r="32" spans="1:2">
      <c r="A32" s="391"/>
      <c r="B32" s="391"/>
    </row>
    <row r="33" spans="1:2">
      <c r="A33" s="391"/>
      <c r="B33" s="391"/>
    </row>
    <row r="34" spans="1:2">
      <c r="A34" s="391"/>
      <c r="B34" s="391"/>
    </row>
    <row r="35" spans="1:2">
      <c r="A35" s="391"/>
      <c r="B35" s="391"/>
    </row>
    <row r="36" spans="1:2">
      <c r="A36" s="391"/>
      <c r="B36" s="391"/>
    </row>
    <row r="37" spans="1:2">
      <c r="A37" s="391"/>
      <c r="B37" s="391"/>
    </row>
    <row r="38" spans="1:2">
      <c r="A38" s="391"/>
      <c r="B38" s="391"/>
    </row>
    <row r="39" spans="1:2">
      <c r="A39" s="391"/>
      <c r="B39" s="391"/>
    </row>
    <row r="40" spans="1:2">
      <c r="A40" s="391"/>
      <c r="B40" s="391"/>
    </row>
    <row r="41" spans="1:2">
      <c r="A41" s="391"/>
      <c r="B41" s="391"/>
    </row>
  </sheetData>
  <mergeCells count="2">
    <mergeCell ref="A5:A8"/>
    <mergeCell ref="A9:A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2DB2C-D613-BB40-8F83-51ABECD985EA}">
  <dimension ref="A1:AG83"/>
  <sheetViews>
    <sheetView topLeftCell="A61" zoomScaleNormal="100" workbookViewId="0">
      <selection activeCell="A86" sqref="A86"/>
    </sheetView>
  </sheetViews>
  <sheetFormatPr baseColWidth="10" defaultRowHeight="15"/>
  <cols>
    <col min="1" max="1" width="63.33203125" style="395" customWidth="1"/>
    <col min="2" max="2" width="15.83203125" style="395" customWidth="1"/>
    <col min="3" max="3" width="16.1640625" style="395" customWidth="1"/>
    <col min="4" max="4" width="15.33203125" style="395" customWidth="1"/>
    <col min="5" max="5" width="16.1640625" style="395" customWidth="1"/>
    <col min="6" max="6" width="9.5" style="395" customWidth="1"/>
    <col min="7" max="19" width="10.83203125" style="395"/>
    <col min="20" max="20" width="12.6640625" style="395" bestFit="1" customWidth="1"/>
    <col min="21" max="22" width="11" style="395" bestFit="1" customWidth="1"/>
    <col min="23" max="16384" width="10.83203125" style="395"/>
  </cols>
  <sheetData>
    <row r="1" spans="1:22">
      <c r="A1" s="392" t="s">
        <v>185</v>
      </c>
      <c r="B1" s="454"/>
      <c r="C1" s="393"/>
      <c r="D1" s="394"/>
      <c r="P1" s="455"/>
      <c r="Q1" s="455"/>
      <c r="R1" s="455"/>
      <c r="S1" s="455"/>
      <c r="T1" s="456"/>
      <c r="U1" s="455"/>
      <c r="V1" s="456"/>
    </row>
    <row r="2" spans="1:22">
      <c r="A2" s="396" t="s">
        <v>186</v>
      </c>
      <c r="B2" s="397">
        <v>770.3</v>
      </c>
      <c r="C2" s="398" t="s">
        <v>184</v>
      </c>
      <c r="D2" s="403" t="s">
        <v>124</v>
      </c>
      <c r="E2" s="397"/>
      <c r="P2" s="455"/>
      <c r="Q2" s="455"/>
      <c r="R2" s="455"/>
      <c r="S2" s="455"/>
      <c r="T2" s="456"/>
      <c r="U2" s="455"/>
      <c r="V2" s="456"/>
    </row>
    <row r="3" spans="1:22">
      <c r="A3" s="396" t="s">
        <v>187</v>
      </c>
      <c r="B3" s="399">
        <v>1612.28</v>
      </c>
      <c r="C3" s="398" t="s">
        <v>184</v>
      </c>
      <c r="D3" s="397"/>
      <c r="E3" s="397"/>
      <c r="F3" s="403"/>
      <c r="P3" s="455"/>
      <c r="Q3" s="455"/>
      <c r="R3" s="455"/>
      <c r="S3" s="455"/>
      <c r="T3" s="456"/>
      <c r="U3" s="455"/>
      <c r="V3" s="456"/>
    </row>
    <row r="4" spans="1:22">
      <c r="A4" s="396" t="s">
        <v>328</v>
      </c>
      <c r="B4" s="399">
        <f>3994*1000000</f>
        <v>3994000000</v>
      </c>
      <c r="C4" s="398" t="s">
        <v>327</v>
      </c>
      <c r="D4" s="397"/>
      <c r="E4" s="397"/>
      <c r="F4" s="403"/>
      <c r="P4" s="455"/>
      <c r="Q4" s="455"/>
      <c r="R4" s="455"/>
      <c r="S4" s="455"/>
      <c r="T4" s="456"/>
      <c r="U4" s="455"/>
      <c r="V4" s="456"/>
    </row>
    <row r="5" spans="1:22" s="402" customFormat="1">
      <c r="A5" s="396" t="s">
        <v>189</v>
      </c>
      <c r="B5" s="400">
        <f>B2/3994</f>
        <v>0.19286429644466699</v>
      </c>
      <c r="C5" s="401"/>
      <c r="D5" s="395"/>
      <c r="E5" s="395"/>
      <c r="F5" s="403"/>
      <c r="G5" s="395"/>
      <c r="H5" s="395"/>
      <c r="I5" s="395"/>
      <c r="J5" s="395"/>
      <c r="K5" s="395"/>
      <c r="P5" s="455"/>
      <c r="Q5" s="455"/>
      <c r="R5" s="455"/>
      <c r="S5" s="455"/>
      <c r="T5" s="456"/>
      <c r="U5" s="455"/>
      <c r="V5" s="456"/>
    </row>
    <row r="6" spans="1:22" s="402" customFormat="1">
      <c r="A6" s="396" t="s">
        <v>190</v>
      </c>
      <c r="B6" s="400">
        <f>B3/3994</f>
        <v>0.40367551326990486</v>
      </c>
      <c r="C6" s="401"/>
      <c r="D6" s="395"/>
      <c r="E6" s="395"/>
      <c r="F6" s="403"/>
      <c r="G6" s="395"/>
      <c r="H6" s="395"/>
      <c r="I6" s="395"/>
      <c r="J6" s="395"/>
      <c r="K6" s="395"/>
      <c r="P6" s="455"/>
      <c r="Q6" s="455"/>
      <c r="R6" s="455"/>
      <c r="S6" s="455"/>
      <c r="T6" s="456"/>
      <c r="U6" s="455"/>
      <c r="V6" s="456"/>
    </row>
    <row r="7" spans="1:22" s="402" customFormat="1">
      <c r="A7" s="404" t="s">
        <v>199</v>
      </c>
      <c r="B7" s="405"/>
      <c r="C7" s="406"/>
      <c r="D7" s="395"/>
      <c r="E7" s="395"/>
      <c r="F7" s="395"/>
      <c r="G7" s="395"/>
      <c r="H7" s="395"/>
      <c r="I7" s="395"/>
      <c r="J7" s="395"/>
      <c r="K7" s="395"/>
      <c r="P7" s="455"/>
      <c r="Q7" s="455"/>
      <c r="R7" s="455"/>
      <c r="S7" s="455"/>
      <c r="T7" s="456"/>
      <c r="U7" s="455"/>
      <c r="V7" s="456"/>
    </row>
    <row r="8" spans="1:22" s="402" customFormat="1">
      <c r="A8" s="395"/>
      <c r="B8" s="395"/>
      <c r="C8" s="395"/>
      <c r="D8" s="395"/>
      <c r="E8" s="395"/>
      <c r="F8" s="395"/>
      <c r="G8" s="395"/>
      <c r="H8" s="395"/>
      <c r="I8" s="395"/>
      <c r="J8" s="395"/>
      <c r="K8" s="395"/>
      <c r="P8" s="455"/>
      <c r="Q8" s="455"/>
      <c r="R8" s="455"/>
      <c r="S8" s="455"/>
      <c r="T8" s="456"/>
      <c r="U8" s="455"/>
      <c r="V8" s="456"/>
    </row>
    <row r="9" spans="1:22" s="402" customFormat="1">
      <c r="A9" s="374" t="s">
        <v>191</v>
      </c>
      <c r="B9" s="375" t="s">
        <v>139</v>
      </c>
      <c r="C9" s="457"/>
      <c r="D9" s="457"/>
      <c r="E9" s="375" t="s">
        <v>136</v>
      </c>
      <c r="F9" s="458"/>
      <c r="G9" s="407"/>
      <c r="H9" s="395"/>
      <c r="I9" s="395"/>
      <c r="J9" s="395"/>
      <c r="K9" s="395"/>
      <c r="P9" s="455"/>
      <c r="Q9" s="455"/>
      <c r="R9" s="455"/>
      <c r="S9" s="455"/>
      <c r="T9" s="456"/>
      <c r="U9" s="455"/>
      <c r="V9" s="456"/>
    </row>
    <row r="10" spans="1:22" s="402" customFormat="1" ht="32" customHeight="1">
      <c r="A10" s="459" t="s">
        <v>28</v>
      </c>
      <c r="B10" s="460" t="s">
        <v>330</v>
      </c>
      <c r="C10" s="461" t="s">
        <v>331</v>
      </c>
      <c r="D10" s="461" t="s">
        <v>188</v>
      </c>
      <c r="E10" s="462" t="s">
        <v>129</v>
      </c>
      <c r="F10" s="463" t="s">
        <v>130</v>
      </c>
      <c r="G10" s="302"/>
      <c r="H10" s="397"/>
      <c r="I10" s="395"/>
      <c r="J10" s="395"/>
      <c r="K10" s="395"/>
      <c r="P10" s="455"/>
      <c r="Q10" s="455"/>
      <c r="R10" s="455"/>
      <c r="S10" s="455"/>
      <c r="T10" s="456"/>
      <c r="U10" s="455"/>
      <c r="V10" s="456"/>
    </row>
    <row r="11" spans="1:22">
      <c r="A11" s="464" t="s">
        <v>131</v>
      </c>
      <c r="B11" s="465">
        <v>1046006</v>
      </c>
      <c r="C11" s="465">
        <v>716930</v>
      </c>
      <c r="D11" s="466">
        <f>964.96*1000000</f>
        <v>964960000</v>
      </c>
      <c r="E11" s="467">
        <f t="shared" ref="E11:F15" si="0">+B11/0.907/$D11</f>
        <v>1.1951366853761994E-3</v>
      </c>
      <c r="F11" s="468">
        <f t="shared" si="0"/>
        <v>8.1914381356011211E-4</v>
      </c>
      <c r="G11" s="407"/>
      <c r="H11" s="397"/>
      <c r="P11" s="455"/>
      <c r="Q11" s="455"/>
      <c r="R11" s="455"/>
      <c r="S11" s="455"/>
      <c r="T11" s="456"/>
      <c r="U11" s="455"/>
      <c r="V11" s="456"/>
    </row>
    <row r="12" spans="1:22">
      <c r="A12" s="464" t="s">
        <v>71</v>
      </c>
      <c r="B12" s="465">
        <v>4487</v>
      </c>
      <c r="C12" s="465">
        <v>458333</v>
      </c>
      <c r="D12" s="466">
        <f>1585.72*1000000</f>
        <v>1585720000</v>
      </c>
      <c r="E12" s="467">
        <f t="shared" si="0"/>
        <v>3.1197678531166292E-6</v>
      </c>
      <c r="F12" s="468">
        <f t="shared" si="0"/>
        <v>3.1867451736628124E-4</v>
      </c>
      <c r="G12" s="407"/>
      <c r="H12" s="397"/>
      <c r="P12" s="455"/>
      <c r="Q12" s="455"/>
      <c r="R12" s="455"/>
      <c r="S12" s="455"/>
      <c r="T12" s="456"/>
      <c r="U12" s="455"/>
      <c r="V12" s="456"/>
    </row>
    <row r="13" spans="1:22" s="408" customFormat="1">
      <c r="A13" s="464" t="s">
        <v>137</v>
      </c>
      <c r="B13" s="465">
        <v>261387</v>
      </c>
      <c r="C13" s="465">
        <v>263926</v>
      </c>
      <c r="D13" s="466">
        <v>13061013</v>
      </c>
      <c r="E13" s="467">
        <f t="shared" si="0"/>
        <v>2.2064791883090761E-2</v>
      </c>
      <c r="F13" s="468">
        <f t="shared" si="0"/>
        <v>2.2279119705787252E-2</v>
      </c>
      <c r="G13" s="407"/>
      <c r="H13" s="397"/>
      <c r="I13" s="395"/>
      <c r="J13" s="395"/>
      <c r="K13" s="395"/>
      <c r="P13" s="455"/>
      <c r="Q13" s="455"/>
      <c r="R13" s="455"/>
      <c r="S13" s="455"/>
      <c r="T13" s="456"/>
      <c r="U13" s="455"/>
      <c r="V13" s="456"/>
    </row>
    <row r="14" spans="1:22" s="408" customFormat="1">
      <c r="A14" s="464" t="s">
        <v>138</v>
      </c>
      <c r="B14" s="465">
        <v>84407</v>
      </c>
      <c r="C14" s="465">
        <v>39626</v>
      </c>
      <c r="D14" s="466">
        <f>18*1000000</f>
        <v>18000000</v>
      </c>
      <c r="E14" s="467">
        <f t="shared" si="0"/>
        <v>5.1700967781452894E-3</v>
      </c>
      <c r="F14" s="468">
        <f t="shared" si="0"/>
        <v>2.42717138306995E-3</v>
      </c>
      <c r="G14" s="407"/>
      <c r="H14" s="397"/>
      <c r="I14" s="395"/>
      <c r="J14" s="395"/>
      <c r="K14" s="395"/>
      <c r="P14" s="455"/>
      <c r="Q14" s="455"/>
      <c r="R14" s="455"/>
      <c r="S14" s="455"/>
      <c r="T14" s="456"/>
      <c r="U14" s="455"/>
      <c r="V14" s="456"/>
    </row>
    <row r="15" spans="1:22">
      <c r="A15" s="464" t="s">
        <v>72</v>
      </c>
      <c r="B15" s="465">
        <v>1396287</v>
      </c>
      <c r="C15" s="465">
        <v>1478815</v>
      </c>
      <c r="D15" s="466">
        <f>4127.33*1000000</f>
        <v>4127330000</v>
      </c>
      <c r="E15" s="467">
        <f t="shared" si="0"/>
        <v>3.7299088026269273E-4</v>
      </c>
      <c r="F15" s="468">
        <f t="shared" si="0"/>
        <v>3.950366282832068E-4</v>
      </c>
      <c r="G15" s="407"/>
      <c r="H15" s="397"/>
      <c r="P15" s="455"/>
      <c r="Q15" s="455"/>
      <c r="R15" s="455"/>
      <c r="S15" s="455"/>
      <c r="T15" s="456"/>
      <c r="U15" s="455"/>
      <c r="V15" s="456"/>
    </row>
    <row r="16" spans="1:22">
      <c r="A16" s="340"/>
      <c r="B16" s="469">
        <v>0.97</v>
      </c>
      <c r="C16" s="469">
        <v>0.88</v>
      </c>
      <c r="D16" s="338"/>
      <c r="E16" s="338"/>
      <c r="F16" s="441"/>
      <c r="G16" s="407"/>
      <c r="H16" s="397"/>
      <c r="P16" s="455"/>
      <c r="Q16" s="455"/>
      <c r="R16" s="455"/>
      <c r="S16" s="455"/>
      <c r="T16" s="456"/>
      <c r="U16" s="455"/>
      <c r="V16" s="456"/>
    </row>
    <row r="17" spans="1:22">
      <c r="A17" s="340"/>
      <c r="B17" s="338">
        <f>+B15/10^6</f>
        <v>1.3962870000000001</v>
      </c>
      <c r="C17" s="338">
        <f>+C15/10^6</f>
        <v>1.478815</v>
      </c>
      <c r="D17" s="338"/>
      <c r="E17" s="338"/>
      <c r="F17" s="441"/>
      <c r="G17" s="407"/>
      <c r="H17" s="397"/>
      <c r="P17" s="455"/>
      <c r="Q17" s="455"/>
      <c r="R17" s="455"/>
      <c r="S17" s="455"/>
      <c r="T17" s="456"/>
      <c r="U17" s="455"/>
      <c r="V17" s="456"/>
    </row>
    <row r="18" spans="1:22">
      <c r="A18" s="404"/>
      <c r="B18" s="470">
        <f>+B16/B17</f>
        <v>0.69469958540042265</v>
      </c>
      <c r="C18" s="470">
        <f>+C16/C17</f>
        <v>0.59507105351244072</v>
      </c>
      <c r="D18" s="383"/>
      <c r="E18" s="383"/>
      <c r="F18" s="442"/>
      <c r="G18" s="407"/>
      <c r="H18" s="397"/>
      <c r="P18" s="455"/>
      <c r="Q18" s="455"/>
      <c r="R18" s="455"/>
      <c r="S18" s="455"/>
      <c r="T18" s="456"/>
      <c r="U18" s="455"/>
      <c r="V18" s="456"/>
    </row>
    <row r="19" spans="1:22">
      <c r="A19" s="397"/>
      <c r="B19" s="471"/>
      <c r="C19" s="471"/>
      <c r="D19" s="348"/>
      <c r="E19" s="348"/>
      <c r="F19" s="348"/>
      <c r="G19" s="407"/>
      <c r="H19" s="397"/>
      <c r="P19" s="455"/>
      <c r="Q19" s="455"/>
      <c r="R19" s="455"/>
      <c r="S19" s="455"/>
      <c r="T19" s="456"/>
      <c r="U19" s="455"/>
      <c r="V19" s="456"/>
    </row>
    <row r="20" spans="1:22">
      <c r="A20" s="409" t="s">
        <v>144</v>
      </c>
      <c r="B20" s="341"/>
      <c r="C20" s="341"/>
      <c r="D20" s="341"/>
      <c r="E20" s="341"/>
      <c r="F20" s="341"/>
      <c r="P20" s="455"/>
      <c r="Q20" s="455"/>
      <c r="R20" s="455"/>
      <c r="S20" s="455"/>
      <c r="T20" s="456"/>
      <c r="U20" s="455"/>
      <c r="V20" s="456"/>
    </row>
    <row r="21" spans="1:22">
      <c r="A21" s="395" t="s">
        <v>142</v>
      </c>
      <c r="B21" s="341">
        <v>6.4999999999999997E-3</v>
      </c>
      <c r="C21" s="341"/>
      <c r="D21" s="341"/>
      <c r="E21" s="341"/>
      <c r="F21" s="341" t="s">
        <v>143</v>
      </c>
      <c r="P21" s="455"/>
      <c r="Q21" s="455"/>
      <c r="R21" s="455"/>
      <c r="S21" s="455"/>
      <c r="T21" s="456"/>
      <c r="U21" s="455"/>
      <c r="V21" s="456"/>
    </row>
    <row r="22" spans="1:22">
      <c r="A22" s="410"/>
      <c r="B22" s="410"/>
      <c r="C22" s="410"/>
      <c r="D22" s="410"/>
      <c r="E22" s="410"/>
      <c r="F22" s="410"/>
      <c r="P22" s="455"/>
      <c r="Q22" s="455"/>
      <c r="R22" s="455"/>
      <c r="S22" s="455"/>
      <c r="T22" s="456"/>
      <c r="U22" s="455"/>
      <c r="V22" s="456"/>
    </row>
    <row r="23" spans="1:22">
      <c r="A23" s="392" t="s">
        <v>141</v>
      </c>
      <c r="B23" s="411" t="s">
        <v>126</v>
      </c>
      <c r="C23" s="411" t="s">
        <v>140</v>
      </c>
      <c r="D23" s="411" t="s">
        <v>128</v>
      </c>
      <c r="E23" s="411" t="s">
        <v>129</v>
      </c>
      <c r="F23" s="412" t="s">
        <v>130</v>
      </c>
      <c r="P23" s="455"/>
      <c r="Q23" s="455"/>
      <c r="R23" s="455"/>
      <c r="S23" s="455"/>
      <c r="T23" s="456"/>
      <c r="U23" s="455"/>
      <c r="V23" s="456"/>
    </row>
    <row r="24" spans="1:22">
      <c r="A24" s="472" t="s">
        <v>131</v>
      </c>
      <c r="B24" s="413">
        <v>0</v>
      </c>
      <c r="C24" s="413">
        <v>0.45957446808510649</v>
      </c>
      <c r="D24" s="413">
        <v>0</v>
      </c>
      <c r="E24" s="413">
        <f>E11*1000</f>
        <v>1.1951366853761995</v>
      </c>
      <c r="F24" s="414">
        <f>F11*1000</f>
        <v>0.81914381356011212</v>
      </c>
      <c r="P24" s="455"/>
      <c r="Q24" s="455"/>
      <c r="R24" s="455"/>
      <c r="S24" s="455"/>
      <c r="T24" s="456"/>
      <c r="U24" s="455"/>
      <c r="V24" s="456"/>
    </row>
    <row r="25" spans="1:22">
      <c r="A25" s="472" t="s">
        <v>71</v>
      </c>
      <c r="B25" s="413">
        <v>0</v>
      </c>
      <c r="C25" s="413">
        <f>B21*3412141/2.205/1000000</f>
        <v>1.0058465532879817E-2</v>
      </c>
      <c r="D25" s="413">
        <v>0</v>
      </c>
      <c r="E25" s="413">
        <f>E12*1000</f>
        <v>3.1197678531166293E-3</v>
      </c>
      <c r="F25" s="414">
        <f>F12*1000</f>
        <v>0.31867451736628122</v>
      </c>
      <c r="P25" s="455"/>
      <c r="Q25" s="455"/>
      <c r="R25" s="455"/>
      <c r="S25" s="455"/>
      <c r="T25" s="456"/>
      <c r="U25" s="455"/>
      <c r="V25" s="456"/>
    </row>
    <row r="26" spans="1:22">
      <c r="A26" s="473" t="s">
        <v>198</v>
      </c>
      <c r="B26" s="415">
        <v>0</v>
      </c>
      <c r="C26" s="415" t="s">
        <v>329</v>
      </c>
      <c r="D26" s="415">
        <v>0</v>
      </c>
      <c r="E26" s="415">
        <f>(E13+E14)*1000</f>
        <v>27.234888661236052</v>
      </c>
      <c r="F26" s="416">
        <f>(F13+F14)*1000</f>
        <v>24.706291088857203</v>
      </c>
      <c r="P26" s="341"/>
      <c r="Q26" s="341"/>
      <c r="R26" s="341"/>
      <c r="S26" s="341"/>
      <c r="T26" s="474"/>
      <c r="U26" s="341"/>
      <c r="V26" s="474"/>
    </row>
    <row r="27" spans="1:22">
      <c r="A27" s="475"/>
      <c r="B27" s="417"/>
      <c r="C27" s="417"/>
      <c r="D27" s="417"/>
      <c r="E27" s="417"/>
      <c r="F27" s="417"/>
      <c r="P27" s="341"/>
      <c r="Q27" s="341"/>
      <c r="R27" s="341"/>
      <c r="S27" s="341"/>
      <c r="T27" s="474"/>
      <c r="U27" s="341"/>
      <c r="V27" s="474"/>
    </row>
    <row r="28" spans="1:22">
      <c r="A28" s="418"/>
      <c r="B28" s="383"/>
      <c r="C28" s="383"/>
      <c r="D28" s="383"/>
      <c r="E28" s="383"/>
      <c r="F28" s="383"/>
      <c r="P28" s="455"/>
      <c r="Q28" s="455"/>
      <c r="R28" s="455"/>
      <c r="S28" s="455"/>
      <c r="T28" s="456"/>
      <c r="U28" s="455"/>
      <c r="V28" s="456"/>
    </row>
    <row r="29" spans="1:22">
      <c r="A29" s="374" t="s">
        <v>125</v>
      </c>
      <c r="B29" s="375" t="s">
        <v>126</v>
      </c>
      <c r="C29" s="375" t="s">
        <v>127</v>
      </c>
      <c r="D29" s="375" t="s">
        <v>128</v>
      </c>
      <c r="E29" s="375" t="s">
        <v>129</v>
      </c>
      <c r="F29" s="376" t="s">
        <v>130</v>
      </c>
      <c r="H29" s="419"/>
      <c r="P29" s="455"/>
      <c r="Q29" s="455"/>
      <c r="R29" s="455"/>
      <c r="S29" s="455"/>
      <c r="T29" s="456"/>
      <c r="U29" s="455"/>
      <c r="V29" s="456"/>
    </row>
    <row r="30" spans="1:22">
      <c r="A30" s="353" t="s">
        <v>131</v>
      </c>
      <c r="B30" s="348">
        <v>4.26</v>
      </c>
      <c r="C30" s="348">
        <v>40.24</v>
      </c>
      <c r="D30" s="348">
        <v>24.91</v>
      </c>
      <c r="E30" s="348">
        <v>23.22</v>
      </c>
      <c r="F30" s="441">
        <v>9.2100000000000009</v>
      </c>
      <c r="H30" s="420" t="s">
        <v>133</v>
      </c>
      <c r="P30" s="455"/>
      <c r="Q30" s="455"/>
      <c r="R30" s="455"/>
      <c r="S30" s="455"/>
      <c r="T30" s="456"/>
      <c r="U30" s="455"/>
      <c r="V30" s="456"/>
    </row>
    <row r="31" spans="1:22">
      <c r="A31" s="353" t="s">
        <v>132</v>
      </c>
      <c r="B31" s="348">
        <v>3.66</v>
      </c>
      <c r="C31" s="348">
        <v>52.36</v>
      </c>
      <c r="D31" s="348">
        <v>40.15</v>
      </c>
      <c r="E31" s="348">
        <v>19.11</v>
      </c>
      <c r="F31" s="441">
        <v>8.9600000000000009</v>
      </c>
      <c r="H31" s="420"/>
      <c r="P31" s="455"/>
      <c r="Q31" s="455"/>
      <c r="R31" s="455"/>
      <c r="S31" s="455"/>
      <c r="T31" s="456"/>
      <c r="U31" s="455"/>
      <c r="V31" s="456"/>
    </row>
    <row r="32" spans="1:22">
      <c r="A32" s="396" t="s">
        <v>192</v>
      </c>
      <c r="B32" s="397">
        <v>4.49</v>
      </c>
      <c r="C32" s="397">
        <v>41.23</v>
      </c>
      <c r="D32" s="397">
        <v>67.63</v>
      </c>
      <c r="E32" s="397">
        <v>23.6</v>
      </c>
      <c r="F32" s="398">
        <v>5.39</v>
      </c>
      <c r="P32" s="455"/>
      <c r="Q32" s="455"/>
      <c r="R32" s="455"/>
      <c r="S32" s="455"/>
      <c r="T32" s="456"/>
      <c r="U32" s="455"/>
      <c r="V32" s="456"/>
    </row>
    <row r="33" spans="1:22">
      <c r="A33" s="340" t="s">
        <v>193</v>
      </c>
      <c r="B33" s="421">
        <f t="shared" ref="B33:F35" si="1">B30*1.15</f>
        <v>4.8989999999999991</v>
      </c>
      <c r="C33" s="421">
        <f t="shared" si="1"/>
        <v>46.275999999999996</v>
      </c>
      <c r="D33" s="421">
        <f t="shared" si="1"/>
        <v>28.6465</v>
      </c>
      <c r="E33" s="421">
        <f t="shared" si="1"/>
        <v>26.702999999999996</v>
      </c>
      <c r="F33" s="422">
        <f t="shared" si="1"/>
        <v>10.5915</v>
      </c>
      <c r="P33" s="455"/>
      <c r="Q33" s="455"/>
      <c r="R33" s="455"/>
      <c r="S33" s="455"/>
      <c r="T33" s="456"/>
      <c r="U33" s="455"/>
      <c r="V33" s="456"/>
    </row>
    <row r="34" spans="1:22">
      <c r="A34" s="353" t="s">
        <v>194</v>
      </c>
      <c r="B34" s="423">
        <f t="shared" si="1"/>
        <v>4.2089999999999996</v>
      </c>
      <c r="C34" s="423">
        <f t="shared" si="1"/>
        <v>60.213999999999992</v>
      </c>
      <c r="D34" s="423">
        <f t="shared" si="1"/>
        <v>46.172499999999992</v>
      </c>
      <c r="E34" s="423">
        <f t="shared" si="1"/>
        <v>21.976499999999998</v>
      </c>
      <c r="F34" s="424">
        <f t="shared" si="1"/>
        <v>10.304</v>
      </c>
      <c r="P34" s="455"/>
      <c r="Q34" s="455"/>
      <c r="R34" s="455"/>
      <c r="S34" s="455"/>
      <c r="T34" s="456"/>
      <c r="U34" s="455"/>
      <c r="V34" s="456"/>
    </row>
    <row r="35" spans="1:22">
      <c r="A35" s="404" t="s">
        <v>195</v>
      </c>
      <c r="B35" s="425">
        <f t="shared" si="1"/>
        <v>5.1635</v>
      </c>
      <c r="C35" s="425">
        <f t="shared" si="1"/>
        <v>47.41449999999999</v>
      </c>
      <c r="D35" s="425">
        <f t="shared" si="1"/>
        <v>77.774499999999989</v>
      </c>
      <c r="E35" s="425">
        <f t="shared" si="1"/>
        <v>27.14</v>
      </c>
      <c r="F35" s="426">
        <f t="shared" si="1"/>
        <v>6.1984999999999992</v>
      </c>
      <c r="P35" s="455"/>
      <c r="Q35" s="455"/>
      <c r="R35" s="455"/>
      <c r="S35" s="455"/>
      <c r="T35" s="456"/>
      <c r="U35" s="455"/>
      <c r="V35" s="456"/>
    </row>
    <row r="36" spans="1:22">
      <c r="P36" s="455"/>
      <c r="Q36" s="455"/>
      <c r="R36" s="455"/>
      <c r="S36" s="455"/>
      <c r="T36" s="456"/>
      <c r="U36" s="455"/>
      <c r="V36" s="456"/>
    </row>
    <row r="37" spans="1:22">
      <c r="A37" s="392" t="s">
        <v>197</v>
      </c>
      <c r="B37" s="375" t="s">
        <v>126</v>
      </c>
      <c r="C37" s="375" t="s">
        <v>127</v>
      </c>
      <c r="D37" s="375" t="s">
        <v>128</v>
      </c>
      <c r="E37" s="375" t="s">
        <v>129</v>
      </c>
      <c r="F37" s="375" t="s">
        <v>130</v>
      </c>
      <c r="G37" s="412" t="s">
        <v>72</v>
      </c>
      <c r="P37" s="455"/>
      <c r="Q37" s="455"/>
      <c r="R37" s="455"/>
      <c r="S37" s="455"/>
      <c r="T37" s="456"/>
      <c r="U37" s="455"/>
      <c r="V37" s="456"/>
    </row>
    <row r="38" spans="1:22">
      <c r="A38" s="427" t="s">
        <v>131</v>
      </c>
      <c r="B38" s="400">
        <f t="shared" ref="B38:F39" si="2">B24*B33</f>
        <v>0</v>
      </c>
      <c r="C38" s="400">
        <f t="shared" si="2"/>
        <v>21.267268085106387</v>
      </c>
      <c r="D38" s="400">
        <f t="shared" si="2"/>
        <v>0</v>
      </c>
      <c r="E38" s="400">
        <f t="shared" si="2"/>
        <v>31.913734909600652</v>
      </c>
      <c r="F38" s="400">
        <f t="shared" si="2"/>
        <v>8.6759617013219277</v>
      </c>
      <c r="G38" s="424">
        <f>SUM(B38:F38)</f>
        <v>61.856964696028967</v>
      </c>
      <c r="P38" s="455"/>
      <c r="Q38" s="455"/>
      <c r="R38" s="455"/>
      <c r="S38" s="455"/>
      <c r="T38" s="456"/>
      <c r="U38" s="455"/>
      <c r="V38" s="456"/>
    </row>
    <row r="39" spans="1:22">
      <c r="A39" s="427" t="s">
        <v>132</v>
      </c>
      <c r="B39" s="400">
        <f t="shared" si="2"/>
        <v>0</v>
      </c>
      <c r="C39" s="400">
        <f t="shared" si="2"/>
        <v>0.60566044359682525</v>
      </c>
      <c r="D39" s="400">
        <f t="shared" si="2"/>
        <v>0</v>
      </c>
      <c r="E39" s="400">
        <f t="shared" si="2"/>
        <v>6.8561578224017594E-2</v>
      </c>
      <c r="F39" s="400">
        <f t="shared" si="2"/>
        <v>3.2836222269421618</v>
      </c>
      <c r="G39" s="424">
        <f>SUM(B39:F39)</f>
        <v>3.9578442487630046</v>
      </c>
      <c r="P39" s="455"/>
      <c r="Q39" s="455"/>
      <c r="R39" s="455"/>
      <c r="S39" s="455"/>
      <c r="T39" s="456"/>
      <c r="U39" s="455"/>
      <c r="V39" s="456"/>
    </row>
    <row r="40" spans="1:22">
      <c r="A40" s="427" t="s">
        <v>196</v>
      </c>
      <c r="B40" s="400"/>
      <c r="C40" s="400"/>
      <c r="D40" s="400"/>
      <c r="E40" s="400"/>
      <c r="F40" s="400"/>
      <c r="G40" s="398"/>
      <c r="P40" s="455"/>
      <c r="Q40" s="455"/>
      <c r="R40" s="455"/>
      <c r="S40" s="455"/>
      <c r="T40" s="456"/>
      <c r="U40" s="455"/>
      <c r="V40" s="456"/>
    </row>
    <row r="41" spans="1:22">
      <c r="A41" s="428" t="s">
        <v>145</v>
      </c>
      <c r="B41" s="429">
        <f>(B38*$B$5)+(B39*$B$6)</f>
        <v>0</v>
      </c>
      <c r="C41" s="429">
        <f t="shared" ref="C41:G41" si="3">(C38*$B$5)+(C39*$B$6)</f>
        <v>4.3461869869703902</v>
      </c>
      <c r="D41" s="429">
        <f t="shared" si="3"/>
        <v>0</v>
      </c>
      <c r="E41" s="429">
        <f t="shared" si="3"/>
        <v>6.1826966605419127</v>
      </c>
      <c r="F41" s="429">
        <f t="shared" si="3"/>
        <v>2.9988011373516748</v>
      </c>
      <c r="G41" s="430">
        <f t="shared" si="3"/>
        <v>13.527684784863977</v>
      </c>
      <c r="P41" s="455"/>
      <c r="Q41" s="455"/>
      <c r="R41" s="455"/>
      <c r="S41" s="455"/>
      <c r="T41" s="456"/>
      <c r="U41" s="455"/>
      <c r="V41" s="456"/>
    </row>
    <row r="42" spans="1:22">
      <c r="P42" s="455"/>
      <c r="Q42" s="455"/>
      <c r="R42" s="455"/>
      <c r="S42" s="455"/>
      <c r="T42" s="456"/>
      <c r="U42" s="455"/>
      <c r="V42" s="456"/>
    </row>
    <row r="43" spans="1:22" ht="48">
      <c r="A43" s="392" t="s">
        <v>332</v>
      </c>
      <c r="B43" s="375" t="s">
        <v>126</v>
      </c>
      <c r="C43" s="375" t="s">
        <v>127</v>
      </c>
      <c r="D43" s="375" t="s">
        <v>128</v>
      </c>
      <c r="E43" s="375" t="s">
        <v>129</v>
      </c>
      <c r="F43" s="375" t="s">
        <v>130</v>
      </c>
      <c r="G43" s="431" t="s">
        <v>212</v>
      </c>
      <c r="P43" s="455"/>
      <c r="Q43" s="455"/>
      <c r="R43" s="455"/>
      <c r="S43" s="455"/>
      <c r="T43" s="456"/>
      <c r="U43" s="455"/>
      <c r="V43" s="456"/>
    </row>
    <row r="44" spans="1:22">
      <c r="A44" s="427" t="s">
        <v>135</v>
      </c>
      <c r="B44" s="432">
        <f>$B$2*B33/365</f>
        <v>10.338903287671231</v>
      </c>
      <c r="C44" s="432">
        <f t="shared" ref="C44:F45" si="4">$B$2*C33</f>
        <v>35646.402799999996</v>
      </c>
      <c r="D44" s="432">
        <f t="shared" si="4"/>
        <v>22066.398949999999</v>
      </c>
      <c r="E44" s="432">
        <f t="shared" si="4"/>
        <v>20569.320899999995</v>
      </c>
      <c r="F44" s="432">
        <f t="shared" si="4"/>
        <v>8158.6324499999992</v>
      </c>
      <c r="G44" s="433">
        <f>SUM(B44:F44)</f>
        <v>86451.094003287668</v>
      </c>
      <c r="P44" s="455"/>
      <c r="Q44" s="455"/>
      <c r="R44" s="455"/>
      <c r="S44" s="455"/>
      <c r="T44" s="456"/>
      <c r="U44" s="455"/>
      <c r="V44" s="456"/>
    </row>
    <row r="45" spans="1:22">
      <c r="A45" s="428" t="s">
        <v>134</v>
      </c>
      <c r="B45" s="434">
        <f>$B$2*B34</f>
        <v>3242.1926999999996</v>
      </c>
      <c r="C45" s="434">
        <f t="shared" si="4"/>
        <v>46382.844199999992</v>
      </c>
      <c r="D45" s="434">
        <f t="shared" si="4"/>
        <v>35566.676749999991</v>
      </c>
      <c r="E45" s="434">
        <f t="shared" si="4"/>
        <v>16928.497949999997</v>
      </c>
      <c r="F45" s="434">
        <f t="shared" si="4"/>
        <v>7937.1711999999998</v>
      </c>
      <c r="G45" s="435">
        <f>SUM(B45:F45)</f>
        <v>110057.38279999998</v>
      </c>
    </row>
    <row r="47" spans="1:22">
      <c r="A47" s="374" t="s">
        <v>156</v>
      </c>
      <c r="B47" s="458"/>
    </row>
    <row r="48" spans="1:22">
      <c r="A48" s="476" t="s">
        <v>170</v>
      </c>
      <c r="B48" s="477">
        <f>master!B10</f>
        <v>24597</v>
      </c>
    </row>
    <row r="49" spans="1:22" ht="16">
      <c r="A49" s="436" t="s">
        <v>90</v>
      </c>
      <c r="B49" s="437">
        <f>master!B15</f>
        <v>3419</v>
      </c>
      <c r="C49" s="341"/>
      <c r="D49" s="341"/>
      <c r="E49" s="341"/>
      <c r="F49" s="341"/>
      <c r="G49" s="341"/>
      <c r="H49" s="341"/>
      <c r="I49" s="341"/>
      <c r="J49" s="341"/>
    </row>
    <row r="50" spans="1:22" ht="16">
      <c r="A50" s="436" t="s">
        <v>162</v>
      </c>
      <c r="B50" s="438">
        <v>137381</v>
      </c>
      <c r="C50" s="341"/>
      <c r="D50" s="341"/>
      <c r="E50" s="341"/>
      <c r="F50" s="341"/>
      <c r="G50" s="341"/>
      <c r="H50" s="341"/>
      <c r="I50" s="341"/>
      <c r="J50" s="341"/>
    </row>
    <row r="51" spans="1:22">
      <c r="A51" s="356" t="s">
        <v>157</v>
      </c>
      <c r="B51" s="439">
        <f>B49*B50</f>
        <v>469705639</v>
      </c>
      <c r="C51" s="341"/>
      <c r="D51" s="341"/>
      <c r="E51" s="341"/>
      <c r="F51" s="341"/>
      <c r="G51" s="341"/>
      <c r="H51" s="341"/>
      <c r="I51" s="341"/>
      <c r="J51" s="341"/>
    </row>
    <row r="52" spans="1:22">
      <c r="B52" s="341"/>
      <c r="C52" s="341"/>
      <c r="D52" s="341"/>
      <c r="E52" s="341"/>
      <c r="F52" s="341"/>
      <c r="G52" s="341"/>
      <c r="H52" s="341"/>
      <c r="J52" s="341"/>
    </row>
    <row r="53" spans="1:22" ht="32">
      <c r="A53" s="440" t="s">
        <v>151</v>
      </c>
      <c r="B53" s="375">
        <v>2015</v>
      </c>
      <c r="C53" s="375">
        <v>2020</v>
      </c>
      <c r="D53" s="375">
        <v>2025</v>
      </c>
      <c r="E53" s="375">
        <v>2030</v>
      </c>
      <c r="F53" s="375">
        <v>2035</v>
      </c>
      <c r="G53" s="376">
        <v>2040</v>
      </c>
      <c r="H53" s="377"/>
      <c r="I53" s="377"/>
      <c r="J53" s="377"/>
    </row>
    <row r="54" spans="1:22">
      <c r="A54" s="353" t="s">
        <v>147</v>
      </c>
      <c r="B54" s="348">
        <v>96</v>
      </c>
      <c r="C54" s="348">
        <v>81</v>
      </c>
      <c r="D54" s="348">
        <v>61</v>
      </c>
      <c r="E54" s="348">
        <v>42</v>
      </c>
      <c r="F54" s="348">
        <v>31</v>
      </c>
      <c r="G54" s="441">
        <v>26</v>
      </c>
      <c r="H54" s="341"/>
      <c r="I54" s="341" t="s">
        <v>150</v>
      </c>
      <c r="J54" s="341"/>
    </row>
    <row r="55" spans="1:22">
      <c r="A55" s="353" t="s">
        <v>148</v>
      </c>
      <c r="B55" s="348">
        <v>453</v>
      </c>
      <c r="C55" s="348">
        <v>401</v>
      </c>
      <c r="D55" s="348">
        <v>331</v>
      </c>
      <c r="E55" s="348">
        <v>267</v>
      </c>
      <c r="F55" s="348">
        <v>240</v>
      </c>
      <c r="G55" s="441">
        <v>233</v>
      </c>
      <c r="H55" s="341"/>
      <c r="I55" s="341" t="s">
        <v>152</v>
      </c>
      <c r="J55" s="341"/>
    </row>
    <row r="56" spans="1:22">
      <c r="A56" s="353" t="s">
        <v>146</v>
      </c>
      <c r="B56" s="348">
        <v>1146</v>
      </c>
      <c r="C56" s="348">
        <v>976</v>
      </c>
      <c r="D56" s="348">
        <v>753</v>
      </c>
      <c r="E56" s="348">
        <v>531</v>
      </c>
      <c r="F56" s="348">
        <v>390</v>
      </c>
      <c r="G56" s="441">
        <v>301</v>
      </c>
      <c r="H56" s="341"/>
      <c r="I56" s="341"/>
      <c r="J56" s="341"/>
      <c r="L56" s="402"/>
    </row>
    <row r="57" spans="1:22">
      <c r="A57" s="356" t="s">
        <v>149</v>
      </c>
      <c r="B57" s="383">
        <v>28</v>
      </c>
      <c r="C57" s="383">
        <v>24</v>
      </c>
      <c r="D57" s="383">
        <v>19</v>
      </c>
      <c r="E57" s="383">
        <v>13</v>
      </c>
      <c r="F57" s="383">
        <v>9</v>
      </c>
      <c r="G57" s="442">
        <v>6</v>
      </c>
      <c r="H57" s="341"/>
      <c r="I57" s="341"/>
      <c r="J57" s="341"/>
      <c r="L57" s="402"/>
    </row>
    <row r="58" spans="1:22">
      <c r="B58" s="341"/>
      <c r="C58" s="341"/>
      <c r="D58" s="341"/>
      <c r="E58" s="341"/>
      <c r="F58" s="341"/>
      <c r="G58" s="341"/>
      <c r="H58" s="341"/>
      <c r="I58" s="341"/>
      <c r="J58" s="341"/>
    </row>
    <row r="59" spans="1:22">
      <c r="A59" s="374" t="s">
        <v>249</v>
      </c>
      <c r="B59" s="375">
        <v>2015</v>
      </c>
      <c r="C59" s="375">
        <v>2020</v>
      </c>
      <c r="D59" s="375">
        <v>2025</v>
      </c>
      <c r="E59" s="375">
        <v>2030</v>
      </c>
      <c r="F59" s="375">
        <v>2035</v>
      </c>
      <c r="G59" s="376">
        <v>2040</v>
      </c>
      <c r="H59" s="341"/>
      <c r="I59" s="341"/>
      <c r="J59" s="341"/>
    </row>
    <row r="60" spans="1:22">
      <c r="A60" s="353" t="s">
        <v>146</v>
      </c>
      <c r="B60" s="443">
        <f t="shared" ref="B60:G61" si="5">B56*$B$51/1000000</f>
        <v>538282.66229400004</v>
      </c>
      <c r="C60" s="443">
        <f t="shared" si="5"/>
        <v>458432.70366399997</v>
      </c>
      <c r="D60" s="443">
        <f t="shared" si="5"/>
        <v>353688.34616700001</v>
      </c>
      <c r="E60" s="443">
        <f t="shared" si="5"/>
        <v>249413.69430900001</v>
      </c>
      <c r="F60" s="443">
        <f t="shared" si="5"/>
        <v>183185.19920999999</v>
      </c>
      <c r="G60" s="438">
        <f t="shared" si="5"/>
        <v>141381.39733899999</v>
      </c>
      <c r="H60" s="341"/>
      <c r="I60" s="341"/>
      <c r="J60" s="341"/>
    </row>
    <row r="61" spans="1:22" s="402" customFormat="1">
      <c r="A61" s="356" t="s">
        <v>149</v>
      </c>
      <c r="B61" s="444">
        <f t="shared" si="5"/>
        <v>13151.757892</v>
      </c>
      <c r="C61" s="444">
        <f t="shared" si="5"/>
        <v>11272.935336</v>
      </c>
      <c r="D61" s="444">
        <f t="shared" si="5"/>
        <v>8924.4071409999997</v>
      </c>
      <c r="E61" s="444">
        <f t="shared" si="5"/>
        <v>6106.173307</v>
      </c>
      <c r="F61" s="444">
        <f t="shared" si="5"/>
        <v>4227.3507509999999</v>
      </c>
      <c r="G61" s="439">
        <f t="shared" si="5"/>
        <v>2818.2338340000001</v>
      </c>
      <c r="H61" s="341"/>
      <c r="I61" s="341"/>
      <c r="J61" s="341"/>
      <c r="K61" s="395"/>
      <c r="L61" s="395"/>
      <c r="P61" s="395"/>
      <c r="Q61" s="395"/>
      <c r="R61" s="395"/>
      <c r="S61" s="395"/>
      <c r="T61" s="395"/>
      <c r="U61" s="395"/>
      <c r="V61" s="395"/>
    </row>
    <row r="62" spans="1:22" s="402" customFormat="1">
      <c r="A62" s="395"/>
      <c r="B62" s="341"/>
      <c r="C62" s="341"/>
      <c r="D62" s="341"/>
      <c r="E62" s="341"/>
      <c r="F62" s="341"/>
      <c r="G62" s="341"/>
      <c r="H62" s="341"/>
      <c r="I62" s="341"/>
      <c r="J62" s="341"/>
      <c r="K62" s="395"/>
    </row>
    <row r="63" spans="1:22">
      <c r="A63" s="374" t="s">
        <v>154</v>
      </c>
      <c r="B63" s="375" t="s">
        <v>126</v>
      </c>
      <c r="C63" s="375" t="s">
        <v>127</v>
      </c>
      <c r="D63" s="375" t="s">
        <v>128</v>
      </c>
      <c r="E63" s="375" t="s">
        <v>129</v>
      </c>
      <c r="F63" s="376" t="s">
        <v>130</v>
      </c>
      <c r="G63" s="341"/>
      <c r="H63" s="341"/>
      <c r="I63" s="341"/>
      <c r="J63" s="341"/>
    </row>
    <row r="64" spans="1:22">
      <c r="A64" s="478" t="s">
        <v>459</v>
      </c>
      <c r="B64" s="479">
        <v>4</v>
      </c>
      <c r="C64" s="479">
        <v>39.64</v>
      </c>
      <c r="D64" s="479">
        <v>29.15</v>
      </c>
      <c r="E64" s="479">
        <v>17.420000000000002</v>
      </c>
      <c r="F64" s="480">
        <v>10.8</v>
      </c>
      <c r="G64" s="341"/>
      <c r="H64" s="341" t="s">
        <v>153</v>
      </c>
      <c r="I64" s="341"/>
      <c r="J64" s="341"/>
    </row>
    <row r="65" spans="1:33">
      <c r="A65" s="356" t="s">
        <v>458</v>
      </c>
      <c r="B65" s="383">
        <f>B64*1.15</f>
        <v>4.5999999999999996</v>
      </c>
      <c r="C65" s="383">
        <f>C64*1.15</f>
        <v>45.585999999999999</v>
      </c>
      <c r="D65" s="383">
        <f>D64*1.15</f>
        <v>33.522499999999994</v>
      </c>
      <c r="E65" s="383">
        <f>E64*1.15</f>
        <v>20.033000000000001</v>
      </c>
      <c r="F65" s="442">
        <f>F64*1.15</f>
        <v>12.42</v>
      </c>
      <c r="G65" s="341"/>
      <c r="H65" s="341"/>
      <c r="I65" s="341"/>
      <c r="J65" s="341"/>
    </row>
    <row r="66" spans="1:33">
      <c r="A66" s="377"/>
      <c r="B66" s="341"/>
      <c r="C66" s="341"/>
      <c r="D66" s="341"/>
      <c r="E66" s="341"/>
      <c r="F66" s="341"/>
      <c r="G66" s="341"/>
      <c r="H66" s="341"/>
      <c r="I66" s="341"/>
      <c r="J66" s="341"/>
    </row>
    <row r="67" spans="1:33" s="445" customFormat="1">
      <c r="A67" s="374" t="s">
        <v>158</v>
      </c>
      <c r="B67" s="375">
        <v>2015</v>
      </c>
      <c r="C67" s="375">
        <v>2020</v>
      </c>
      <c r="D67" s="375">
        <v>2025</v>
      </c>
      <c r="E67" s="375">
        <v>2030</v>
      </c>
      <c r="F67" s="375">
        <v>2035</v>
      </c>
      <c r="G67" s="376">
        <v>2040</v>
      </c>
      <c r="H67" s="341"/>
      <c r="I67" s="341"/>
      <c r="J67" s="341"/>
      <c r="K67" s="395"/>
    </row>
    <row r="68" spans="1:33">
      <c r="A68" s="353" t="s">
        <v>155</v>
      </c>
      <c r="B68" s="443">
        <f t="shared" ref="B68:G68" si="6">B61*$C$65/1000</f>
        <v>599.53603526471193</v>
      </c>
      <c r="C68" s="443">
        <f t="shared" si="6"/>
        <v>513.88803022689603</v>
      </c>
      <c r="D68" s="443">
        <f t="shared" si="6"/>
        <v>406.828023929626</v>
      </c>
      <c r="E68" s="443">
        <f t="shared" si="6"/>
        <v>278.35601637290199</v>
      </c>
      <c r="F68" s="443">
        <f t="shared" si="6"/>
        <v>192.70801133508598</v>
      </c>
      <c r="G68" s="438">
        <f t="shared" si="6"/>
        <v>128.47200755672401</v>
      </c>
      <c r="H68" s="341"/>
      <c r="I68" s="341"/>
      <c r="J68" s="341"/>
    </row>
    <row r="69" spans="1:33">
      <c r="A69" s="353" t="s">
        <v>130</v>
      </c>
      <c r="B69" s="443">
        <f t="shared" ref="B69:G69" si="7">B60*$F$65/1000</f>
        <v>6685.4706656914805</v>
      </c>
      <c r="C69" s="443">
        <f t="shared" si="7"/>
        <v>5693.7341795068796</v>
      </c>
      <c r="D69" s="443">
        <f t="shared" si="7"/>
        <v>4392.8092593941401</v>
      </c>
      <c r="E69" s="443">
        <f t="shared" si="7"/>
        <v>3097.7180833177799</v>
      </c>
      <c r="F69" s="443">
        <f t="shared" si="7"/>
        <v>2275.1601741882</v>
      </c>
      <c r="G69" s="438">
        <f t="shared" si="7"/>
        <v>1755.9569549503799</v>
      </c>
      <c r="H69" s="341"/>
      <c r="I69" s="341"/>
      <c r="J69" s="341"/>
    </row>
    <row r="70" spans="1:33">
      <c r="A70" s="353" t="s">
        <v>284</v>
      </c>
      <c r="B70" s="443">
        <f t="shared" ref="B70:G70" si="8">SUM(B68:B69)</f>
        <v>7285.0067009561926</v>
      </c>
      <c r="C70" s="443">
        <f t="shared" si="8"/>
        <v>6207.6222097337759</v>
      </c>
      <c r="D70" s="443">
        <f t="shared" si="8"/>
        <v>4799.6372833237665</v>
      </c>
      <c r="E70" s="443">
        <f t="shared" si="8"/>
        <v>3376.074099690682</v>
      </c>
      <c r="F70" s="443">
        <f t="shared" si="8"/>
        <v>2467.8681855232862</v>
      </c>
      <c r="G70" s="438">
        <f t="shared" si="8"/>
        <v>1884.428962507104</v>
      </c>
      <c r="H70" s="341"/>
      <c r="I70" s="341"/>
      <c r="J70" s="341"/>
    </row>
    <row r="71" spans="1:33">
      <c r="A71" s="353" t="s">
        <v>464</v>
      </c>
      <c r="B71" s="348"/>
      <c r="C71" s="379">
        <f>(C68-D68)/5</f>
        <v>21.412001259454009</v>
      </c>
      <c r="D71" s="423"/>
      <c r="E71" s="379">
        <f>(E68-F68)/5</f>
        <v>17.129601007563203</v>
      </c>
      <c r="F71" s="379">
        <f>(F68-G68)/5</f>
        <v>12.847200755672395</v>
      </c>
      <c r="G71" s="441"/>
      <c r="H71" s="341"/>
      <c r="I71" s="341"/>
      <c r="J71" s="341"/>
    </row>
    <row r="72" spans="1:33">
      <c r="A72" s="356" t="s">
        <v>465</v>
      </c>
      <c r="B72" s="383"/>
      <c r="C72" s="481">
        <f>(C69-D69)/5</f>
        <v>260.18498402254789</v>
      </c>
      <c r="D72" s="425"/>
      <c r="E72" s="481">
        <f>(E69-F69)/5</f>
        <v>164.51158182591598</v>
      </c>
      <c r="F72" s="481">
        <f>(F69-G69)/5</f>
        <v>103.84064384756402</v>
      </c>
      <c r="G72" s="442"/>
      <c r="H72" s="341"/>
      <c r="I72" s="341"/>
      <c r="J72" s="341"/>
    </row>
    <row r="73" spans="1:33">
      <c r="A73" s="353" t="s">
        <v>159</v>
      </c>
      <c r="B73" s="443">
        <f t="shared" ref="B73:G73" si="9">B70/365*1000000</f>
        <v>19958922.468373131</v>
      </c>
      <c r="C73" s="443">
        <f t="shared" si="9"/>
        <v>17007184.136256922</v>
      </c>
      <c r="D73" s="443">
        <f t="shared" si="9"/>
        <v>13149691.1871884</v>
      </c>
      <c r="E73" s="443">
        <f t="shared" si="9"/>
        <v>9249518.0813443344</v>
      </c>
      <c r="F73" s="443">
        <f t="shared" si="9"/>
        <v>6761282.7000637976</v>
      </c>
      <c r="G73" s="438">
        <f t="shared" si="9"/>
        <v>5162819.0753619289</v>
      </c>
      <c r="H73" s="341"/>
      <c r="I73" s="341"/>
      <c r="J73" s="341"/>
    </row>
    <row r="74" spans="1:33">
      <c r="A74" s="353" t="s">
        <v>473</v>
      </c>
      <c r="B74" s="443">
        <f t="shared" ref="B74:G74" si="10">B73/$B$48</f>
        <v>811.43726748681263</v>
      </c>
      <c r="C74" s="443">
        <f t="shared" si="10"/>
        <v>691.43326975878858</v>
      </c>
      <c r="D74" s="443">
        <f t="shared" si="10"/>
        <v>534.60548795334387</v>
      </c>
      <c r="E74" s="443">
        <f t="shared" si="10"/>
        <v>376.0425288183248</v>
      </c>
      <c r="F74" s="443">
        <f t="shared" si="10"/>
        <v>274.88241249192168</v>
      </c>
      <c r="G74" s="438">
        <f t="shared" si="10"/>
        <v>209.89629122909008</v>
      </c>
      <c r="H74" s="341"/>
      <c r="I74" s="341"/>
      <c r="J74" s="341"/>
    </row>
    <row r="75" spans="1:33">
      <c r="A75" s="356" t="s">
        <v>466</v>
      </c>
      <c r="B75" s="482">
        <f t="shared" ref="B75:G75" si="11">B74*1.035</f>
        <v>839.83757184885098</v>
      </c>
      <c r="C75" s="482">
        <f t="shared" si="11"/>
        <v>715.63343420034607</v>
      </c>
      <c r="D75" s="482">
        <f t="shared" si="11"/>
        <v>553.31668003171092</v>
      </c>
      <c r="E75" s="482">
        <f t="shared" si="11"/>
        <v>389.20401732696615</v>
      </c>
      <c r="F75" s="482">
        <f t="shared" si="11"/>
        <v>284.50329692913891</v>
      </c>
      <c r="G75" s="483">
        <f t="shared" si="11"/>
        <v>217.24266142210823</v>
      </c>
      <c r="H75" s="341"/>
      <c r="I75" s="341" t="s">
        <v>160</v>
      </c>
      <c r="J75" s="341"/>
    </row>
    <row r="77" spans="1:33">
      <c r="A77" s="374" t="s">
        <v>158</v>
      </c>
      <c r="B77" s="457"/>
      <c r="C77" s="457">
        <v>2020</v>
      </c>
      <c r="D77" s="457">
        <v>2021</v>
      </c>
      <c r="E77" s="457">
        <v>2022</v>
      </c>
      <c r="F77" s="457">
        <v>2023</v>
      </c>
      <c r="G77" s="457">
        <v>2024</v>
      </c>
      <c r="H77" s="457">
        <v>2025</v>
      </c>
      <c r="I77" s="457">
        <v>2026</v>
      </c>
      <c r="J77" s="457">
        <v>2027</v>
      </c>
      <c r="K77" s="457">
        <v>2028</v>
      </c>
      <c r="L77" s="457">
        <v>2029</v>
      </c>
      <c r="M77" s="457">
        <v>2030</v>
      </c>
      <c r="N77" s="457">
        <v>2031</v>
      </c>
      <c r="O77" s="457">
        <v>2032</v>
      </c>
      <c r="P77" s="457">
        <v>2033</v>
      </c>
      <c r="Q77" s="457">
        <v>2034</v>
      </c>
      <c r="R77" s="457">
        <v>2035</v>
      </c>
      <c r="S77" s="457">
        <v>2036</v>
      </c>
      <c r="T77" s="457">
        <v>2037</v>
      </c>
      <c r="U77" s="457">
        <v>2038</v>
      </c>
      <c r="V77" s="457">
        <v>2039</v>
      </c>
      <c r="W77" s="458">
        <v>2040</v>
      </c>
      <c r="X77" s="484"/>
      <c r="Y77" s="484"/>
      <c r="Z77" s="484"/>
      <c r="AA77" s="484"/>
      <c r="AB77" s="484"/>
      <c r="AC77" s="484"/>
      <c r="AD77" s="484"/>
      <c r="AE77" s="484"/>
      <c r="AF77" s="484"/>
      <c r="AG77" s="484"/>
    </row>
    <row r="78" spans="1:33">
      <c r="A78" s="353" t="s">
        <v>155</v>
      </c>
      <c r="B78" s="443"/>
      <c r="C78" s="443">
        <f>C68</f>
        <v>513.88803022689603</v>
      </c>
      <c r="D78" s="443">
        <f t="shared" ref="D78:L78" si="12">C78-$C$71</f>
        <v>492.47602896744201</v>
      </c>
      <c r="E78" s="443">
        <f t="shared" si="12"/>
        <v>471.06402770798798</v>
      </c>
      <c r="F78" s="443">
        <f t="shared" si="12"/>
        <v>449.65202644853395</v>
      </c>
      <c r="G78" s="443">
        <f t="shared" si="12"/>
        <v>428.24002518907992</v>
      </c>
      <c r="H78" s="443">
        <f t="shared" si="12"/>
        <v>406.82802392962589</v>
      </c>
      <c r="I78" s="443">
        <f t="shared" si="12"/>
        <v>385.41602267017186</v>
      </c>
      <c r="J78" s="443">
        <f t="shared" si="12"/>
        <v>364.00402141071783</v>
      </c>
      <c r="K78" s="443">
        <f t="shared" si="12"/>
        <v>342.5920201512638</v>
      </c>
      <c r="L78" s="443">
        <f t="shared" si="12"/>
        <v>321.18001889180977</v>
      </c>
      <c r="M78" s="443">
        <v>278</v>
      </c>
      <c r="N78" s="443">
        <f>M78-$E$71</f>
        <v>260.87039899243678</v>
      </c>
      <c r="O78" s="443">
        <f>N78-$E$71</f>
        <v>243.74079798487358</v>
      </c>
      <c r="P78" s="443">
        <f>O78-$E$71</f>
        <v>226.61119697731039</v>
      </c>
      <c r="Q78" s="443">
        <f>P78-$E$71</f>
        <v>209.48159596974719</v>
      </c>
      <c r="R78" s="443">
        <f>Q78-$E$71</f>
        <v>192.35199496218399</v>
      </c>
      <c r="S78" s="443">
        <f>R78-$F$71</f>
        <v>179.5047942065116</v>
      </c>
      <c r="T78" s="443">
        <f>S78-$F$71</f>
        <v>166.65759345083922</v>
      </c>
      <c r="U78" s="443">
        <f>T78-$F$71</f>
        <v>153.81039269516683</v>
      </c>
      <c r="V78" s="443">
        <f>U78-$F$71</f>
        <v>140.96319193949444</v>
      </c>
      <c r="W78" s="438">
        <f>V78-$F$71</f>
        <v>128.11599118382205</v>
      </c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</row>
    <row r="79" spans="1:33">
      <c r="A79" s="356" t="s">
        <v>130</v>
      </c>
      <c r="B79" s="444"/>
      <c r="C79" s="444">
        <f>C69</f>
        <v>5693.7341795068796</v>
      </c>
      <c r="D79" s="444">
        <f t="shared" ref="D79:M79" si="13">C79-$C$72</f>
        <v>5433.5491954843319</v>
      </c>
      <c r="E79" s="444">
        <f t="shared" si="13"/>
        <v>5173.3642114617842</v>
      </c>
      <c r="F79" s="444">
        <f t="shared" si="13"/>
        <v>4913.1792274392365</v>
      </c>
      <c r="G79" s="444">
        <f t="shared" si="13"/>
        <v>4652.9942434166887</v>
      </c>
      <c r="H79" s="444">
        <f t="shared" si="13"/>
        <v>4392.809259394141</v>
      </c>
      <c r="I79" s="444">
        <f t="shared" si="13"/>
        <v>4132.6242753715933</v>
      </c>
      <c r="J79" s="444">
        <f t="shared" si="13"/>
        <v>3872.4392913490456</v>
      </c>
      <c r="K79" s="444">
        <f t="shared" si="13"/>
        <v>3612.2543073264978</v>
      </c>
      <c r="L79" s="444">
        <f t="shared" si="13"/>
        <v>3352.0693233039501</v>
      </c>
      <c r="M79" s="444">
        <f t="shared" si="13"/>
        <v>3091.8843392814024</v>
      </c>
      <c r="N79" s="447">
        <f>M79-$E$72</f>
        <v>2927.3727574554864</v>
      </c>
      <c r="O79" s="447">
        <f>N79-$E$72</f>
        <v>2762.8611756295704</v>
      </c>
      <c r="P79" s="447">
        <f>O79-$E$72</f>
        <v>2598.3495938036544</v>
      </c>
      <c r="Q79" s="447">
        <f>P79-$E$72</f>
        <v>2433.8380119777385</v>
      </c>
      <c r="R79" s="447">
        <v>2275</v>
      </c>
      <c r="S79" s="447">
        <f>R79-$F$72</f>
        <v>2171.159356152436</v>
      </c>
      <c r="T79" s="447">
        <f>S79-$F$72</f>
        <v>2067.318712304872</v>
      </c>
      <c r="U79" s="447">
        <f>T79-$F$72</f>
        <v>1963.4780684573079</v>
      </c>
      <c r="V79" s="447">
        <f>U79-$F$72</f>
        <v>1859.6374246097439</v>
      </c>
      <c r="W79" s="448">
        <f>V79-$F$72</f>
        <v>1755.7967807621799</v>
      </c>
      <c r="X79" s="446"/>
      <c r="Y79" s="446"/>
      <c r="Z79" s="446"/>
      <c r="AA79" s="446"/>
      <c r="AB79" s="446"/>
      <c r="AC79" s="446"/>
      <c r="AD79" s="446"/>
      <c r="AE79" s="446"/>
      <c r="AF79" s="446"/>
      <c r="AG79" s="446"/>
    </row>
    <row r="81" spans="1:8">
      <c r="A81" s="392" t="s">
        <v>252</v>
      </c>
      <c r="B81" s="449" t="s">
        <v>126</v>
      </c>
      <c r="C81" s="449" t="s">
        <v>140</v>
      </c>
      <c r="D81" s="449" t="s">
        <v>128</v>
      </c>
      <c r="E81" s="449" t="s">
        <v>129</v>
      </c>
      <c r="F81" s="393" t="s">
        <v>130</v>
      </c>
    </row>
    <row r="82" spans="1:8">
      <c r="A82" s="450" t="s">
        <v>251</v>
      </c>
      <c r="B82" s="451">
        <v>0.27</v>
      </c>
      <c r="C82" s="452">
        <v>2.29</v>
      </c>
      <c r="D82" s="451">
        <v>0.02</v>
      </c>
      <c r="E82" s="451">
        <v>0.15</v>
      </c>
      <c r="F82" s="453">
        <v>9.67</v>
      </c>
      <c r="H82" s="348" t="s">
        <v>82</v>
      </c>
    </row>
    <row r="83" spans="1:8">
      <c r="A83" s="404" t="s">
        <v>250</v>
      </c>
      <c r="B83" s="383">
        <f>B82*1.15</f>
        <v>0.3105</v>
      </c>
      <c r="C83" s="383">
        <f t="shared" ref="C83:F83" si="14">C82*1.15</f>
        <v>2.6334999999999997</v>
      </c>
      <c r="D83" s="383">
        <f t="shared" si="14"/>
        <v>2.3E-2</v>
      </c>
      <c r="E83" s="383">
        <f t="shared" si="14"/>
        <v>0.17249999999999999</v>
      </c>
      <c r="F83" s="442">
        <f t="shared" si="14"/>
        <v>11.1205</v>
      </c>
    </row>
  </sheetData>
  <phoneticPr fontId="15" type="noConversion"/>
  <hyperlinks>
    <hyperlink ref="D2" r:id="rId1" xr:uid="{7741EF8D-4D78-9344-847A-9E85C431C93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243A-B5E8-474A-AC96-1935E1359E47}">
  <dimension ref="A2:G28"/>
  <sheetViews>
    <sheetView zoomScale="125" zoomScaleNormal="125" workbookViewId="0">
      <selection activeCell="F41" sqref="F41"/>
    </sheetView>
  </sheetViews>
  <sheetFormatPr baseColWidth="10" defaultRowHeight="14"/>
  <cols>
    <col min="1" max="1" width="32.33203125" style="2" customWidth="1"/>
    <col min="2" max="2" width="15.83203125" style="2" customWidth="1"/>
    <col min="3" max="3" width="12.83203125" style="2" customWidth="1"/>
    <col min="4" max="5" width="11" style="2" bestFit="1" customWidth="1"/>
    <col min="6" max="16384" width="10.83203125" style="2"/>
  </cols>
  <sheetData>
    <row r="2" spans="1:7">
      <c r="A2" s="2" t="s">
        <v>75</v>
      </c>
    </row>
    <row r="4" spans="1:7">
      <c r="A4" s="10" t="s">
        <v>4</v>
      </c>
      <c r="B4" s="10" t="s">
        <v>5</v>
      </c>
      <c r="C4" s="10"/>
      <c r="D4" s="10" t="s">
        <v>15</v>
      </c>
      <c r="E4" s="10" t="s">
        <v>16</v>
      </c>
      <c r="G4" s="2" t="s">
        <v>38</v>
      </c>
    </row>
    <row r="5" spans="1:7">
      <c r="A5" s="10">
        <v>1</v>
      </c>
      <c r="B5" s="10">
        <v>3.6</v>
      </c>
      <c r="C5" s="10"/>
      <c r="D5" s="10">
        <v>1</v>
      </c>
      <c r="E5" s="10">
        <v>0.219969</v>
      </c>
    </row>
    <row r="8" spans="1:7">
      <c r="A8" s="3"/>
      <c r="B8" s="4" t="s">
        <v>8</v>
      </c>
      <c r="C8" s="4"/>
      <c r="D8" s="4"/>
      <c r="E8" s="5" t="s">
        <v>3</v>
      </c>
    </row>
    <row r="9" spans="1:7">
      <c r="A9" s="9" t="s">
        <v>7</v>
      </c>
      <c r="B9" s="10" t="s">
        <v>6</v>
      </c>
      <c r="C9" s="10"/>
      <c r="D9" s="10"/>
      <c r="E9" s="11" t="s">
        <v>9</v>
      </c>
    </row>
    <row r="10" spans="1:7">
      <c r="A10" s="6"/>
      <c r="B10" s="7" t="s">
        <v>10</v>
      </c>
      <c r="C10" s="7"/>
      <c r="D10" s="7"/>
      <c r="E10" s="8"/>
    </row>
    <row r="12" spans="1:7">
      <c r="A12" s="3"/>
      <c r="B12" s="4" t="s">
        <v>12</v>
      </c>
      <c r="C12" s="4" t="s">
        <v>5</v>
      </c>
      <c r="D12" s="4" t="s">
        <v>13</v>
      </c>
      <c r="E12" s="5" t="s">
        <v>3</v>
      </c>
    </row>
    <row r="13" spans="1:7">
      <c r="A13" s="9" t="s">
        <v>11</v>
      </c>
      <c r="B13" s="10"/>
      <c r="C13" s="10"/>
      <c r="D13" s="10"/>
      <c r="E13" s="11" t="s">
        <v>14</v>
      </c>
    </row>
    <row r="14" spans="1:7">
      <c r="A14" s="9">
        <v>1</v>
      </c>
      <c r="B14" s="18">
        <v>137380.95199999999</v>
      </c>
      <c r="C14" s="10">
        <v>144.94460000000001</v>
      </c>
      <c r="D14" s="10">
        <v>3.785412</v>
      </c>
      <c r="E14" s="11"/>
    </row>
    <row r="15" spans="1:7">
      <c r="A15" s="9"/>
      <c r="B15" s="10"/>
      <c r="C15" s="10"/>
      <c r="D15" s="10"/>
      <c r="E15" s="12"/>
    </row>
    <row r="16" spans="1:7">
      <c r="A16" s="9"/>
      <c r="B16" s="10"/>
      <c r="C16" s="10">
        <f>C14/D14</f>
        <v>38.290310275341234</v>
      </c>
      <c r="D16" s="10" t="s">
        <v>32</v>
      </c>
      <c r="E16" s="12"/>
    </row>
    <row r="17" spans="1:5">
      <c r="A17" s="6"/>
      <c r="B17" s="7"/>
      <c r="C17" s="24">
        <f>C16/B5</f>
        <v>10.636197298705898</v>
      </c>
      <c r="D17" s="7" t="s">
        <v>17</v>
      </c>
      <c r="E17" s="8"/>
    </row>
    <row r="19" spans="1:5">
      <c r="C19" s="10">
        <v>142.92599999999999</v>
      </c>
      <c r="E19" s="2" t="s">
        <v>76</v>
      </c>
    </row>
    <row r="20" spans="1:5">
      <c r="C20" s="2">
        <f>C19/D14</f>
        <v>37.757052600879369</v>
      </c>
      <c r="D20" s="10" t="s">
        <v>32</v>
      </c>
    </row>
    <row r="21" spans="1:5">
      <c r="C21" s="2">
        <f>C20/B5</f>
        <v>10.488070166910935</v>
      </c>
      <c r="D21" s="7" t="s">
        <v>17</v>
      </c>
    </row>
    <row r="28" spans="1:5">
      <c r="A28" s="2" t="s">
        <v>80</v>
      </c>
    </row>
  </sheetData>
  <hyperlinks>
    <hyperlink ref="E9" r:id="rId1" xr:uid="{20F52C34-EA3B-9349-91DD-741DDB7DD8D3}"/>
    <hyperlink ref="E13" r:id="rId2" location="dieselcalc" display="https://www.eia.gov/energyexplained/index.php?page=about_energy_conversion_calculator - dieselcalc" xr:uid="{74EE976A-C687-924A-81F1-7482B45BE75F}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01AD-7354-234E-80DA-164BEA4C2761}">
  <dimension ref="A1:I25"/>
  <sheetViews>
    <sheetView tabSelected="1" workbookViewId="0">
      <selection activeCell="F21" sqref="F21"/>
    </sheetView>
  </sheetViews>
  <sheetFormatPr baseColWidth="10" defaultRowHeight="15"/>
  <cols>
    <col min="1" max="1" width="35.83203125" style="330" customWidth="1"/>
    <col min="2" max="2" width="17" style="330" customWidth="1"/>
    <col min="3" max="3" width="14.1640625" style="330" customWidth="1"/>
    <col min="4" max="4" width="14.1640625" style="330" bestFit="1" customWidth="1"/>
    <col min="5" max="5" width="11.83203125" style="330" bestFit="1" customWidth="1"/>
    <col min="6" max="6" width="13.33203125" style="330" customWidth="1"/>
    <col min="7" max="16384" width="10.83203125" style="330"/>
  </cols>
  <sheetData>
    <row r="1" spans="1:9">
      <c r="A1" s="374" t="s">
        <v>47</v>
      </c>
      <c r="B1" s="375" t="s">
        <v>46</v>
      </c>
      <c r="C1" s="376" t="s">
        <v>49</v>
      </c>
    </row>
    <row r="2" spans="1:9">
      <c r="A2" s="340" t="s">
        <v>44</v>
      </c>
      <c r="B2" s="338">
        <v>10</v>
      </c>
      <c r="C2" s="485">
        <f>B2/$B$6</f>
        <v>1.8625442354255915E-2</v>
      </c>
      <c r="D2" s="330" t="s">
        <v>50</v>
      </c>
      <c r="E2" s="486" t="s">
        <v>52</v>
      </c>
    </row>
    <row r="3" spans="1:9">
      <c r="A3" s="340" t="s">
        <v>45</v>
      </c>
      <c r="B3" s="338">
        <v>15.9</v>
      </c>
      <c r="C3" s="485">
        <f>B3/$B$6</f>
        <v>2.9614453343266903E-2</v>
      </c>
    </row>
    <row r="4" spans="1:9">
      <c r="A4" s="340" t="s">
        <v>116</v>
      </c>
      <c r="B4" s="338">
        <v>20.5</v>
      </c>
      <c r="C4" s="485">
        <f>B4/$B$6</f>
        <v>3.8182156826224625E-2</v>
      </c>
    </row>
    <row r="5" spans="1:9">
      <c r="A5" s="340" t="s">
        <v>48</v>
      </c>
      <c r="B5" s="338">
        <v>490.5</v>
      </c>
      <c r="C5" s="485">
        <f>B5/$B$6</f>
        <v>0.91357794747625265</v>
      </c>
      <c r="D5" s="330" t="s">
        <v>51</v>
      </c>
    </row>
    <row r="6" spans="1:9">
      <c r="A6" s="487" t="s">
        <v>309</v>
      </c>
      <c r="B6" s="488">
        <f>SUM(B2:B5)</f>
        <v>536.9</v>
      </c>
      <c r="C6" s="489"/>
    </row>
    <row r="7" spans="1:9">
      <c r="A7" s="487"/>
      <c r="B7" s="488"/>
      <c r="C7" s="488"/>
    </row>
    <row r="8" spans="1:9">
      <c r="A8" s="374" t="s">
        <v>117</v>
      </c>
      <c r="B8" s="490" t="s">
        <v>104</v>
      </c>
      <c r="C8" s="490" t="s">
        <v>103</v>
      </c>
      <c r="D8" s="490" t="s">
        <v>102</v>
      </c>
      <c r="E8" s="490" t="s">
        <v>101</v>
      </c>
      <c r="F8" s="490" t="s">
        <v>100</v>
      </c>
      <c r="G8" s="376" t="s">
        <v>453</v>
      </c>
    </row>
    <row r="9" spans="1:9">
      <c r="A9" s="491" t="s">
        <v>99</v>
      </c>
      <c r="B9" s="492">
        <v>1318892873</v>
      </c>
      <c r="C9" s="493">
        <v>372199713</v>
      </c>
      <c r="D9" s="493">
        <v>870814873</v>
      </c>
      <c r="E9" s="494">
        <v>67335420</v>
      </c>
      <c r="F9" s="495">
        <v>62740837</v>
      </c>
      <c r="G9" s="496"/>
      <c r="H9" s="497" t="s">
        <v>105</v>
      </c>
      <c r="I9" s="497"/>
    </row>
    <row r="10" spans="1:9">
      <c r="A10" s="491" t="s">
        <v>98</v>
      </c>
      <c r="B10" s="492">
        <v>1365879827</v>
      </c>
      <c r="C10" s="493">
        <v>372199713</v>
      </c>
      <c r="D10" s="492">
        <v>965706090</v>
      </c>
      <c r="E10" s="494">
        <v>68702820</v>
      </c>
      <c r="F10" s="495">
        <v>66093931</v>
      </c>
      <c r="G10" s="496"/>
      <c r="H10" s="498" t="s">
        <v>70</v>
      </c>
      <c r="I10" s="497"/>
    </row>
    <row r="11" spans="1:9">
      <c r="A11" s="491" t="s">
        <v>97</v>
      </c>
      <c r="B11" s="499">
        <v>2806257000</v>
      </c>
      <c r="C11" s="499">
        <v>821740000</v>
      </c>
      <c r="D11" s="500">
        <v>2048685000</v>
      </c>
      <c r="E11" s="494">
        <v>141310000</v>
      </c>
      <c r="F11" s="501">
        <v>133788000</v>
      </c>
      <c r="G11" s="496"/>
      <c r="H11" s="497"/>
      <c r="I11" s="497"/>
    </row>
    <row r="12" spans="1:9">
      <c r="A12" s="502" t="s">
        <v>96</v>
      </c>
      <c r="B12" s="503">
        <v>2.0499999999999998</v>
      </c>
      <c r="C12" s="503">
        <v>2.21</v>
      </c>
      <c r="D12" s="503">
        <v>2.12</v>
      </c>
      <c r="E12" s="503">
        <v>2.1</v>
      </c>
      <c r="F12" s="503">
        <v>2.13</v>
      </c>
      <c r="G12" s="504">
        <v>2.12</v>
      </c>
      <c r="I12" s="497"/>
    </row>
    <row r="14" spans="1:9">
      <c r="A14" s="374" t="s">
        <v>118</v>
      </c>
      <c r="B14" s="375" t="s">
        <v>455</v>
      </c>
      <c r="C14" s="376" t="s">
        <v>456</v>
      </c>
    </row>
    <row r="15" spans="1:9">
      <c r="A15" s="427" t="s">
        <v>457</v>
      </c>
      <c r="B15" s="338">
        <v>80</v>
      </c>
      <c r="C15" s="505">
        <v>1</v>
      </c>
      <c r="H15" s="330" t="s">
        <v>114</v>
      </c>
    </row>
    <row r="16" spans="1:9">
      <c r="A16" s="506" t="s">
        <v>454</v>
      </c>
      <c r="B16" s="338">
        <v>23.5</v>
      </c>
      <c r="C16" s="485">
        <f>B16/$B$15</f>
        <v>0.29375000000000001</v>
      </c>
      <c r="H16" s="486" t="s">
        <v>115</v>
      </c>
    </row>
    <row r="17" spans="1:9">
      <c r="A17" s="506" t="s">
        <v>39</v>
      </c>
      <c r="B17" s="338">
        <v>21.7</v>
      </c>
      <c r="C17" s="485">
        <f>B17/$B$15</f>
        <v>0.27124999999999999</v>
      </c>
      <c r="F17" s="486"/>
    </row>
    <row r="18" spans="1:9">
      <c r="A18" s="506" t="s">
        <v>40</v>
      </c>
      <c r="B18" s="338">
        <v>11.94</v>
      </c>
      <c r="C18" s="485">
        <f>B18/$B$15</f>
        <v>0.14924999999999999</v>
      </c>
      <c r="F18" s="486"/>
    </row>
    <row r="19" spans="1:9">
      <c r="A19" s="506" t="s">
        <v>41</v>
      </c>
      <c r="B19" s="338">
        <v>11.3</v>
      </c>
      <c r="C19" s="485">
        <f>B19/$B$15</f>
        <v>0.14125000000000001</v>
      </c>
      <c r="F19" s="486"/>
    </row>
    <row r="20" spans="1:9">
      <c r="A20" s="507" t="s">
        <v>42</v>
      </c>
      <c r="B20" s="488"/>
      <c r="C20" s="508">
        <f>SUM(C16:C19)</f>
        <v>0.85549999999999993</v>
      </c>
      <c r="H20" s="486" t="s">
        <v>43</v>
      </c>
    </row>
    <row r="23" spans="1:9">
      <c r="A23" s="334"/>
    </row>
    <row r="24" spans="1:9">
      <c r="B24" s="509"/>
      <c r="C24" s="509"/>
      <c r="D24" s="509"/>
      <c r="E24" s="509"/>
      <c r="F24" s="509"/>
      <c r="G24" s="509"/>
      <c r="H24" s="509"/>
      <c r="I24" s="509"/>
    </row>
    <row r="25" spans="1:9">
      <c r="B25" s="509"/>
      <c r="C25" s="509"/>
      <c r="D25" s="509"/>
      <c r="E25" s="509"/>
      <c r="F25" s="509"/>
      <c r="G25" s="509"/>
      <c r="H25" s="509"/>
      <c r="I25" s="509"/>
    </row>
  </sheetData>
  <hyperlinks>
    <hyperlink ref="E2" r:id="rId1" xr:uid="{E2BED1F5-938C-F74D-AAE6-075FC32C80CE}"/>
    <hyperlink ref="H20" r:id="rId2" location="page=109" display="https://tedb.ornl.gov/wp-content/uploads/2020/02/TEDB_Ed_38.pdf - page=109" xr:uid="{B8F370F4-5E39-A04F-AA6C-E942A69EE3FD}"/>
    <hyperlink ref="H10" r:id="rId3" xr:uid="{69003EBF-1BAB-E649-BDD1-7A07ACFE89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master</vt:lpstr>
      <vt:lpstr>TCO and NPV</vt:lpstr>
      <vt:lpstr>damages</vt:lpstr>
      <vt:lpstr>levelized energy costs</vt:lpstr>
      <vt:lpstr>grid emissions damages</vt:lpstr>
      <vt:lpstr>criteria_pollutants</vt:lpstr>
      <vt:lpstr>heat value of diesel</vt:lpstr>
      <vt:lpstr>other data cited in paper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Natalie Popovich</cp:lastModifiedBy>
  <dcterms:created xsi:type="dcterms:W3CDTF">2019-06-09T12:02:55Z</dcterms:created>
  <dcterms:modified xsi:type="dcterms:W3CDTF">2021-07-17T21:24:53Z</dcterms:modified>
</cp:coreProperties>
</file>