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ms1341\Downloads\"/>
    </mc:Choice>
  </mc:AlternateContent>
  <xr:revisionPtr revIDLastSave="0" documentId="8_{5B3BC599-512B-4E57-A79E-29130B35E8EA}" xr6:coauthVersionLast="36" xr6:coauthVersionMax="36" xr10:uidLastSave="{00000000-0000-0000-0000-000000000000}"/>
  <bookViews>
    <workbookView xWindow="0" yWindow="0" windowWidth="28800" windowHeight="12225" tabRatio="744" xr2:uid="{F6A1579E-FF43-4A7E-916E-50BCC6D5C3DA}"/>
  </bookViews>
  <sheets>
    <sheet name="Inputs" sheetId="11" r:id="rId1"/>
    <sheet name="Outputs" sheetId="13" r:id="rId2"/>
    <sheet name="Financing Cost" sheetId="12" r:id="rId3"/>
    <sheet name="Li2CO3 Processing Cost" sheetId="19" r:id="rId4"/>
    <sheet name="BatPac Costs To Make Pack Costs" sheetId="18" r:id="rId5"/>
    <sheet name="Fixed Costs for Overheads" sheetId="14" r:id="rId6"/>
    <sheet name="1.2 m R2R Machine" sheetId="4" r:id="rId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19" l="1"/>
  <c r="K4" i="19" l="1"/>
  <c r="G3" i="13"/>
  <c r="H4" i="19"/>
  <c r="D4" i="13"/>
  <c r="AH33" i="18"/>
  <c r="AG33" i="18"/>
  <c r="AH32" i="18"/>
  <c r="AG32" i="18"/>
  <c r="AG31" i="18"/>
  <c r="AG30" i="18"/>
  <c r="B4" i="14" l="1"/>
  <c r="D4" i="14"/>
  <c r="B4" i="13"/>
  <c r="I4" i="19"/>
  <c r="F4" i="19"/>
  <c r="F5" i="19"/>
  <c r="G20" i="13" l="1"/>
  <c r="G19" i="13"/>
  <c r="G18" i="13"/>
  <c r="G20" i="14"/>
  <c r="G19" i="14"/>
  <c r="G18" i="14"/>
  <c r="H20" i="14"/>
  <c r="H19" i="14"/>
  <c r="H18" i="14"/>
  <c r="H18" i="13"/>
  <c r="H20" i="13"/>
  <c r="H19" i="13"/>
  <c r="C3" i="12" l="1"/>
  <c r="B3" i="12"/>
  <c r="AH25" i="18"/>
  <c r="AH26" i="18"/>
  <c r="AH11" i="18"/>
  <c r="AG4" i="18"/>
  <c r="AC25" i="18"/>
  <c r="N18" i="18" l="1"/>
  <c r="N28" i="18" s="1"/>
  <c r="M18" i="18"/>
  <c r="AD16" i="18"/>
  <c r="AH15" i="18" s="1"/>
  <c r="AD17" i="18"/>
  <c r="AH16" i="18" s="1"/>
  <c r="AC16" i="18"/>
  <c r="AC17" i="18"/>
  <c r="AD15" i="18"/>
  <c r="AH14" i="18" s="1"/>
  <c r="AC15" i="18"/>
  <c r="AD14" i="18"/>
  <c r="AH13" i="18" s="1"/>
  <c r="AC14" i="18"/>
  <c r="AD13" i="18"/>
  <c r="AC13" i="18"/>
  <c r="AD9" i="18"/>
  <c r="AH9" i="18" s="1"/>
  <c r="AD10" i="18"/>
  <c r="AH10" i="18" s="1"/>
  <c r="AC9" i="18"/>
  <c r="AC10" i="18"/>
  <c r="AD8" i="18"/>
  <c r="AH8" i="18" s="1"/>
  <c r="AC8" i="18"/>
  <c r="AD7" i="18"/>
  <c r="AH7" i="18" s="1"/>
  <c r="AC7" i="18"/>
  <c r="AD6" i="18"/>
  <c r="AH6" i="18" s="1"/>
  <c r="AC6" i="18"/>
  <c r="AD4" i="18"/>
  <c r="AC4" i="18"/>
  <c r="N36" i="18"/>
  <c r="M36" i="18"/>
  <c r="N35" i="18"/>
  <c r="M35" i="18"/>
  <c r="N34" i="18"/>
  <c r="M34" i="18"/>
  <c r="N33" i="18"/>
  <c r="M33" i="18"/>
  <c r="N32" i="18"/>
  <c r="M32" i="18"/>
  <c r="M28" i="18"/>
  <c r="AG26" i="18"/>
  <c r="AG25" i="18"/>
  <c r="AG24" i="18"/>
  <c r="AG23" i="18"/>
  <c r="AG22" i="18"/>
  <c r="AG21" i="18"/>
  <c r="AG20" i="18"/>
  <c r="AG19" i="18"/>
  <c r="AG18" i="18"/>
  <c r="AG17" i="18"/>
  <c r="AG16" i="18"/>
  <c r="AG15" i="18"/>
  <c r="AG14" i="18"/>
  <c r="AG13" i="18"/>
  <c r="AG11" i="18"/>
  <c r="AG10" i="18"/>
  <c r="AG9" i="18"/>
  <c r="AG8" i="18"/>
  <c r="AG7" i="18"/>
  <c r="AG6" i="18"/>
  <c r="AG5" i="18"/>
  <c r="AH4" i="18" l="1"/>
  <c r="AG12" i="18"/>
  <c r="AG27" i="18" s="1"/>
  <c r="AH12" i="18"/>
  <c r="D28" i="14" l="1"/>
  <c r="B28" i="14"/>
  <c r="D24" i="14"/>
  <c r="B24" i="14"/>
  <c r="D23" i="14"/>
  <c r="D25" i="14" s="1"/>
  <c r="D14" i="14" s="1"/>
  <c r="B23" i="14"/>
  <c r="B25" i="14" s="1"/>
  <c r="B14" i="14" s="1"/>
  <c r="H12" i="14"/>
  <c r="D9" i="14"/>
  <c r="B9" i="14"/>
  <c r="K8" i="14"/>
  <c r="K9" i="14" s="1"/>
  <c r="D8" i="14"/>
  <c r="H13" i="14" s="1"/>
  <c r="K7" i="14"/>
  <c r="B8" i="14"/>
  <c r="G13" i="14" s="1"/>
  <c r="D2" i="14"/>
  <c r="D3" i="14" s="1"/>
  <c r="D5" i="14" s="1"/>
  <c r="D6" i="14" s="1"/>
  <c r="B2" i="14"/>
  <c r="B3" i="14" s="1"/>
  <c r="K5" i="14" s="1"/>
  <c r="K6" i="14" s="1"/>
  <c r="F3" i="13"/>
  <c r="B5" i="14" l="1"/>
  <c r="B6" i="14" s="1"/>
  <c r="D2" i="13"/>
  <c r="D3" i="13" s="1"/>
  <c r="B2" i="13"/>
  <c r="B3" i="13" s="1"/>
  <c r="D28" i="13"/>
  <c r="B28" i="13"/>
  <c r="D24" i="13"/>
  <c r="B24" i="13"/>
  <c r="D23" i="13"/>
  <c r="B23" i="13"/>
  <c r="H12" i="13"/>
  <c r="I3" i="13"/>
  <c r="H3" i="13"/>
  <c r="D9" i="13" s="1"/>
  <c r="B8" i="13"/>
  <c r="G13" i="13" s="1"/>
  <c r="D25" i="13" l="1"/>
  <c r="D14" i="13"/>
  <c r="B25" i="13"/>
  <c r="D5" i="13"/>
  <c r="D6" i="13" s="1"/>
  <c r="D8" i="13"/>
  <c r="H13" i="13" s="1"/>
  <c r="B5" i="13"/>
  <c r="B6" i="13" s="1"/>
  <c r="B9" i="13"/>
  <c r="B14" i="13" l="1"/>
  <c r="E3" i="12" l="1"/>
  <c r="W48" i="12" s="1"/>
  <c r="S3" i="12"/>
  <c r="V223" i="12"/>
  <c r="V318" i="12"/>
  <c r="V412" i="12"/>
  <c r="R33" i="12"/>
  <c r="R34" i="12"/>
  <c r="R35" i="12"/>
  <c r="R36" i="12"/>
  <c r="R37" i="12"/>
  <c r="R40" i="12"/>
  <c r="R42" i="12"/>
  <c r="R43" i="12"/>
  <c r="R44" i="12"/>
  <c r="R45" i="12"/>
  <c r="R46" i="12"/>
  <c r="R47" i="12"/>
  <c r="R48" i="12"/>
  <c r="R49" i="12"/>
  <c r="R50" i="12"/>
  <c r="R51" i="12"/>
  <c r="R52" i="12"/>
  <c r="R54" i="12"/>
  <c r="R55" i="12"/>
  <c r="R56" i="12"/>
  <c r="R57" i="12"/>
  <c r="R58" i="12"/>
  <c r="R59" i="12"/>
  <c r="R60" i="12"/>
  <c r="R61" i="12"/>
  <c r="R62" i="12"/>
  <c r="R63" i="12"/>
  <c r="R64" i="12"/>
  <c r="R66" i="12"/>
  <c r="R67" i="12"/>
  <c r="R68" i="12"/>
  <c r="R69" i="12"/>
  <c r="R70" i="12"/>
  <c r="R71" i="12"/>
  <c r="R72" i="12"/>
  <c r="R73" i="12"/>
  <c r="R74" i="12"/>
  <c r="R75" i="12"/>
  <c r="R76" i="12"/>
  <c r="R78" i="12"/>
  <c r="R79" i="12"/>
  <c r="R80" i="12"/>
  <c r="R81" i="12"/>
  <c r="R82" i="12"/>
  <c r="R83" i="12"/>
  <c r="R84" i="12"/>
  <c r="R85" i="12"/>
  <c r="R86" i="12"/>
  <c r="R87" i="12"/>
  <c r="R88" i="12"/>
  <c r="R90" i="12"/>
  <c r="R91" i="12"/>
  <c r="R92" i="12"/>
  <c r="R93" i="12"/>
  <c r="R94" i="12"/>
  <c r="R95" i="12"/>
  <c r="R96" i="12"/>
  <c r="R97" i="12"/>
  <c r="R98" i="12"/>
  <c r="R99" i="12"/>
  <c r="R100" i="12"/>
  <c r="R102" i="12"/>
  <c r="R103" i="12"/>
  <c r="R104" i="12"/>
  <c r="R105" i="12"/>
  <c r="R106" i="12"/>
  <c r="R107" i="12"/>
  <c r="R108" i="12"/>
  <c r="R109" i="12"/>
  <c r="R110" i="12"/>
  <c r="R111" i="12"/>
  <c r="R112" i="12"/>
  <c r="R114" i="12"/>
  <c r="R115" i="12"/>
  <c r="R116" i="12"/>
  <c r="R117" i="12"/>
  <c r="R118" i="12"/>
  <c r="R119" i="12"/>
  <c r="R120" i="12"/>
  <c r="R121" i="12"/>
  <c r="R122" i="12"/>
  <c r="R123" i="12"/>
  <c r="R124" i="12"/>
  <c r="R126" i="12"/>
  <c r="R127" i="12"/>
  <c r="R128" i="12"/>
  <c r="R129" i="12"/>
  <c r="R130" i="12"/>
  <c r="R131" i="12"/>
  <c r="R132" i="12"/>
  <c r="R133" i="12"/>
  <c r="R134" i="12"/>
  <c r="R135" i="12"/>
  <c r="R136" i="12"/>
  <c r="R138" i="12"/>
  <c r="R139" i="12"/>
  <c r="R140" i="12"/>
  <c r="R141" i="12"/>
  <c r="R142" i="12"/>
  <c r="R143" i="12"/>
  <c r="R144" i="12"/>
  <c r="R145" i="12"/>
  <c r="R146" i="12"/>
  <c r="R147" i="12"/>
  <c r="R148" i="12"/>
  <c r="R150" i="12"/>
  <c r="R151" i="12"/>
  <c r="R152" i="12"/>
  <c r="R153" i="12"/>
  <c r="R154" i="12"/>
  <c r="R155" i="12"/>
  <c r="R156" i="12"/>
  <c r="R157" i="12"/>
  <c r="R158" i="12"/>
  <c r="R159" i="12"/>
  <c r="R160" i="12"/>
  <c r="R162" i="12"/>
  <c r="R163" i="12"/>
  <c r="R164" i="12"/>
  <c r="R165" i="12"/>
  <c r="R166" i="12"/>
  <c r="R167" i="12"/>
  <c r="R168" i="12"/>
  <c r="R169" i="12"/>
  <c r="R170" i="12"/>
  <c r="R171" i="12"/>
  <c r="R172" i="12"/>
  <c r="R173" i="12"/>
  <c r="R174" i="12"/>
  <c r="R175" i="12"/>
  <c r="R176" i="12"/>
  <c r="R177" i="12"/>
  <c r="R178" i="12"/>
  <c r="R179" i="12"/>
  <c r="R180" i="12"/>
  <c r="R181" i="12"/>
  <c r="R182" i="12"/>
  <c r="R183" i="12"/>
  <c r="R184" i="12"/>
  <c r="R185" i="12"/>
  <c r="R186" i="12"/>
  <c r="R187" i="12"/>
  <c r="R188" i="12"/>
  <c r="R189" i="12"/>
  <c r="R190" i="12"/>
  <c r="R191" i="12"/>
  <c r="R192" i="12"/>
  <c r="R193" i="12"/>
  <c r="R194" i="12"/>
  <c r="R195" i="12"/>
  <c r="R196" i="12"/>
  <c r="R197" i="12"/>
  <c r="R198" i="12"/>
  <c r="R199" i="12"/>
  <c r="R200" i="12"/>
  <c r="R201" i="12"/>
  <c r="R202" i="12"/>
  <c r="R203" i="12"/>
  <c r="R204" i="12"/>
  <c r="R205" i="12"/>
  <c r="R206" i="12"/>
  <c r="R207" i="12"/>
  <c r="R208" i="12"/>
  <c r="R209" i="12"/>
  <c r="R210" i="12"/>
  <c r="R211" i="12"/>
  <c r="R212" i="12"/>
  <c r="R213" i="12"/>
  <c r="R214" i="12"/>
  <c r="R215" i="12"/>
  <c r="R216" i="12"/>
  <c r="R217" i="12"/>
  <c r="R218" i="12"/>
  <c r="R219" i="12"/>
  <c r="R220" i="12"/>
  <c r="R221" i="12"/>
  <c r="R222" i="12"/>
  <c r="R223" i="12"/>
  <c r="R224" i="12"/>
  <c r="R225" i="12"/>
  <c r="R226" i="12"/>
  <c r="R227" i="12"/>
  <c r="R228" i="12"/>
  <c r="R229" i="12"/>
  <c r="R230" i="12"/>
  <c r="R231" i="12"/>
  <c r="R232" i="12"/>
  <c r="R233" i="12"/>
  <c r="R234" i="12"/>
  <c r="R235" i="12"/>
  <c r="R236" i="12"/>
  <c r="R237" i="12"/>
  <c r="R238" i="12"/>
  <c r="R239" i="12"/>
  <c r="R240" i="12"/>
  <c r="R241" i="12"/>
  <c r="R242" i="12"/>
  <c r="R243" i="12"/>
  <c r="R244" i="12"/>
  <c r="R245" i="12"/>
  <c r="R246" i="12"/>
  <c r="R247" i="12"/>
  <c r="R248" i="12"/>
  <c r="R249" i="12"/>
  <c r="R250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4" i="12"/>
  <c r="R265" i="12"/>
  <c r="R266" i="12"/>
  <c r="R267" i="12"/>
  <c r="R268" i="12"/>
  <c r="R269" i="12"/>
  <c r="R270" i="12"/>
  <c r="R271" i="12"/>
  <c r="R272" i="12"/>
  <c r="R273" i="12"/>
  <c r="R274" i="12"/>
  <c r="R275" i="12"/>
  <c r="R276" i="12"/>
  <c r="R277" i="12"/>
  <c r="R278" i="12"/>
  <c r="R279" i="12"/>
  <c r="R280" i="12"/>
  <c r="R281" i="12"/>
  <c r="R282" i="12"/>
  <c r="R283" i="12"/>
  <c r="R284" i="12"/>
  <c r="R285" i="12"/>
  <c r="R286" i="12"/>
  <c r="R287" i="12"/>
  <c r="R288" i="12"/>
  <c r="R289" i="12"/>
  <c r="R290" i="12"/>
  <c r="R291" i="12"/>
  <c r="R292" i="12"/>
  <c r="R293" i="12"/>
  <c r="R294" i="12"/>
  <c r="R295" i="12"/>
  <c r="R296" i="12"/>
  <c r="R297" i="12"/>
  <c r="R298" i="12"/>
  <c r="R299" i="12"/>
  <c r="R300" i="12"/>
  <c r="R301" i="12"/>
  <c r="R302" i="12"/>
  <c r="R303" i="12"/>
  <c r="R304" i="12"/>
  <c r="R305" i="12"/>
  <c r="R306" i="12"/>
  <c r="R307" i="12"/>
  <c r="R308" i="12"/>
  <c r="R309" i="12"/>
  <c r="R310" i="12"/>
  <c r="R311" i="12"/>
  <c r="R312" i="12"/>
  <c r="R313" i="12"/>
  <c r="R314" i="12"/>
  <c r="R315" i="12"/>
  <c r="R316" i="12"/>
  <c r="R317" i="12"/>
  <c r="R318" i="12"/>
  <c r="R319" i="12"/>
  <c r="R320" i="12"/>
  <c r="R321" i="12"/>
  <c r="R322" i="12"/>
  <c r="R323" i="12"/>
  <c r="R324" i="12"/>
  <c r="R325" i="12"/>
  <c r="R326" i="12"/>
  <c r="R327" i="12"/>
  <c r="R328" i="12"/>
  <c r="R329" i="12"/>
  <c r="R330" i="12"/>
  <c r="R331" i="12"/>
  <c r="R332" i="12"/>
  <c r="R333" i="12"/>
  <c r="R334" i="12"/>
  <c r="R335" i="12"/>
  <c r="R336" i="12"/>
  <c r="R337" i="12"/>
  <c r="R338" i="12"/>
  <c r="R339" i="12"/>
  <c r="R340" i="12"/>
  <c r="R341" i="12"/>
  <c r="R342" i="12"/>
  <c r="R343" i="12"/>
  <c r="R344" i="12"/>
  <c r="R345" i="12"/>
  <c r="R346" i="12"/>
  <c r="R347" i="12"/>
  <c r="R348" i="12"/>
  <c r="R349" i="12"/>
  <c r="R350" i="12"/>
  <c r="R351" i="12"/>
  <c r="R352" i="12"/>
  <c r="R353" i="12"/>
  <c r="R354" i="12"/>
  <c r="R355" i="12"/>
  <c r="R356" i="12"/>
  <c r="R357" i="12"/>
  <c r="R358" i="12"/>
  <c r="R359" i="12"/>
  <c r="R360" i="12"/>
  <c r="R361" i="12"/>
  <c r="R362" i="12"/>
  <c r="R363" i="12"/>
  <c r="R364" i="12"/>
  <c r="R365" i="12"/>
  <c r="R366" i="12"/>
  <c r="R367" i="12"/>
  <c r="R368" i="12"/>
  <c r="R369" i="12"/>
  <c r="R370" i="12"/>
  <c r="R371" i="12"/>
  <c r="R372" i="12"/>
  <c r="R373" i="12"/>
  <c r="R374" i="12"/>
  <c r="R375" i="12"/>
  <c r="R376" i="12"/>
  <c r="R377" i="12"/>
  <c r="R378" i="12"/>
  <c r="R379" i="12"/>
  <c r="R380" i="12"/>
  <c r="R381" i="12"/>
  <c r="R382" i="12"/>
  <c r="R383" i="12"/>
  <c r="R384" i="12"/>
  <c r="R385" i="12"/>
  <c r="R386" i="12"/>
  <c r="R387" i="12"/>
  <c r="R388" i="12"/>
  <c r="R389" i="12"/>
  <c r="R390" i="12"/>
  <c r="R391" i="12"/>
  <c r="R392" i="12"/>
  <c r="R393" i="12"/>
  <c r="R394" i="12"/>
  <c r="R395" i="12"/>
  <c r="R396" i="12"/>
  <c r="R397" i="12"/>
  <c r="R398" i="12"/>
  <c r="R399" i="12"/>
  <c r="R400" i="12"/>
  <c r="R401" i="12"/>
  <c r="R402" i="12"/>
  <c r="R403" i="12"/>
  <c r="R404" i="12"/>
  <c r="R405" i="12"/>
  <c r="R406" i="12"/>
  <c r="R407" i="12"/>
  <c r="R408" i="12"/>
  <c r="R409" i="12"/>
  <c r="R410" i="12"/>
  <c r="R411" i="12"/>
  <c r="R412" i="12"/>
  <c r="R413" i="12"/>
  <c r="R414" i="12"/>
  <c r="R415" i="12"/>
  <c r="R416" i="12"/>
  <c r="R417" i="12"/>
  <c r="R418" i="12"/>
  <c r="R419" i="12"/>
  <c r="R420" i="12"/>
  <c r="R421" i="12"/>
  <c r="R422" i="12"/>
  <c r="R423" i="12"/>
  <c r="R424" i="12"/>
  <c r="R425" i="12"/>
  <c r="R426" i="12"/>
  <c r="R427" i="12"/>
  <c r="R428" i="12"/>
  <c r="R429" i="12"/>
  <c r="R430" i="12"/>
  <c r="R431" i="12"/>
  <c r="R432" i="12"/>
  <c r="R433" i="12"/>
  <c r="R434" i="12"/>
  <c r="R435" i="12"/>
  <c r="R436" i="12"/>
  <c r="R437" i="12"/>
  <c r="R438" i="12"/>
  <c r="R439" i="12"/>
  <c r="R440" i="12"/>
  <c r="R441" i="12"/>
  <c r="R442" i="12"/>
  <c r="R443" i="12"/>
  <c r="R444" i="12"/>
  <c r="R445" i="12"/>
  <c r="R446" i="12"/>
  <c r="R447" i="12"/>
  <c r="R448" i="12"/>
  <c r="R449" i="12"/>
  <c r="Q33" i="12"/>
  <c r="Q34" i="12"/>
  <c r="Q35" i="12"/>
  <c r="Q36" i="12" s="1"/>
  <c r="Q37" i="12" s="1"/>
  <c r="Q38" i="12" s="1"/>
  <c r="Q39" i="12" s="1"/>
  <c r="Q40" i="12" s="1"/>
  <c r="Q41" i="12" s="1"/>
  <c r="Q42" i="12" s="1"/>
  <c r="Q43" i="12" s="1"/>
  <c r="Q44" i="12" s="1"/>
  <c r="Q45" i="12" s="1"/>
  <c r="Q46" i="12" s="1"/>
  <c r="Q47" i="12" s="1"/>
  <c r="Q48" i="12" s="1"/>
  <c r="Q49" i="12" s="1"/>
  <c r="Q50" i="12" s="1"/>
  <c r="Q51" i="12" s="1"/>
  <c r="Q52" i="12" s="1"/>
  <c r="Q53" i="12" s="1"/>
  <c r="Q54" i="12" s="1"/>
  <c r="Q55" i="12" s="1"/>
  <c r="Q56" i="12" s="1"/>
  <c r="Q57" i="12" s="1"/>
  <c r="Q58" i="12" s="1"/>
  <c r="Q59" i="12" s="1"/>
  <c r="Q60" i="12" s="1"/>
  <c r="Q61" i="12" s="1"/>
  <c r="Q62" i="12" s="1"/>
  <c r="Q63" i="12" s="1"/>
  <c r="Q64" i="12" s="1"/>
  <c r="Q65" i="12" s="1"/>
  <c r="Q66" i="12" s="1"/>
  <c r="Q67" i="12" s="1"/>
  <c r="Q68" i="12" s="1"/>
  <c r="Q69" i="12" s="1"/>
  <c r="Q70" i="12" s="1"/>
  <c r="Q71" i="12" s="1"/>
  <c r="Q72" i="12" s="1"/>
  <c r="Q73" i="12" s="1"/>
  <c r="Q74" i="12" s="1"/>
  <c r="Q75" i="12" s="1"/>
  <c r="Q76" i="12" s="1"/>
  <c r="Q77" i="12" s="1"/>
  <c r="Q78" i="12" s="1"/>
  <c r="Q79" i="12" s="1"/>
  <c r="Q80" i="12" s="1"/>
  <c r="Q81" i="12" s="1"/>
  <c r="Q82" i="12" s="1"/>
  <c r="Q83" i="12" s="1"/>
  <c r="Q84" i="12" s="1"/>
  <c r="Q85" i="12" s="1"/>
  <c r="Q86" i="12" s="1"/>
  <c r="Q87" i="12" s="1"/>
  <c r="Q88" i="12" s="1"/>
  <c r="Q89" i="12" s="1"/>
  <c r="Q90" i="12" s="1"/>
  <c r="Q91" i="12" s="1"/>
  <c r="Q92" i="12" s="1"/>
  <c r="Q93" i="12" s="1"/>
  <c r="Q94" i="12" s="1"/>
  <c r="Q95" i="12" s="1"/>
  <c r="Q96" i="12" s="1"/>
  <c r="Q97" i="12" s="1"/>
  <c r="Q98" i="12" s="1"/>
  <c r="Q99" i="12" s="1"/>
  <c r="Q100" i="12" s="1"/>
  <c r="Q101" i="12" s="1"/>
  <c r="Q102" i="12" s="1"/>
  <c r="Q103" i="12" s="1"/>
  <c r="Q104" i="12" s="1"/>
  <c r="Q105" i="12" s="1"/>
  <c r="Q106" i="12" s="1"/>
  <c r="Q107" i="12" s="1"/>
  <c r="Q108" i="12" s="1"/>
  <c r="Q109" i="12" s="1"/>
  <c r="Q110" i="12" s="1"/>
  <c r="Q111" i="12" s="1"/>
  <c r="Q112" i="12" s="1"/>
  <c r="Q113" i="12" s="1"/>
  <c r="Q114" i="12" s="1"/>
  <c r="Q115" i="12" s="1"/>
  <c r="Q116" i="12" s="1"/>
  <c r="Q117" i="12" s="1"/>
  <c r="Q118" i="12" s="1"/>
  <c r="Q119" i="12" s="1"/>
  <c r="Q120" i="12" s="1"/>
  <c r="Q121" i="12" s="1"/>
  <c r="Q122" i="12" s="1"/>
  <c r="Q123" i="12" s="1"/>
  <c r="Q124" i="12" s="1"/>
  <c r="Q125" i="12" s="1"/>
  <c r="Q126" i="12" s="1"/>
  <c r="Q127" i="12" s="1"/>
  <c r="Q128" i="12" s="1"/>
  <c r="Q129" i="12" s="1"/>
  <c r="Q130" i="12" s="1"/>
  <c r="Q131" i="12" s="1"/>
  <c r="Q132" i="12" s="1"/>
  <c r="Q133" i="12" s="1"/>
  <c r="Q134" i="12" s="1"/>
  <c r="Q135" i="12" s="1"/>
  <c r="Q136" i="12" s="1"/>
  <c r="Q137" i="12" s="1"/>
  <c r="Q138" i="12" s="1"/>
  <c r="Q139" i="12" s="1"/>
  <c r="Q140" i="12" s="1"/>
  <c r="Q141" i="12" s="1"/>
  <c r="Q142" i="12" s="1"/>
  <c r="Q143" i="12" s="1"/>
  <c r="Q144" i="12" s="1"/>
  <c r="Q145" i="12" s="1"/>
  <c r="Q146" i="12" s="1"/>
  <c r="Q147" i="12" s="1"/>
  <c r="Q148" i="12" s="1"/>
  <c r="Q149" i="12" s="1"/>
  <c r="Q150" i="12" s="1"/>
  <c r="Q151" i="12" s="1"/>
  <c r="Q152" i="12" s="1"/>
  <c r="Q153" i="12" s="1"/>
  <c r="Q154" i="12" s="1"/>
  <c r="Q155" i="12" s="1"/>
  <c r="Q156" i="12" s="1"/>
  <c r="Q157" i="12" s="1"/>
  <c r="Q158" i="12" s="1"/>
  <c r="Q159" i="12" s="1"/>
  <c r="Q160" i="12" s="1"/>
  <c r="Q161" i="12" s="1"/>
  <c r="Q162" i="12" s="1"/>
  <c r="Q163" i="12" s="1"/>
  <c r="Q164" i="12" s="1"/>
  <c r="Q165" i="12" s="1"/>
  <c r="Q166" i="12" s="1"/>
  <c r="Q167" i="12" s="1"/>
  <c r="Q168" i="12" s="1"/>
  <c r="Q169" i="12" s="1"/>
  <c r="Q170" i="12" s="1"/>
  <c r="Q171" i="12" s="1"/>
  <c r="Q172" i="12" s="1"/>
  <c r="Q173" i="12" s="1"/>
  <c r="Q174" i="12" s="1"/>
  <c r="Q175" i="12" s="1"/>
  <c r="Q176" i="12" s="1"/>
  <c r="Q177" i="12" s="1"/>
  <c r="Q178" i="12" s="1"/>
  <c r="Q179" i="12" s="1"/>
  <c r="Q180" i="12" s="1"/>
  <c r="Q181" i="12" s="1"/>
  <c r="Q182" i="12" s="1"/>
  <c r="Q183" i="12" s="1"/>
  <c r="Q184" i="12" s="1"/>
  <c r="Q185" i="12" s="1"/>
  <c r="Q186" i="12" s="1"/>
  <c r="Q187" i="12" s="1"/>
  <c r="Q188" i="12" s="1"/>
  <c r="Q189" i="12" s="1"/>
  <c r="Q190" i="12" s="1"/>
  <c r="Q191" i="12" s="1"/>
  <c r="Q192" i="12" s="1"/>
  <c r="Q193" i="12" s="1"/>
  <c r="Q194" i="12" s="1"/>
  <c r="Q195" i="12" s="1"/>
  <c r="Q196" i="12" s="1"/>
  <c r="Q197" i="12" s="1"/>
  <c r="Q198" i="12" s="1"/>
  <c r="Q199" i="12" s="1"/>
  <c r="Q200" i="12" s="1"/>
  <c r="Q201" i="12" s="1"/>
  <c r="Q202" i="12" s="1"/>
  <c r="Q203" i="12" s="1"/>
  <c r="Q204" i="12" s="1"/>
  <c r="Q205" i="12" s="1"/>
  <c r="Q206" i="12" s="1"/>
  <c r="Q207" i="12" s="1"/>
  <c r="Q208" i="12" s="1"/>
  <c r="Q209" i="12" s="1"/>
  <c r="Q210" i="12" s="1"/>
  <c r="Q211" i="12" s="1"/>
  <c r="Q212" i="12" s="1"/>
  <c r="Q213" i="12" s="1"/>
  <c r="Q214" i="12" s="1"/>
  <c r="Q215" i="12" s="1"/>
  <c r="Q216" i="12" s="1"/>
  <c r="Q217" i="12" s="1"/>
  <c r="Q218" i="12" s="1"/>
  <c r="Q219" i="12" s="1"/>
  <c r="Q220" i="12" s="1"/>
  <c r="Q221" i="12" s="1"/>
  <c r="Q222" i="12" s="1"/>
  <c r="Q223" i="12" s="1"/>
  <c r="Q224" i="12" s="1"/>
  <c r="Q225" i="12" s="1"/>
  <c r="Q226" i="12" s="1"/>
  <c r="Q227" i="12" s="1"/>
  <c r="Q228" i="12" s="1"/>
  <c r="Q229" i="12" s="1"/>
  <c r="Q230" i="12" s="1"/>
  <c r="Q231" i="12" s="1"/>
  <c r="Q232" i="12" s="1"/>
  <c r="Q233" i="12" s="1"/>
  <c r="Q234" i="12" s="1"/>
  <c r="Q235" i="12" s="1"/>
  <c r="Q236" i="12" s="1"/>
  <c r="Q237" i="12" s="1"/>
  <c r="Q238" i="12" s="1"/>
  <c r="Q239" i="12" s="1"/>
  <c r="Q240" i="12" s="1"/>
  <c r="Q241" i="12" s="1"/>
  <c r="Q242" i="12" s="1"/>
  <c r="Q243" i="12" s="1"/>
  <c r="Q244" i="12" s="1"/>
  <c r="Q245" i="12" s="1"/>
  <c r="Q246" i="12" s="1"/>
  <c r="Q247" i="12" s="1"/>
  <c r="Q248" i="12" s="1"/>
  <c r="Q249" i="12" s="1"/>
  <c r="Q250" i="12" s="1"/>
  <c r="Q251" i="12" s="1"/>
  <c r="Q252" i="12" s="1"/>
  <c r="Q253" i="12" s="1"/>
  <c r="Q254" i="12" s="1"/>
  <c r="Q255" i="12" s="1"/>
  <c r="Q256" i="12" s="1"/>
  <c r="Q257" i="12" s="1"/>
  <c r="Q258" i="12" s="1"/>
  <c r="Q259" i="12" s="1"/>
  <c r="Q260" i="12" s="1"/>
  <c r="Q261" i="12" s="1"/>
  <c r="Q262" i="12" s="1"/>
  <c r="Q263" i="12" s="1"/>
  <c r="Q264" i="12" s="1"/>
  <c r="Q265" i="12" s="1"/>
  <c r="Q266" i="12" s="1"/>
  <c r="Q267" i="12" s="1"/>
  <c r="Q268" i="12" s="1"/>
  <c r="Q269" i="12" s="1"/>
  <c r="Q270" i="12" s="1"/>
  <c r="Q271" i="12" s="1"/>
  <c r="Q272" i="12" s="1"/>
  <c r="Q273" i="12" s="1"/>
  <c r="Q274" i="12" s="1"/>
  <c r="Q275" i="12" s="1"/>
  <c r="Q276" i="12" s="1"/>
  <c r="Q277" i="12" s="1"/>
  <c r="Q278" i="12" s="1"/>
  <c r="Q279" i="12" s="1"/>
  <c r="Q280" i="12" s="1"/>
  <c r="Q281" i="12" s="1"/>
  <c r="Q282" i="12" s="1"/>
  <c r="Q283" i="12" s="1"/>
  <c r="Q284" i="12" s="1"/>
  <c r="Q285" i="12" s="1"/>
  <c r="Q286" i="12" s="1"/>
  <c r="Q287" i="12" s="1"/>
  <c r="Q288" i="12" s="1"/>
  <c r="Q289" i="12" s="1"/>
  <c r="Q290" i="12" s="1"/>
  <c r="Q291" i="12" s="1"/>
  <c r="Q292" i="12" s="1"/>
  <c r="Q293" i="12" s="1"/>
  <c r="Q294" i="12" s="1"/>
  <c r="Q295" i="12" s="1"/>
  <c r="Q296" i="12" s="1"/>
  <c r="Q297" i="12" s="1"/>
  <c r="Q298" i="12" s="1"/>
  <c r="Q299" i="12" s="1"/>
  <c r="Q300" i="12" s="1"/>
  <c r="Q301" i="12" s="1"/>
  <c r="Q302" i="12" s="1"/>
  <c r="Q303" i="12" s="1"/>
  <c r="Q304" i="12" s="1"/>
  <c r="Q305" i="12" s="1"/>
  <c r="Q306" i="12" s="1"/>
  <c r="Q307" i="12" s="1"/>
  <c r="Q308" i="12" s="1"/>
  <c r="Q309" i="12" s="1"/>
  <c r="Q310" i="12" s="1"/>
  <c r="Q311" i="12" s="1"/>
  <c r="Q312" i="12" s="1"/>
  <c r="Q313" i="12" s="1"/>
  <c r="Q314" i="12" s="1"/>
  <c r="Q315" i="12" s="1"/>
  <c r="Q316" i="12" s="1"/>
  <c r="Q317" i="12" s="1"/>
  <c r="Q318" i="12" s="1"/>
  <c r="Q319" i="12" s="1"/>
  <c r="Q320" i="12" s="1"/>
  <c r="Q321" i="12" s="1"/>
  <c r="Q322" i="12" s="1"/>
  <c r="Q323" i="12" s="1"/>
  <c r="Q324" i="12" s="1"/>
  <c r="Q325" i="12" s="1"/>
  <c r="Q326" i="12" s="1"/>
  <c r="Q327" i="12" s="1"/>
  <c r="Q328" i="12" s="1"/>
  <c r="Q329" i="12" s="1"/>
  <c r="Q330" i="12" s="1"/>
  <c r="Q331" i="12" s="1"/>
  <c r="Q332" i="12" s="1"/>
  <c r="Q333" i="12" s="1"/>
  <c r="Q334" i="12" s="1"/>
  <c r="Q335" i="12" s="1"/>
  <c r="Q336" i="12" s="1"/>
  <c r="Q337" i="12" s="1"/>
  <c r="Q338" i="12" s="1"/>
  <c r="Q339" i="12" s="1"/>
  <c r="Q340" i="12" s="1"/>
  <c r="Q341" i="12" s="1"/>
  <c r="Q342" i="12" s="1"/>
  <c r="Q343" i="12" s="1"/>
  <c r="Q344" i="12" s="1"/>
  <c r="Q345" i="12" s="1"/>
  <c r="Q346" i="12" s="1"/>
  <c r="Q347" i="12" s="1"/>
  <c r="Q348" i="12" s="1"/>
  <c r="Q349" i="12" s="1"/>
  <c r="Q350" i="12" s="1"/>
  <c r="Q351" i="12" s="1"/>
  <c r="Q352" i="12" s="1"/>
  <c r="Q353" i="12" s="1"/>
  <c r="Q354" i="12" s="1"/>
  <c r="Q355" i="12" s="1"/>
  <c r="Q356" i="12" s="1"/>
  <c r="Q357" i="12" s="1"/>
  <c r="Q358" i="12" s="1"/>
  <c r="Q359" i="12" s="1"/>
  <c r="Q360" i="12" s="1"/>
  <c r="Q361" i="12" s="1"/>
  <c r="Q362" i="12" s="1"/>
  <c r="Q363" i="12" s="1"/>
  <c r="Q364" i="12" s="1"/>
  <c r="Q365" i="12" s="1"/>
  <c r="Q366" i="12" s="1"/>
  <c r="Q367" i="12" s="1"/>
  <c r="Q368" i="12" s="1"/>
  <c r="Q369" i="12" s="1"/>
  <c r="Q370" i="12" s="1"/>
  <c r="Q371" i="12" s="1"/>
  <c r="Q372" i="12" s="1"/>
  <c r="Q373" i="12" s="1"/>
  <c r="Q374" i="12" s="1"/>
  <c r="Q375" i="12" s="1"/>
  <c r="Q376" i="12" s="1"/>
  <c r="Q377" i="12" s="1"/>
  <c r="Q378" i="12" s="1"/>
  <c r="Q379" i="12" s="1"/>
  <c r="Q380" i="12" s="1"/>
  <c r="Q381" i="12" s="1"/>
  <c r="Q382" i="12" s="1"/>
  <c r="Q383" i="12" s="1"/>
  <c r="Q384" i="12" s="1"/>
  <c r="Q385" i="12" s="1"/>
  <c r="Q386" i="12" s="1"/>
  <c r="Q387" i="12" s="1"/>
  <c r="Q388" i="12" s="1"/>
  <c r="Q389" i="12" s="1"/>
  <c r="Q390" i="12" s="1"/>
  <c r="Q391" i="12" s="1"/>
  <c r="Q392" i="12" s="1"/>
  <c r="Q393" i="12" s="1"/>
  <c r="Q394" i="12" s="1"/>
  <c r="Q395" i="12" s="1"/>
  <c r="Q396" i="12" s="1"/>
  <c r="Q397" i="12" s="1"/>
  <c r="Q398" i="12" s="1"/>
  <c r="Q399" i="12" s="1"/>
  <c r="Q400" i="12" s="1"/>
  <c r="Q401" i="12" s="1"/>
  <c r="Q402" i="12" s="1"/>
  <c r="Q403" i="12" s="1"/>
  <c r="Q404" i="12" s="1"/>
  <c r="Q405" i="12" s="1"/>
  <c r="Q406" i="12" s="1"/>
  <c r="Q407" i="12" s="1"/>
  <c r="Q408" i="12" s="1"/>
  <c r="Q409" i="12" s="1"/>
  <c r="Q410" i="12" s="1"/>
  <c r="Q411" i="12" s="1"/>
  <c r="Q412" i="12" s="1"/>
  <c r="Q413" i="12" s="1"/>
  <c r="Q414" i="12" s="1"/>
  <c r="Q415" i="12" s="1"/>
  <c r="Q416" i="12" s="1"/>
  <c r="Q417" i="12" s="1"/>
  <c r="Q418" i="12" s="1"/>
  <c r="Q419" i="12" s="1"/>
  <c r="Q420" i="12" s="1"/>
  <c r="Q421" i="12" s="1"/>
  <c r="Q422" i="12" s="1"/>
  <c r="Q423" i="12" s="1"/>
  <c r="Q424" i="12" s="1"/>
  <c r="Q425" i="12" s="1"/>
  <c r="Q426" i="12" s="1"/>
  <c r="Q427" i="12" s="1"/>
  <c r="Q428" i="12" s="1"/>
  <c r="Q429" i="12" s="1"/>
  <c r="Q430" i="12" s="1"/>
  <c r="Q431" i="12" s="1"/>
  <c r="Q432" i="12" s="1"/>
  <c r="Q433" i="12" s="1"/>
  <c r="Q434" i="12" s="1"/>
  <c r="Q435" i="12" s="1"/>
  <c r="Q436" i="12" s="1"/>
  <c r="Q437" i="12" s="1"/>
  <c r="Q438" i="12" s="1"/>
  <c r="Q439" i="12" s="1"/>
  <c r="Q440" i="12" s="1"/>
  <c r="Q441" i="12" s="1"/>
  <c r="Q442" i="12" s="1"/>
  <c r="Q443" i="12" s="1"/>
  <c r="Q444" i="12" s="1"/>
  <c r="Q445" i="12" s="1"/>
  <c r="Q446" i="12" s="1"/>
  <c r="Q447" i="12" s="1"/>
  <c r="Q448" i="12" s="1"/>
  <c r="Q449" i="12" s="1"/>
  <c r="W12" i="12"/>
  <c r="W31" i="12"/>
  <c r="W32" i="12"/>
  <c r="V7" i="12"/>
  <c r="V16" i="12"/>
  <c r="V28" i="12"/>
  <c r="V30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" i="12"/>
  <c r="Q31" i="12"/>
  <c r="Q32" i="12"/>
  <c r="Q5" i="12"/>
  <c r="Q6" i="12" s="1"/>
  <c r="Q7" i="12" s="1"/>
  <c r="Q8" i="12" s="1"/>
  <c r="Q9" i="12" s="1"/>
  <c r="Q10" i="12" s="1"/>
  <c r="Q11" i="12" s="1"/>
  <c r="Q12" i="12" s="1"/>
  <c r="Q13" i="12" s="1"/>
  <c r="Q14" i="12" s="1"/>
  <c r="Q15" i="12" s="1"/>
  <c r="Q16" i="12" s="1"/>
  <c r="Q17" i="12" s="1"/>
  <c r="Q18" i="12" s="1"/>
  <c r="Q19" i="12" s="1"/>
  <c r="Q20" i="12" s="1"/>
  <c r="Q21" i="12" s="1"/>
  <c r="Q22" i="12" s="1"/>
  <c r="Q23" i="12" s="1"/>
  <c r="Q24" i="12" s="1"/>
  <c r="Q25" i="12" s="1"/>
  <c r="Q26" i="12" s="1"/>
  <c r="Q27" i="12" s="1"/>
  <c r="Q28" i="12" s="1"/>
  <c r="Q29" i="12" s="1"/>
  <c r="Q30" i="12" s="1"/>
  <c r="Q4" i="12"/>
  <c r="V441" i="12" l="1"/>
  <c r="V349" i="12"/>
  <c r="V254" i="12"/>
  <c r="V6" i="12"/>
  <c r="V427" i="12"/>
  <c r="V333" i="12"/>
  <c r="V238" i="12"/>
  <c r="V31" i="12"/>
  <c r="V4" i="12"/>
  <c r="V426" i="12"/>
  <c r="V332" i="12"/>
  <c r="V237" i="12"/>
  <c r="V411" i="12"/>
  <c r="V317" i="12"/>
  <c r="V222" i="12"/>
  <c r="V27" i="12"/>
  <c r="W24" i="12"/>
  <c r="V397" i="12"/>
  <c r="V303" i="12"/>
  <c r="V208" i="12"/>
  <c r="W23" i="12"/>
  <c r="V207" i="12"/>
  <c r="V19" i="12"/>
  <c r="W21" i="12"/>
  <c r="V380" i="12"/>
  <c r="V286" i="12"/>
  <c r="V177" i="12"/>
  <c r="V26" i="12"/>
  <c r="V394" i="12"/>
  <c r="V302" i="12"/>
  <c r="V18" i="12"/>
  <c r="W19" i="12"/>
  <c r="V379" i="12"/>
  <c r="V285" i="12"/>
  <c r="V175" i="12"/>
  <c r="V365" i="12"/>
  <c r="V271" i="12"/>
  <c r="W11" i="12"/>
  <c r="V364" i="12"/>
  <c r="V269" i="12"/>
  <c r="V106" i="12"/>
  <c r="V109" i="12"/>
  <c r="V15" i="12"/>
  <c r="V14" i="12"/>
  <c r="W7" i="12"/>
  <c r="V445" i="12"/>
  <c r="V350" i="12"/>
  <c r="V255" i="12"/>
  <c r="V437" i="12"/>
  <c r="V343" i="12"/>
  <c r="V280" i="12"/>
  <c r="V201" i="12"/>
  <c r="V32" i="12"/>
  <c r="V20" i="12"/>
  <c r="V8" i="12"/>
  <c r="W25" i="12"/>
  <c r="W13" i="12"/>
  <c r="V446" i="12"/>
  <c r="V429" i="12"/>
  <c r="V413" i="12"/>
  <c r="V398" i="12"/>
  <c r="V381" i="12"/>
  <c r="V366" i="12"/>
  <c r="V351" i="12"/>
  <c r="V334" i="12"/>
  <c r="V319" i="12"/>
  <c r="V304" i="12"/>
  <c r="V289" i="12"/>
  <c r="V272" i="12"/>
  <c r="V257" i="12"/>
  <c r="V241" i="12"/>
  <c r="V224" i="12"/>
  <c r="V209" i="12"/>
  <c r="V178" i="12"/>
  <c r="V110" i="12"/>
  <c r="W36" i="12"/>
  <c r="V29" i="12"/>
  <c r="V17" i="12"/>
  <c r="V5" i="12"/>
  <c r="Y3" i="12" s="1"/>
  <c r="H3" i="12" s="1"/>
  <c r="W22" i="12"/>
  <c r="W10" i="12"/>
  <c r="V440" i="12"/>
  <c r="V425" i="12"/>
  <c r="V410" i="12"/>
  <c r="V393" i="12"/>
  <c r="V378" i="12"/>
  <c r="V363" i="12"/>
  <c r="V346" i="12"/>
  <c r="V331" i="12"/>
  <c r="V316" i="12"/>
  <c r="V301" i="12"/>
  <c r="V283" i="12"/>
  <c r="V268" i="12"/>
  <c r="V253" i="12"/>
  <c r="V236" i="12"/>
  <c r="V221" i="12"/>
  <c r="V206" i="12"/>
  <c r="V161" i="12"/>
  <c r="V91" i="12"/>
  <c r="W9" i="12"/>
  <c r="V439" i="12"/>
  <c r="V424" i="12"/>
  <c r="V409" i="12"/>
  <c r="V392" i="12"/>
  <c r="V377" i="12"/>
  <c r="V362" i="12"/>
  <c r="V345" i="12"/>
  <c r="V330" i="12"/>
  <c r="V315" i="12"/>
  <c r="V297" i="12"/>
  <c r="V282" i="12"/>
  <c r="V267" i="12"/>
  <c r="V250" i="12"/>
  <c r="V235" i="12"/>
  <c r="V220" i="12"/>
  <c r="V205" i="12"/>
  <c r="V160" i="12"/>
  <c r="V90" i="12"/>
  <c r="W20" i="12"/>
  <c r="W8" i="12"/>
  <c r="V438" i="12"/>
  <c r="V423" i="12"/>
  <c r="V406" i="12"/>
  <c r="V391" i="12"/>
  <c r="V376" i="12"/>
  <c r="V361" i="12"/>
  <c r="V344" i="12"/>
  <c r="V329" i="12"/>
  <c r="V313" i="12"/>
  <c r="V296" i="12"/>
  <c r="V281" i="12"/>
  <c r="V266" i="12"/>
  <c r="V249" i="12"/>
  <c r="V234" i="12"/>
  <c r="V219" i="12"/>
  <c r="V202" i="12"/>
  <c r="V159" i="12"/>
  <c r="V89" i="12"/>
  <c r="V375" i="12"/>
  <c r="V265" i="12"/>
  <c r="V25" i="12"/>
  <c r="V13" i="12"/>
  <c r="W30" i="12"/>
  <c r="W18" i="12"/>
  <c r="W6" i="12"/>
  <c r="V436" i="12"/>
  <c r="V421" i="12"/>
  <c r="V404" i="12"/>
  <c r="V389" i="12"/>
  <c r="V374" i="12"/>
  <c r="V357" i="12"/>
  <c r="V341" i="12"/>
  <c r="V326" i="12"/>
  <c r="V309" i="12"/>
  <c r="V294" i="12"/>
  <c r="V279" i="12"/>
  <c r="V262" i="12"/>
  <c r="V247" i="12"/>
  <c r="V232" i="12"/>
  <c r="V217" i="12"/>
  <c r="V199" i="12"/>
  <c r="V142" i="12"/>
  <c r="V73" i="12"/>
  <c r="V358" i="12"/>
  <c r="V75" i="12"/>
  <c r="V24" i="12"/>
  <c r="V12" i="12"/>
  <c r="W29" i="12"/>
  <c r="W17" i="12"/>
  <c r="W5" i="12"/>
  <c r="V435" i="12"/>
  <c r="V418" i="12"/>
  <c r="V403" i="12"/>
  <c r="V388" i="12"/>
  <c r="V373" i="12"/>
  <c r="V355" i="12"/>
  <c r="V340" i="12"/>
  <c r="V325" i="12"/>
  <c r="V308" i="12"/>
  <c r="V293" i="12"/>
  <c r="V278" i="12"/>
  <c r="V261" i="12"/>
  <c r="V246" i="12"/>
  <c r="V231" i="12"/>
  <c r="V214" i="12"/>
  <c r="V198" i="12"/>
  <c r="V141" i="12"/>
  <c r="V37" i="12"/>
  <c r="V405" i="12"/>
  <c r="V295" i="12"/>
  <c r="V145" i="12"/>
  <c r="V23" i="12"/>
  <c r="V11" i="12"/>
  <c r="W28" i="12"/>
  <c r="W16" i="12"/>
  <c r="W4" i="12"/>
  <c r="V449" i="12"/>
  <c r="V434" i="12"/>
  <c r="V417" i="12"/>
  <c r="V402" i="12"/>
  <c r="V387" i="12"/>
  <c r="V369" i="12"/>
  <c r="V354" i="12"/>
  <c r="V339" i="12"/>
  <c r="V322" i="12"/>
  <c r="V307" i="12"/>
  <c r="V292" i="12"/>
  <c r="V277" i="12"/>
  <c r="V260" i="12"/>
  <c r="V245" i="12"/>
  <c r="V230" i="12"/>
  <c r="V213" i="12"/>
  <c r="V196" i="12"/>
  <c r="V126" i="12"/>
  <c r="V33" i="12"/>
  <c r="V390" i="12"/>
  <c r="V310" i="12"/>
  <c r="V248" i="12"/>
  <c r="V233" i="12"/>
  <c r="V3" i="12"/>
  <c r="V22" i="12"/>
  <c r="V10" i="12"/>
  <c r="W27" i="12"/>
  <c r="W15" i="12"/>
  <c r="V448" i="12"/>
  <c r="V433" i="12"/>
  <c r="V416" i="12"/>
  <c r="V401" i="12"/>
  <c r="V385" i="12"/>
  <c r="V368" i="12"/>
  <c r="V353" i="12"/>
  <c r="V338" i="12"/>
  <c r="V321" i="12"/>
  <c r="V306" i="12"/>
  <c r="V291" i="12"/>
  <c r="V274" i="12"/>
  <c r="V259" i="12"/>
  <c r="V244" i="12"/>
  <c r="V229" i="12"/>
  <c r="V211" i="12"/>
  <c r="V195" i="12"/>
  <c r="V125" i="12"/>
  <c r="W399" i="12"/>
  <c r="V422" i="12"/>
  <c r="V327" i="12"/>
  <c r="V218" i="12"/>
  <c r="W3" i="12"/>
  <c r="V21" i="12"/>
  <c r="V9" i="12"/>
  <c r="W26" i="12"/>
  <c r="W14" i="12"/>
  <c r="V447" i="12"/>
  <c r="V430" i="12"/>
  <c r="V415" i="12"/>
  <c r="V399" i="12"/>
  <c r="V382" i="12"/>
  <c r="V367" i="12"/>
  <c r="V352" i="12"/>
  <c r="V337" i="12"/>
  <c r="V320" i="12"/>
  <c r="V305" i="12"/>
  <c r="V290" i="12"/>
  <c r="V273" i="12"/>
  <c r="V258" i="12"/>
  <c r="V243" i="12"/>
  <c r="V225" i="12"/>
  <c r="V210" i="12"/>
  <c r="V194" i="12"/>
  <c r="V124" i="12"/>
  <c r="W346" i="12"/>
  <c r="V74" i="12"/>
  <c r="V34" i="12"/>
  <c r="W347" i="12"/>
  <c r="V193" i="12"/>
  <c r="V174" i="12"/>
  <c r="V158" i="12"/>
  <c r="V139" i="12"/>
  <c r="V123" i="12"/>
  <c r="V105" i="12"/>
  <c r="V88" i="12"/>
  <c r="V70" i="12"/>
  <c r="W436" i="12"/>
  <c r="W343" i="12"/>
  <c r="V190" i="12"/>
  <c r="V173" i="12"/>
  <c r="V157" i="12"/>
  <c r="V138" i="12"/>
  <c r="V122" i="12"/>
  <c r="V103" i="12"/>
  <c r="V87" i="12"/>
  <c r="V67" i="12"/>
  <c r="W435" i="12"/>
  <c r="W276" i="12"/>
  <c r="V189" i="12"/>
  <c r="V172" i="12"/>
  <c r="V154" i="12"/>
  <c r="V137" i="12"/>
  <c r="V121" i="12"/>
  <c r="V102" i="12"/>
  <c r="V85" i="12"/>
  <c r="V66" i="12"/>
  <c r="W434" i="12"/>
  <c r="W275" i="12"/>
  <c r="V187" i="12"/>
  <c r="V171" i="12"/>
  <c r="V153" i="12"/>
  <c r="V136" i="12"/>
  <c r="V118" i="12"/>
  <c r="V100" i="12"/>
  <c r="V82" i="12"/>
  <c r="V62" i="12"/>
  <c r="W433" i="12"/>
  <c r="W274" i="12"/>
  <c r="V186" i="12"/>
  <c r="V170" i="12"/>
  <c r="V151" i="12"/>
  <c r="V135" i="12"/>
  <c r="V115" i="12"/>
  <c r="V99" i="12"/>
  <c r="V81" i="12"/>
  <c r="V55" i="12"/>
  <c r="W420" i="12"/>
  <c r="W202" i="12"/>
  <c r="V185" i="12"/>
  <c r="V169" i="12"/>
  <c r="V150" i="12"/>
  <c r="V133" i="12"/>
  <c r="V114" i="12"/>
  <c r="V98" i="12"/>
  <c r="V79" i="12"/>
  <c r="V54" i="12"/>
  <c r="W419" i="12"/>
  <c r="W199" i="12"/>
  <c r="V184" i="12"/>
  <c r="V166" i="12"/>
  <c r="V148" i="12"/>
  <c r="V130" i="12"/>
  <c r="V113" i="12"/>
  <c r="V97" i="12"/>
  <c r="V78" i="12"/>
  <c r="V52" i="12"/>
  <c r="W418" i="12"/>
  <c r="W196" i="12"/>
  <c r="V183" i="12"/>
  <c r="V163" i="12"/>
  <c r="V147" i="12"/>
  <c r="V129" i="12"/>
  <c r="V112" i="12"/>
  <c r="V94" i="12"/>
  <c r="V77" i="12"/>
  <c r="V51" i="12"/>
  <c r="W402" i="12"/>
  <c r="W123" i="12"/>
  <c r="V181" i="12"/>
  <c r="V162" i="12"/>
  <c r="V146" i="12"/>
  <c r="V127" i="12"/>
  <c r="V111" i="12"/>
  <c r="V93" i="12"/>
  <c r="V76" i="12"/>
  <c r="V39" i="12"/>
  <c r="W400" i="12"/>
  <c r="W121" i="12"/>
  <c r="W122" i="12"/>
  <c r="W33" i="12"/>
  <c r="W415" i="12"/>
  <c r="W398" i="12"/>
  <c r="W328" i="12"/>
  <c r="W256" i="12"/>
  <c r="W181" i="12"/>
  <c r="W106" i="12"/>
  <c r="V50" i="12"/>
  <c r="W448" i="12"/>
  <c r="W432" i="12"/>
  <c r="W414" i="12"/>
  <c r="W397" i="12"/>
  <c r="W327" i="12"/>
  <c r="W255" i="12"/>
  <c r="W180" i="12"/>
  <c r="W103" i="12"/>
  <c r="V65" i="12"/>
  <c r="V49" i="12"/>
  <c r="W447" i="12"/>
  <c r="W431" i="12"/>
  <c r="W412" i="12"/>
  <c r="W396" i="12"/>
  <c r="W325" i="12"/>
  <c r="W254" i="12"/>
  <c r="W178" i="12"/>
  <c r="W100" i="12"/>
  <c r="V64" i="12"/>
  <c r="V46" i="12"/>
  <c r="W446" i="12"/>
  <c r="W430" i="12"/>
  <c r="W411" i="12"/>
  <c r="W382" i="12"/>
  <c r="W312" i="12"/>
  <c r="W239" i="12"/>
  <c r="W160" i="12"/>
  <c r="W84" i="12"/>
  <c r="V63" i="12"/>
  <c r="V45" i="12"/>
  <c r="W445" i="12"/>
  <c r="W427" i="12"/>
  <c r="W410" i="12"/>
  <c r="W379" i="12"/>
  <c r="W310" i="12"/>
  <c r="W238" i="12"/>
  <c r="W159" i="12"/>
  <c r="W83" i="12"/>
  <c r="V43" i="12"/>
  <c r="W444" i="12"/>
  <c r="W426" i="12"/>
  <c r="W409" i="12"/>
  <c r="W378" i="12"/>
  <c r="W307" i="12"/>
  <c r="W235" i="12"/>
  <c r="W158" i="12"/>
  <c r="W78" i="12"/>
  <c r="V61" i="12"/>
  <c r="V42" i="12"/>
  <c r="W443" i="12"/>
  <c r="W424" i="12"/>
  <c r="W408" i="12"/>
  <c r="W363" i="12"/>
  <c r="W292" i="12"/>
  <c r="W219" i="12"/>
  <c r="W143" i="12"/>
  <c r="W61" i="12"/>
  <c r="V58" i="12"/>
  <c r="V41" i="12"/>
  <c r="W442" i="12"/>
  <c r="W423" i="12"/>
  <c r="W406" i="12"/>
  <c r="W362" i="12"/>
  <c r="W291" i="12"/>
  <c r="W218" i="12"/>
  <c r="W142" i="12"/>
  <c r="W60" i="12"/>
  <c r="V57" i="12"/>
  <c r="V40" i="12"/>
  <c r="W439" i="12"/>
  <c r="W421" i="12"/>
  <c r="W403" i="12"/>
  <c r="W361" i="12"/>
  <c r="W290" i="12"/>
  <c r="W217" i="12"/>
  <c r="W139" i="12"/>
  <c r="W59" i="12"/>
  <c r="W395" i="12"/>
  <c r="W376" i="12"/>
  <c r="W360" i="12"/>
  <c r="W340" i="12"/>
  <c r="W324" i="12"/>
  <c r="W306" i="12"/>
  <c r="W289" i="12"/>
  <c r="W271" i="12"/>
  <c r="W253" i="12"/>
  <c r="W234" i="12"/>
  <c r="W216" i="12"/>
  <c r="W195" i="12"/>
  <c r="W175" i="12"/>
  <c r="W157" i="12"/>
  <c r="W138" i="12"/>
  <c r="W120" i="12"/>
  <c r="W99" i="12"/>
  <c r="W76" i="12"/>
  <c r="W58" i="12"/>
  <c r="W394" i="12"/>
  <c r="W375" i="12"/>
  <c r="W358" i="12"/>
  <c r="W339" i="12"/>
  <c r="W323" i="12"/>
  <c r="W304" i="12"/>
  <c r="W288" i="12"/>
  <c r="W270" i="12"/>
  <c r="W252" i="12"/>
  <c r="W232" i="12"/>
  <c r="W214" i="12"/>
  <c r="W193" i="12"/>
  <c r="W174" i="12"/>
  <c r="W156" i="12"/>
  <c r="W136" i="12"/>
  <c r="W118" i="12"/>
  <c r="W97" i="12"/>
  <c r="W75" i="12"/>
  <c r="W54" i="12"/>
  <c r="W391" i="12"/>
  <c r="W373" i="12"/>
  <c r="W355" i="12"/>
  <c r="W338" i="12"/>
  <c r="W322" i="12"/>
  <c r="W303" i="12"/>
  <c r="W287" i="12"/>
  <c r="W268" i="12"/>
  <c r="W251" i="12"/>
  <c r="W231" i="12"/>
  <c r="W211" i="12"/>
  <c r="W192" i="12"/>
  <c r="W172" i="12"/>
  <c r="W155" i="12"/>
  <c r="W135" i="12"/>
  <c r="W115" i="12"/>
  <c r="W96" i="12"/>
  <c r="W74" i="12"/>
  <c r="W52" i="12"/>
  <c r="W388" i="12"/>
  <c r="W372" i="12"/>
  <c r="W354" i="12"/>
  <c r="W337" i="12"/>
  <c r="W319" i="12"/>
  <c r="W302" i="12"/>
  <c r="W286" i="12"/>
  <c r="W267" i="12"/>
  <c r="W250" i="12"/>
  <c r="W229" i="12"/>
  <c r="W208" i="12"/>
  <c r="W191" i="12"/>
  <c r="W171" i="12"/>
  <c r="W154" i="12"/>
  <c r="W133" i="12"/>
  <c r="W112" i="12"/>
  <c r="W95" i="12"/>
  <c r="W73" i="12"/>
  <c r="W47" i="12"/>
  <c r="W387" i="12"/>
  <c r="W371" i="12"/>
  <c r="W352" i="12"/>
  <c r="W336" i="12"/>
  <c r="W318" i="12"/>
  <c r="W301" i="12"/>
  <c r="W283" i="12"/>
  <c r="W266" i="12"/>
  <c r="W247" i="12"/>
  <c r="W228" i="12"/>
  <c r="W207" i="12"/>
  <c r="W190" i="12"/>
  <c r="W170" i="12"/>
  <c r="W151" i="12"/>
  <c r="W132" i="12"/>
  <c r="W111" i="12"/>
  <c r="W94" i="12"/>
  <c r="W72" i="12"/>
  <c r="W42" i="12"/>
  <c r="W386" i="12"/>
  <c r="W370" i="12"/>
  <c r="W351" i="12"/>
  <c r="W335" i="12"/>
  <c r="W316" i="12"/>
  <c r="W300" i="12"/>
  <c r="W282" i="12"/>
  <c r="W265" i="12"/>
  <c r="W244" i="12"/>
  <c r="W226" i="12"/>
  <c r="W206" i="12"/>
  <c r="W187" i="12"/>
  <c r="W169" i="12"/>
  <c r="W148" i="12"/>
  <c r="W130" i="12"/>
  <c r="W110" i="12"/>
  <c r="W90" i="12"/>
  <c r="W71" i="12"/>
  <c r="W40" i="12"/>
  <c r="W385" i="12"/>
  <c r="W367" i="12"/>
  <c r="W350" i="12"/>
  <c r="W334" i="12"/>
  <c r="W315" i="12"/>
  <c r="W299" i="12"/>
  <c r="W280" i="12"/>
  <c r="W264" i="12"/>
  <c r="W243" i="12"/>
  <c r="W223" i="12"/>
  <c r="W205" i="12"/>
  <c r="W186" i="12"/>
  <c r="W168" i="12"/>
  <c r="W147" i="12"/>
  <c r="W127" i="12"/>
  <c r="W109" i="12"/>
  <c r="W88" i="12"/>
  <c r="W70" i="12"/>
  <c r="W39" i="12"/>
  <c r="W384" i="12"/>
  <c r="W366" i="12"/>
  <c r="W349" i="12"/>
  <c r="W331" i="12"/>
  <c r="W314" i="12"/>
  <c r="W298" i="12"/>
  <c r="W279" i="12"/>
  <c r="W262" i="12"/>
  <c r="W241" i="12"/>
  <c r="W222" i="12"/>
  <c r="W204" i="12"/>
  <c r="W184" i="12"/>
  <c r="W166" i="12"/>
  <c r="W145" i="12"/>
  <c r="W126" i="12"/>
  <c r="W108" i="12"/>
  <c r="W87" i="12"/>
  <c r="W64" i="12"/>
  <c r="W38" i="12"/>
  <c r="W383" i="12"/>
  <c r="W364" i="12"/>
  <c r="W348" i="12"/>
  <c r="W330" i="12"/>
  <c r="W313" i="12"/>
  <c r="W295" i="12"/>
  <c r="W277" i="12"/>
  <c r="W259" i="12"/>
  <c r="W240" i="12"/>
  <c r="W220" i="12"/>
  <c r="W203" i="12"/>
  <c r="W183" i="12"/>
  <c r="W163" i="12"/>
  <c r="W144" i="12"/>
  <c r="W124" i="12"/>
  <c r="W107" i="12"/>
  <c r="W86" i="12"/>
  <c r="W63" i="12"/>
  <c r="W37" i="12"/>
  <c r="W51" i="12"/>
  <c r="W50" i="12"/>
  <c r="W258" i="12"/>
  <c r="W242" i="12"/>
  <c r="W227" i="12"/>
  <c r="W210" i="12"/>
  <c r="W194" i="12"/>
  <c r="W179" i="12"/>
  <c r="W162" i="12"/>
  <c r="W146" i="12"/>
  <c r="W131" i="12"/>
  <c r="W114" i="12"/>
  <c r="W98" i="12"/>
  <c r="W82" i="12"/>
  <c r="W62" i="12"/>
  <c r="W46" i="12"/>
  <c r="W35" i="12"/>
  <c r="R161" i="12"/>
  <c r="R149" i="12"/>
  <c r="R137" i="12"/>
  <c r="R125" i="12"/>
  <c r="R113" i="12"/>
  <c r="R101" i="12"/>
  <c r="R89" i="12"/>
  <c r="R77" i="12"/>
  <c r="R65" i="12"/>
  <c r="R53" i="12"/>
  <c r="R41" i="12"/>
  <c r="V442" i="12"/>
  <c r="V428" i="12"/>
  <c r="V414" i="12"/>
  <c r="V400" i="12"/>
  <c r="V386" i="12"/>
  <c r="V370" i="12"/>
  <c r="V356" i="12"/>
  <c r="V342" i="12"/>
  <c r="V328" i="12"/>
  <c r="V314" i="12"/>
  <c r="V298" i="12"/>
  <c r="V284" i="12"/>
  <c r="V270" i="12"/>
  <c r="V256" i="12"/>
  <c r="V242" i="12"/>
  <c r="V226" i="12"/>
  <c r="V212" i="12"/>
  <c r="V197" i="12"/>
  <c r="V182" i="12"/>
  <c r="V165" i="12"/>
  <c r="V149" i="12"/>
  <c r="V134" i="12"/>
  <c r="V117" i="12"/>
  <c r="V101" i="12"/>
  <c r="V86" i="12"/>
  <c r="V69" i="12"/>
  <c r="V53" i="12"/>
  <c r="V38" i="12"/>
  <c r="W438" i="12"/>
  <c r="W422" i="12"/>
  <c r="W407" i="12"/>
  <c r="W390" i="12"/>
  <c r="W374" i="12"/>
  <c r="W359" i="12"/>
  <c r="W342" i="12"/>
  <c r="W326" i="12"/>
  <c r="W311" i="12"/>
  <c r="W294" i="12"/>
  <c r="W278" i="12"/>
  <c r="W263" i="12"/>
  <c r="W246" i="12"/>
  <c r="W230" i="12"/>
  <c r="W215" i="12"/>
  <c r="W198" i="12"/>
  <c r="W182" i="12"/>
  <c r="W167" i="12"/>
  <c r="W150" i="12"/>
  <c r="W134" i="12"/>
  <c r="W119" i="12"/>
  <c r="W102" i="12"/>
  <c r="W85" i="12"/>
  <c r="W66" i="12"/>
  <c r="W49" i="12"/>
  <c r="V200" i="12"/>
  <c r="V188" i="12"/>
  <c r="V176" i="12"/>
  <c r="V164" i="12"/>
  <c r="V152" i="12"/>
  <c r="V140" i="12"/>
  <c r="V128" i="12"/>
  <c r="V116" i="12"/>
  <c r="V104" i="12"/>
  <c r="V92" i="12"/>
  <c r="V80" i="12"/>
  <c r="V68" i="12"/>
  <c r="V56" i="12"/>
  <c r="V44" i="12"/>
  <c r="W449" i="12"/>
  <c r="W437" i="12"/>
  <c r="W425" i="12"/>
  <c r="W413" i="12"/>
  <c r="W401" i="12"/>
  <c r="W389" i="12"/>
  <c r="W377" i="12"/>
  <c r="W365" i="12"/>
  <c r="W353" i="12"/>
  <c r="W341" i="12"/>
  <c r="W329" i="12"/>
  <c r="W317" i="12"/>
  <c r="W305" i="12"/>
  <c r="W293" i="12"/>
  <c r="W281" i="12"/>
  <c r="W269" i="12"/>
  <c r="W257" i="12"/>
  <c r="W245" i="12"/>
  <c r="W233" i="12"/>
  <c r="W221" i="12"/>
  <c r="W209" i="12"/>
  <c r="W197" i="12"/>
  <c r="W185" i="12"/>
  <c r="W173" i="12"/>
  <c r="W161" i="12"/>
  <c r="W149" i="12"/>
  <c r="W137" i="12"/>
  <c r="W125" i="12"/>
  <c r="W113" i="12"/>
  <c r="W101" i="12"/>
  <c r="W89" i="12"/>
  <c r="W77" i="12"/>
  <c r="W65" i="12"/>
  <c r="W53" i="12"/>
  <c r="W41" i="12"/>
  <c r="R39" i="12"/>
  <c r="V444" i="12"/>
  <c r="V432" i="12"/>
  <c r="V420" i="12"/>
  <c r="V408" i="12"/>
  <c r="V396" i="12"/>
  <c r="V384" i="12"/>
  <c r="V372" i="12"/>
  <c r="V360" i="12"/>
  <c r="V348" i="12"/>
  <c r="V336" i="12"/>
  <c r="V324" i="12"/>
  <c r="V312" i="12"/>
  <c r="V300" i="12"/>
  <c r="V288" i="12"/>
  <c r="V276" i="12"/>
  <c r="V264" i="12"/>
  <c r="V252" i="12"/>
  <c r="V240" i="12"/>
  <c r="V228" i="12"/>
  <c r="V216" i="12"/>
  <c r="V204" i="12"/>
  <c r="V192" i="12"/>
  <c r="V180" i="12"/>
  <c r="V168" i="12"/>
  <c r="V156" i="12"/>
  <c r="V144" i="12"/>
  <c r="V132" i="12"/>
  <c r="V120" i="12"/>
  <c r="V108" i="12"/>
  <c r="V96" i="12"/>
  <c r="V84" i="12"/>
  <c r="V72" i="12"/>
  <c r="V60" i="12"/>
  <c r="V48" i="12"/>
  <c r="V36" i="12"/>
  <c r="W441" i="12"/>
  <c r="W429" i="12"/>
  <c r="W417" i="12"/>
  <c r="W405" i="12"/>
  <c r="W393" i="12"/>
  <c r="W381" i="12"/>
  <c r="W369" i="12"/>
  <c r="W357" i="12"/>
  <c r="W345" i="12"/>
  <c r="W333" i="12"/>
  <c r="W321" i="12"/>
  <c r="W309" i="12"/>
  <c r="W297" i="12"/>
  <c r="W285" i="12"/>
  <c r="W273" i="12"/>
  <c r="W261" i="12"/>
  <c r="W249" i="12"/>
  <c r="W237" i="12"/>
  <c r="W225" i="12"/>
  <c r="W213" i="12"/>
  <c r="W201" i="12"/>
  <c r="W189" i="12"/>
  <c r="W177" i="12"/>
  <c r="W165" i="12"/>
  <c r="W153" i="12"/>
  <c r="W141" i="12"/>
  <c r="W129" i="12"/>
  <c r="W117" i="12"/>
  <c r="W105" i="12"/>
  <c r="W93" i="12"/>
  <c r="W81" i="12"/>
  <c r="W69" i="12"/>
  <c r="W57" i="12"/>
  <c r="W45" i="12"/>
  <c r="R38" i="12"/>
  <c r="V443" i="12"/>
  <c r="V431" i="12"/>
  <c r="V419" i="12"/>
  <c r="V407" i="12"/>
  <c r="V395" i="12"/>
  <c r="V383" i="12"/>
  <c r="V371" i="12"/>
  <c r="V359" i="12"/>
  <c r="V347" i="12"/>
  <c r="V335" i="12"/>
  <c r="V323" i="12"/>
  <c r="V311" i="12"/>
  <c r="V299" i="12"/>
  <c r="V287" i="12"/>
  <c r="V275" i="12"/>
  <c r="V263" i="12"/>
  <c r="V251" i="12"/>
  <c r="V239" i="12"/>
  <c r="V227" i="12"/>
  <c r="V215" i="12"/>
  <c r="V203" i="12"/>
  <c r="V191" i="12"/>
  <c r="V179" i="12"/>
  <c r="V167" i="12"/>
  <c r="V155" i="12"/>
  <c r="V143" i="12"/>
  <c r="V131" i="12"/>
  <c r="V119" i="12"/>
  <c r="V107" i="12"/>
  <c r="V95" i="12"/>
  <c r="V83" i="12"/>
  <c r="V71" i="12"/>
  <c r="V59" i="12"/>
  <c r="V47" i="12"/>
  <c r="V35" i="12"/>
  <c r="W440" i="12"/>
  <c r="W428" i="12"/>
  <c r="W416" i="12"/>
  <c r="W404" i="12"/>
  <c r="W392" i="12"/>
  <c r="W380" i="12"/>
  <c r="W368" i="12"/>
  <c r="W356" i="12"/>
  <c r="W344" i="12"/>
  <c r="W332" i="12"/>
  <c r="W320" i="12"/>
  <c r="W308" i="12"/>
  <c r="W296" i="12"/>
  <c r="W284" i="12"/>
  <c r="W272" i="12"/>
  <c r="W260" i="12"/>
  <c r="W248" i="12"/>
  <c r="W236" i="12"/>
  <c r="W224" i="12"/>
  <c r="W212" i="12"/>
  <c r="W200" i="12"/>
  <c r="W188" i="12"/>
  <c r="W176" i="12"/>
  <c r="W164" i="12"/>
  <c r="W152" i="12"/>
  <c r="W140" i="12"/>
  <c r="W128" i="12"/>
  <c r="W116" i="12"/>
  <c r="W104" i="12"/>
  <c r="W92" i="12"/>
  <c r="W80" i="12"/>
  <c r="W68" i="12"/>
  <c r="W56" i="12"/>
  <c r="W44" i="12"/>
  <c r="W91" i="12"/>
  <c r="W79" i="12"/>
  <c r="W67" i="12"/>
  <c r="W55" i="12"/>
  <c r="W43" i="12"/>
  <c r="F3" i="12"/>
  <c r="W34" i="12"/>
  <c r="B45" i="4"/>
  <c r="P47" i="4"/>
  <c r="Z3" i="12" l="1"/>
  <c r="I3" i="12" s="1"/>
  <c r="B49" i="4"/>
  <c r="B44" i="4" l="1"/>
  <c r="I4" i="11"/>
  <c r="B42" i="4" l="1"/>
  <c r="P48" i="4" l="1"/>
  <c r="G51" i="4"/>
  <c r="G52" i="4" s="1"/>
  <c r="D47" i="4"/>
  <c r="D46" i="4"/>
  <c r="F47" i="4" l="1"/>
  <c r="I52" i="4" l="1"/>
  <c r="B48" i="4"/>
  <c r="B52" i="4" l="1"/>
  <c r="D52" i="4" s="1"/>
  <c r="B51" i="4"/>
  <c r="D51" i="4" s="1"/>
  <c r="D26" i="14" l="1"/>
  <c r="D27" i="14" s="1"/>
  <c r="B26" i="14"/>
  <c r="B27" i="14" s="1"/>
  <c r="B26" i="13"/>
  <c r="B27" i="13" s="1"/>
  <c r="D26" i="13"/>
  <c r="D27" i="13" s="1"/>
  <c r="I51" i="4"/>
  <c r="I53" i="4" s="1"/>
  <c r="I54" i="4" s="1"/>
  <c r="I55" i="4" s="1"/>
  <c r="D53" i="4"/>
  <c r="D29" i="13" l="1"/>
  <c r="D30" i="13" s="1"/>
  <c r="D31" i="13" s="1"/>
  <c r="D17" i="13"/>
  <c r="B17" i="13"/>
  <c r="B29" i="13"/>
  <c r="B30" i="13" s="1"/>
  <c r="B31" i="13" s="1"/>
  <c r="B29" i="14"/>
  <c r="B30" i="14" s="1"/>
  <c r="B31" i="14" s="1"/>
  <c r="B17" i="14"/>
  <c r="D17" i="14"/>
  <c r="D29" i="14"/>
  <c r="D30" i="14" s="1"/>
  <c r="D31" i="14" s="1"/>
  <c r="H24" i="13" l="1"/>
  <c r="I4" i="12"/>
  <c r="I5" i="12" s="1"/>
  <c r="I6" i="12" s="1"/>
  <c r="B16" i="14"/>
  <c r="G15" i="14"/>
  <c r="B7" i="14"/>
  <c r="B10" i="13"/>
  <c r="H4" i="12"/>
  <c r="G14" i="13"/>
  <c r="G17" i="13"/>
  <c r="G24" i="13"/>
  <c r="I7" i="12"/>
  <c r="I8" i="12" s="1"/>
  <c r="H14" i="13"/>
  <c r="D10" i="13"/>
  <c r="H17" i="13"/>
  <c r="D10" i="14"/>
  <c r="H24" i="14"/>
  <c r="H17" i="14"/>
  <c r="H14" i="14"/>
  <c r="H27" i="14" s="1"/>
  <c r="H30" i="14" s="1"/>
  <c r="B10" i="14"/>
  <c r="G17" i="14"/>
  <c r="G24" i="14"/>
  <c r="G14" i="14"/>
  <c r="G27" i="14" s="1"/>
  <c r="G30" i="14" s="1"/>
  <c r="B16" i="13"/>
  <c r="B7" i="13"/>
  <c r="G16" i="13" s="1"/>
  <c r="G15" i="13"/>
  <c r="H15" i="13"/>
  <c r="D7" i="13"/>
  <c r="H16" i="13" s="1"/>
  <c r="D16" i="13"/>
  <c r="D7" i="14"/>
  <c r="D16" i="14"/>
  <c r="H15" i="14"/>
  <c r="H28" i="14" s="1"/>
  <c r="H23" i="14" l="1"/>
  <c r="D11" i="14" s="1"/>
  <c r="D13" i="14" s="1"/>
  <c r="H5" i="12"/>
  <c r="H6" i="12" s="1"/>
  <c r="H7" i="12" s="1"/>
  <c r="H8" i="12" s="1"/>
  <c r="H23" i="13"/>
  <c r="D11" i="13" s="1"/>
  <c r="H16" i="14"/>
  <c r="D12" i="14"/>
  <c r="AD19" i="18"/>
  <c r="AH18" i="18" s="1"/>
  <c r="AC19" i="18"/>
  <c r="AD20" i="18"/>
  <c r="AH19" i="18" s="1"/>
  <c r="AC20" i="18"/>
  <c r="AD22" i="18"/>
  <c r="AH21" i="18" s="1"/>
  <c r="AC22" i="18"/>
  <c r="AC5" i="18"/>
  <c r="AC18" i="18" s="1"/>
  <c r="AD5" i="18"/>
  <c r="AD25" i="18"/>
  <c r="AH24" i="18" s="1"/>
  <c r="H28" i="13"/>
  <c r="G28" i="13"/>
  <c r="G27" i="13"/>
  <c r="G30" i="13" s="1"/>
  <c r="G28" i="14"/>
  <c r="H27" i="13"/>
  <c r="H30" i="13" s="1"/>
  <c r="G16" i="14"/>
  <c r="D13" i="13" l="1"/>
  <c r="G23" i="13"/>
  <c r="G23" i="14"/>
  <c r="B11" i="14" s="1"/>
  <c r="B13" i="14" s="1"/>
  <c r="B12" i="14"/>
  <c r="AD18" i="18"/>
  <c r="AH17" i="18" s="1"/>
  <c r="AH5" i="18"/>
  <c r="AH30" i="18" s="1"/>
  <c r="AH31" i="18" s="1"/>
  <c r="B11" i="13"/>
  <c r="H22" i="14"/>
  <c r="H22" i="13"/>
  <c r="H21" i="14"/>
  <c r="D12" i="13"/>
  <c r="D15" i="14"/>
  <c r="D19" i="14" s="1"/>
  <c r="B13" i="13" l="1"/>
  <c r="G22" i="14"/>
  <c r="G21" i="14"/>
  <c r="G25" i="14" s="1"/>
  <c r="B15" i="14"/>
  <c r="B19" i="14" s="1"/>
  <c r="B12" i="13"/>
  <c r="AD21" i="18"/>
  <c r="AC21" i="18"/>
  <c r="H25" i="14"/>
  <c r="D18" i="14"/>
  <c r="D20" i="14"/>
  <c r="H21" i="13"/>
  <c r="H25" i="13" s="1"/>
  <c r="D15" i="13"/>
  <c r="B20" i="14" l="1"/>
  <c r="B18" i="14"/>
  <c r="O15" i="13"/>
  <c r="P15" i="13"/>
  <c r="H26" i="13"/>
  <c r="H31" i="13"/>
  <c r="AH20" i="18"/>
  <c r="AD24" i="18"/>
  <c r="AH23" i="18" s="1"/>
  <c r="AC23" i="18"/>
  <c r="AD23" i="18"/>
  <c r="AH22" i="18" s="1"/>
  <c r="AC24" i="18"/>
  <c r="D19" i="13"/>
  <c r="D18" i="13"/>
  <c r="D20" i="13"/>
  <c r="H32" i="13" l="1"/>
  <c r="O16" i="13"/>
  <c r="O17" i="13" s="1"/>
  <c r="AC28" i="18"/>
  <c r="AH27" i="18"/>
  <c r="AD28" i="18"/>
  <c r="G22" i="13"/>
  <c r="B15" i="13"/>
  <c r="G21" i="13"/>
  <c r="O19" i="13" l="1"/>
  <c r="G25" i="13"/>
  <c r="B18" i="13"/>
  <c r="B20" i="13"/>
  <c r="B19" i="13"/>
  <c r="G26" i="13" l="1"/>
  <c r="G31" i="13"/>
  <c r="G32" i="13" s="1"/>
</calcChain>
</file>

<file path=xl/sharedStrings.xml><?xml version="1.0" encoding="utf-8"?>
<sst xmlns="http://schemas.openxmlformats.org/spreadsheetml/2006/main" count="312" uniqueCount="173">
  <si>
    <t>cm</t>
  </si>
  <si>
    <t>Density of Lithium</t>
  </si>
  <si>
    <t>g/cm^3</t>
  </si>
  <si>
    <t>Cost of Equipment</t>
  </si>
  <si>
    <t>Deposition Size</t>
  </si>
  <si>
    <t>Time</t>
  </si>
  <si>
    <t>Thickness</t>
  </si>
  <si>
    <t>Seconds</t>
  </si>
  <si>
    <t>Deposition Rate</t>
  </si>
  <si>
    <t>nm/sec</t>
  </si>
  <si>
    <t>nm</t>
  </si>
  <si>
    <t>Number of Sources</t>
  </si>
  <si>
    <t>Number of Zones</t>
  </si>
  <si>
    <t>Total Coating Length</t>
  </si>
  <si>
    <t>web speed</t>
  </si>
  <si>
    <t>m/min</t>
  </si>
  <si>
    <t>Machine Utilisation</t>
  </si>
  <si>
    <t>per day</t>
  </si>
  <si>
    <t>Total Coating</t>
  </si>
  <si>
    <t>Per Day</t>
  </si>
  <si>
    <t>Per Year</t>
  </si>
  <si>
    <t>meters</t>
  </si>
  <si>
    <t>m</t>
  </si>
  <si>
    <t>Total Coating Width</t>
  </si>
  <si>
    <t>m^2</t>
  </si>
  <si>
    <t>hours</t>
  </si>
  <si>
    <t>m^2/hour</t>
  </si>
  <si>
    <t>cc/hour</t>
  </si>
  <si>
    <t>m^3/hour</t>
  </si>
  <si>
    <t>grams/hour</t>
  </si>
  <si>
    <t>Machine Cost</t>
  </si>
  <si>
    <t>per hour</t>
  </si>
  <si>
    <t>m^2 per hour</t>
  </si>
  <si>
    <t>Depreciated cost over 3-7 years to a / hour cost</t>
  </si>
  <si>
    <t>Improvemnt Factor on Rates</t>
  </si>
  <si>
    <t>% Cost of Feedstock in COGP</t>
  </si>
  <si>
    <t>Depreciation Cost / Hour</t>
  </si>
  <si>
    <t>Depreciation Time (Years)</t>
  </si>
  <si>
    <t>m coating thickness (m)</t>
  </si>
  <si>
    <t>Target Thickness (um)</t>
  </si>
  <si>
    <t>Product Area / Day (m^2)</t>
  </si>
  <si>
    <t>Product Area / Hour (m^2)</t>
  </si>
  <si>
    <t>Volume / Hour (m^3)</t>
  </si>
  <si>
    <t>Volume / Hour (cc)</t>
  </si>
  <si>
    <t>Li Mass Produced / Hour (grams)</t>
  </si>
  <si>
    <t>Labour Cost / Hour</t>
  </si>
  <si>
    <t>People required</t>
  </si>
  <si>
    <t>Deposition Efficiency %</t>
  </si>
  <si>
    <t>Pure Li Cost / Gram</t>
  </si>
  <si>
    <t>Cost of Made Pure Li / g</t>
  </si>
  <si>
    <t>Power Consumption / KWh</t>
  </si>
  <si>
    <t>Variable Overhead Cost / Hour</t>
  </si>
  <si>
    <t>General, Sales, Administration / Hour</t>
  </si>
  <si>
    <t>Substrate Ultilisation %</t>
  </si>
  <si>
    <t>Total electricity cost ($/h)</t>
  </si>
  <si>
    <t>Drum Width / m</t>
  </si>
  <si>
    <t>Total electricity cost ($/m2)</t>
  </si>
  <si>
    <t>Lithium Cost ($/m2)</t>
  </si>
  <si>
    <t>Labour Cost ($/m2)</t>
  </si>
  <si>
    <t>Depreciation Cost ($/m2)</t>
  </si>
  <si>
    <t>Total Cost ($/hour)</t>
  </si>
  <si>
    <t>Total weight (grams/h)</t>
  </si>
  <si>
    <t>Total area (m^2/h)</t>
  </si>
  <si>
    <t>Variable Overhead Cost ($/m2)</t>
  </si>
  <si>
    <t>General, Sales, Administration ($/m2)</t>
  </si>
  <si>
    <t>Total Cost ($/m2)</t>
  </si>
  <si>
    <t>Machine Electricity Cost / Hour</t>
  </si>
  <si>
    <t>Width of acceptable film / m</t>
  </si>
  <si>
    <t>Cost Processed Lithium / Hour</t>
  </si>
  <si>
    <t>Total Electricity Use (KWh / m2)</t>
  </si>
  <si>
    <t>Cost of TE Lithium per Gram</t>
  </si>
  <si>
    <t>Cost of TE Lithium / m^2</t>
  </si>
  <si>
    <t>Total LiOH use (Kg / m2)</t>
  </si>
  <si>
    <t>Price ($ / KWh)</t>
  </si>
  <si>
    <t>Labour Cost  ($ / h)</t>
  </si>
  <si>
    <t>Production Scale (1.2 m)</t>
  </si>
  <si>
    <t>Gigafactory machine (3.0 m)</t>
  </si>
  <si>
    <t>Carbon Offset Cost ($/m2)</t>
  </si>
  <si>
    <t>Target Thickness (µm)</t>
  </si>
  <si>
    <t>Electricity Price ($ / kWh)</t>
  </si>
  <si>
    <t>Carbon Intensity (g CO2 / kWh)</t>
  </si>
  <si>
    <t>Carbon Offset Cost ($ / tCO2)</t>
  </si>
  <si>
    <t>Deposition Rate (nm / s)</t>
  </si>
  <si>
    <t xml:space="preserve">1.2 m </t>
  </si>
  <si>
    <t>3.0 m</t>
  </si>
  <si>
    <t>Machine Cost $</t>
  </si>
  <si>
    <t>Depreciation Time (years)</t>
  </si>
  <si>
    <t>People Required per Machine</t>
  </si>
  <si>
    <t>CapEx ($ million)</t>
  </si>
  <si>
    <t>Finacing Cost</t>
  </si>
  <si>
    <t>1.2 m</t>
  </si>
  <si>
    <t>Finance %</t>
  </si>
  <si>
    <t>Deprectaion Time (years)</t>
  </si>
  <si>
    <t>Year</t>
  </si>
  <si>
    <t>Total Finacing cost ($ million)</t>
  </si>
  <si>
    <t>Production rate (m2 h-1)</t>
  </si>
  <si>
    <t>Production rate (kWh h-1)</t>
  </si>
  <si>
    <t>Production amount (kWh)</t>
  </si>
  <si>
    <t>Financing Cost ($ kWh-1)</t>
  </si>
  <si>
    <t>Financing Cost ($/m2)</t>
  </si>
  <si>
    <t>Financing Cost ($ m-2)</t>
  </si>
  <si>
    <t>Li2CO3 Cost / gram</t>
  </si>
  <si>
    <t>Li2CO3 cost ($ / kg)</t>
  </si>
  <si>
    <t>Cost to convert Li / Gram</t>
  </si>
  <si>
    <t>Li in Li2CO3 Cost/ gram</t>
  </si>
  <si>
    <t>Li2CO3 Cost ($/m2)</t>
  </si>
  <si>
    <t>Plant Footprint Cost ($/m2)</t>
  </si>
  <si>
    <t>Notching Cost ($/m2)</t>
  </si>
  <si>
    <t>Dry room, service and handling costs ($/m2)</t>
  </si>
  <si>
    <t>Other / Hour</t>
  </si>
  <si>
    <t>Financing / Hour</t>
  </si>
  <si>
    <t>Lithium Carbonate Cost ($ / kg)</t>
  </si>
  <si>
    <t>Effective Yields</t>
  </si>
  <si>
    <t>Slitting</t>
  </si>
  <si>
    <t>Cell Stacking</t>
  </si>
  <si>
    <t>Cell Yield</t>
  </si>
  <si>
    <t>Total Cost ($/kWh)</t>
  </si>
  <si>
    <t>No Anode Costs + No material costs for Electrolyte and Seperator</t>
  </si>
  <si>
    <t xml:space="preserve">No Anode Costs (Complete) </t>
  </si>
  <si>
    <t xml:space="preserve">No Anode Costs (Except 20000 m2) </t>
  </si>
  <si>
    <t xml:space="preserve">No Anode Costs (Except Notching) </t>
  </si>
  <si>
    <t xml:space="preserve">No Anode Costs (Except Notching + Drying) </t>
  </si>
  <si>
    <t xml:space="preserve">No Anode Costs (Except Notching + Drying + Calandering) </t>
  </si>
  <si>
    <t>Liquid</t>
  </si>
  <si>
    <t>Solid</t>
  </si>
  <si>
    <t>0.75% Financing</t>
  </si>
  <si>
    <t>5.0% Financing</t>
  </si>
  <si>
    <t>solid</t>
  </si>
  <si>
    <t>Positive active material</t>
  </si>
  <si>
    <t>Negative active material</t>
  </si>
  <si>
    <t>Carbon additive</t>
  </si>
  <si>
    <t>Binders</t>
  </si>
  <si>
    <t>Solvents</t>
  </si>
  <si>
    <t>Positive current collector</t>
  </si>
  <si>
    <t>Negative current collector</t>
  </si>
  <si>
    <t>Electrolyte + Separators</t>
  </si>
  <si>
    <t>Separators</t>
  </si>
  <si>
    <t>Additives</t>
  </si>
  <si>
    <t>Electrolyte</t>
  </si>
  <si>
    <t>Cell purchased items</t>
  </si>
  <si>
    <t>Module purchased items</t>
  </si>
  <si>
    <t>Pack purchased items</t>
  </si>
  <si>
    <t>Battery management system</t>
  </si>
  <si>
    <t>Total cost Materials</t>
  </si>
  <si>
    <t>Total cost of direct labor</t>
  </si>
  <si>
    <t>Total cost of energy</t>
  </si>
  <si>
    <t>Total cost of variable overhead</t>
  </si>
  <si>
    <t>Total cost of depreciation</t>
  </si>
  <si>
    <t>Total cost of general, sales, administration</t>
  </si>
  <si>
    <t>Total cost of research and development</t>
  </si>
  <si>
    <t>Per unit profit</t>
  </si>
  <si>
    <t>Total cost of financing</t>
  </si>
  <si>
    <t>Warranty (includes battery pack(s) only)</t>
  </si>
  <si>
    <t>Total pack cost</t>
  </si>
  <si>
    <t>Anode Costs</t>
  </si>
  <si>
    <t>Notching</t>
  </si>
  <si>
    <t>Drying</t>
  </si>
  <si>
    <t>Calandering</t>
  </si>
  <si>
    <t>20000 m2</t>
  </si>
  <si>
    <t xml:space="preserve">No Anode Costs (Except Notching + Drying + 20000 m2) </t>
  </si>
  <si>
    <t>Production Cost Carbon Offset ($/m2)</t>
  </si>
  <si>
    <t>Production Cost Carbon Offset ($/kWh)</t>
  </si>
  <si>
    <t>Total Graphite Anode Cost</t>
  </si>
  <si>
    <t>Li2CO3</t>
  </si>
  <si>
    <t>Li</t>
  </si>
  <si>
    <t>Li in Material Cost/ gram</t>
  </si>
  <si>
    <t>Molecular Mass</t>
  </si>
  <si>
    <t>Purity (%)</t>
  </si>
  <si>
    <t>Cost to Process Li2CO3 ($/g) in China</t>
  </si>
  <si>
    <t>Cost to Process Li2CO3 ($/g) in UK</t>
  </si>
  <si>
    <t>China Labor Cost Scalar</t>
  </si>
  <si>
    <t>Price ex VAT ($/g)</t>
  </si>
  <si>
    <t>Regional Scalling Factor (vs. 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</si>
</sst>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$-409]#,##0.00"/>
    <numFmt numFmtId="165" formatCode="0.0000"/>
    <numFmt numFmtId="166" formatCode="0.000"/>
    <numFmt numFmtId="167" formatCode="0.0"/>
    <numFmt numFmtId="168" formatCode="0.0%"/>
    <numFmt numFmtId="169" formatCode="&quot;£&quot;#,##0.00"/>
    <numFmt numFmtId="170" formatCode="_-* #,##0_-;\-* #,##0_-;_-* &quot;-&quot;??_-;_-@_-"/>
    <numFmt numFmtId="171" formatCode="_-* #,##0.0000000_-;\-* #,##0.0000000_-;_-* &quot;-&quot;??_-;_-@_-"/>
    <numFmt numFmtId="172" formatCode="0.000000000"/>
    <numFmt numFmtId="173" formatCode="_-[$$-409]* #,##0.00_ ;_-[$$-409]* \-#,##0.00\ ;_-[$$-409]* &quot;-&quot;??_ ;_-@_ "/>
    <numFmt numFmtId="174" formatCode="_-[$$-409]* #,##0.000_ ;_-[$$-409]* \-#,##0.000\ ;_-[$$-409]* &quot;-&quot;???_ ;_-@_ "/>
    <numFmt numFmtId="175" formatCode="#,##0.00_ ;\-#,##0.00\ "/>
    <numFmt numFmtId="176" formatCode="#,##0.000_ ;\-#,##0.000\ "/>
    <numFmt numFmtId="177" formatCode="_-[$$-409]* #,##0_ ;_-[$$-409]* \-#,##0\ ;_-[$$-409]* &quot;-&quot;_ ;_-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  <xf numFmtId="9" fontId="0" fillId="0" borderId="0" xfId="0" applyNumberFormat="1"/>
    <xf numFmtId="166" fontId="0" fillId="0" borderId="0" xfId="0" applyNumberFormat="1" applyAlignment="1">
      <alignment horizontal="center"/>
    </xf>
    <xf numFmtId="169" fontId="2" fillId="0" borderId="0" xfId="0" applyNumberFormat="1" applyFont="1"/>
    <xf numFmtId="0" fontId="2" fillId="0" borderId="0" xfId="0" applyFont="1"/>
    <xf numFmtId="44" fontId="0" fillId="0" borderId="0" xfId="1" applyFont="1"/>
    <xf numFmtId="0" fontId="0" fillId="0" borderId="0" xfId="0" applyAlignment="1">
      <alignment horizontal="right"/>
    </xf>
    <xf numFmtId="44" fontId="0" fillId="0" borderId="0" xfId="0" applyNumberFormat="1"/>
    <xf numFmtId="0" fontId="4" fillId="0" borderId="0" xfId="0" applyFont="1" applyAlignment="1">
      <alignment horizontal="left"/>
    </xf>
    <xf numFmtId="9" fontId="0" fillId="0" borderId="0" xfId="0" applyNumberFormat="1" applyAlignment="1">
      <alignment horizontal="center"/>
    </xf>
    <xf numFmtId="170" fontId="0" fillId="0" borderId="0" xfId="3" applyNumberFormat="1" applyFont="1" applyAlignment="1">
      <alignment horizontal="center"/>
    </xf>
    <xf numFmtId="170" fontId="0" fillId="0" borderId="0" xfId="3" applyNumberFormat="1" applyFont="1" applyAlignment="1">
      <alignment horizontal="right"/>
    </xf>
    <xf numFmtId="43" fontId="0" fillId="0" borderId="0" xfId="0" applyNumberFormat="1"/>
    <xf numFmtId="171" fontId="0" fillId="0" borderId="0" xfId="0" applyNumberFormat="1"/>
    <xf numFmtId="0" fontId="0" fillId="2" borderId="0" xfId="0" applyFill="1" applyAlignment="1">
      <alignment horizontal="right"/>
    </xf>
    <xf numFmtId="170" fontId="0" fillId="2" borderId="0" xfId="3" applyNumberFormat="1" applyFont="1" applyFill="1" applyAlignment="1">
      <alignment horizontal="right"/>
    </xf>
    <xf numFmtId="0" fontId="0" fillId="2" borderId="0" xfId="0" applyFill="1"/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3" fontId="0" fillId="6" borderId="0" xfId="0" applyNumberFormat="1" applyFill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175" fontId="0" fillId="6" borderId="0" xfId="0" applyNumberForma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0" fontId="0" fillId="0" borderId="0" xfId="0" applyNumberFormat="1" applyFill="1" applyAlignment="1">
      <alignment horizontal="center" vertical="center"/>
    </xf>
    <xf numFmtId="176" fontId="0" fillId="6" borderId="0" xfId="0" applyNumberForma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3" fontId="0" fillId="0" borderId="0" xfId="1" applyNumberFormat="1" applyFont="1"/>
    <xf numFmtId="173" fontId="0" fillId="0" borderId="0" xfId="0" applyNumberFormat="1"/>
    <xf numFmtId="168" fontId="0" fillId="0" borderId="0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0" fillId="0" borderId="0" xfId="1" applyFont="1" applyFill="1" applyBorder="1"/>
    <xf numFmtId="0" fontId="0" fillId="0" borderId="0" xfId="0" applyFill="1" applyBorder="1"/>
    <xf numFmtId="0" fontId="0" fillId="0" borderId="0" xfId="0" quotePrefix="1" applyFill="1" applyBorder="1"/>
    <xf numFmtId="44" fontId="0" fillId="0" borderId="0" xfId="0" applyNumberFormat="1" applyFill="1" applyBorder="1"/>
    <xf numFmtId="164" fontId="0" fillId="0" borderId="0" xfId="0" applyNumberFormat="1" applyFill="1" applyBorder="1"/>
    <xf numFmtId="0" fontId="0" fillId="0" borderId="2" xfId="0" applyBorder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73" fontId="0" fillId="0" borderId="0" xfId="0" applyNumberFormat="1" applyFill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/>
    <xf numFmtId="173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17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173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" fontId="0" fillId="0" borderId="14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67" fontId="0" fillId="3" borderId="14" xfId="0" applyNumberFormat="1" applyFill="1" applyBorder="1" applyAlignment="1">
      <alignment horizontal="center" vertical="center"/>
    </xf>
    <xf numFmtId="167" fontId="0" fillId="3" borderId="15" xfId="0" applyNumberFormat="1" applyFill="1" applyBorder="1" applyAlignment="1">
      <alignment horizontal="center" vertical="center"/>
    </xf>
    <xf numFmtId="172" fontId="0" fillId="0" borderId="14" xfId="0" applyNumberFormat="1" applyBorder="1" applyAlignment="1">
      <alignment horizontal="center" vertical="center"/>
    </xf>
    <xf numFmtId="172" fontId="0" fillId="0" borderId="15" xfId="0" applyNumberFormat="1" applyBorder="1" applyAlignment="1">
      <alignment horizontal="center" vertical="center"/>
    </xf>
    <xf numFmtId="10" fontId="0" fillId="0" borderId="14" xfId="2" applyNumberFormat="1" applyFont="1" applyFill="1" applyBorder="1" applyAlignment="1">
      <alignment horizontal="center" vertical="center"/>
    </xf>
    <xf numFmtId="10" fontId="0" fillId="0" borderId="15" xfId="2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3" fontId="0" fillId="0" borderId="14" xfId="0" applyNumberFormat="1" applyBorder="1" applyAlignment="1">
      <alignment horizontal="center" vertical="center"/>
    </xf>
    <xf numFmtId="173" fontId="0" fillId="0" borderId="15" xfId="0" applyNumberForma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74" fontId="0" fillId="0" borderId="8" xfId="0" applyNumberFormat="1" applyBorder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6" fontId="0" fillId="0" borderId="15" xfId="0" applyNumberFormat="1" applyBorder="1" applyAlignment="1">
      <alignment horizontal="center" vertical="center"/>
    </xf>
    <xf numFmtId="173" fontId="0" fillId="0" borderId="14" xfId="0" applyNumberFormat="1" applyFill="1" applyBorder="1" applyAlignment="1">
      <alignment horizontal="center" vertical="center"/>
    </xf>
    <xf numFmtId="173" fontId="0" fillId="0" borderId="15" xfId="0" applyNumberFormat="1" applyFill="1" applyBorder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166" fontId="0" fillId="3" borderId="14" xfId="0" applyNumberFormat="1" applyFill="1" applyBorder="1" applyAlignment="1">
      <alignment horizontal="center" vertical="center"/>
    </xf>
    <xf numFmtId="166" fontId="0" fillId="3" borderId="15" xfId="0" applyNumberFormat="1" applyFill="1" applyBorder="1" applyAlignment="1">
      <alignment horizontal="center" vertical="center"/>
    </xf>
    <xf numFmtId="173" fontId="0" fillId="0" borderId="18" xfId="0" applyNumberFormat="1" applyFill="1" applyBorder="1" applyAlignment="1">
      <alignment horizontal="center" vertical="center"/>
    </xf>
    <xf numFmtId="173" fontId="0" fillId="0" borderId="19" xfId="0" applyNumberFormat="1" applyFill="1" applyBorder="1" applyAlignment="1">
      <alignment horizontal="center" vertical="center"/>
    </xf>
    <xf numFmtId="173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73" fontId="0" fillId="0" borderId="1" xfId="0" applyNumberFormat="1" applyFill="1" applyBorder="1" applyAlignment="1">
      <alignment horizontal="center" vertical="center"/>
    </xf>
    <xf numFmtId="173" fontId="2" fillId="0" borderId="7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2" fontId="2" fillId="0" borderId="16" xfId="0" applyNumberFormat="1" applyFont="1" applyFill="1" applyBorder="1" applyAlignment="1">
      <alignment horizontal="center" vertic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459A-83D6-4513-9535-9DE1F571D5B0}">
  <sheetPr>
    <tabColor rgb="FFFFFF00"/>
  </sheetPr>
  <dimension ref="B2:R4"/>
  <sheetViews>
    <sheetView tabSelected="1" workbookViewId="0">
      <selection activeCell="D22" sqref="D22"/>
    </sheetView>
  </sheetViews>
  <sheetFormatPr defaultRowHeight="15" x14ac:dyDescent="0.25"/>
  <cols>
    <col min="2" max="2" width="22.85546875" bestFit="1" customWidth="1"/>
    <col min="3" max="3" width="20.5703125" bestFit="1" customWidth="1"/>
    <col min="4" max="4" width="28.7109375" bestFit="1" customWidth="1"/>
    <col min="5" max="5" width="23.5703125" bestFit="1" customWidth="1"/>
    <col min="6" max="6" width="26.7109375" bestFit="1" customWidth="1"/>
    <col min="7" max="7" width="17.7109375" bestFit="1" customWidth="1"/>
    <col min="8" max="8" width="28.7109375" bestFit="1" customWidth="1"/>
    <col min="9" max="9" width="27" bestFit="1" customWidth="1"/>
    <col min="12" max="12" width="24.28515625" bestFit="1" customWidth="1"/>
    <col min="13" max="13" width="22" bestFit="1" customWidth="1"/>
    <col min="15" max="15" width="29.42578125" bestFit="1" customWidth="1"/>
  </cols>
  <sheetData>
    <row r="2" spans="2:18" x14ac:dyDescent="0.25">
      <c r="J2" s="83" t="s">
        <v>85</v>
      </c>
      <c r="K2" s="83"/>
      <c r="P2" s="83" t="s">
        <v>112</v>
      </c>
      <c r="Q2" s="83"/>
      <c r="R2" s="83"/>
    </row>
    <row r="3" spans="2:18" x14ac:dyDescent="0.25">
      <c r="B3" t="s">
        <v>82</v>
      </c>
      <c r="C3" t="s">
        <v>78</v>
      </c>
      <c r="D3" t="s">
        <v>111</v>
      </c>
      <c r="E3" t="s">
        <v>79</v>
      </c>
      <c r="F3" t="s">
        <v>87</v>
      </c>
      <c r="G3" s="25" t="s">
        <v>74</v>
      </c>
      <c r="H3" t="s">
        <v>80</v>
      </c>
      <c r="I3" t="s">
        <v>81</v>
      </c>
      <c r="J3" t="s">
        <v>83</v>
      </c>
      <c r="K3" t="s">
        <v>84</v>
      </c>
      <c r="L3" t="s">
        <v>86</v>
      </c>
      <c r="M3" t="s">
        <v>16</v>
      </c>
      <c r="N3" t="s">
        <v>91</v>
      </c>
      <c r="O3" t="s">
        <v>172</v>
      </c>
      <c r="P3" s="75" t="s">
        <v>113</v>
      </c>
      <c r="Q3" s="75" t="s">
        <v>114</v>
      </c>
      <c r="R3" s="75" t="s">
        <v>115</v>
      </c>
    </row>
    <row r="4" spans="2:18" x14ac:dyDescent="0.25">
      <c r="B4">
        <v>140</v>
      </c>
      <c r="C4">
        <v>17</v>
      </c>
      <c r="D4">
        <v>22</v>
      </c>
      <c r="E4">
        <v>0.20699999999999999</v>
      </c>
      <c r="F4">
        <v>1.5</v>
      </c>
      <c r="G4">
        <v>20</v>
      </c>
      <c r="H4">
        <v>261.1549</v>
      </c>
      <c r="I4">
        <f>1000/0.95</f>
        <v>1052.6315789473686</v>
      </c>
      <c r="J4">
        <v>1750000</v>
      </c>
      <c r="K4">
        <v>2275000</v>
      </c>
      <c r="L4">
        <v>7</v>
      </c>
      <c r="M4" s="7">
        <v>0.85</v>
      </c>
      <c r="N4">
        <v>5</v>
      </c>
      <c r="O4">
        <v>1</v>
      </c>
      <c r="P4">
        <v>0.92</v>
      </c>
      <c r="Q4">
        <v>0.99</v>
      </c>
      <c r="R4">
        <v>0.95</v>
      </c>
    </row>
  </sheetData>
  <mergeCells count="2">
    <mergeCell ref="J2:K2"/>
    <mergeCell ref="P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D895-E9AC-4CF6-BAEB-D8108D9B4C82}">
  <sheetPr>
    <tabColor rgb="FF00B050"/>
  </sheetPr>
  <dimension ref="A1:P56"/>
  <sheetViews>
    <sheetView zoomScaleNormal="100" workbookViewId="0">
      <selection activeCell="I33" sqref="I33"/>
    </sheetView>
  </sheetViews>
  <sheetFormatPr defaultColWidth="9.140625" defaultRowHeight="15" x14ac:dyDescent="0.25"/>
  <cols>
    <col min="1" max="1" width="28" style="25" customWidth="1"/>
    <col min="2" max="2" width="10.5703125" style="25" bestFit="1" customWidth="1"/>
    <col min="3" max="3" width="11.28515625" style="25" bestFit="1" customWidth="1"/>
    <col min="4" max="4" width="26.140625" style="25" bestFit="1" customWidth="1"/>
    <col min="5" max="5" width="11.5703125" style="25" bestFit="1" customWidth="1"/>
    <col min="6" max="6" width="40.5703125" style="25" bestFit="1" customWidth="1"/>
    <col min="7" max="7" width="21.42578125" style="25" bestFit="1" customWidth="1"/>
    <col min="8" max="8" width="27.140625" style="25" bestFit="1" customWidth="1"/>
    <col min="9" max="9" width="23" style="25" customWidth="1"/>
    <col min="10" max="10" width="34.42578125" style="25" bestFit="1" customWidth="1"/>
    <col min="11" max="11" width="14.28515625" style="25" bestFit="1" customWidth="1"/>
    <col min="12" max="16384" width="9.140625" style="25"/>
  </cols>
  <sheetData>
    <row r="1" spans="1:16" x14ac:dyDescent="0.25">
      <c r="A1" s="26"/>
      <c r="B1" s="99" t="s">
        <v>75</v>
      </c>
      <c r="C1" s="99"/>
      <c r="D1" s="25" t="s">
        <v>76</v>
      </c>
      <c r="F1" s="50" t="s">
        <v>1</v>
      </c>
      <c r="G1" s="65">
        <v>0.53400000000000003</v>
      </c>
      <c r="H1" s="65" t="s">
        <v>2</v>
      </c>
    </row>
    <row r="2" spans="1:16" x14ac:dyDescent="0.25">
      <c r="A2" s="26" t="s">
        <v>101</v>
      </c>
      <c r="B2" s="100">
        <f>($F$3/1000)*(100/99.5)</f>
        <v>2.2110552763819093E-2</v>
      </c>
      <c r="C2" s="101"/>
      <c r="D2" s="66">
        <f>($F$3/1000)*(100/99.5)</f>
        <v>2.2110552763819093E-2</v>
      </c>
      <c r="F2" s="25" t="s">
        <v>102</v>
      </c>
      <c r="G2" s="25" t="s">
        <v>73</v>
      </c>
      <c r="H2" s="25" t="s">
        <v>46</v>
      </c>
      <c r="I2" s="25" t="s">
        <v>74</v>
      </c>
    </row>
    <row r="3" spans="1:16" x14ac:dyDescent="0.25">
      <c r="A3" s="26" t="s">
        <v>104</v>
      </c>
      <c r="B3" s="100">
        <f>B2*(73.89/13.882)</f>
        <v>0.11768828293607497</v>
      </c>
      <c r="C3" s="101"/>
      <c r="D3" s="66">
        <f>D2*(73.89/13.882)</f>
        <v>0.11768828293607497</v>
      </c>
      <c r="F3" s="36">
        <f>Inputs!D4</f>
        <v>22</v>
      </c>
      <c r="G3" s="36">
        <f>Inputs!E4</f>
        <v>0.20699999999999999</v>
      </c>
      <c r="H3" s="36">
        <f>Inputs!F4</f>
        <v>1.5</v>
      </c>
      <c r="I3" s="36">
        <f>Inputs!G4</f>
        <v>20</v>
      </c>
    </row>
    <row r="4" spans="1:16" x14ac:dyDescent="0.25">
      <c r="A4" s="26" t="s">
        <v>103</v>
      </c>
      <c r="B4" s="100">
        <f>'Li2CO3 Processing Cost'!I4*Inputs!O4</f>
        <v>0.11924456215917491</v>
      </c>
      <c r="C4" s="101"/>
      <c r="D4" s="66">
        <f>'Li2CO3 Processing Cost'!I4*Inputs!O4</f>
        <v>0.11924456215917491</v>
      </c>
    </row>
    <row r="5" spans="1:16" x14ac:dyDescent="0.25">
      <c r="A5" s="26" t="s">
        <v>49</v>
      </c>
      <c r="B5" s="100">
        <f>B3+B4</f>
        <v>0.23693284509524987</v>
      </c>
      <c r="C5" s="101"/>
      <c r="D5" s="66">
        <f>D3+D4</f>
        <v>0.23693284509524987</v>
      </c>
      <c r="K5" s="49"/>
    </row>
    <row r="6" spans="1:16" x14ac:dyDescent="0.25">
      <c r="A6" s="65" t="s">
        <v>48</v>
      </c>
      <c r="B6" s="100">
        <f>B5</f>
        <v>0.23693284509524987</v>
      </c>
      <c r="C6" s="101"/>
      <c r="D6" s="66">
        <f>D5</f>
        <v>0.23693284509524987</v>
      </c>
    </row>
    <row r="7" spans="1:16" ht="15.75" thickBot="1" x14ac:dyDescent="0.3">
      <c r="A7" s="25" t="s">
        <v>68</v>
      </c>
      <c r="B7" s="111">
        <f>$B$31*B6*(1/($G$11/100))</f>
        <v>78.439753788032604</v>
      </c>
      <c r="C7" s="111"/>
      <c r="D7" s="66">
        <f>$D$31*D6*(1/($H$11/100))</f>
        <v>175.96658917714012</v>
      </c>
    </row>
    <row r="8" spans="1:16" x14ac:dyDescent="0.25">
      <c r="A8" s="25" t="s">
        <v>66</v>
      </c>
      <c r="B8" s="111">
        <f>$G$9*$G$3</f>
        <v>24.561813321934604</v>
      </c>
      <c r="C8" s="111"/>
      <c r="D8" s="66">
        <f>H9*$G$3</f>
        <v>54.511998406961709</v>
      </c>
      <c r="F8" s="37" t="s">
        <v>55</v>
      </c>
      <c r="G8" s="38">
        <v>1.2</v>
      </c>
      <c r="H8" s="39">
        <v>3</v>
      </c>
    </row>
    <row r="9" spans="1:16" x14ac:dyDescent="0.25">
      <c r="A9" s="25" t="s">
        <v>45</v>
      </c>
      <c r="B9" s="111">
        <f>H3*I3</f>
        <v>30</v>
      </c>
      <c r="C9" s="111"/>
      <c r="D9" s="66">
        <f>H3*I3</f>
        <v>30</v>
      </c>
      <c r="F9" s="40" t="s">
        <v>50</v>
      </c>
      <c r="G9" s="36">
        <v>118.656103004515</v>
      </c>
      <c r="H9" s="36">
        <v>263.34298747324499</v>
      </c>
      <c r="J9" s="77"/>
    </row>
    <row r="10" spans="1:16" x14ac:dyDescent="0.25">
      <c r="A10" s="25" t="s">
        <v>109</v>
      </c>
      <c r="B10" s="106">
        <f>(G18+G19+G20)*B17</f>
        <v>3.5571202323628985</v>
      </c>
      <c r="C10" s="106"/>
      <c r="D10" s="71">
        <f>(H18+H19+H20)*D17</f>
        <v>8.8928005809072452</v>
      </c>
      <c r="F10" s="40" t="s">
        <v>67</v>
      </c>
      <c r="G10" s="45">
        <v>1.2</v>
      </c>
      <c r="H10" s="46">
        <v>3</v>
      </c>
      <c r="K10" s="71"/>
      <c r="L10" s="71"/>
      <c r="M10" s="49"/>
    </row>
    <row r="11" spans="1:16" x14ac:dyDescent="0.25">
      <c r="A11" s="25" t="s">
        <v>110</v>
      </c>
      <c r="B11" s="106">
        <f>G23*B27</f>
        <v>5.7038558065252127</v>
      </c>
      <c r="C11" s="112"/>
      <c r="D11" s="71">
        <f>H23*D27</f>
        <v>7.4150125484827756</v>
      </c>
      <c r="F11" s="40" t="s">
        <v>47</v>
      </c>
      <c r="G11" s="45">
        <v>82.920328303516001</v>
      </c>
      <c r="H11" s="46">
        <v>92.407458804622806</v>
      </c>
      <c r="K11" s="71"/>
      <c r="L11" s="71"/>
      <c r="M11" s="49"/>
    </row>
    <row r="12" spans="1:16" ht="15.75" thickBot="1" x14ac:dyDescent="0.3">
      <c r="A12" s="25" t="s">
        <v>52</v>
      </c>
      <c r="B12" s="106">
        <f>'Fixed Costs for Overheads'!B12:C12</f>
        <v>2.0466252843811721</v>
      </c>
      <c r="C12" s="106"/>
      <c r="D12" s="67">
        <f>'Fixed Costs for Overheads'!D12</f>
        <v>4.5156565068821148</v>
      </c>
      <c r="F12" s="41" t="s">
        <v>53</v>
      </c>
      <c r="G12" s="43">
        <v>100</v>
      </c>
      <c r="H12" s="44">
        <f>100*H10/H8</f>
        <v>100</v>
      </c>
      <c r="K12" s="71"/>
      <c r="L12" s="71"/>
      <c r="M12" s="49"/>
    </row>
    <row r="13" spans="1:16" x14ac:dyDescent="0.25">
      <c r="A13" s="25" t="s">
        <v>51</v>
      </c>
      <c r="B13" s="106">
        <f>'Fixed Costs for Overheads'!B13:C13</f>
        <v>2.9300606589341966</v>
      </c>
      <c r="C13" s="106"/>
      <c r="D13" s="71">
        <f>'Fixed Costs for Overheads'!D13</f>
        <v>6.4648607544571295</v>
      </c>
      <c r="F13" s="25" t="s">
        <v>54</v>
      </c>
      <c r="G13" s="42">
        <f>B8</f>
        <v>24.561813321934604</v>
      </c>
      <c r="H13" s="42">
        <f>D8</f>
        <v>54.511998406961709</v>
      </c>
      <c r="K13" s="71"/>
      <c r="L13" s="71"/>
      <c r="M13" s="49"/>
    </row>
    <row r="14" spans="1:16" x14ac:dyDescent="0.25">
      <c r="A14" s="25" t="s">
        <v>36</v>
      </c>
      <c r="B14" s="113">
        <f>B25</f>
        <v>28.538812785388128</v>
      </c>
      <c r="C14" s="113"/>
      <c r="D14" s="71">
        <f>D25</f>
        <v>37.100456621004568</v>
      </c>
      <c r="F14" s="25" t="s">
        <v>56</v>
      </c>
      <c r="G14" s="42">
        <f>G13/B17</f>
        <v>0.81222927651900156</v>
      </c>
      <c r="H14" s="42">
        <f>H13/D17</f>
        <v>0.7210581799862662</v>
      </c>
      <c r="K14" s="76"/>
      <c r="L14" s="76"/>
      <c r="M14" s="49"/>
      <c r="N14" s="51"/>
    </row>
    <row r="15" spans="1:16" x14ac:dyDescent="0.25">
      <c r="A15" s="32" t="s">
        <v>60</v>
      </c>
      <c r="B15" s="114">
        <f>SUM(B7:B14)</f>
        <v>175.77804187755882</v>
      </c>
      <c r="C15" s="114"/>
      <c r="D15" s="71">
        <f>SUM(D7:D14)</f>
        <v>324.86737459583566</v>
      </c>
      <c r="F15" s="25" t="s">
        <v>105</v>
      </c>
      <c r="G15" s="42">
        <f>$B$31*B3*(1/($G$11/100))/B17</f>
        <v>1.288434638829556</v>
      </c>
      <c r="H15" s="42">
        <f>$D$31*D3*(1/($H$11/100))/D17</f>
        <v>1.1561558410047326</v>
      </c>
      <c r="I15" s="71"/>
      <c r="J15" s="71"/>
      <c r="K15" s="76"/>
      <c r="L15" s="76"/>
      <c r="M15" s="49"/>
      <c r="N15" s="51">
        <v>8.5510000000000003E-2</v>
      </c>
      <c r="O15" s="25">
        <f>N15-M15</f>
        <v>8.5510000000000003E-2</v>
      </c>
      <c r="P15" s="25">
        <f>M15/(0.99*0.95*0.92)</f>
        <v>0</v>
      </c>
    </row>
    <row r="16" spans="1:16" x14ac:dyDescent="0.25">
      <c r="A16" s="24" t="s">
        <v>61</v>
      </c>
      <c r="B16" s="115">
        <f>B31</f>
        <v>274.51871999999997</v>
      </c>
      <c r="C16" s="115"/>
      <c r="D16" s="35">
        <f>D31</f>
        <v>686.29679999999985</v>
      </c>
      <c r="F16" s="25" t="s">
        <v>57</v>
      </c>
      <c r="G16" s="42">
        <f>B7/B17</f>
        <v>2.5939072019852056</v>
      </c>
      <c r="H16" s="42">
        <f>D7/D17</f>
        <v>2.3276003859410075</v>
      </c>
      <c r="K16" s="76"/>
      <c r="L16" s="76"/>
      <c r="M16" s="49"/>
      <c r="N16" s="80">
        <v>5.9729999999999998E-2</v>
      </c>
      <c r="O16" s="80">
        <f>N16-M16</f>
        <v>5.9729999999999998E-2</v>
      </c>
    </row>
    <row r="17" spans="1:15" ht="15.75" thickBot="1" x14ac:dyDescent="0.3">
      <c r="A17" s="33" t="s">
        <v>62</v>
      </c>
      <c r="B17" s="116">
        <f>B27</f>
        <v>30.239999999999995</v>
      </c>
      <c r="C17" s="116"/>
      <c r="D17" s="35">
        <f>D27</f>
        <v>75.59999999999998</v>
      </c>
      <c r="F17" s="25" t="s">
        <v>58</v>
      </c>
      <c r="G17" s="42">
        <f>B9/B17</f>
        <v>0.9920634920634922</v>
      </c>
      <c r="H17" s="42">
        <f>D9/D17</f>
        <v>0.39682539682539691</v>
      </c>
      <c r="K17" s="71"/>
      <c r="L17" s="71"/>
      <c r="M17" s="49"/>
      <c r="N17" s="51"/>
      <c r="O17" s="25">
        <f>O16+O15</f>
        <v>0.14524000000000001</v>
      </c>
    </row>
    <row r="18" spans="1:15" ht="15.75" thickTop="1" x14ac:dyDescent="0.25">
      <c r="A18" s="29" t="s">
        <v>70</v>
      </c>
      <c r="B18" s="109">
        <f>B15/B16</f>
        <v>0.6403134980286912</v>
      </c>
      <c r="C18" s="110"/>
      <c r="D18" s="70">
        <f>D15/D16</f>
        <v>0.47336279958734434</v>
      </c>
      <c r="F18" s="25" t="s">
        <v>106</v>
      </c>
      <c r="G18" s="42">
        <f>H18</f>
        <v>1.8903131831099762E-2</v>
      </c>
      <c r="H18" s="42">
        <f>'BatPac Costs To Make Pack Costs'!N35*0.2052</f>
        <v>1.8903131831099762E-2</v>
      </c>
      <c r="K18" s="76"/>
      <c r="L18" s="76"/>
      <c r="M18" s="49"/>
      <c r="N18" s="51"/>
    </row>
    <row r="19" spans="1:15" x14ac:dyDescent="0.25">
      <c r="A19" s="68" t="s">
        <v>71</v>
      </c>
      <c r="B19" s="104">
        <f>B15/B17</f>
        <v>5.8127659351044594</v>
      </c>
      <c r="C19" s="105"/>
      <c r="D19" s="70">
        <f>D15/D17</f>
        <v>4.2971874946539117</v>
      </c>
      <c r="F19" s="25" t="s">
        <v>107</v>
      </c>
      <c r="G19" s="42">
        <f>H19</f>
        <v>6.9086629885602741E-2</v>
      </c>
      <c r="H19" s="42">
        <f>'BatPac Costs To Make Pack Costs'!N32*0.2052</f>
        <v>6.9086629885602741E-2</v>
      </c>
      <c r="K19" s="76"/>
      <c r="L19" s="76"/>
      <c r="M19" s="49"/>
      <c r="N19" s="51"/>
      <c r="O19" s="25">
        <f>M19+O17</f>
        <v>0.14524000000000001</v>
      </c>
    </row>
    <row r="20" spans="1:15" x14ac:dyDescent="0.25">
      <c r="A20" s="68" t="s">
        <v>35</v>
      </c>
      <c r="B20" s="90">
        <f>B7/B15</f>
        <v>0.44624318800109941</v>
      </c>
      <c r="C20" s="91"/>
      <c r="D20" s="53">
        <f>D7/D15</f>
        <v>0.54165669727856924</v>
      </c>
      <c r="E20" s="30"/>
      <c r="F20" s="25" t="s">
        <v>108</v>
      </c>
      <c r="G20" s="42">
        <f>H20</f>
        <v>2.963987559688543E-2</v>
      </c>
      <c r="H20" s="42">
        <f>'BatPac Costs To Make Pack Costs'!N33*0.2052</f>
        <v>2.963987559688543E-2</v>
      </c>
      <c r="I20" s="30"/>
      <c r="J20" s="30"/>
      <c r="K20" s="49"/>
      <c r="L20" s="49"/>
      <c r="M20" s="51"/>
    </row>
    <row r="21" spans="1:15" x14ac:dyDescent="0.25">
      <c r="B21" s="92"/>
      <c r="C21" s="92"/>
      <c r="E21" s="30"/>
      <c r="F21" s="25" t="s">
        <v>64</v>
      </c>
      <c r="G21" s="42">
        <f>B12/B17</f>
        <v>6.7679407552287449E-2</v>
      </c>
      <c r="H21" s="42">
        <f>D12/D17</f>
        <v>5.9730906175689366E-2</v>
      </c>
      <c r="M21" s="51"/>
    </row>
    <row r="22" spans="1:15" x14ac:dyDescent="0.25">
      <c r="A22" s="27"/>
      <c r="B22" s="72"/>
      <c r="C22" s="73"/>
      <c r="F22" s="25" t="s">
        <v>63</v>
      </c>
      <c r="G22" s="42">
        <f>B13/B17</f>
        <v>9.6893540308670534E-2</v>
      </c>
      <c r="H22" s="42">
        <f>D13/D17</f>
        <v>8.5514031143612848E-2</v>
      </c>
      <c r="M22" s="51"/>
    </row>
    <row r="23" spans="1:15" x14ac:dyDescent="0.25">
      <c r="A23" s="68" t="s">
        <v>3</v>
      </c>
      <c r="B23" s="93">
        <f>Inputs!J4</f>
        <v>1750000</v>
      </c>
      <c r="C23" s="94"/>
      <c r="D23" s="55">
        <f>Inputs!K4</f>
        <v>2275000</v>
      </c>
      <c r="F23" s="25" t="s">
        <v>99</v>
      </c>
      <c r="G23" s="42">
        <f>'Financing Cost'!H8</f>
        <v>0.18861957032160098</v>
      </c>
      <c r="H23" s="42">
        <f>'Financing Cost'!I8</f>
        <v>9.8082176567232504E-2</v>
      </c>
      <c r="J23" s="71"/>
      <c r="K23" s="71"/>
      <c r="M23" s="51"/>
    </row>
    <row r="24" spans="1:15" x14ac:dyDescent="0.25">
      <c r="A24" s="68" t="s">
        <v>37</v>
      </c>
      <c r="B24" s="95">
        <f>Inputs!L4</f>
        <v>7</v>
      </c>
      <c r="C24" s="96"/>
      <c r="D24" s="25">
        <f>Inputs!L4</f>
        <v>7</v>
      </c>
      <c r="F24" s="25" t="s">
        <v>59</v>
      </c>
      <c r="G24" s="42">
        <f>B14/B17</f>
        <v>0.94374380904061284</v>
      </c>
      <c r="H24" s="42">
        <f>D14/D17</f>
        <v>0.49074678070111877</v>
      </c>
      <c r="M24" s="51"/>
    </row>
    <row r="25" spans="1:15" x14ac:dyDescent="0.25">
      <c r="A25" s="68" t="s">
        <v>36</v>
      </c>
      <c r="B25" s="97">
        <f>B23/B24/24/365</f>
        <v>28.538812785388128</v>
      </c>
      <c r="C25" s="98"/>
      <c r="D25" s="71">
        <f>D23/D24/365/24</f>
        <v>37.100456621004568</v>
      </c>
      <c r="F25" s="25" t="s">
        <v>65</v>
      </c>
      <c r="G25" s="42">
        <f>SUM(G14:G24)-G15</f>
        <v>5.8127659351044585</v>
      </c>
      <c r="H25" s="42">
        <f>SUM(H14:H24)-H15</f>
        <v>4.2971874946539117</v>
      </c>
      <c r="M25" s="51"/>
    </row>
    <row r="26" spans="1:15" x14ac:dyDescent="0.25">
      <c r="A26" s="28" t="s">
        <v>40</v>
      </c>
      <c r="B26" s="84">
        <f>'1.2 m R2R Machine'!D51*G12/100</f>
        <v>725.75999999999988</v>
      </c>
      <c r="C26" s="85"/>
      <c r="D26" s="25">
        <f>'1.2 m R2R Machine'!D51*(3/1.2)*H12/100</f>
        <v>1814.3999999999996</v>
      </c>
      <c r="F26" s="80" t="s">
        <v>116</v>
      </c>
      <c r="G26" s="79">
        <f>((G25)/0.2052)/(Inputs!P4*Inputs!Q4*Inputs!R4)</f>
        <v>32.738505618951628</v>
      </c>
      <c r="H26" s="79">
        <f>((H25)/0.2052)/(Inputs!P4*Inputs!Q4*Inputs!R4)</f>
        <v>24.202505056981551</v>
      </c>
      <c r="M26" s="51"/>
    </row>
    <row r="27" spans="1:15" x14ac:dyDescent="0.25">
      <c r="A27" s="31" t="s">
        <v>41</v>
      </c>
      <c r="B27" s="86">
        <f>B26/24</f>
        <v>30.239999999999995</v>
      </c>
      <c r="C27" s="87"/>
      <c r="D27" s="25">
        <f>D26/24</f>
        <v>75.59999999999998</v>
      </c>
      <c r="F27" s="25" t="s">
        <v>69</v>
      </c>
      <c r="G27" s="47">
        <f>G14/G3</f>
        <v>3.9238129300434861</v>
      </c>
      <c r="H27" s="47">
        <f>H14/G3</f>
        <v>3.4833728501751993</v>
      </c>
      <c r="M27" s="51"/>
    </row>
    <row r="28" spans="1:15" x14ac:dyDescent="0.25">
      <c r="A28" s="68" t="s">
        <v>39</v>
      </c>
      <c r="B28" s="84">
        <f>Inputs!C4</f>
        <v>17</v>
      </c>
      <c r="C28" s="85"/>
      <c r="D28" s="34">
        <f>Inputs!C4</f>
        <v>17</v>
      </c>
      <c r="F28" s="25" t="s">
        <v>72</v>
      </c>
      <c r="G28" s="54">
        <f>G15/$F$3</f>
        <v>5.8565210855888908E-2</v>
      </c>
      <c r="H28" s="54">
        <f>H15/$F$3</f>
        <v>5.2552538227487844E-2</v>
      </c>
      <c r="M28" s="51"/>
    </row>
    <row r="29" spans="1:15" x14ac:dyDescent="0.25">
      <c r="A29" s="68" t="s">
        <v>42</v>
      </c>
      <c r="B29" s="88">
        <f>B27*B28/1000000</f>
        <v>5.1407999999999988E-4</v>
      </c>
      <c r="C29" s="89"/>
      <c r="D29" s="25">
        <f>D27*D28/1000000</f>
        <v>1.2851999999999996E-3</v>
      </c>
      <c r="M29" s="51"/>
    </row>
    <row r="30" spans="1:15" x14ac:dyDescent="0.25">
      <c r="A30" s="68" t="s">
        <v>43</v>
      </c>
      <c r="B30" s="102">
        <f>B29*1000000</f>
        <v>514.07999999999993</v>
      </c>
      <c r="C30" s="103"/>
      <c r="D30" s="25">
        <f>D29*1000000</f>
        <v>1285.1999999999996</v>
      </c>
      <c r="F30" s="25" t="s">
        <v>77</v>
      </c>
      <c r="G30" s="42">
        <f>G27*Inputs!H4*Inputs!I4/1000000</f>
        <v>1.0786557614360144</v>
      </c>
      <c r="H30" s="42">
        <f>H27*Inputs!H4*Inputs!I4/1000000</f>
        <v>0.957578829842336</v>
      </c>
      <c r="M30" s="51"/>
    </row>
    <row r="31" spans="1:15" x14ac:dyDescent="0.25">
      <c r="A31" s="31" t="s">
        <v>44</v>
      </c>
      <c r="B31" s="107">
        <f>B30*$G$1</f>
        <v>274.51871999999997</v>
      </c>
      <c r="C31" s="108"/>
      <c r="D31" s="25">
        <f>D30*$G$1</f>
        <v>686.29679999999985</v>
      </c>
      <c r="F31" s="25" t="s">
        <v>160</v>
      </c>
      <c r="G31" s="79">
        <f>G25+G30</f>
        <v>6.8914216965404727</v>
      </c>
      <c r="H31" s="79">
        <f>H25+H30</f>
        <v>5.2547663244962477</v>
      </c>
      <c r="J31" s="49"/>
      <c r="M31" s="51"/>
    </row>
    <row r="32" spans="1:15" x14ac:dyDescent="0.25">
      <c r="F32" s="80" t="s">
        <v>161</v>
      </c>
      <c r="G32" s="79">
        <f>((G31)/0.2052)/(Inputs!P4*Inputs!Q4*Inputs!R4)</f>
        <v>38.81368189491721</v>
      </c>
      <c r="H32" s="79">
        <f>((H31)/0.2052)/(Inputs!P4*Inputs!Q4*Inputs!R4)</f>
        <v>29.595755060745734</v>
      </c>
      <c r="M32" s="51"/>
    </row>
    <row r="33" spans="1:14" x14ac:dyDescent="0.25">
      <c r="M33" s="51"/>
    </row>
    <row r="34" spans="1:14" x14ac:dyDescent="0.25">
      <c r="M34" s="51"/>
      <c r="N34" s="48"/>
    </row>
    <row r="35" spans="1:14" x14ac:dyDescent="0.25">
      <c r="E35" s="30"/>
      <c r="H35" s="82"/>
      <c r="M35" s="51"/>
      <c r="N35" s="49"/>
    </row>
    <row r="42" spans="1:14" x14ac:dyDescent="0.25">
      <c r="A42" s="51"/>
    </row>
    <row r="43" spans="1:14" x14ac:dyDescent="0.25">
      <c r="A43" s="51"/>
    </row>
    <row r="44" spans="1:14" x14ac:dyDescent="0.25">
      <c r="A44" s="51"/>
    </row>
    <row r="45" spans="1:14" x14ac:dyDescent="0.25">
      <c r="A45" s="51"/>
    </row>
    <row r="46" spans="1:14" x14ac:dyDescent="0.25">
      <c r="A46" s="51"/>
    </row>
    <row r="47" spans="1:14" x14ac:dyDescent="0.25">
      <c r="A47" s="51"/>
    </row>
    <row r="48" spans="1:14" x14ac:dyDescent="0.25">
      <c r="A48" s="51"/>
    </row>
    <row r="49" spans="1:1" x14ac:dyDescent="0.25">
      <c r="A49" s="51"/>
    </row>
    <row r="50" spans="1:1" x14ac:dyDescent="0.25">
      <c r="A50" s="51"/>
    </row>
    <row r="51" spans="1:1" x14ac:dyDescent="0.25">
      <c r="A51" s="51"/>
    </row>
    <row r="52" spans="1:1" x14ac:dyDescent="0.25">
      <c r="A52" s="52"/>
    </row>
    <row r="53" spans="1:1" x14ac:dyDescent="0.25">
      <c r="A53" s="51"/>
    </row>
    <row r="54" spans="1:1" x14ac:dyDescent="0.25">
      <c r="A54" s="51"/>
    </row>
    <row r="55" spans="1:1" x14ac:dyDescent="0.25">
      <c r="A55" s="51"/>
    </row>
    <row r="56" spans="1:1" x14ac:dyDescent="0.25">
      <c r="A56" s="51"/>
    </row>
  </sheetData>
  <mergeCells count="30">
    <mergeCell ref="B6:C6"/>
    <mergeCell ref="B30:C30"/>
    <mergeCell ref="B19:C19"/>
    <mergeCell ref="B10:C10"/>
    <mergeCell ref="B31:C31"/>
    <mergeCell ref="B18:C18"/>
    <mergeCell ref="B7:C7"/>
    <mergeCell ref="B8:C8"/>
    <mergeCell ref="B9:C9"/>
    <mergeCell ref="B12:C12"/>
    <mergeCell ref="B11:C11"/>
    <mergeCell ref="B13:C13"/>
    <mergeCell ref="B14:C14"/>
    <mergeCell ref="B15:C15"/>
    <mergeCell ref="B16:C16"/>
    <mergeCell ref="B17:C17"/>
    <mergeCell ref="B1:C1"/>
    <mergeCell ref="B2:C2"/>
    <mergeCell ref="B3:C3"/>
    <mergeCell ref="B4:C4"/>
    <mergeCell ref="B5:C5"/>
    <mergeCell ref="B26:C26"/>
    <mergeCell ref="B27:C27"/>
    <mergeCell ref="B28:C28"/>
    <mergeCell ref="B29:C29"/>
    <mergeCell ref="B20:C20"/>
    <mergeCell ref="B21:C21"/>
    <mergeCell ref="B23:C23"/>
    <mergeCell ref="B24:C24"/>
    <mergeCell ref="B25:C25"/>
  </mergeCells>
  <pageMargins left="0.7" right="0.7" top="0.75" bottom="0.75" header="0.3" footer="0.3"/>
  <pageSetup paperSize="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5FC0-E1B9-4329-95C5-5E6732C7BA50}">
  <sheetPr>
    <tabColor theme="5"/>
  </sheetPr>
  <dimension ref="B1:Z449"/>
  <sheetViews>
    <sheetView workbookViewId="0">
      <selection activeCell="E33" sqref="E33"/>
    </sheetView>
  </sheetViews>
  <sheetFormatPr defaultRowHeight="15" x14ac:dyDescent="0.25"/>
  <cols>
    <col min="6" max="6" width="23.7109375" bestFit="1" customWidth="1"/>
    <col min="7" max="7" width="27.28515625" bestFit="1" customWidth="1"/>
    <col min="8" max="9" width="9.5703125" bestFit="1" customWidth="1"/>
  </cols>
  <sheetData>
    <row r="1" spans="2:26" x14ac:dyDescent="0.25">
      <c r="B1" s="83" t="s">
        <v>88</v>
      </c>
      <c r="C1" s="83"/>
      <c r="H1" s="83" t="s">
        <v>89</v>
      </c>
      <c r="I1" s="83"/>
    </row>
    <row r="2" spans="2:26" x14ac:dyDescent="0.25">
      <c r="B2" t="s">
        <v>90</v>
      </c>
      <c r="C2" t="s">
        <v>84</v>
      </c>
      <c r="E2" t="s">
        <v>91</v>
      </c>
      <c r="F2" t="s">
        <v>92</v>
      </c>
      <c r="H2" t="s">
        <v>90</v>
      </c>
      <c r="I2" t="s">
        <v>84</v>
      </c>
      <c r="Q2" t="s">
        <v>93</v>
      </c>
      <c r="S2" t="s">
        <v>92</v>
      </c>
      <c r="V2" t="s">
        <v>90</v>
      </c>
      <c r="W2" t="s">
        <v>84</v>
      </c>
    </row>
    <row r="3" spans="2:26" x14ac:dyDescent="0.25">
      <c r="B3">
        <f>Inputs!J4/1000000</f>
        <v>1.75</v>
      </c>
      <c r="C3">
        <f>Inputs!K4/1000000</f>
        <v>2.2749999999999999</v>
      </c>
      <c r="E3">
        <f>Inputs!N4</f>
        <v>5</v>
      </c>
      <c r="F3">
        <f>S3</f>
        <v>7</v>
      </c>
      <c r="G3" t="s">
        <v>94</v>
      </c>
      <c r="H3" s="5">
        <f>Y3</f>
        <v>0.35000000000000003</v>
      </c>
      <c r="I3" s="5">
        <f>Z3</f>
        <v>0.45499999999999996</v>
      </c>
      <c r="Q3">
        <v>1</v>
      </c>
      <c r="R3" t="b">
        <f>Q3&lt;($S$3+1)</f>
        <v>1</v>
      </c>
      <c r="S3">
        <f>Inputs!L4</f>
        <v>7</v>
      </c>
      <c r="V3">
        <f>$B$3*(($S$3-Q3+1)/$S$3)*($E$3/100)</f>
        <v>8.7500000000000008E-2</v>
      </c>
      <c r="W3">
        <f>$C$3*(($S$3-Q3+1)/$S$3)*($E$3/100)</f>
        <v>0.11375</v>
      </c>
      <c r="Y3">
        <f>SUMIF(R3:R32,Q3:Q32&lt;($S$3+1),V3:V32)</f>
        <v>0.35000000000000003</v>
      </c>
      <c r="Z3">
        <f>SUMIF(R3:R32,Q3:Q32&lt;($S$3+1),W3:W32)</f>
        <v>0.45499999999999996</v>
      </c>
    </row>
    <row r="4" spans="2:26" x14ac:dyDescent="0.25">
      <c r="G4" t="s">
        <v>95</v>
      </c>
      <c r="H4" s="5">
        <f>Outputs!B17</f>
        <v>30.239999999999995</v>
      </c>
      <c r="I4" s="5">
        <f>Outputs!D17</f>
        <v>75.59999999999998</v>
      </c>
      <c r="Q4">
        <f>Q3+1</f>
        <v>2</v>
      </c>
      <c r="R4" t="b">
        <f t="shared" ref="R4:R67" si="0">Q4&lt;($S$3+1)</f>
        <v>1</v>
      </c>
      <c r="V4">
        <f t="shared" ref="V4:V67" si="1">$B$3*(($S$3-Q4+1)/$S$3)*($E$3/100)</f>
        <v>7.5000000000000011E-2</v>
      </c>
      <c r="W4">
        <f t="shared" ref="W4:W67" si="2">$C$3*(($S$3-Q4+1)/$S$3)*($E$3/100)</f>
        <v>9.7499999999999989E-2</v>
      </c>
    </row>
    <row r="5" spans="2:26" x14ac:dyDescent="0.25">
      <c r="G5" t="s">
        <v>96</v>
      </c>
      <c r="H5" s="5">
        <f>H4*0.2052*Inputs!P4*Inputs!Q4*Inputs!R4</f>
        <v>5.3691528844799983</v>
      </c>
      <c r="I5" s="5">
        <f>I4*0.2052*Inputs!P4*Inputs!Q4*Inputs!R4</f>
        <v>13.422882211199996</v>
      </c>
      <c r="Q5">
        <f t="shared" ref="Q5:Q68" si="3">Q4+1</f>
        <v>3</v>
      </c>
      <c r="R5" t="b">
        <f t="shared" si="0"/>
        <v>1</v>
      </c>
      <c r="V5">
        <f t="shared" si="1"/>
        <v>6.25E-2</v>
      </c>
      <c r="W5">
        <f t="shared" si="2"/>
        <v>8.1250000000000003E-2</v>
      </c>
    </row>
    <row r="6" spans="2:26" x14ac:dyDescent="0.25">
      <c r="G6" t="s">
        <v>97</v>
      </c>
      <c r="H6" s="5">
        <f>H5*24*365.25*F3</f>
        <v>329461.95929746167</v>
      </c>
      <c r="I6" s="5">
        <f>I5*24*365.25*F3</f>
        <v>823654.89824365405</v>
      </c>
      <c r="Q6">
        <f t="shared" si="3"/>
        <v>4</v>
      </c>
      <c r="R6" t="b">
        <f t="shared" si="0"/>
        <v>1</v>
      </c>
      <c r="V6">
        <f t="shared" si="1"/>
        <v>0.05</v>
      </c>
      <c r="W6">
        <f t="shared" si="2"/>
        <v>6.4999999999999988E-2</v>
      </c>
    </row>
    <row r="7" spans="2:26" x14ac:dyDescent="0.25">
      <c r="G7" t="s">
        <v>98</v>
      </c>
      <c r="H7" s="5">
        <f>(H3*1000000)/H6</f>
        <v>1.0623381246998389</v>
      </c>
      <c r="I7" s="5">
        <f>(I3*1000000)/I6</f>
        <v>0.55241582484391616</v>
      </c>
      <c r="Q7">
        <f t="shared" si="3"/>
        <v>5</v>
      </c>
      <c r="R7" t="b">
        <f t="shared" si="0"/>
        <v>1</v>
      </c>
      <c r="V7">
        <f t="shared" si="1"/>
        <v>3.7500000000000006E-2</v>
      </c>
      <c r="W7">
        <f t="shared" si="2"/>
        <v>4.8749999999999995E-2</v>
      </c>
    </row>
    <row r="8" spans="2:26" x14ac:dyDescent="0.25">
      <c r="G8" t="s">
        <v>100</v>
      </c>
      <c r="H8" s="5">
        <f>H7*0.2052*(Inputs!P4*Inputs!Q4*Inputs!R4)</f>
        <v>0.18861957032160098</v>
      </c>
      <c r="I8" s="5">
        <f>I7*0.2052*(Inputs!P4*Inputs!Q4*Inputs!R4)</f>
        <v>9.8082176567232504E-2</v>
      </c>
      <c r="Q8">
        <f t="shared" si="3"/>
        <v>6</v>
      </c>
      <c r="R8" t="b">
        <f t="shared" si="0"/>
        <v>1</v>
      </c>
      <c r="V8">
        <f t="shared" si="1"/>
        <v>2.5000000000000001E-2</v>
      </c>
      <c r="W8">
        <f t="shared" si="2"/>
        <v>3.2499999999999994E-2</v>
      </c>
    </row>
    <row r="9" spans="2:26" x14ac:dyDescent="0.25">
      <c r="Q9">
        <f t="shared" si="3"/>
        <v>7</v>
      </c>
      <c r="R9" t="b">
        <f t="shared" si="0"/>
        <v>1</v>
      </c>
      <c r="V9">
        <f t="shared" si="1"/>
        <v>1.2500000000000001E-2</v>
      </c>
      <c r="W9">
        <f t="shared" si="2"/>
        <v>1.6249999999999997E-2</v>
      </c>
    </row>
    <row r="10" spans="2:26" x14ac:dyDescent="0.25">
      <c r="Q10">
        <f t="shared" si="3"/>
        <v>8</v>
      </c>
      <c r="R10" t="b">
        <f t="shared" si="0"/>
        <v>0</v>
      </c>
      <c r="V10">
        <f t="shared" si="1"/>
        <v>0</v>
      </c>
      <c r="W10">
        <f t="shared" si="2"/>
        <v>0</v>
      </c>
    </row>
    <row r="11" spans="2:26" x14ac:dyDescent="0.25">
      <c r="Q11">
        <f t="shared" si="3"/>
        <v>9</v>
      </c>
      <c r="R11" t="b">
        <f t="shared" si="0"/>
        <v>0</v>
      </c>
      <c r="V11">
        <f t="shared" si="1"/>
        <v>-1.2500000000000001E-2</v>
      </c>
      <c r="W11">
        <f t="shared" si="2"/>
        <v>-1.6249999999999997E-2</v>
      </c>
    </row>
    <row r="12" spans="2:26" x14ac:dyDescent="0.25">
      <c r="Q12">
        <f t="shared" si="3"/>
        <v>10</v>
      </c>
      <c r="R12" t="b">
        <f t="shared" si="0"/>
        <v>0</v>
      </c>
      <c r="V12">
        <f t="shared" si="1"/>
        <v>-2.5000000000000001E-2</v>
      </c>
      <c r="W12">
        <f t="shared" si="2"/>
        <v>-3.2499999999999994E-2</v>
      </c>
    </row>
    <row r="13" spans="2:26" x14ac:dyDescent="0.25">
      <c r="Q13">
        <f t="shared" si="3"/>
        <v>11</v>
      </c>
      <c r="R13" t="b">
        <f t="shared" si="0"/>
        <v>0</v>
      </c>
      <c r="V13">
        <f t="shared" si="1"/>
        <v>-3.7500000000000006E-2</v>
      </c>
      <c r="W13">
        <f t="shared" si="2"/>
        <v>-4.8749999999999995E-2</v>
      </c>
    </row>
    <row r="14" spans="2:26" x14ac:dyDescent="0.25">
      <c r="Q14">
        <f t="shared" si="3"/>
        <v>12</v>
      </c>
      <c r="R14" t="b">
        <f t="shared" si="0"/>
        <v>0</v>
      </c>
      <c r="V14">
        <f t="shared" si="1"/>
        <v>-0.05</v>
      </c>
      <c r="W14">
        <f t="shared" si="2"/>
        <v>-6.4999999999999988E-2</v>
      </c>
    </row>
    <row r="15" spans="2:26" x14ac:dyDescent="0.25">
      <c r="Q15">
        <f t="shared" si="3"/>
        <v>13</v>
      </c>
      <c r="R15" t="b">
        <f t="shared" si="0"/>
        <v>0</v>
      </c>
      <c r="V15">
        <f t="shared" si="1"/>
        <v>-6.25E-2</v>
      </c>
      <c r="W15">
        <f t="shared" si="2"/>
        <v>-8.1250000000000003E-2</v>
      </c>
    </row>
    <row r="16" spans="2:26" x14ac:dyDescent="0.25">
      <c r="Q16">
        <f t="shared" si="3"/>
        <v>14</v>
      </c>
      <c r="R16" t="b">
        <f t="shared" si="0"/>
        <v>0</v>
      </c>
      <c r="V16">
        <f t="shared" si="1"/>
        <v>-7.5000000000000011E-2</v>
      </c>
      <c r="W16">
        <f t="shared" si="2"/>
        <v>-9.7499999999999989E-2</v>
      </c>
    </row>
    <row r="17" spans="7:23" x14ac:dyDescent="0.25">
      <c r="G17" s="74"/>
      <c r="Q17">
        <f t="shared" si="3"/>
        <v>15</v>
      </c>
      <c r="R17" t="b">
        <f t="shared" si="0"/>
        <v>0</v>
      </c>
      <c r="V17">
        <f t="shared" si="1"/>
        <v>-8.7500000000000008E-2</v>
      </c>
      <c r="W17">
        <f t="shared" si="2"/>
        <v>-0.11375</v>
      </c>
    </row>
    <row r="18" spans="7:23" x14ac:dyDescent="0.25">
      <c r="Q18">
        <f t="shared" si="3"/>
        <v>16</v>
      </c>
      <c r="R18" t="b">
        <f t="shared" si="0"/>
        <v>0</v>
      </c>
      <c r="V18">
        <f t="shared" si="1"/>
        <v>-0.1</v>
      </c>
      <c r="W18">
        <f t="shared" si="2"/>
        <v>-0.12999999999999998</v>
      </c>
    </row>
    <row r="19" spans="7:23" x14ac:dyDescent="0.25">
      <c r="Q19">
        <f t="shared" si="3"/>
        <v>17</v>
      </c>
      <c r="R19" t="b">
        <f t="shared" si="0"/>
        <v>0</v>
      </c>
      <c r="V19">
        <f t="shared" si="1"/>
        <v>-0.1125</v>
      </c>
      <c r="W19">
        <f t="shared" si="2"/>
        <v>-0.14625000000000002</v>
      </c>
    </row>
    <row r="20" spans="7:23" x14ac:dyDescent="0.25">
      <c r="Q20">
        <f t="shared" si="3"/>
        <v>18</v>
      </c>
      <c r="R20" t="b">
        <f t="shared" si="0"/>
        <v>0</v>
      </c>
      <c r="V20">
        <f t="shared" si="1"/>
        <v>-0.125</v>
      </c>
      <c r="W20">
        <f t="shared" si="2"/>
        <v>-0.16250000000000001</v>
      </c>
    </row>
    <row r="21" spans="7:23" x14ac:dyDescent="0.25">
      <c r="Q21">
        <f t="shared" si="3"/>
        <v>19</v>
      </c>
      <c r="R21" t="b">
        <f t="shared" si="0"/>
        <v>0</v>
      </c>
      <c r="V21">
        <f t="shared" si="1"/>
        <v>-0.13750000000000001</v>
      </c>
      <c r="W21">
        <f t="shared" si="2"/>
        <v>-0.17874999999999999</v>
      </c>
    </row>
    <row r="22" spans="7:23" x14ac:dyDescent="0.25">
      <c r="Q22">
        <f t="shared" si="3"/>
        <v>20</v>
      </c>
      <c r="R22" t="b">
        <f t="shared" si="0"/>
        <v>0</v>
      </c>
      <c r="V22">
        <f t="shared" si="1"/>
        <v>-0.15000000000000002</v>
      </c>
      <c r="W22">
        <f t="shared" si="2"/>
        <v>-0.19499999999999998</v>
      </c>
    </row>
    <row r="23" spans="7:23" x14ac:dyDescent="0.25">
      <c r="Q23">
        <f t="shared" si="3"/>
        <v>21</v>
      </c>
      <c r="R23" t="b">
        <f t="shared" si="0"/>
        <v>0</v>
      </c>
      <c r="V23">
        <f t="shared" si="1"/>
        <v>-0.16250000000000001</v>
      </c>
      <c r="W23">
        <f t="shared" si="2"/>
        <v>-0.21124999999999999</v>
      </c>
    </row>
    <row r="24" spans="7:23" x14ac:dyDescent="0.25">
      <c r="Q24">
        <f t="shared" si="3"/>
        <v>22</v>
      </c>
      <c r="R24" t="b">
        <f t="shared" si="0"/>
        <v>0</v>
      </c>
      <c r="V24">
        <f t="shared" si="1"/>
        <v>-0.17500000000000002</v>
      </c>
      <c r="W24">
        <f t="shared" si="2"/>
        <v>-0.22750000000000001</v>
      </c>
    </row>
    <row r="25" spans="7:23" x14ac:dyDescent="0.25">
      <c r="Q25">
        <f t="shared" si="3"/>
        <v>23</v>
      </c>
      <c r="R25" t="b">
        <f t="shared" si="0"/>
        <v>0</v>
      </c>
      <c r="V25">
        <f t="shared" si="1"/>
        <v>-0.1875</v>
      </c>
      <c r="W25">
        <f t="shared" si="2"/>
        <v>-0.24375000000000002</v>
      </c>
    </row>
    <row r="26" spans="7:23" x14ac:dyDescent="0.25">
      <c r="Q26">
        <f t="shared" si="3"/>
        <v>24</v>
      </c>
      <c r="R26" t="b">
        <f t="shared" si="0"/>
        <v>0</v>
      </c>
      <c r="V26">
        <f t="shared" si="1"/>
        <v>-0.2</v>
      </c>
      <c r="W26">
        <f t="shared" si="2"/>
        <v>-0.25999999999999995</v>
      </c>
    </row>
    <row r="27" spans="7:23" x14ac:dyDescent="0.25">
      <c r="Q27">
        <f t="shared" si="3"/>
        <v>25</v>
      </c>
      <c r="R27" t="b">
        <f t="shared" si="0"/>
        <v>0</v>
      </c>
      <c r="V27">
        <f t="shared" si="1"/>
        <v>-0.21250000000000002</v>
      </c>
      <c r="W27">
        <f t="shared" si="2"/>
        <v>-0.27625</v>
      </c>
    </row>
    <row r="28" spans="7:23" x14ac:dyDescent="0.25">
      <c r="Q28">
        <f t="shared" si="3"/>
        <v>26</v>
      </c>
      <c r="R28" t="b">
        <f t="shared" si="0"/>
        <v>0</v>
      </c>
      <c r="V28">
        <f t="shared" si="1"/>
        <v>-0.22500000000000001</v>
      </c>
      <c r="W28">
        <f t="shared" si="2"/>
        <v>-0.29250000000000004</v>
      </c>
    </row>
    <row r="29" spans="7:23" x14ac:dyDescent="0.25">
      <c r="Q29">
        <f t="shared" si="3"/>
        <v>27</v>
      </c>
      <c r="R29" t="b">
        <f t="shared" si="0"/>
        <v>0</v>
      </c>
      <c r="V29">
        <f t="shared" si="1"/>
        <v>-0.23750000000000002</v>
      </c>
      <c r="W29">
        <f t="shared" si="2"/>
        <v>-0.30875000000000002</v>
      </c>
    </row>
    <row r="30" spans="7:23" x14ac:dyDescent="0.25">
      <c r="Q30">
        <f t="shared" si="3"/>
        <v>28</v>
      </c>
      <c r="R30" t="b">
        <f t="shared" si="0"/>
        <v>0</v>
      </c>
      <c r="V30">
        <f t="shared" si="1"/>
        <v>-0.25</v>
      </c>
      <c r="W30">
        <f t="shared" si="2"/>
        <v>-0.32500000000000001</v>
      </c>
    </row>
    <row r="31" spans="7:23" x14ac:dyDescent="0.25">
      <c r="Q31">
        <f>Q30+1</f>
        <v>29</v>
      </c>
      <c r="R31" t="b">
        <f t="shared" si="0"/>
        <v>0</v>
      </c>
      <c r="V31">
        <f t="shared" si="1"/>
        <v>-0.26250000000000001</v>
      </c>
      <c r="W31">
        <f t="shared" si="2"/>
        <v>-0.34125</v>
      </c>
    </row>
    <row r="32" spans="7:23" x14ac:dyDescent="0.25">
      <c r="Q32">
        <f t="shared" si="3"/>
        <v>30</v>
      </c>
      <c r="R32" t="b">
        <f t="shared" si="0"/>
        <v>0</v>
      </c>
      <c r="V32">
        <f t="shared" si="1"/>
        <v>-0.27500000000000002</v>
      </c>
      <c r="W32">
        <f t="shared" si="2"/>
        <v>-0.35749999999999998</v>
      </c>
    </row>
    <row r="33" spans="17:23" x14ac:dyDescent="0.25">
      <c r="Q33">
        <f t="shared" si="3"/>
        <v>31</v>
      </c>
      <c r="R33" t="b">
        <f t="shared" si="0"/>
        <v>0</v>
      </c>
      <c r="V33">
        <f t="shared" si="1"/>
        <v>-0.28750000000000003</v>
      </c>
      <c r="W33">
        <f t="shared" si="2"/>
        <v>-0.37375000000000003</v>
      </c>
    </row>
    <row r="34" spans="17:23" x14ac:dyDescent="0.25">
      <c r="Q34">
        <f t="shared" si="3"/>
        <v>32</v>
      </c>
      <c r="R34" t="b">
        <f t="shared" si="0"/>
        <v>0</v>
      </c>
      <c r="V34">
        <f t="shared" si="1"/>
        <v>-0.30000000000000004</v>
      </c>
      <c r="W34">
        <f t="shared" si="2"/>
        <v>-0.38999999999999996</v>
      </c>
    </row>
    <row r="35" spans="17:23" x14ac:dyDescent="0.25">
      <c r="Q35">
        <f t="shared" si="3"/>
        <v>33</v>
      </c>
      <c r="R35" t="b">
        <f t="shared" si="0"/>
        <v>0</v>
      </c>
      <c r="V35">
        <f t="shared" si="1"/>
        <v>-0.3125</v>
      </c>
      <c r="W35">
        <f t="shared" si="2"/>
        <v>-0.40625</v>
      </c>
    </row>
    <row r="36" spans="17:23" x14ac:dyDescent="0.25">
      <c r="Q36">
        <f t="shared" si="3"/>
        <v>34</v>
      </c>
      <c r="R36" t="b">
        <f t="shared" si="0"/>
        <v>0</v>
      </c>
      <c r="V36">
        <f t="shared" si="1"/>
        <v>-0.32500000000000001</v>
      </c>
      <c r="W36">
        <f t="shared" si="2"/>
        <v>-0.42249999999999999</v>
      </c>
    </row>
    <row r="37" spans="17:23" x14ac:dyDescent="0.25">
      <c r="Q37">
        <f t="shared" si="3"/>
        <v>35</v>
      </c>
      <c r="R37" t="b">
        <f t="shared" si="0"/>
        <v>0</v>
      </c>
      <c r="V37">
        <f t="shared" si="1"/>
        <v>-0.33750000000000002</v>
      </c>
      <c r="W37">
        <f t="shared" si="2"/>
        <v>-0.43875000000000003</v>
      </c>
    </row>
    <row r="38" spans="17:23" x14ac:dyDescent="0.25">
      <c r="Q38">
        <f t="shared" si="3"/>
        <v>36</v>
      </c>
      <c r="R38" t="b">
        <f t="shared" si="0"/>
        <v>0</v>
      </c>
      <c r="V38">
        <f t="shared" si="1"/>
        <v>-0.35000000000000003</v>
      </c>
      <c r="W38">
        <f t="shared" si="2"/>
        <v>-0.45500000000000002</v>
      </c>
    </row>
    <row r="39" spans="17:23" x14ac:dyDescent="0.25">
      <c r="Q39">
        <f t="shared" si="3"/>
        <v>37</v>
      </c>
      <c r="R39" t="b">
        <f t="shared" si="0"/>
        <v>0</v>
      </c>
      <c r="V39">
        <f t="shared" si="1"/>
        <v>-0.36250000000000004</v>
      </c>
      <c r="W39">
        <f t="shared" si="2"/>
        <v>-0.47125000000000006</v>
      </c>
    </row>
    <row r="40" spans="17:23" x14ac:dyDescent="0.25">
      <c r="Q40">
        <f t="shared" si="3"/>
        <v>38</v>
      </c>
      <c r="R40" t="b">
        <f t="shared" si="0"/>
        <v>0</v>
      </c>
      <c r="V40">
        <f t="shared" si="1"/>
        <v>-0.375</v>
      </c>
      <c r="W40">
        <f t="shared" si="2"/>
        <v>-0.48750000000000004</v>
      </c>
    </row>
    <row r="41" spans="17:23" x14ac:dyDescent="0.25">
      <c r="Q41">
        <f t="shared" si="3"/>
        <v>39</v>
      </c>
      <c r="R41" t="b">
        <f t="shared" si="0"/>
        <v>0</v>
      </c>
      <c r="V41">
        <f t="shared" si="1"/>
        <v>-0.38750000000000001</v>
      </c>
      <c r="W41">
        <f t="shared" si="2"/>
        <v>-0.50375000000000003</v>
      </c>
    </row>
    <row r="42" spans="17:23" x14ac:dyDescent="0.25">
      <c r="Q42">
        <f t="shared" si="3"/>
        <v>40</v>
      </c>
      <c r="R42" t="b">
        <f t="shared" si="0"/>
        <v>0</v>
      </c>
      <c r="V42">
        <f t="shared" si="1"/>
        <v>-0.4</v>
      </c>
      <c r="W42">
        <f t="shared" si="2"/>
        <v>-0.51999999999999991</v>
      </c>
    </row>
    <row r="43" spans="17:23" x14ac:dyDescent="0.25">
      <c r="Q43">
        <f t="shared" si="3"/>
        <v>41</v>
      </c>
      <c r="R43" t="b">
        <f t="shared" si="0"/>
        <v>0</v>
      </c>
      <c r="V43">
        <f t="shared" si="1"/>
        <v>-0.41250000000000003</v>
      </c>
      <c r="W43">
        <f t="shared" si="2"/>
        <v>-0.53625</v>
      </c>
    </row>
    <row r="44" spans="17:23" x14ac:dyDescent="0.25">
      <c r="Q44">
        <f t="shared" si="3"/>
        <v>42</v>
      </c>
      <c r="R44" t="b">
        <f t="shared" si="0"/>
        <v>0</v>
      </c>
      <c r="V44">
        <f t="shared" si="1"/>
        <v>-0.42500000000000004</v>
      </c>
      <c r="W44">
        <f t="shared" si="2"/>
        <v>-0.55249999999999999</v>
      </c>
    </row>
    <row r="45" spans="17:23" x14ac:dyDescent="0.25">
      <c r="Q45">
        <f t="shared" si="3"/>
        <v>43</v>
      </c>
      <c r="R45" t="b">
        <f t="shared" si="0"/>
        <v>0</v>
      </c>
      <c r="V45">
        <f t="shared" si="1"/>
        <v>-0.4375</v>
      </c>
      <c r="W45">
        <f t="shared" si="2"/>
        <v>-0.56874999999999998</v>
      </c>
    </row>
    <row r="46" spans="17:23" x14ac:dyDescent="0.25">
      <c r="Q46">
        <f t="shared" si="3"/>
        <v>44</v>
      </c>
      <c r="R46" t="b">
        <f t="shared" si="0"/>
        <v>0</v>
      </c>
      <c r="V46">
        <f t="shared" si="1"/>
        <v>-0.45</v>
      </c>
      <c r="W46">
        <f t="shared" si="2"/>
        <v>-0.58500000000000008</v>
      </c>
    </row>
    <row r="47" spans="17:23" x14ac:dyDescent="0.25">
      <c r="Q47">
        <f t="shared" si="3"/>
        <v>45</v>
      </c>
      <c r="R47" t="b">
        <f t="shared" si="0"/>
        <v>0</v>
      </c>
      <c r="V47">
        <f t="shared" si="1"/>
        <v>-0.46250000000000002</v>
      </c>
      <c r="W47">
        <f t="shared" si="2"/>
        <v>-0.60124999999999995</v>
      </c>
    </row>
    <row r="48" spans="17:23" x14ac:dyDescent="0.25">
      <c r="Q48">
        <f t="shared" si="3"/>
        <v>46</v>
      </c>
      <c r="R48" t="b">
        <f t="shared" si="0"/>
        <v>0</v>
      </c>
      <c r="V48">
        <f t="shared" si="1"/>
        <v>-0.47500000000000003</v>
      </c>
      <c r="W48">
        <f t="shared" si="2"/>
        <v>-0.61750000000000005</v>
      </c>
    </row>
    <row r="49" spans="17:23" x14ac:dyDescent="0.25">
      <c r="Q49">
        <f t="shared" si="3"/>
        <v>47</v>
      </c>
      <c r="R49" t="b">
        <f t="shared" si="0"/>
        <v>0</v>
      </c>
      <c r="V49">
        <f t="shared" si="1"/>
        <v>-0.48750000000000004</v>
      </c>
      <c r="W49">
        <f t="shared" si="2"/>
        <v>-0.63375000000000004</v>
      </c>
    </row>
    <row r="50" spans="17:23" x14ac:dyDescent="0.25">
      <c r="Q50">
        <f t="shared" si="3"/>
        <v>48</v>
      </c>
      <c r="R50" t="b">
        <f t="shared" si="0"/>
        <v>0</v>
      </c>
      <c r="V50">
        <f t="shared" si="1"/>
        <v>-0.5</v>
      </c>
      <c r="W50">
        <f t="shared" si="2"/>
        <v>-0.65</v>
      </c>
    </row>
    <row r="51" spans="17:23" x14ac:dyDescent="0.25">
      <c r="Q51">
        <f t="shared" si="3"/>
        <v>49</v>
      </c>
      <c r="R51" t="b">
        <f t="shared" si="0"/>
        <v>0</v>
      </c>
      <c r="V51">
        <f t="shared" si="1"/>
        <v>-0.51250000000000007</v>
      </c>
      <c r="W51">
        <f t="shared" si="2"/>
        <v>-0.66625000000000001</v>
      </c>
    </row>
    <row r="52" spans="17:23" x14ac:dyDescent="0.25">
      <c r="Q52">
        <f t="shared" si="3"/>
        <v>50</v>
      </c>
      <c r="R52" t="b">
        <f t="shared" si="0"/>
        <v>0</v>
      </c>
      <c r="V52">
        <f t="shared" si="1"/>
        <v>-0.52500000000000002</v>
      </c>
      <c r="W52">
        <f t="shared" si="2"/>
        <v>-0.6825</v>
      </c>
    </row>
    <row r="53" spans="17:23" x14ac:dyDescent="0.25">
      <c r="Q53">
        <f t="shared" si="3"/>
        <v>51</v>
      </c>
      <c r="R53" t="b">
        <f t="shared" si="0"/>
        <v>0</v>
      </c>
      <c r="V53">
        <f t="shared" si="1"/>
        <v>-0.53749999999999998</v>
      </c>
      <c r="W53">
        <f t="shared" si="2"/>
        <v>-0.69874999999999998</v>
      </c>
    </row>
    <row r="54" spans="17:23" x14ac:dyDescent="0.25">
      <c r="Q54">
        <f t="shared" si="3"/>
        <v>52</v>
      </c>
      <c r="R54" t="b">
        <f t="shared" si="0"/>
        <v>0</v>
      </c>
      <c r="V54">
        <f t="shared" si="1"/>
        <v>-0.55000000000000004</v>
      </c>
      <c r="W54">
        <f t="shared" si="2"/>
        <v>-0.71499999999999997</v>
      </c>
    </row>
    <row r="55" spans="17:23" x14ac:dyDescent="0.25">
      <c r="Q55">
        <f t="shared" si="3"/>
        <v>53</v>
      </c>
      <c r="R55" t="b">
        <f t="shared" si="0"/>
        <v>0</v>
      </c>
      <c r="V55">
        <f t="shared" si="1"/>
        <v>-0.5625</v>
      </c>
      <c r="W55">
        <f t="shared" si="2"/>
        <v>-0.73125000000000007</v>
      </c>
    </row>
    <row r="56" spans="17:23" x14ac:dyDescent="0.25">
      <c r="Q56">
        <f t="shared" si="3"/>
        <v>54</v>
      </c>
      <c r="R56" t="b">
        <f t="shared" si="0"/>
        <v>0</v>
      </c>
      <c r="V56">
        <f t="shared" si="1"/>
        <v>-0.57500000000000007</v>
      </c>
      <c r="W56">
        <f t="shared" si="2"/>
        <v>-0.74750000000000005</v>
      </c>
    </row>
    <row r="57" spans="17:23" x14ac:dyDescent="0.25">
      <c r="Q57">
        <f t="shared" si="3"/>
        <v>55</v>
      </c>
      <c r="R57" t="b">
        <f t="shared" si="0"/>
        <v>0</v>
      </c>
      <c r="V57">
        <f t="shared" si="1"/>
        <v>-0.58750000000000002</v>
      </c>
      <c r="W57">
        <f t="shared" si="2"/>
        <v>-0.76375000000000004</v>
      </c>
    </row>
    <row r="58" spans="17:23" x14ac:dyDescent="0.25">
      <c r="Q58">
        <f t="shared" si="3"/>
        <v>56</v>
      </c>
      <c r="R58" t="b">
        <f t="shared" si="0"/>
        <v>0</v>
      </c>
      <c r="V58">
        <f t="shared" si="1"/>
        <v>-0.60000000000000009</v>
      </c>
      <c r="W58">
        <f t="shared" si="2"/>
        <v>-0.77999999999999992</v>
      </c>
    </row>
    <row r="59" spans="17:23" x14ac:dyDescent="0.25">
      <c r="Q59">
        <f t="shared" si="3"/>
        <v>57</v>
      </c>
      <c r="R59" t="b">
        <f t="shared" si="0"/>
        <v>0</v>
      </c>
      <c r="V59">
        <f t="shared" si="1"/>
        <v>-0.61250000000000004</v>
      </c>
      <c r="W59">
        <f t="shared" si="2"/>
        <v>-0.79625000000000001</v>
      </c>
    </row>
    <row r="60" spans="17:23" x14ac:dyDescent="0.25">
      <c r="Q60">
        <f t="shared" si="3"/>
        <v>58</v>
      </c>
      <c r="R60" t="b">
        <f t="shared" si="0"/>
        <v>0</v>
      </c>
      <c r="V60">
        <f t="shared" si="1"/>
        <v>-0.625</v>
      </c>
      <c r="W60">
        <f t="shared" si="2"/>
        <v>-0.8125</v>
      </c>
    </row>
    <row r="61" spans="17:23" x14ac:dyDescent="0.25">
      <c r="Q61">
        <f t="shared" si="3"/>
        <v>59</v>
      </c>
      <c r="R61" t="b">
        <f t="shared" si="0"/>
        <v>0</v>
      </c>
      <c r="V61">
        <f t="shared" si="1"/>
        <v>-0.63750000000000007</v>
      </c>
      <c r="W61">
        <f t="shared" si="2"/>
        <v>-0.82874999999999999</v>
      </c>
    </row>
    <row r="62" spans="17:23" x14ac:dyDescent="0.25">
      <c r="Q62">
        <f t="shared" si="3"/>
        <v>60</v>
      </c>
      <c r="R62" t="b">
        <f t="shared" si="0"/>
        <v>0</v>
      </c>
      <c r="V62">
        <f t="shared" si="1"/>
        <v>-0.65</v>
      </c>
      <c r="W62">
        <f t="shared" si="2"/>
        <v>-0.84499999999999997</v>
      </c>
    </row>
    <row r="63" spans="17:23" x14ac:dyDescent="0.25">
      <c r="Q63">
        <f t="shared" si="3"/>
        <v>61</v>
      </c>
      <c r="R63" t="b">
        <f t="shared" si="0"/>
        <v>0</v>
      </c>
      <c r="V63">
        <f t="shared" si="1"/>
        <v>-0.66250000000000009</v>
      </c>
      <c r="W63">
        <f t="shared" si="2"/>
        <v>-0.86124999999999996</v>
      </c>
    </row>
    <row r="64" spans="17:23" x14ac:dyDescent="0.25">
      <c r="Q64">
        <f t="shared" si="3"/>
        <v>62</v>
      </c>
      <c r="R64" t="b">
        <f t="shared" si="0"/>
        <v>0</v>
      </c>
      <c r="V64">
        <f t="shared" si="1"/>
        <v>-0.67500000000000004</v>
      </c>
      <c r="W64">
        <f t="shared" si="2"/>
        <v>-0.87750000000000006</v>
      </c>
    </row>
    <row r="65" spans="17:23" x14ac:dyDescent="0.25">
      <c r="Q65">
        <f t="shared" si="3"/>
        <v>63</v>
      </c>
      <c r="R65" t="b">
        <f t="shared" si="0"/>
        <v>0</v>
      </c>
      <c r="V65">
        <f t="shared" si="1"/>
        <v>-0.6875</v>
      </c>
      <c r="W65">
        <f t="shared" si="2"/>
        <v>-0.89375000000000004</v>
      </c>
    </row>
    <row r="66" spans="17:23" x14ac:dyDescent="0.25">
      <c r="Q66">
        <f t="shared" si="3"/>
        <v>64</v>
      </c>
      <c r="R66" t="b">
        <f t="shared" si="0"/>
        <v>0</v>
      </c>
      <c r="V66">
        <f t="shared" si="1"/>
        <v>-0.70000000000000007</v>
      </c>
      <c r="W66">
        <f t="shared" si="2"/>
        <v>-0.91</v>
      </c>
    </row>
    <row r="67" spans="17:23" x14ac:dyDescent="0.25">
      <c r="Q67">
        <f t="shared" si="3"/>
        <v>65</v>
      </c>
      <c r="R67" t="b">
        <f t="shared" si="0"/>
        <v>0</v>
      </c>
      <c r="V67">
        <f t="shared" si="1"/>
        <v>-0.71250000000000002</v>
      </c>
      <c r="W67">
        <f t="shared" si="2"/>
        <v>-0.92625000000000002</v>
      </c>
    </row>
    <row r="68" spans="17:23" x14ac:dyDescent="0.25">
      <c r="Q68">
        <f t="shared" si="3"/>
        <v>66</v>
      </c>
      <c r="R68" t="b">
        <f t="shared" ref="R68:R131" si="4">Q68&lt;($S$3+1)</f>
        <v>0</v>
      </c>
      <c r="V68">
        <f t="shared" ref="V68:V131" si="5">$B$3*(($S$3-Q68+1)/$S$3)*($E$3/100)</f>
        <v>-0.72500000000000009</v>
      </c>
      <c r="W68">
        <f t="shared" ref="W68:W131" si="6">$C$3*(($S$3-Q68+1)/$S$3)*($E$3/100)</f>
        <v>-0.94250000000000012</v>
      </c>
    </row>
    <row r="69" spans="17:23" x14ac:dyDescent="0.25">
      <c r="Q69">
        <f t="shared" ref="Q69:Q132" si="7">Q68+1</f>
        <v>67</v>
      </c>
      <c r="R69" t="b">
        <f t="shared" si="4"/>
        <v>0</v>
      </c>
      <c r="V69">
        <f t="shared" si="5"/>
        <v>-0.73750000000000004</v>
      </c>
      <c r="W69">
        <f t="shared" si="6"/>
        <v>-0.9587500000000001</v>
      </c>
    </row>
    <row r="70" spans="17:23" x14ac:dyDescent="0.25">
      <c r="Q70">
        <f t="shared" si="7"/>
        <v>68</v>
      </c>
      <c r="R70" t="b">
        <f t="shared" si="4"/>
        <v>0</v>
      </c>
      <c r="V70">
        <f t="shared" si="5"/>
        <v>-0.75</v>
      </c>
      <c r="W70">
        <f t="shared" si="6"/>
        <v>-0.97500000000000009</v>
      </c>
    </row>
    <row r="71" spans="17:23" x14ac:dyDescent="0.25">
      <c r="Q71">
        <f t="shared" si="7"/>
        <v>69</v>
      </c>
      <c r="R71" t="b">
        <f t="shared" si="4"/>
        <v>0</v>
      </c>
      <c r="V71">
        <f t="shared" si="5"/>
        <v>-0.76249999999999996</v>
      </c>
      <c r="W71">
        <f t="shared" si="6"/>
        <v>-0.99124999999999985</v>
      </c>
    </row>
    <row r="72" spans="17:23" x14ac:dyDescent="0.25">
      <c r="Q72">
        <f t="shared" si="7"/>
        <v>70</v>
      </c>
      <c r="R72" t="b">
        <f t="shared" si="4"/>
        <v>0</v>
      </c>
      <c r="V72">
        <f t="shared" si="5"/>
        <v>-0.77500000000000002</v>
      </c>
      <c r="W72">
        <f t="shared" si="6"/>
        <v>-1.0075000000000001</v>
      </c>
    </row>
    <row r="73" spans="17:23" x14ac:dyDescent="0.25">
      <c r="Q73">
        <f t="shared" si="7"/>
        <v>71</v>
      </c>
      <c r="R73" t="b">
        <f t="shared" si="4"/>
        <v>0</v>
      </c>
      <c r="V73">
        <f t="shared" si="5"/>
        <v>-0.78750000000000009</v>
      </c>
      <c r="W73">
        <f t="shared" si="6"/>
        <v>-1.0237499999999999</v>
      </c>
    </row>
    <row r="74" spans="17:23" x14ac:dyDescent="0.25">
      <c r="Q74">
        <f t="shared" si="7"/>
        <v>72</v>
      </c>
      <c r="R74" t="b">
        <f t="shared" si="4"/>
        <v>0</v>
      </c>
      <c r="V74">
        <f t="shared" si="5"/>
        <v>-0.8</v>
      </c>
      <c r="W74">
        <f t="shared" si="6"/>
        <v>-1.0399999999999998</v>
      </c>
    </row>
    <row r="75" spans="17:23" x14ac:dyDescent="0.25">
      <c r="Q75">
        <f t="shared" si="7"/>
        <v>73</v>
      </c>
      <c r="R75" t="b">
        <f t="shared" si="4"/>
        <v>0</v>
      </c>
      <c r="V75">
        <f t="shared" si="5"/>
        <v>-0.8125</v>
      </c>
      <c r="W75">
        <f t="shared" si="6"/>
        <v>-1.0562500000000001</v>
      </c>
    </row>
    <row r="76" spans="17:23" x14ac:dyDescent="0.25">
      <c r="Q76">
        <f t="shared" si="7"/>
        <v>74</v>
      </c>
      <c r="R76" t="b">
        <f t="shared" si="4"/>
        <v>0</v>
      </c>
      <c r="V76">
        <f t="shared" si="5"/>
        <v>-0.82500000000000007</v>
      </c>
      <c r="W76">
        <f t="shared" si="6"/>
        <v>-1.0725</v>
      </c>
    </row>
    <row r="77" spans="17:23" x14ac:dyDescent="0.25">
      <c r="Q77">
        <f t="shared" si="7"/>
        <v>75</v>
      </c>
      <c r="R77" t="b">
        <f t="shared" si="4"/>
        <v>0</v>
      </c>
      <c r="V77">
        <f t="shared" si="5"/>
        <v>-0.83750000000000002</v>
      </c>
      <c r="W77">
        <f t="shared" si="6"/>
        <v>-1.0887499999999999</v>
      </c>
    </row>
    <row r="78" spans="17:23" x14ac:dyDescent="0.25">
      <c r="Q78">
        <f t="shared" si="7"/>
        <v>76</v>
      </c>
      <c r="R78" t="b">
        <f t="shared" si="4"/>
        <v>0</v>
      </c>
      <c r="V78">
        <f t="shared" si="5"/>
        <v>-0.85000000000000009</v>
      </c>
      <c r="W78">
        <f t="shared" si="6"/>
        <v>-1.105</v>
      </c>
    </row>
    <row r="79" spans="17:23" x14ac:dyDescent="0.25">
      <c r="Q79">
        <f t="shared" si="7"/>
        <v>77</v>
      </c>
      <c r="R79" t="b">
        <f t="shared" si="4"/>
        <v>0</v>
      </c>
      <c r="V79">
        <f t="shared" si="5"/>
        <v>-0.86250000000000004</v>
      </c>
      <c r="W79">
        <f t="shared" si="6"/>
        <v>-1.1212500000000001</v>
      </c>
    </row>
    <row r="80" spans="17:23" x14ac:dyDescent="0.25">
      <c r="Q80">
        <f t="shared" si="7"/>
        <v>78</v>
      </c>
      <c r="R80" t="b">
        <f t="shared" si="4"/>
        <v>0</v>
      </c>
      <c r="V80">
        <f t="shared" si="5"/>
        <v>-0.875</v>
      </c>
      <c r="W80">
        <f t="shared" si="6"/>
        <v>-1.1375</v>
      </c>
    </row>
    <row r="81" spans="17:23" x14ac:dyDescent="0.25">
      <c r="Q81">
        <f t="shared" si="7"/>
        <v>79</v>
      </c>
      <c r="R81" t="b">
        <f t="shared" si="4"/>
        <v>0</v>
      </c>
      <c r="V81">
        <f t="shared" si="5"/>
        <v>-0.88750000000000007</v>
      </c>
      <c r="W81">
        <f t="shared" si="6"/>
        <v>-1.1537500000000001</v>
      </c>
    </row>
    <row r="82" spans="17:23" x14ac:dyDescent="0.25">
      <c r="Q82">
        <f t="shared" si="7"/>
        <v>80</v>
      </c>
      <c r="R82" t="b">
        <f t="shared" si="4"/>
        <v>0</v>
      </c>
      <c r="V82">
        <f t="shared" si="5"/>
        <v>-0.9</v>
      </c>
      <c r="W82">
        <f t="shared" si="6"/>
        <v>-1.1700000000000002</v>
      </c>
    </row>
    <row r="83" spans="17:23" x14ac:dyDescent="0.25">
      <c r="Q83">
        <f t="shared" si="7"/>
        <v>81</v>
      </c>
      <c r="R83" t="b">
        <f t="shared" si="4"/>
        <v>0</v>
      </c>
      <c r="V83">
        <f t="shared" si="5"/>
        <v>-0.91250000000000009</v>
      </c>
      <c r="W83">
        <f t="shared" si="6"/>
        <v>-1.18625</v>
      </c>
    </row>
    <row r="84" spans="17:23" x14ac:dyDescent="0.25">
      <c r="Q84">
        <f t="shared" si="7"/>
        <v>82</v>
      </c>
      <c r="R84" t="b">
        <f t="shared" si="4"/>
        <v>0</v>
      </c>
      <c r="V84">
        <f t="shared" si="5"/>
        <v>-0.92500000000000004</v>
      </c>
      <c r="W84">
        <f t="shared" si="6"/>
        <v>-1.2024999999999999</v>
      </c>
    </row>
    <row r="85" spans="17:23" x14ac:dyDescent="0.25">
      <c r="Q85">
        <f t="shared" si="7"/>
        <v>83</v>
      </c>
      <c r="R85" t="b">
        <f t="shared" si="4"/>
        <v>0</v>
      </c>
      <c r="V85">
        <f t="shared" si="5"/>
        <v>-0.9375</v>
      </c>
      <c r="W85">
        <f t="shared" si="6"/>
        <v>-1.21875</v>
      </c>
    </row>
    <row r="86" spans="17:23" x14ac:dyDescent="0.25">
      <c r="Q86">
        <f t="shared" si="7"/>
        <v>84</v>
      </c>
      <c r="R86" t="b">
        <f t="shared" si="4"/>
        <v>0</v>
      </c>
      <c r="V86">
        <f t="shared" si="5"/>
        <v>-0.95000000000000007</v>
      </c>
      <c r="W86">
        <f t="shared" si="6"/>
        <v>-1.2350000000000001</v>
      </c>
    </row>
    <row r="87" spans="17:23" x14ac:dyDescent="0.25">
      <c r="Q87">
        <f t="shared" si="7"/>
        <v>85</v>
      </c>
      <c r="R87" t="b">
        <f t="shared" si="4"/>
        <v>0</v>
      </c>
      <c r="V87">
        <f t="shared" si="5"/>
        <v>-0.96250000000000002</v>
      </c>
      <c r="W87">
        <f t="shared" si="6"/>
        <v>-1.25125</v>
      </c>
    </row>
    <row r="88" spans="17:23" x14ac:dyDescent="0.25">
      <c r="Q88">
        <f t="shared" si="7"/>
        <v>86</v>
      </c>
      <c r="R88" t="b">
        <f t="shared" si="4"/>
        <v>0</v>
      </c>
      <c r="V88">
        <f t="shared" si="5"/>
        <v>-0.97500000000000009</v>
      </c>
      <c r="W88">
        <f t="shared" si="6"/>
        <v>-1.2675000000000001</v>
      </c>
    </row>
    <row r="89" spans="17:23" x14ac:dyDescent="0.25">
      <c r="Q89">
        <f t="shared" si="7"/>
        <v>87</v>
      </c>
      <c r="R89" t="b">
        <f t="shared" si="4"/>
        <v>0</v>
      </c>
      <c r="V89">
        <f t="shared" si="5"/>
        <v>-0.98750000000000004</v>
      </c>
      <c r="W89">
        <f t="shared" si="6"/>
        <v>-1.2837500000000002</v>
      </c>
    </row>
    <row r="90" spans="17:23" x14ac:dyDescent="0.25">
      <c r="Q90">
        <f t="shared" si="7"/>
        <v>88</v>
      </c>
      <c r="R90" t="b">
        <f t="shared" si="4"/>
        <v>0</v>
      </c>
      <c r="V90">
        <f t="shared" si="5"/>
        <v>-1</v>
      </c>
      <c r="W90">
        <f t="shared" si="6"/>
        <v>-1.3</v>
      </c>
    </row>
    <row r="91" spans="17:23" x14ac:dyDescent="0.25">
      <c r="Q91">
        <f t="shared" si="7"/>
        <v>89</v>
      </c>
      <c r="R91" t="b">
        <f t="shared" si="4"/>
        <v>0</v>
      </c>
      <c r="V91">
        <f t="shared" si="5"/>
        <v>-1.0125</v>
      </c>
      <c r="W91">
        <f t="shared" si="6"/>
        <v>-1.3162500000000001</v>
      </c>
    </row>
    <row r="92" spans="17:23" x14ac:dyDescent="0.25">
      <c r="Q92">
        <f t="shared" si="7"/>
        <v>90</v>
      </c>
      <c r="R92" t="b">
        <f t="shared" si="4"/>
        <v>0</v>
      </c>
      <c r="V92">
        <f t="shared" si="5"/>
        <v>-1.0250000000000001</v>
      </c>
      <c r="W92">
        <f t="shared" si="6"/>
        <v>-1.3325</v>
      </c>
    </row>
    <row r="93" spans="17:23" x14ac:dyDescent="0.25">
      <c r="Q93">
        <f t="shared" si="7"/>
        <v>91</v>
      </c>
      <c r="R93" t="b">
        <f t="shared" si="4"/>
        <v>0</v>
      </c>
      <c r="V93">
        <f t="shared" si="5"/>
        <v>-1.0375000000000001</v>
      </c>
      <c r="W93">
        <f t="shared" si="6"/>
        <v>-1.3487500000000001</v>
      </c>
    </row>
    <row r="94" spans="17:23" x14ac:dyDescent="0.25">
      <c r="Q94">
        <f t="shared" si="7"/>
        <v>92</v>
      </c>
      <c r="R94" t="b">
        <f t="shared" si="4"/>
        <v>0</v>
      </c>
      <c r="V94">
        <f t="shared" si="5"/>
        <v>-1.05</v>
      </c>
      <c r="W94">
        <f t="shared" si="6"/>
        <v>-1.365</v>
      </c>
    </row>
    <row r="95" spans="17:23" x14ac:dyDescent="0.25">
      <c r="Q95">
        <f t="shared" si="7"/>
        <v>93</v>
      </c>
      <c r="R95" t="b">
        <f t="shared" si="4"/>
        <v>0</v>
      </c>
      <c r="V95">
        <f t="shared" si="5"/>
        <v>-1.0625</v>
      </c>
      <c r="W95">
        <f t="shared" si="6"/>
        <v>-1.3812499999999999</v>
      </c>
    </row>
    <row r="96" spans="17:23" x14ac:dyDescent="0.25">
      <c r="Q96">
        <f t="shared" si="7"/>
        <v>94</v>
      </c>
      <c r="R96" t="b">
        <f t="shared" si="4"/>
        <v>0</v>
      </c>
      <c r="V96">
        <f t="shared" si="5"/>
        <v>-1.075</v>
      </c>
      <c r="W96">
        <f t="shared" si="6"/>
        <v>-1.3975</v>
      </c>
    </row>
    <row r="97" spans="17:23" x14ac:dyDescent="0.25">
      <c r="Q97">
        <f t="shared" si="7"/>
        <v>95</v>
      </c>
      <c r="R97" t="b">
        <f t="shared" si="4"/>
        <v>0</v>
      </c>
      <c r="V97">
        <f t="shared" si="5"/>
        <v>-1.0875000000000001</v>
      </c>
      <c r="W97">
        <f t="shared" si="6"/>
        <v>-1.4137500000000001</v>
      </c>
    </row>
    <row r="98" spans="17:23" x14ac:dyDescent="0.25">
      <c r="Q98">
        <f t="shared" si="7"/>
        <v>96</v>
      </c>
      <c r="R98" t="b">
        <f t="shared" si="4"/>
        <v>0</v>
      </c>
      <c r="V98">
        <f t="shared" si="5"/>
        <v>-1.1000000000000001</v>
      </c>
      <c r="W98">
        <f t="shared" si="6"/>
        <v>-1.43</v>
      </c>
    </row>
    <row r="99" spans="17:23" x14ac:dyDescent="0.25">
      <c r="Q99">
        <f t="shared" si="7"/>
        <v>97</v>
      </c>
      <c r="R99" t="b">
        <f t="shared" si="4"/>
        <v>0</v>
      </c>
      <c r="V99">
        <f t="shared" si="5"/>
        <v>-1.1125</v>
      </c>
      <c r="W99">
        <f t="shared" si="6"/>
        <v>-1.44625</v>
      </c>
    </row>
    <row r="100" spans="17:23" x14ac:dyDescent="0.25">
      <c r="Q100">
        <f t="shared" si="7"/>
        <v>98</v>
      </c>
      <c r="R100" t="b">
        <f t="shared" si="4"/>
        <v>0</v>
      </c>
      <c r="V100">
        <f t="shared" si="5"/>
        <v>-1.125</v>
      </c>
      <c r="W100">
        <f t="shared" si="6"/>
        <v>-1.4625000000000001</v>
      </c>
    </row>
    <row r="101" spans="17:23" x14ac:dyDescent="0.25">
      <c r="Q101">
        <f t="shared" si="7"/>
        <v>99</v>
      </c>
      <c r="R101" t="b">
        <f t="shared" si="4"/>
        <v>0</v>
      </c>
      <c r="V101">
        <f t="shared" si="5"/>
        <v>-1.1375</v>
      </c>
      <c r="W101">
        <f t="shared" si="6"/>
        <v>-1.47875</v>
      </c>
    </row>
    <row r="102" spans="17:23" x14ac:dyDescent="0.25">
      <c r="Q102">
        <f t="shared" si="7"/>
        <v>100</v>
      </c>
      <c r="R102" t="b">
        <f t="shared" si="4"/>
        <v>0</v>
      </c>
      <c r="V102">
        <f t="shared" si="5"/>
        <v>-1.1500000000000001</v>
      </c>
      <c r="W102">
        <f t="shared" si="6"/>
        <v>-1.4950000000000001</v>
      </c>
    </row>
    <row r="103" spans="17:23" x14ac:dyDescent="0.25">
      <c r="Q103">
        <f t="shared" si="7"/>
        <v>101</v>
      </c>
      <c r="R103" t="b">
        <f t="shared" si="4"/>
        <v>0</v>
      </c>
      <c r="V103">
        <f t="shared" si="5"/>
        <v>-1.1625000000000001</v>
      </c>
      <c r="W103">
        <f t="shared" si="6"/>
        <v>-1.5112500000000002</v>
      </c>
    </row>
    <row r="104" spans="17:23" x14ac:dyDescent="0.25">
      <c r="Q104">
        <f t="shared" si="7"/>
        <v>102</v>
      </c>
      <c r="R104" t="b">
        <f t="shared" si="4"/>
        <v>0</v>
      </c>
      <c r="V104">
        <f t="shared" si="5"/>
        <v>-1.175</v>
      </c>
      <c r="W104">
        <f t="shared" si="6"/>
        <v>-1.5275000000000001</v>
      </c>
    </row>
    <row r="105" spans="17:23" x14ac:dyDescent="0.25">
      <c r="Q105">
        <f t="shared" si="7"/>
        <v>103</v>
      </c>
      <c r="R105" t="b">
        <f t="shared" si="4"/>
        <v>0</v>
      </c>
      <c r="V105">
        <f t="shared" si="5"/>
        <v>-1.1875</v>
      </c>
      <c r="W105">
        <f t="shared" si="6"/>
        <v>-1.54375</v>
      </c>
    </row>
    <row r="106" spans="17:23" x14ac:dyDescent="0.25">
      <c r="Q106">
        <f t="shared" si="7"/>
        <v>104</v>
      </c>
      <c r="R106" t="b">
        <f t="shared" si="4"/>
        <v>0</v>
      </c>
      <c r="V106">
        <f t="shared" si="5"/>
        <v>-1.2000000000000002</v>
      </c>
      <c r="W106">
        <f t="shared" si="6"/>
        <v>-1.5599999999999998</v>
      </c>
    </row>
    <row r="107" spans="17:23" x14ac:dyDescent="0.25">
      <c r="Q107">
        <f t="shared" si="7"/>
        <v>105</v>
      </c>
      <c r="R107" t="b">
        <f t="shared" si="4"/>
        <v>0</v>
      </c>
      <c r="V107">
        <f t="shared" si="5"/>
        <v>-1.2125000000000001</v>
      </c>
      <c r="W107">
        <f t="shared" si="6"/>
        <v>-1.5762499999999999</v>
      </c>
    </row>
    <row r="108" spans="17:23" x14ac:dyDescent="0.25">
      <c r="Q108">
        <f t="shared" si="7"/>
        <v>106</v>
      </c>
      <c r="R108" t="b">
        <f t="shared" si="4"/>
        <v>0</v>
      </c>
      <c r="V108">
        <f t="shared" si="5"/>
        <v>-1.2250000000000001</v>
      </c>
      <c r="W108">
        <f t="shared" si="6"/>
        <v>-1.5925</v>
      </c>
    </row>
    <row r="109" spans="17:23" x14ac:dyDescent="0.25">
      <c r="Q109">
        <f t="shared" si="7"/>
        <v>107</v>
      </c>
      <c r="R109" t="b">
        <f t="shared" si="4"/>
        <v>0</v>
      </c>
      <c r="V109">
        <f t="shared" si="5"/>
        <v>-1.2375</v>
      </c>
      <c r="W109">
        <f t="shared" si="6"/>
        <v>-1.6087499999999999</v>
      </c>
    </row>
    <row r="110" spans="17:23" x14ac:dyDescent="0.25">
      <c r="Q110">
        <f t="shared" si="7"/>
        <v>108</v>
      </c>
      <c r="R110" t="b">
        <f t="shared" si="4"/>
        <v>0</v>
      </c>
      <c r="V110">
        <f t="shared" si="5"/>
        <v>-1.25</v>
      </c>
      <c r="W110">
        <f t="shared" si="6"/>
        <v>-1.625</v>
      </c>
    </row>
    <row r="111" spans="17:23" x14ac:dyDescent="0.25">
      <c r="Q111">
        <f t="shared" si="7"/>
        <v>109</v>
      </c>
      <c r="R111" t="b">
        <f t="shared" si="4"/>
        <v>0</v>
      </c>
      <c r="V111">
        <f t="shared" si="5"/>
        <v>-1.2625000000000002</v>
      </c>
      <c r="W111">
        <f t="shared" si="6"/>
        <v>-1.6412500000000003</v>
      </c>
    </row>
    <row r="112" spans="17:23" x14ac:dyDescent="0.25">
      <c r="Q112">
        <f t="shared" si="7"/>
        <v>110</v>
      </c>
      <c r="R112" t="b">
        <f t="shared" si="4"/>
        <v>0</v>
      </c>
      <c r="V112">
        <f t="shared" si="5"/>
        <v>-1.2750000000000001</v>
      </c>
      <c r="W112">
        <f t="shared" si="6"/>
        <v>-1.6575</v>
      </c>
    </row>
    <row r="113" spans="17:23" x14ac:dyDescent="0.25">
      <c r="Q113">
        <f t="shared" si="7"/>
        <v>111</v>
      </c>
      <c r="R113" t="b">
        <f t="shared" si="4"/>
        <v>0</v>
      </c>
      <c r="V113">
        <f t="shared" si="5"/>
        <v>-1.2875000000000001</v>
      </c>
      <c r="W113">
        <f t="shared" si="6"/>
        <v>-1.6737499999999998</v>
      </c>
    </row>
    <row r="114" spans="17:23" x14ac:dyDescent="0.25">
      <c r="Q114">
        <f t="shared" si="7"/>
        <v>112</v>
      </c>
      <c r="R114" t="b">
        <f t="shared" si="4"/>
        <v>0</v>
      </c>
      <c r="V114">
        <f t="shared" si="5"/>
        <v>-1.3</v>
      </c>
      <c r="W114">
        <f t="shared" si="6"/>
        <v>-1.69</v>
      </c>
    </row>
    <row r="115" spans="17:23" x14ac:dyDescent="0.25">
      <c r="Q115">
        <f t="shared" si="7"/>
        <v>113</v>
      </c>
      <c r="R115" t="b">
        <f t="shared" si="4"/>
        <v>0</v>
      </c>
      <c r="V115">
        <f t="shared" si="5"/>
        <v>-1.3125</v>
      </c>
      <c r="W115">
        <f t="shared" si="6"/>
        <v>-1.70625</v>
      </c>
    </row>
    <row r="116" spans="17:23" x14ac:dyDescent="0.25">
      <c r="Q116">
        <f t="shared" si="7"/>
        <v>114</v>
      </c>
      <c r="R116" t="b">
        <f t="shared" si="4"/>
        <v>0</v>
      </c>
      <c r="V116">
        <f t="shared" si="5"/>
        <v>-1.3250000000000002</v>
      </c>
      <c r="W116">
        <f t="shared" si="6"/>
        <v>-1.7224999999999999</v>
      </c>
    </row>
    <row r="117" spans="17:23" x14ac:dyDescent="0.25">
      <c r="Q117">
        <f t="shared" si="7"/>
        <v>115</v>
      </c>
      <c r="R117" t="b">
        <f t="shared" si="4"/>
        <v>0</v>
      </c>
      <c r="V117">
        <f t="shared" si="5"/>
        <v>-1.3375000000000001</v>
      </c>
      <c r="W117">
        <f t="shared" si="6"/>
        <v>-1.73875</v>
      </c>
    </row>
    <row r="118" spans="17:23" x14ac:dyDescent="0.25">
      <c r="Q118">
        <f t="shared" si="7"/>
        <v>116</v>
      </c>
      <c r="R118" t="b">
        <f t="shared" si="4"/>
        <v>0</v>
      </c>
      <c r="V118">
        <f t="shared" si="5"/>
        <v>-1.35</v>
      </c>
      <c r="W118">
        <f t="shared" si="6"/>
        <v>-1.7550000000000001</v>
      </c>
    </row>
    <row r="119" spans="17:23" x14ac:dyDescent="0.25">
      <c r="Q119">
        <f t="shared" si="7"/>
        <v>117</v>
      </c>
      <c r="R119" t="b">
        <f t="shared" si="4"/>
        <v>0</v>
      </c>
      <c r="V119">
        <f t="shared" si="5"/>
        <v>-1.3625</v>
      </c>
      <c r="W119">
        <f t="shared" si="6"/>
        <v>-1.77125</v>
      </c>
    </row>
    <row r="120" spans="17:23" x14ac:dyDescent="0.25">
      <c r="Q120">
        <f t="shared" si="7"/>
        <v>118</v>
      </c>
      <c r="R120" t="b">
        <f t="shared" si="4"/>
        <v>0</v>
      </c>
      <c r="V120">
        <f t="shared" si="5"/>
        <v>-1.375</v>
      </c>
      <c r="W120">
        <f t="shared" si="6"/>
        <v>-1.7875000000000001</v>
      </c>
    </row>
    <row r="121" spans="17:23" x14ac:dyDescent="0.25">
      <c r="Q121">
        <f t="shared" si="7"/>
        <v>119</v>
      </c>
      <c r="R121" t="b">
        <f t="shared" si="4"/>
        <v>0</v>
      </c>
      <c r="V121">
        <f t="shared" si="5"/>
        <v>-1.3875000000000002</v>
      </c>
      <c r="W121">
        <f t="shared" si="6"/>
        <v>-1.8037500000000002</v>
      </c>
    </row>
    <row r="122" spans="17:23" x14ac:dyDescent="0.25">
      <c r="Q122">
        <f t="shared" si="7"/>
        <v>120</v>
      </c>
      <c r="R122" t="b">
        <f t="shared" si="4"/>
        <v>0</v>
      </c>
      <c r="V122">
        <f t="shared" si="5"/>
        <v>-1.4000000000000001</v>
      </c>
      <c r="W122">
        <f t="shared" si="6"/>
        <v>-1.82</v>
      </c>
    </row>
    <row r="123" spans="17:23" x14ac:dyDescent="0.25">
      <c r="Q123">
        <f t="shared" si="7"/>
        <v>121</v>
      </c>
      <c r="R123" t="b">
        <f t="shared" si="4"/>
        <v>0</v>
      </c>
      <c r="V123">
        <f t="shared" si="5"/>
        <v>-1.4125000000000001</v>
      </c>
      <c r="W123">
        <f t="shared" si="6"/>
        <v>-1.8362499999999997</v>
      </c>
    </row>
    <row r="124" spans="17:23" x14ac:dyDescent="0.25">
      <c r="Q124">
        <f t="shared" si="7"/>
        <v>122</v>
      </c>
      <c r="R124" t="b">
        <f t="shared" si="4"/>
        <v>0</v>
      </c>
      <c r="V124">
        <f t="shared" si="5"/>
        <v>-1.425</v>
      </c>
      <c r="W124">
        <f t="shared" si="6"/>
        <v>-1.8525</v>
      </c>
    </row>
    <row r="125" spans="17:23" x14ac:dyDescent="0.25">
      <c r="Q125">
        <f t="shared" si="7"/>
        <v>123</v>
      </c>
      <c r="R125" t="b">
        <f t="shared" si="4"/>
        <v>0</v>
      </c>
      <c r="V125">
        <f t="shared" si="5"/>
        <v>-1.4375</v>
      </c>
      <c r="W125">
        <f t="shared" si="6"/>
        <v>-1.8687499999999997</v>
      </c>
    </row>
    <row r="126" spans="17:23" x14ac:dyDescent="0.25">
      <c r="Q126">
        <f t="shared" si="7"/>
        <v>124</v>
      </c>
      <c r="R126" t="b">
        <f t="shared" si="4"/>
        <v>0</v>
      </c>
      <c r="V126">
        <f t="shared" si="5"/>
        <v>-1.4500000000000002</v>
      </c>
      <c r="W126">
        <f t="shared" si="6"/>
        <v>-1.8850000000000002</v>
      </c>
    </row>
    <row r="127" spans="17:23" x14ac:dyDescent="0.25">
      <c r="Q127">
        <f t="shared" si="7"/>
        <v>125</v>
      </c>
      <c r="R127" t="b">
        <f t="shared" si="4"/>
        <v>0</v>
      </c>
      <c r="V127">
        <f t="shared" si="5"/>
        <v>-1.4625000000000001</v>
      </c>
      <c r="W127">
        <f t="shared" si="6"/>
        <v>-1.9012500000000001</v>
      </c>
    </row>
    <row r="128" spans="17:23" x14ac:dyDescent="0.25">
      <c r="Q128">
        <f t="shared" si="7"/>
        <v>126</v>
      </c>
      <c r="R128" t="b">
        <f t="shared" si="4"/>
        <v>0</v>
      </c>
      <c r="V128">
        <f t="shared" si="5"/>
        <v>-1.4750000000000001</v>
      </c>
      <c r="W128">
        <f t="shared" si="6"/>
        <v>-1.9175000000000002</v>
      </c>
    </row>
    <row r="129" spans="17:23" x14ac:dyDescent="0.25">
      <c r="Q129">
        <f t="shared" si="7"/>
        <v>127</v>
      </c>
      <c r="R129" t="b">
        <f t="shared" si="4"/>
        <v>0</v>
      </c>
      <c r="V129">
        <f t="shared" si="5"/>
        <v>-1.4875</v>
      </c>
      <c r="W129">
        <f t="shared" si="6"/>
        <v>-1.9337499999999999</v>
      </c>
    </row>
    <row r="130" spans="17:23" x14ac:dyDescent="0.25">
      <c r="Q130">
        <f t="shared" si="7"/>
        <v>128</v>
      </c>
      <c r="R130" t="b">
        <f t="shared" si="4"/>
        <v>0</v>
      </c>
      <c r="V130">
        <f t="shared" si="5"/>
        <v>-1.5</v>
      </c>
      <c r="W130">
        <f t="shared" si="6"/>
        <v>-1.9500000000000002</v>
      </c>
    </row>
    <row r="131" spans="17:23" x14ac:dyDescent="0.25">
      <c r="Q131">
        <f t="shared" si="7"/>
        <v>129</v>
      </c>
      <c r="R131" t="b">
        <f t="shared" si="4"/>
        <v>0</v>
      </c>
      <c r="V131">
        <f t="shared" si="5"/>
        <v>-1.5125000000000002</v>
      </c>
      <c r="W131">
        <f t="shared" si="6"/>
        <v>-1.9662499999999998</v>
      </c>
    </row>
    <row r="132" spans="17:23" x14ac:dyDescent="0.25">
      <c r="Q132">
        <f t="shared" si="7"/>
        <v>130</v>
      </c>
      <c r="R132" t="b">
        <f t="shared" ref="R132:R195" si="8">Q132&lt;($S$3+1)</f>
        <v>0</v>
      </c>
      <c r="V132">
        <f t="shared" ref="V132:V195" si="9">$B$3*(($S$3-Q132+1)/$S$3)*($E$3/100)</f>
        <v>-1.5249999999999999</v>
      </c>
      <c r="W132">
        <f t="shared" ref="W132:W195" si="10">$C$3*(($S$3-Q132+1)/$S$3)*($E$3/100)</f>
        <v>-1.9824999999999997</v>
      </c>
    </row>
    <row r="133" spans="17:23" x14ac:dyDescent="0.25">
      <c r="Q133">
        <f t="shared" ref="Q133:Q196" si="11">Q132+1</f>
        <v>131</v>
      </c>
      <c r="R133" t="b">
        <f t="shared" si="8"/>
        <v>0</v>
      </c>
      <c r="V133">
        <f t="shared" si="9"/>
        <v>-1.5375000000000003</v>
      </c>
      <c r="W133">
        <f t="shared" si="10"/>
        <v>-1.9987500000000002</v>
      </c>
    </row>
    <row r="134" spans="17:23" x14ac:dyDescent="0.25">
      <c r="Q134">
        <f t="shared" si="11"/>
        <v>132</v>
      </c>
      <c r="R134" t="b">
        <f t="shared" si="8"/>
        <v>0</v>
      </c>
      <c r="V134">
        <f t="shared" si="9"/>
        <v>-1.55</v>
      </c>
      <c r="W134">
        <f t="shared" si="10"/>
        <v>-2.0150000000000001</v>
      </c>
    </row>
    <row r="135" spans="17:23" x14ac:dyDescent="0.25">
      <c r="Q135">
        <f t="shared" si="11"/>
        <v>133</v>
      </c>
      <c r="R135" t="b">
        <f t="shared" si="8"/>
        <v>0</v>
      </c>
      <c r="V135">
        <f t="shared" si="9"/>
        <v>-1.5625</v>
      </c>
      <c r="W135">
        <f t="shared" si="10"/>
        <v>-2.03125</v>
      </c>
    </row>
    <row r="136" spans="17:23" x14ac:dyDescent="0.25">
      <c r="Q136">
        <f t="shared" si="11"/>
        <v>134</v>
      </c>
      <c r="R136" t="b">
        <f t="shared" si="8"/>
        <v>0</v>
      </c>
      <c r="V136">
        <f t="shared" si="9"/>
        <v>-1.5750000000000002</v>
      </c>
      <c r="W136">
        <f t="shared" si="10"/>
        <v>-2.0474999999999999</v>
      </c>
    </row>
    <row r="137" spans="17:23" x14ac:dyDescent="0.25">
      <c r="Q137">
        <f t="shared" si="11"/>
        <v>135</v>
      </c>
      <c r="R137" t="b">
        <f t="shared" si="8"/>
        <v>0</v>
      </c>
      <c r="V137">
        <f t="shared" si="9"/>
        <v>-1.5875000000000001</v>
      </c>
      <c r="W137">
        <f t="shared" si="10"/>
        <v>-2.0637500000000002</v>
      </c>
    </row>
    <row r="138" spans="17:23" x14ac:dyDescent="0.25">
      <c r="Q138">
        <f t="shared" si="11"/>
        <v>136</v>
      </c>
      <c r="R138" t="b">
        <f t="shared" si="8"/>
        <v>0</v>
      </c>
      <c r="V138">
        <f t="shared" si="9"/>
        <v>-1.6</v>
      </c>
      <c r="W138">
        <f t="shared" si="10"/>
        <v>-2.0799999999999996</v>
      </c>
    </row>
    <row r="139" spans="17:23" x14ac:dyDescent="0.25">
      <c r="Q139">
        <f t="shared" si="11"/>
        <v>137</v>
      </c>
      <c r="R139" t="b">
        <f t="shared" si="8"/>
        <v>0</v>
      </c>
      <c r="V139">
        <f t="shared" si="9"/>
        <v>-1.6125</v>
      </c>
      <c r="W139">
        <f t="shared" si="10"/>
        <v>-2.0962499999999999</v>
      </c>
    </row>
    <row r="140" spans="17:23" x14ac:dyDescent="0.25">
      <c r="Q140">
        <f t="shared" si="11"/>
        <v>138</v>
      </c>
      <c r="R140" t="b">
        <f t="shared" si="8"/>
        <v>0</v>
      </c>
      <c r="V140">
        <f t="shared" si="9"/>
        <v>-1.625</v>
      </c>
      <c r="W140">
        <f t="shared" si="10"/>
        <v>-2.1125000000000003</v>
      </c>
    </row>
    <row r="141" spans="17:23" x14ac:dyDescent="0.25">
      <c r="Q141">
        <f t="shared" si="11"/>
        <v>139</v>
      </c>
      <c r="R141" t="b">
        <f t="shared" si="8"/>
        <v>0</v>
      </c>
      <c r="V141">
        <f t="shared" si="9"/>
        <v>-1.6375000000000002</v>
      </c>
      <c r="W141">
        <f t="shared" si="10"/>
        <v>-2.1287500000000001</v>
      </c>
    </row>
    <row r="142" spans="17:23" x14ac:dyDescent="0.25">
      <c r="Q142">
        <f t="shared" si="11"/>
        <v>140</v>
      </c>
      <c r="R142" t="b">
        <f t="shared" si="8"/>
        <v>0</v>
      </c>
      <c r="V142">
        <f t="shared" si="9"/>
        <v>-1.6500000000000001</v>
      </c>
      <c r="W142">
        <f t="shared" si="10"/>
        <v>-2.145</v>
      </c>
    </row>
    <row r="143" spans="17:23" x14ac:dyDescent="0.25">
      <c r="Q143">
        <f t="shared" si="11"/>
        <v>141</v>
      </c>
      <c r="R143" t="b">
        <f t="shared" si="8"/>
        <v>0</v>
      </c>
      <c r="V143">
        <f t="shared" si="9"/>
        <v>-1.6625000000000001</v>
      </c>
      <c r="W143">
        <f t="shared" si="10"/>
        <v>-2.1612500000000003</v>
      </c>
    </row>
    <row r="144" spans="17:23" x14ac:dyDescent="0.25">
      <c r="Q144">
        <f t="shared" si="11"/>
        <v>142</v>
      </c>
      <c r="R144" t="b">
        <f t="shared" si="8"/>
        <v>0</v>
      </c>
      <c r="V144">
        <f t="shared" si="9"/>
        <v>-1.675</v>
      </c>
      <c r="W144">
        <f t="shared" si="10"/>
        <v>-2.1774999999999998</v>
      </c>
    </row>
    <row r="145" spans="17:23" x14ac:dyDescent="0.25">
      <c r="Q145">
        <f t="shared" si="11"/>
        <v>143</v>
      </c>
      <c r="R145" t="b">
        <f t="shared" si="8"/>
        <v>0</v>
      </c>
      <c r="V145">
        <f t="shared" si="9"/>
        <v>-1.6875</v>
      </c>
      <c r="W145">
        <f t="shared" si="10"/>
        <v>-2.1937499999999996</v>
      </c>
    </row>
    <row r="146" spans="17:23" x14ac:dyDescent="0.25">
      <c r="Q146">
        <f t="shared" si="11"/>
        <v>144</v>
      </c>
      <c r="R146" t="b">
        <f t="shared" si="8"/>
        <v>0</v>
      </c>
      <c r="V146">
        <f t="shared" si="9"/>
        <v>-1.7000000000000002</v>
      </c>
      <c r="W146">
        <f t="shared" si="10"/>
        <v>-2.21</v>
      </c>
    </row>
    <row r="147" spans="17:23" x14ac:dyDescent="0.25">
      <c r="Q147">
        <f t="shared" si="11"/>
        <v>145</v>
      </c>
      <c r="R147" t="b">
        <f t="shared" si="8"/>
        <v>0</v>
      </c>
      <c r="V147">
        <f t="shared" si="9"/>
        <v>-1.7125000000000001</v>
      </c>
      <c r="W147">
        <f t="shared" si="10"/>
        <v>-2.2262499999999998</v>
      </c>
    </row>
    <row r="148" spans="17:23" x14ac:dyDescent="0.25">
      <c r="Q148">
        <f t="shared" si="11"/>
        <v>146</v>
      </c>
      <c r="R148" t="b">
        <f t="shared" si="8"/>
        <v>0</v>
      </c>
      <c r="V148">
        <f t="shared" si="9"/>
        <v>-1.7250000000000001</v>
      </c>
      <c r="W148">
        <f t="shared" si="10"/>
        <v>-2.2425000000000002</v>
      </c>
    </row>
    <row r="149" spans="17:23" x14ac:dyDescent="0.25">
      <c r="Q149">
        <f t="shared" si="11"/>
        <v>147</v>
      </c>
      <c r="R149" t="b">
        <f t="shared" si="8"/>
        <v>0</v>
      </c>
      <c r="V149">
        <f t="shared" si="9"/>
        <v>-1.7375</v>
      </c>
      <c r="W149">
        <f t="shared" si="10"/>
        <v>-2.25875</v>
      </c>
    </row>
    <row r="150" spans="17:23" x14ac:dyDescent="0.25">
      <c r="Q150">
        <f t="shared" si="11"/>
        <v>148</v>
      </c>
      <c r="R150" t="b">
        <f t="shared" si="8"/>
        <v>0</v>
      </c>
      <c r="V150">
        <f t="shared" si="9"/>
        <v>-1.75</v>
      </c>
      <c r="W150">
        <f t="shared" si="10"/>
        <v>-2.2749999999999999</v>
      </c>
    </row>
    <row r="151" spans="17:23" x14ac:dyDescent="0.25">
      <c r="Q151">
        <f t="shared" si="11"/>
        <v>149</v>
      </c>
      <c r="R151" t="b">
        <f t="shared" si="8"/>
        <v>0</v>
      </c>
      <c r="V151">
        <f t="shared" si="9"/>
        <v>-1.7625000000000002</v>
      </c>
      <c r="W151">
        <f t="shared" si="10"/>
        <v>-2.2912499999999998</v>
      </c>
    </row>
    <row r="152" spans="17:23" x14ac:dyDescent="0.25">
      <c r="Q152">
        <f t="shared" si="11"/>
        <v>150</v>
      </c>
      <c r="R152" t="b">
        <f t="shared" si="8"/>
        <v>0</v>
      </c>
      <c r="V152">
        <f t="shared" si="9"/>
        <v>-1.7750000000000001</v>
      </c>
      <c r="W152">
        <f t="shared" si="10"/>
        <v>-2.3075000000000001</v>
      </c>
    </row>
    <row r="153" spans="17:23" x14ac:dyDescent="0.25">
      <c r="Q153">
        <f t="shared" si="11"/>
        <v>151</v>
      </c>
      <c r="R153" t="b">
        <f t="shared" si="8"/>
        <v>0</v>
      </c>
      <c r="V153">
        <f t="shared" si="9"/>
        <v>-1.7875000000000001</v>
      </c>
      <c r="W153">
        <f t="shared" si="10"/>
        <v>-2.32375</v>
      </c>
    </row>
    <row r="154" spans="17:23" x14ac:dyDescent="0.25">
      <c r="Q154">
        <f t="shared" si="11"/>
        <v>152</v>
      </c>
      <c r="R154" t="b">
        <f t="shared" si="8"/>
        <v>0</v>
      </c>
      <c r="V154">
        <f t="shared" si="9"/>
        <v>-1.8</v>
      </c>
      <c r="W154">
        <f t="shared" si="10"/>
        <v>-2.3400000000000003</v>
      </c>
    </row>
    <row r="155" spans="17:23" x14ac:dyDescent="0.25">
      <c r="Q155">
        <f t="shared" si="11"/>
        <v>153</v>
      </c>
      <c r="R155" t="b">
        <f t="shared" si="8"/>
        <v>0</v>
      </c>
      <c r="V155">
        <f t="shared" si="9"/>
        <v>-1.8125</v>
      </c>
      <c r="W155">
        <f t="shared" si="10"/>
        <v>-2.3562500000000002</v>
      </c>
    </row>
    <row r="156" spans="17:23" x14ac:dyDescent="0.25">
      <c r="Q156">
        <f t="shared" si="11"/>
        <v>154</v>
      </c>
      <c r="R156" t="b">
        <f t="shared" si="8"/>
        <v>0</v>
      </c>
      <c r="V156">
        <f t="shared" si="9"/>
        <v>-1.8250000000000002</v>
      </c>
      <c r="W156">
        <f t="shared" si="10"/>
        <v>-2.3725000000000001</v>
      </c>
    </row>
    <row r="157" spans="17:23" x14ac:dyDescent="0.25">
      <c r="Q157">
        <f t="shared" si="11"/>
        <v>155</v>
      </c>
      <c r="R157" t="b">
        <f t="shared" si="8"/>
        <v>0</v>
      </c>
      <c r="V157">
        <f t="shared" si="9"/>
        <v>-1.8375000000000001</v>
      </c>
      <c r="W157">
        <f t="shared" si="10"/>
        <v>-2.3887499999999999</v>
      </c>
    </row>
    <row r="158" spans="17:23" x14ac:dyDescent="0.25">
      <c r="Q158">
        <f t="shared" si="11"/>
        <v>156</v>
      </c>
      <c r="R158" t="b">
        <f t="shared" si="8"/>
        <v>0</v>
      </c>
      <c r="V158">
        <f t="shared" si="9"/>
        <v>-1.85</v>
      </c>
      <c r="W158">
        <f t="shared" si="10"/>
        <v>-2.4049999999999998</v>
      </c>
    </row>
    <row r="159" spans="17:23" x14ac:dyDescent="0.25">
      <c r="Q159">
        <f t="shared" si="11"/>
        <v>157</v>
      </c>
      <c r="R159" t="b">
        <f t="shared" si="8"/>
        <v>0</v>
      </c>
      <c r="V159">
        <f t="shared" si="9"/>
        <v>-1.8625</v>
      </c>
      <c r="W159">
        <f t="shared" si="10"/>
        <v>-2.4212500000000001</v>
      </c>
    </row>
    <row r="160" spans="17:23" x14ac:dyDescent="0.25">
      <c r="Q160">
        <f t="shared" si="11"/>
        <v>158</v>
      </c>
      <c r="R160" t="b">
        <f t="shared" si="8"/>
        <v>0</v>
      </c>
      <c r="V160">
        <f t="shared" si="9"/>
        <v>-1.875</v>
      </c>
      <c r="W160">
        <f t="shared" si="10"/>
        <v>-2.4375</v>
      </c>
    </row>
    <row r="161" spans="17:23" x14ac:dyDescent="0.25">
      <c r="Q161">
        <f t="shared" si="11"/>
        <v>159</v>
      </c>
      <c r="R161" t="b">
        <f t="shared" si="8"/>
        <v>0</v>
      </c>
      <c r="V161">
        <f t="shared" si="9"/>
        <v>-1.8875000000000002</v>
      </c>
      <c r="W161">
        <f t="shared" si="10"/>
        <v>-2.4537500000000003</v>
      </c>
    </row>
    <row r="162" spans="17:23" x14ac:dyDescent="0.25">
      <c r="Q162">
        <f t="shared" si="11"/>
        <v>160</v>
      </c>
      <c r="R162" t="b">
        <f t="shared" si="8"/>
        <v>0</v>
      </c>
      <c r="V162">
        <f t="shared" si="9"/>
        <v>-1.9000000000000001</v>
      </c>
      <c r="W162">
        <f t="shared" si="10"/>
        <v>-2.4700000000000002</v>
      </c>
    </row>
    <row r="163" spans="17:23" x14ac:dyDescent="0.25">
      <c r="Q163">
        <f t="shared" si="11"/>
        <v>161</v>
      </c>
      <c r="R163" t="b">
        <f t="shared" si="8"/>
        <v>0</v>
      </c>
      <c r="V163">
        <f t="shared" si="9"/>
        <v>-1.9125000000000001</v>
      </c>
      <c r="W163">
        <f t="shared" si="10"/>
        <v>-2.4862500000000001</v>
      </c>
    </row>
    <row r="164" spans="17:23" x14ac:dyDescent="0.25">
      <c r="Q164">
        <f t="shared" si="11"/>
        <v>162</v>
      </c>
      <c r="R164" t="b">
        <f t="shared" si="8"/>
        <v>0</v>
      </c>
      <c r="V164">
        <f t="shared" si="9"/>
        <v>-1.925</v>
      </c>
      <c r="W164">
        <f t="shared" si="10"/>
        <v>-2.5024999999999999</v>
      </c>
    </row>
    <row r="165" spans="17:23" x14ac:dyDescent="0.25">
      <c r="Q165">
        <f t="shared" si="11"/>
        <v>163</v>
      </c>
      <c r="R165" t="b">
        <f t="shared" si="8"/>
        <v>0</v>
      </c>
      <c r="V165">
        <f t="shared" si="9"/>
        <v>-1.9375</v>
      </c>
      <c r="W165">
        <f t="shared" si="10"/>
        <v>-2.5187500000000003</v>
      </c>
    </row>
    <row r="166" spans="17:23" x14ac:dyDescent="0.25">
      <c r="Q166">
        <f t="shared" si="11"/>
        <v>164</v>
      </c>
      <c r="R166" t="b">
        <f t="shared" si="8"/>
        <v>0</v>
      </c>
      <c r="V166">
        <f t="shared" si="9"/>
        <v>-1.9500000000000002</v>
      </c>
      <c r="W166">
        <f t="shared" si="10"/>
        <v>-2.5350000000000001</v>
      </c>
    </row>
    <row r="167" spans="17:23" x14ac:dyDescent="0.25">
      <c r="Q167">
        <f t="shared" si="11"/>
        <v>165</v>
      </c>
      <c r="R167" t="b">
        <f t="shared" si="8"/>
        <v>0</v>
      </c>
      <c r="V167">
        <f t="shared" si="9"/>
        <v>-1.9625000000000001</v>
      </c>
      <c r="W167">
        <f t="shared" si="10"/>
        <v>-2.5512499999999996</v>
      </c>
    </row>
    <row r="168" spans="17:23" x14ac:dyDescent="0.25">
      <c r="Q168">
        <f t="shared" si="11"/>
        <v>166</v>
      </c>
      <c r="R168" t="b">
        <f t="shared" si="8"/>
        <v>0</v>
      </c>
      <c r="V168">
        <f t="shared" si="9"/>
        <v>-1.9750000000000001</v>
      </c>
      <c r="W168">
        <f t="shared" si="10"/>
        <v>-2.5675000000000003</v>
      </c>
    </row>
    <row r="169" spans="17:23" x14ac:dyDescent="0.25">
      <c r="Q169">
        <f t="shared" si="11"/>
        <v>167</v>
      </c>
      <c r="R169" t="b">
        <f t="shared" si="8"/>
        <v>0</v>
      </c>
      <c r="V169">
        <f t="shared" si="9"/>
        <v>-1.9875</v>
      </c>
      <c r="W169">
        <f t="shared" si="10"/>
        <v>-2.5837500000000002</v>
      </c>
    </row>
    <row r="170" spans="17:23" x14ac:dyDescent="0.25">
      <c r="Q170">
        <f t="shared" si="11"/>
        <v>168</v>
      </c>
      <c r="R170" t="b">
        <f t="shared" si="8"/>
        <v>0</v>
      </c>
      <c r="V170">
        <f t="shared" si="9"/>
        <v>-2</v>
      </c>
      <c r="W170">
        <f t="shared" si="10"/>
        <v>-2.6</v>
      </c>
    </row>
    <row r="171" spans="17:23" x14ac:dyDescent="0.25">
      <c r="Q171">
        <f t="shared" si="11"/>
        <v>169</v>
      </c>
      <c r="R171" t="b">
        <f t="shared" si="8"/>
        <v>0</v>
      </c>
      <c r="V171">
        <f t="shared" si="9"/>
        <v>-2.0125000000000002</v>
      </c>
      <c r="W171">
        <f t="shared" si="10"/>
        <v>-2.61625</v>
      </c>
    </row>
    <row r="172" spans="17:23" x14ac:dyDescent="0.25">
      <c r="Q172">
        <f t="shared" si="11"/>
        <v>170</v>
      </c>
      <c r="R172" t="b">
        <f t="shared" si="8"/>
        <v>0</v>
      </c>
      <c r="V172">
        <f t="shared" si="9"/>
        <v>-2.0249999999999999</v>
      </c>
      <c r="W172">
        <f t="shared" si="10"/>
        <v>-2.6325000000000003</v>
      </c>
    </row>
    <row r="173" spans="17:23" x14ac:dyDescent="0.25">
      <c r="Q173">
        <f t="shared" si="11"/>
        <v>171</v>
      </c>
      <c r="R173" t="b">
        <f t="shared" si="8"/>
        <v>0</v>
      </c>
      <c r="V173">
        <f t="shared" si="9"/>
        <v>-2.0375000000000001</v>
      </c>
      <c r="W173">
        <f t="shared" si="10"/>
        <v>-2.6487499999999997</v>
      </c>
    </row>
    <row r="174" spans="17:23" x14ac:dyDescent="0.25">
      <c r="Q174">
        <f t="shared" si="11"/>
        <v>172</v>
      </c>
      <c r="R174" t="b">
        <f t="shared" si="8"/>
        <v>0</v>
      </c>
      <c r="V174">
        <f t="shared" si="9"/>
        <v>-2.0500000000000003</v>
      </c>
      <c r="W174">
        <f t="shared" si="10"/>
        <v>-2.665</v>
      </c>
    </row>
    <row r="175" spans="17:23" x14ac:dyDescent="0.25">
      <c r="Q175">
        <f t="shared" si="11"/>
        <v>173</v>
      </c>
      <c r="R175" t="b">
        <f t="shared" si="8"/>
        <v>0</v>
      </c>
      <c r="V175">
        <f t="shared" si="9"/>
        <v>-2.0625</v>
      </c>
      <c r="W175">
        <f t="shared" si="10"/>
        <v>-2.6812500000000004</v>
      </c>
    </row>
    <row r="176" spans="17:23" x14ac:dyDescent="0.25">
      <c r="Q176">
        <f t="shared" si="11"/>
        <v>174</v>
      </c>
      <c r="R176" t="b">
        <f t="shared" si="8"/>
        <v>0</v>
      </c>
      <c r="V176">
        <f t="shared" si="9"/>
        <v>-2.0750000000000002</v>
      </c>
      <c r="W176">
        <f t="shared" si="10"/>
        <v>-2.6975000000000002</v>
      </c>
    </row>
    <row r="177" spans="17:23" x14ac:dyDescent="0.25">
      <c r="Q177">
        <f t="shared" si="11"/>
        <v>175</v>
      </c>
      <c r="R177" t="b">
        <f t="shared" si="8"/>
        <v>0</v>
      </c>
      <c r="V177">
        <f t="shared" si="9"/>
        <v>-2.0874999999999999</v>
      </c>
      <c r="W177">
        <f t="shared" si="10"/>
        <v>-2.7137500000000001</v>
      </c>
    </row>
    <row r="178" spans="17:23" x14ac:dyDescent="0.25">
      <c r="Q178">
        <f t="shared" si="11"/>
        <v>176</v>
      </c>
      <c r="R178" t="b">
        <f t="shared" si="8"/>
        <v>0</v>
      </c>
      <c r="V178">
        <f t="shared" si="9"/>
        <v>-2.1</v>
      </c>
      <c r="W178">
        <f t="shared" si="10"/>
        <v>-2.73</v>
      </c>
    </row>
    <row r="179" spans="17:23" x14ac:dyDescent="0.25">
      <c r="Q179">
        <f t="shared" si="11"/>
        <v>177</v>
      </c>
      <c r="R179" t="b">
        <f t="shared" si="8"/>
        <v>0</v>
      </c>
      <c r="V179">
        <f t="shared" si="9"/>
        <v>-2.1125000000000003</v>
      </c>
      <c r="W179">
        <f t="shared" si="10"/>
        <v>-2.7462499999999999</v>
      </c>
    </row>
    <row r="180" spans="17:23" x14ac:dyDescent="0.25">
      <c r="Q180">
        <f t="shared" si="11"/>
        <v>178</v>
      </c>
      <c r="R180" t="b">
        <f t="shared" si="8"/>
        <v>0</v>
      </c>
      <c r="V180">
        <f t="shared" si="9"/>
        <v>-2.125</v>
      </c>
      <c r="W180">
        <f t="shared" si="10"/>
        <v>-2.7624999999999997</v>
      </c>
    </row>
    <row r="181" spans="17:23" x14ac:dyDescent="0.25">
      <c r="Q181">
        <f t="shared" si="11"/>
        <v>179</v>
      </c>
      <c r="R181" t="b">
        <f t="shared" si="8"/>
        <v>0</v>
      </c>
      <c r="V181">
        <f t="shared" si="9"/>
        <v>-2.1375000000000002</v>
      </c>
      <c r="W181">
        <f t="shared" si="10"/>
        <v>-2.7787500000000001</v>
      </c>
    </row>
    <row r="182" spans="17:23" x14ac:dyDescent="0.25">
      <c r="Q182">
        <f t="shared" si="11"/>
        <v>180</v>
      </c>
      <c r="R182" t="b">
        <f t="shared" si="8"/>
        <v>0</v>
      </c>
      <c r="V182">
        <f t="shared" si="9"/>
        <v>-2.15</v>
      </c>
      <c r="W182">
        <f t="shared" si="10"/>
        <v>-2.7949999999999999</v>
      </c>
    </row>
    <row r="183" spans="17:23" x14ac:dyDescent="0.25">
      <c r="Q183">
        <f t="shared" si="11"/>
        <v>181</v>
      </c>
      <c r="R183" t="b">
        <f t="shared" si="8"/>
        <v>0</v>
      </c>
      <c r="V183">
        <f t="shared" si="9"/>
        <v>-2.1625000000000001</v>
      </c>
      <c r="W183">
        <f t="shared" si="10"/>
        <v>-2.8112500000000002</v>
      </c>
    </row>
    <row r="184" spans="17:23" x14ac:dyDescent="0.25">
      <c r="Q184">
        <f t="shared" si="11"/>
        <v>182</v>
      </c>
      <c r="R184" t="b">
        <f t="shared" si="8"/>
        <v>0</v>
      </c>
      <c r="V184">
        <f t="shared" si="9"/>
        <v>-2.1750000000000003</v>
      </c>
      <c r="W184">
        <f t="shared" si="10"/>
        <v>-2.8275000000000001</v>
      </c>
    </row>
    <row r="185" spans="17:23" x14ac:dyDescent="0.25">
      <c r="Q185">
        <f t="shared" si="11"/>
        <v>183</v>
      </c>
      <c r="R185" t="b">
        <f t="shared" si="8"/>
        <v>0</v>
      </c>
      <c r="V185">
        <f t="shared" si="9"/>
        <v>-2.1875</v>
      </c>
      <c r="W185">
        <f t="shared" si="10"/>
        <v>-2.84375</v>
      </c>
    </row>
    <row r="186" spans="17:23" x14ac:dyDescent="0.25">
      <c r="Q186">
        <f t="shared" si="11"/>
        <v>184</v>
      </c>
      <c r="R186" t="b">
        <f t="shared" si="8"/>
        <v>0</v>
      </c>
      <c r="V186">
        <f t="shared" si="9"/>
        <v>-2.2000000000000002</v>
      </c>
      <c r="W186">
        <f t="shared" si="10"/>
        <v>-2.86</v>
      </c>
    </row>
    <row r="187" spans="17:23" x14ac:dyDescent="0.25">
      <c r="Q187">
        <f t="shared" si="11"/>
        <v>185</v>
      </c>
      <c r="R187" t="b">
        <f t="shared" si="8"/>
        <v>0</v>
      </c>
      <c r="V187">
        <f t="shared" si="9"/>
        <v>-2.2124999999999999</v>
      </c>
      <c r="W187">
        <f t="shared" si="10"/>
        <v>-2.8762500000000002</v>
      </c>
    </row>
    <row r="188" spans="17:23" x14ac:dyDescent="0.25">
      <c r="Q188">
        <f t="shared" si="11"/>
        <v>186</v>
      </c>
      <c r="R188" t="b">
        <f t="shared" si="8"/>
        <v>0</v>
      </c>
      <c r="V188">
        <f t="shared" si="9"/>
        <v>-2.2250000000000001</v>
      </c>
      <c r="W188">
        <f t="shared" si="10"/>
        <v>-2.8925000000000001</v>
      </c>
    </row>
    <row r="189" spans="17:23" x14ac:dyDescent="0.25">
      <c r="Q189">
        <f t="shared" si="11"/>
        <v>187</v>
      </c>
      <c r="R189" t="b">
        <f t="shared" si="8"/>
        <v>0</v>
      </c>
      <c r="V189">
        <f t="shared" si="9"/>
        <v>-2.2375000000000003</v>
      </c>
      <c r="W189">
        <f t="shared" si="10"/>
        <v>-2.9087500000000004</v>
      </c>
    </row>
    <row r="190" spans="17:23" x14ac:dyDescent="0.25">
      <c r="Q190">
        <f t="shared" si="11"/>
        <v>188</v>
      </c>
      <c r="R190" t="b">
        <f t="shared" si="8"/>
        <v>0</v>
      </c>
      <c r="V190">
        <f t="shared" si="9"/>
        <v>-2.25</v>
      </c>
      <c r="W190">
        <f t="shared" si="10"/>
        <v>-2.9250000000000003</v>
      </c>
    </row>
    <row r="191" spans="17:23" x14ac:dyDescent="0.25">
      <c r="Q191">
        <f t="shared" si="11"/>
        <v>189</v>
      </c>
      <c r="R191" t="b">
        <f t="shared" si="8"/>
        <v>0</v>
      </c>
      <c r="V191">
        <f t="shared" si="9"/>
        <v>-2.2625000000000002</v>
      </c>
      <c r="W191">
        <f t="shared" si="10"/>
        <v>-2.9412500000000001</v>
      </c>
    </row>
    <row r="192" spans="17:23" x14ac:dyDescent="0.25">
      <c r="Q192">
        <f t="shared" si="11"/>
        <v>190</v>
      </c>
      <c r="R192" t="b">
        <f t="shared" si="8"/>
        <v>0</v>
      </c>
      <c r="V192">
        <f t="shared" si="9"/>
        <v>-2.2749999999999999</v>
      </c>
      <c r="W192">
        <f t="shared" si="10"/>
        <v>-2.9575</v>
      </c>
    </row>
    <row r="193" spans="17:23" x14ac:dyDescent="0.25">
      <c r="Q193">
        <f t="shared" si="11"/>
        <v>191</v>
      </c>
      <c r="R193" t="b">
        <f t="shared" si="8"/>
        <v>0</v>
      </c>
      <c r="V193">
        <f t="shared" si="9"/>
        <v>-2.2875000000000001</v>
      </c>
      <c r="W193">
        <f t="shared" si="10"/>
        <v>-2.9737499999999999</v>
      </c>
    </row>
    <row r="194" spans="17:23" x14ac:dyDescent="0.25">
      <c r="Q194">
        <f t="shared" si="11"/>
        <v>192</v>
      </c>
      <c r="R194" t="b">
        <f t="shared" si="8"/>
        <v>0</v>
      </c>
      <c r="V194">
        <f t="shared" si="9"/>
        <v>-2.3000000000000003</v>
      </c>
      <c r="W194">
        <f t="shared" si="10"/>
        <v>-2.99</v>
      </c>
    </row>
    <row r="195" spans="17:23" x14ac:dyDescent="0.25">
      <c r="Q195">
        <f t="shared" si="11"/>
        <v>193</v>
      </c>
      <c r="R195" t="b">
        <f t="shared" si="8"/>
        <v>0</v>
      </c>
      <c r="V195">
        <f t="shared" si="9"/>
        <v>-2.3125</v>
      </c>
      <c r="W195">
        <f t="shared" si="10"/>
        <v>-3.0062499999999996</v>
      </c>
    </row>
    <row r="196" spans="17:23" x14ac:dyDescent="0.25">
      <c r="Q196">
        <f t="shared" si="11"/>
        <v>194</v>
      </c>
      <c r="R196" t="b">
        <f t="shared" ref="R196:R259" si="12">Q196&lt;($S$3+1)</f>
        <v>0</v>
      </c>
      <c r="V196">
        <f t="shared" ref="V196:V259" si="13">$B$3*(($S$3-Q196+1)/$S$3)*($E$3/100)</f>
        <v>-2.3250000000000002</v>
      </c>
      <c r="W196">
        <f t="shared" ref="W196:W259" si="14">$C$3*(($S$3-Q196+1)/$S$3)*($E$3/100)</f>
        <v>-3.0225000000000004</v>
      </c>
    </row>
    <row r="197" spans="17:23" x14ac:dyDescent="0.25">
      <c r="Q197">
        <f t="shared" ref="Q197:Q260" si="15">Q196+1</f>
        <v>195</v>
      </c>
      <c r="R197" t="b">
        <f t="shared" si="12"/>
        <v>0</v>
      </c>
      <c r="V197">
        <f t="shared" si="13"/>
        <v>-2.3374999999999999</v>
      </c>
      <c r="W197">
        <f t="shared" si="14"/>
        <v>-3.0387500000000003</v>
      </c>
    </row>
    <row r="198" spans="17:23" x14ac:dyDescent="0.25">
      <c r="Q198">
        <f t="shared" si="15"/>
        <v>196</v>
      </c>
      <c r="R198" t="b">
        <f t="shared" si="12"/>
        <v>0</v>
      </c>
      <c r="V198">
        <f t="shared" si="13"/>
        <v>-2.35</v>
      </c>
      <c r="W198">
        <f t="shared" si="14"/>
        <v>-3.0550000000000002</v>
      </c>
    </row>
    <row r="199" spans="17:23" x14ac:dyDescent="0.25">
      <c r="Q199">
        <f t="shared" si="15"/>
        <v>197</v>
      </c>
      <c r="R199" t="b">
        <f t="shared" si="12"/>
        <v>0</v>
      </c>
      <c r="V199">
        <f t="shared" si="13"/>
        <v>-2.3625000000000003</v>
      </c>
      <c r="W199">
        <f t="shared" si="14"/>
        <v>-3.07125</v>
      </c>
    </row>
    <row r="200" spans="17:23" x14ac:dyDescent="0.25">
      <c r="Q200">
        <f t="shared" si="15"/>
        <v>198</v>
      </c>
      <c r="R200" t="b">
        <f t="shared" si="12"/>
        <v>0</v>
      </c>
      <c r="V200">
        <f t="shared" si="13"/>
        <v>-2.375</v>
      </c>
      <c r="W200">
        <f t="shared" si="14"/>
        <v>-3.0874999999999999</v>
      </c>
    </row>
    <row r="201" spans="17:23" x14ac:dyDescent="0.25">
      <c r="Q201">
        <f t="shared" si="15"/>
        <v>199</v>
      </c>
      <c r="R201" t="b">
        <f t="shared" si="12"/>
        <v>0</v>
      </c>
      <c r="V201">
        <f t="shared" si="13"/>
        <v>-2.3875000000000002</v>
      </c>
      <c r="W201">
        <f t="shared" si="14"/>
        <v>-3.1037499999999998</v>
      </c>
    </row>
    <row r="202" spans="17:23" x14ac:dyDescent="0.25">
      <c r="Q202">
        <f t="shared" si="15"/>
        <v>200</v>
      </c>
      <c r="R202" t="b">
        <f t="shared" si="12"/>
        <v>0</v>
      </c>
      <c r="V202">
        <f t="shared" si="13"/>
        <v>-2.4000000000000004</v>
      </c>
      <c r="W202">
        <f t="shared" si="14"/>
        <v>-3.1199999999999997</v>
      </c>
    </row>
    <row r="203" spans="17:23" x14ac:dyDescent="0.25">
      <c r="Q203">
        <f t="shared" si="15"/>
        <v>201</v>
      </c>
      <c r="R203" t="b">
        <f t="shared" si="12"/>
        <v>0</v>
      </c>
      <c r="V203">
        <f t="shared" si="13"/>
        <v>-2.4125000000000001</v>
      </c>
      <c r="W203">
        <f t="shared" si="14"/>
        <v>-3.1362500000000004</v>
      </c>
    </row>
    <row r="204" spans="17:23" x14ac:dyDescent="0.25">
      <c r="Q204">
        <f t="shared" si="15"/>
        <v>202</v>
      </c>
      <c r="R204" t="b">
        <f t="shared" si="12"/>
        <v>0</v>
      </c>
      <c r="V204">
        <f t="shared" si="13"/>
        <v>-2.4250000000000003</v>
      </c>
      <c r="W204">
        <f t="shared" si="14"/>
        <v>-3.1524999999999999</v>
      </c>
    </row>
    <row r="205" spans="17:23" x14ac:dyDescent="0.25">
      <c r="Q205">
        <f t="shared" si="15"/>
        <v>203</v>
      </c>
      <c r="R205" t="b">
        <f t="shared" si="12"/>
        <v>0</v>
      </c>
      <c r="V205">
        <f t="shared" si="13"/>
        <v>-2.4375</v>
      </c>
      <c r="W205">
        <f t="shared" si="14"/>
        <v>-3.1687500000000002</v>
      </c>
    </row>
    <row r="206" spans="17:23" x14ac:dyDescent="0.25">
      <c r="Q206">
        <f t="shared" si="15"/>
        <v>204</v>
      </c>
      <c r="R206" t="b">
        <f t="shared" si="12"/>
        <v>0</v>
      </c>
      <c r="V206">
        <f t="shared" si="13"/>
        <v>-2.4500000000000002</v>
      </c>
      <c r="W206">
        <f t="shared" si="14"/>
        <v>-3.1850000000000001</v>
      </c>
    </row>
    <row r="207" spans="17:23" x14ac:dyDescent="0.25">
      <c r="Q207">
        <f t="shared" si="15"/>
        <v>205</v>
      </c>
      <c r="R207" t="b">
        <f t="shared" si="12"/>
        <v>0</v>
      </c>
      <c r="V207">
        <f t="shared" si="13"/>
        <v>-2.4625000000000004</v>
      </c>
      <c r="W207">
        <f t="shared" si="14"/>
        <v>-3.2012499999999999</v>
      </c>
    </row>
    <row r="208" spans="17:23" x14ac:dyDescent="0.25">
      <c r="Q208">
        <f t="shared" si="15"/>
        <v>206</v>
      </c>
      <c r="R208" t="b">
        <f t="shared" si="12"/>
        <v>0</v>
      </c>
      <c r="V208">
        <f t="shared" si="13"/>
        <v>-2.4750000000000001</v>
      </c>
      <c r="W208">
        <f t="shared" si="14"/>
        <v>-3.2174999999999998</v>
      </c>
    </row>
    <row r="209" spans="17:23" x14ac:dyDescent="0.25">
      <c r="Q209">
        <f t="shared" si="15"/>
        <v>207</v>
      </c>
      <c r="R209" t="b">
        <f t="shared" si="12"/>
        <v>0</v>
      </c>
      <c r="V209">
        <f t="shared" si="13"/>
        <v>-2.4875000000000003</v>
      </c>
      <c r="W209">
        <f t="shared" si="14"/>
        <v>-3.2337500000000001</v>
      </c>
    </row>
    <row r="210" spans="17:23" x14ac:dyDescent="0.25">
      <c r="Q210">
        <f t="shared" si="15"/>
        <v>208</v>
      </c>
      <c r="R210" t="b">
        <f t="shared" si="12"/>
        <v>0</v>
      </c>
      <c r="V210">
        <f t="shared" si="13"/>
        <v>-2.5</v>
      </c>
      <c r="W210">
        <f t="shared" si="14"/>
        <v>-3.25</v>
      </c>
    </row>
    <row r="211" spans="17:23" x14ac:dyDescent="0.25">
      <c r="Q211">
        <f t="shared" si="15"/>
        <v>209</v>
      </c>
      <c r="R211" t="b">
        <f t="shared" si="12"/>
        <v>0</v>
      </c>
      <c r="V211">
        <f t="shared" si="13"/>
        <v>-2.5125000000000002</v>
      </c>
      <c r="W211">
        <f t="shared" si="14"/>
        <v>-3.2662500000000003</v>
      </c>
    </row>
    <row r="212" spans="17:23" x14ac:dyDescent="0.25">
      <c r="Q212">
        <f t="shared" si="15"/>
        <v>210</v>
      </c>
      <c r="R212" t="b">
        <f t="shared" si="12"/>
        <v>0</v>
      </c>
      <c r="V212">
        <f t="shared" si="13"/>
        <v>-2.5250000000000004</v>
      </c>
      <c r="W212">
        <f t="shared" si="14"/>
        <v>-3.2825000000000006</v>
      </c>
    </row>
    <row r="213" spans="17:23" x14ac:dyDescent="0.25">
      <c r="Q213">
        <f t="shared" si="15"/>
        <v>211</v>
      </c>
      <c r="R213" t="b">
        <f t="shared" si="12"/>
        <v>0</v>
      </c>
      <c r="V213">
        <f t="shared" si="13"/>
        <v>-2.5375000000000001</v>
      </c>
      <c r="W213">
        <f t="shared" si="14"/>
        <v>-3.2987500000000001</v>
      </c>
    </row>
    <row r="214" spans="17:23" x14ac:dyDescent="0.25">
      <c r="Q214">
        <f t="shared" si="15"/>
        <v>212</v>
      </c>
      <c r="R214" t="b">
        <f t="shared" si="12"/>
        <v>0</v>
      </c>
      <c r="V214">
        <f t="shared" si="13"/>
        <v>-2.5500000000000003</v>
      </c>
      <c r="W214">
        <f t="shared" si="14"/>
        <v>-3.3149999999999999</v>
      </c>
    </row>
    <row r="215" spans="17:23" x14ac:dyDescent="0.25">
      <c r="Q215">
        <f t="shared" si="15"/>
        <v>213</v>
      </c>
      <c r="R215" t="b">
        <f t="shared" si="12"/>
        <v>0</v>
      </c>
      <c r="V215">
        <f t="shared" si="13"/>
        <v>-2.5625</v>
      </c>
      <c r="W215">
        <f t="shared" si="14"/>
        <v>-3.3312500000000003</v>
      </c>
    </row>
    <row r="216" spans="17:23" x14ac:dyDescent="0.25">
      <c r="Q216">
        <f t="shared" si="15"/>
        <v>214</v>
      </c>
      <c r="R216" t="b">
        <f t="shared" si="12"/>
        <v>0</v>
      </c>
      <c r="V216">
        <f t="shared" si="13"/>
        <v>-2.5750000000000002</v>
      </c>
      <c r="W216">
        <f t="shared" si="14"/>
        <v>-3.3474999999999997</v>
      </c>
    </row>
    <row r="217" spans="17:23" x14ac:dyDescent="0.25">
      <c r="Q217">
        <f t="shared" si="15"/>
        <v>215</v>
      </c>
      <c r="R217" t="b">
        <f t="shared" si="12"/>
        <v>0</v>
      </c>
      <c r="V217">
        <f t="shared" si="13"/>
        <v>-2.5875000000000004</v>
      </c>
      <c r="W217">
        <f t="shared" si="14"/>
        <v>-3.3637500000000005</v>
      </c>
    </row>
    <row r="218" spans="17:23" x14ac:dyDescent="0.25">
      <c r="Q218">
        <f t="shared" si="15"/>
        <v>216</v>
      </c>
      <c r="R218" t="b">
        <f t="shared" si="12"/>
        <v>0</v>
      </c>
      <c r="V218">
        <f t="shared" si="13"/>
        <v>-2.6</v>
      </c>
      <c r="W218">
        <f t="shared" si="14"/>
        <v>-3.38</v>
      </c>
    </row>
    <row r="219" spans="17:23" x14ac:dyDescent="0.25">
      <c r="Q219">
        <f t="shared" si="15"/>
        <v>217</v>
      </c>
      <c r="R219" t="b">
        <f t="shared" si="12"/>
        <v>0</v>
      </c>
      <c r="V219">
        <f t="shared" si="13"/>
        <v>-2.6125000000000003</v>
      </c>
      <c r="W219">
        <f t="shared" si="14"/>
        <v>-3.3962500000000002</v>
      </c>
    </row>
    <row r="220" spans="17:23" x14ac:dyDescent="0.25">
      <c r="Q220">
        <f t="shared" si="15"/>
        <v>218</v>
      </c>
      <c r="R220" t="b">
        <f t="shared" si="12"/>
        <v>0</v>
      </c>
      <c r="V220">
        <f t="shared" si="13"/>
        <v>-2.625</v>
      </c>
      <c r="W220">
        <f t="shared" si="14"/>
        <v>-3.4125000000000001</v>
      </c>
    </row>
    <row r="221" spans="17:23" x14ac:dyDescent="0.25">
      <c r="Q221">
        <f t="shared" si="15"/>
        <v>219</v>
      </c>
      <c r="R221" t="b">
        <f t="shared" si="12"/>
        <v>0</v>
      </c>
      <c r="V221">
        <f t="shared" si="13"/>
        <v>-2.6375000000000002</v>
      </c>
      <c r="W221">
        <f t="shared" si="14"/>
        <v>-3.4287500000000004</v>
      </c>
    </row>
    <row r="222" spans="17:23" x14ac:dyDescent="0.25">
      <c r="Q222">
        <f t="shared" si="15"/>
        <v>220</v>
      </c>
      <c r="R222" t="b">
        <f t="shared" si="12"/>
        <v>0</v>
      </c>
      <c r="V222">
        <f t="shared" si="13"/>
        <v>-2.6500000000000004</v>
      </c>
      <c r="W222">
        <f t="shared" si="14"/>
        <v>-3.4449999999999998</v>
      </c>
    </row>
    <row r="223" spans="17:23" x14ac:dyDescent="0.25">
      <c r="Q223">
        <f t="shared" si="15"/>
        <v>221</v>
      </c>
      <c r="R223" t="b">
        <f t="shared" si="12"/>
        <v>0</v>
      </c>
      <c r="V223">
        <f t="shared" si="13"/>
        <v>-2.6625000000000001</v>
      </c>
      <c r="W223">
        <f t="shared" si="14"/>
        <v>-3.4612499999999997</v>
      </c>
    </row>
    <row r="224" spans="17:23" x14ac:dyDescent="0.25">
      <c r="Q224">
        <f t="shared" si="15"/>
        <v>222</v>
      </c>
      <c r="R224" t="b">
        <f t="shared" si="12"/>
        <v>0</v>
      </c>
      <c r="V224">
        <f t="shared" si="13"/>
        <v>-2.6750000000000003</v>
      </c>
      <c r="W224">
        <f t="shared" si="14"/>
        <v>-3.4775</v>
      </c>
    </row>
    <row r="225" spans="17:23" x14ac:dyDescent="0.25">
      <c r="Q225">
        <f t="shared" si="15"/>
        <v>223</v>
      </c>
      <c r="R225" t="b">
        <f t="shared" si="12"/>
        <v>0</v>
      </c>
      <c r="V225">
        <f t="shared" si="13"/>
        <v>-2.6875</v>
      </c>
      <c r="W225">
        <f t="shared" si="14"/>
        <v>-3.4937500000000004</v>
      </c>
    </row>
    <row r="226" spans="17:23" x14ac:dyDescent="0.25">
      <c r="Q226">
        <f t="shared" si="15"/>
        <v>224</v>
      </c>
      <c r="R226" t="b">
        <f t="shared" si="12"/>
        <v>0</v>
      </c>
      <c r="V226">
        <f t="shared" si="13"/>
        <v>-2.7</v>
      </c>
      <c r="W226">
        <f t="shared" si="14"/>
        <v>-3.5100000000000002</v>
      </c>
    </row>
    <row r="227" spans="17:23" x14ac:dyDescent="0.25">
      <c r="Q227">
        <f t="shared" si="15"/>
        <v>225</v>
      </c>
      <c r="R227" t="b">
        <f t="shared" si="12"/>
        <v>0</v>
      </c>
      <c r="V227">
        <f t="shared" si="13"/>
        <v>-2.7125000000000004</v>
      </c>
      <c r="W227">
        <f t="shared" si="14"/>
        <v>-3.5262499999999997</v>
      </c>
    </row>
    <row r="228" spans="17:23" x14ac:dyDescent="0.25">
      <c r="Q228">
        <f t="shared" si="15"/>
        <v>226</v>
      </c>
      <c r="R228" t="b">
        <f t="shared" si="12"/>
        <v>0</v>
      </c>
      <c r="V228">
        <f t="shared" si="13"/>
        <v>-2.7250000000000001</v>
      </c>
      <c r="W228">
        <f t="shared" si="14"/>
        <v>-3.5425</v>
      </c>
    </row>
    <row r="229" spans="17:23" x14ac:dyDescent="0.25">
      <c r="Q229">
        <f t="shared" si="15"/>
        <v>227</v>
      </c>
      <c r="R229" t="b">
        <f t="shared" si="12"/>
        <v>0</v>
      </c>
      <c r="V229">
        <f t="shared" si="13"/>
        <v>-2.7375000000000003</v>
      </c>
      <c r="W229">
        <f t="shared" si="14"/>
        <v>-3.5587499999999999</v>
      </c>
    </row>
    <row r="230" spans="17:23" x14ac:dyDescent="0.25">
      <c r="Q230">
        <f t="shared" si="15"/>
        <v>228</v>
      </c>
      <c r="R230" t="b">
        <f t="shared" si="12"/>
        <v>0</v>
      </c>
      <c r="V230">
        <f t="shared" si="13"/>
        <v>-2.75</v>
      </c>
      <c r="W230">
        <f t="shared" si="14"/>
        <v>-3.5750000000000002</v>
      </c>
    </row>
    <row r="231" spans="17:23" x14ac:dyDescent="0.25">
      <c r="Q231">
        <f t="shared" si="15"/>
        <v>229</v>
      </c>
      <c r="R231" t="b">
        <f t="shared" si="12"/>
        <v>0</v>
      </c>
      <c r="V231">
        <f t="shared" si="13"/>
        <v>-2.7625000000000002</v>
      </c>
      <c r="W231">
        <f t="shared" si="14"/>
        <v>-3.5912500000000005</v>
      </c>
    </row>
    <row r="232" spans="17:23" x14ac:dyDescent="0.25">
      <c r="Q232">
        <f t="shared" si="15"/>
        <v>230</v>
      </c>
      <c r="R232" t="b">
        <f t="shared" si="12"/>
        <v>0</v>
      </c>
      <c r="V232">
        <f t="shared" si="13"/>
        <v>-2.7750000000000004</v>
      </c>
      <c r="W232">
        <f t="shared" si="14"/>
        <v>-3.6075000000000004</v>
      </c>
    </row>
    <row r="233" spans="17:23" x14ac:dyDescent="0.25">
      <c r="Q233">
        <f t="shared" si="15"/>
        <v>231</v>
      </c>
      <c r="R233" t="b">
        <f t="shared" si="12"/>
        <v>0</v>
      </c>
      <c r="V233">
        <f t="shared" si="13"/>
        <v>-2.7875000000000001</v>
      </c>
      <c r="W233">
        <f t="shared" si="14"/>
        <v>-3.6237499999999998</v>
      </c>
    </row>
    <row r="234" spans="17:23" x14ac:dyDescent="0.25">
      <c r="Q234">
        <f t="shared" si="15"/>
        <v>232</v>
      </c>
      <c r="R234" t="b">
        <f t="shared" si="12"/>
        <v>0</v>
      </c>
      <c r="V234">
        <f t="shared" si="13"/>
        <v>-2.8000000000000003</v>
      </c>
      <c r="W234">
        <f t="shared" si="14"/>
        <v>-3.64</v>
      </c>
    </row>
    <row r="235" spans="17:23" x14ac:dyDescent="0.25">
      <c r="Q235">
        <f t="shared" si="15"/>
        <v>233</v>
      </c>
      <c r="R235" t="b">
        <f t="shared" si="12"/>
        <v>0</v>
      </c>
      <c r="V235">
        <f t="shared" si="13"/>
        <v>-2.8125000000000004</v>
      </c>
      <c r="W235">
        <f t="shared" si="14"/>
        <v>-3.65625</v>
      </c>
    </row>
    <row r="236" spans="17:23" x14ac:dyDescent="0.25">
      <c r="Q236">
        <f t="shared" si="15"/>
        <v>234</v>
      </c>
      <c r="R236" t="b">
        <f t="shared" si="12"/>
        <v>0</v>
      </c>
      <c r="V236">
        <f t="shared" si="13"/>
        <v>-2.8250000000000002</v>
      </c>
      <c r="W236">
        <f t="shared" si="14"/>
        <v>-3.6724999999999994</v>
      </c>
    </row>
    <row r="237" spans="17:23" x14ac:dyDescent="0.25">
      <c r="Q237">
        <f t="shared" si="15"/>
        <v>235</v>
      </c>
      <c r="R237" t="b">
        <f t="shared" si="12"/>
        <v>0</v>
      </c>
      <c r="V237">
        <f t="shared" si="13"/>
        <v>-2.8375000000000004</v>
      </c>
      <c r="W237">
        <f t="shared" si="14"/>
        <v>-3.6887500000000006</v>
      </c>
    </row>
    <row r="238" spans="17:23" x14ac:dyDescent="0.25">
      <c r="Q238">
        <f t="shared" si="15"/>
        <v>236</v>
      </c>
      <c r="R238" t="b">
        <f t="shared" si="12"/>
        <v>0</v>
      </c>
      <c r="V238">
        <f t="shared" si="13"/>
        <v>-2.85</v>
      </c>
      <c r="W238">
        <f t="shared" si="14"/>
        <v>-3.7050000000000001</v>
      </c>
    </row>
    <row r="239" spans="17:23" x14ac:dyDescent="0.25">
      <c r="Q239">
        <f t="shared" si="15"/>
        <v>237</v>
      </c>
      <c r="R239" t="b">
        <f t="shared" si="12"/>
        <v>0</v>
      </c>
      <c r="V239">
        <f t="shared" si="13"/>
        <v>-2.8625000000000003</v>
      </c>
      <c r="W239">
        <f t="shared" si="14"/>
        <v>-3.7212499999999999</v>
      </c>
    </row>
    <row r="240" spans="17:23" x14ac:dyDescent="0.25">
      <c r="Q240">
        <f t="shared" si="15"/>
        <v>238</v>
      </c>
      <c r="R240" t="b">
        <f t="shared" si="12"/>
        <v>0</v>
      </c>
      <c r="V240">
        <f t="shared" si="13"/>
        <v>-2.875</v>
      </c>
      <c r="W240">
        <f t="shared" si="14"/>
        <v>-3.7374999999999994</v>
      </c>
    </row>
    <row r="241" spans="17:23" x14ac:dyDescent="0.25">
      <c r="Q241">
        <f t="shared" si="15"/>
        <v>239</v>
      </c>
      <c r="R241" t="b">
        <f t="shared" si="12"/>
        <v>0</v>
      </c>
      <c r="V241">
        <f t="shared" si="13"/>
        <v>-2.8875000000000002</v>
      </c>
      <c r="W241">
        <f t="shared" si="14"/>
        <v>-3.7537500000000001</v>
      </c>
    </row>
    <row r="242" spans="17:23" x14ac:dyDescent="0.25">
      <c r="Q242">
        <f t="shared" si="15"/>
        <v>240</v>
      </c>
      <c r="R242" t="b">
        <f t="shared" si="12"/>
        <v>0</v>
      </c>
      <c r="V242">
        <f t="shared" si="13"/>
        <v>-2.9000000000000004</v>
      </c>
      <c r="W242">
        <f t="shared" si="14"/>
        <v>-3.7700000000000005</v>
      </c>
    </row>
    <row r="243" spans="17:23" x14ac:dyDescent="0.25">
      <c r="Q243">
        <f t="shared" si="15"/>
        <v>241</v>
      </c>
      <c r="R243" t="b">
        <f t="shared" si="12"/>
        <v>0</v>
      </c>
      <c r="V243">
        <f t="shared" si="13"/>
        <v>-2.9125000000000001</v>
      </c>
      <c r="W243">
        <f t="shared" si="14"/>
        <v>-3.7862499999999999</v>
      </c>
    </row>
    <row r="244" spans="17:23" x14ac:dyDescent="0.25">
      <c r="Q244">
        <f t="shared" si="15"/>
        <v>242</v>
      </c>
      <c r="R244" t="b">
        <f t="shared" si="12"/>
        <v>0</v>
      </c>
      <c r="V244">
        <f t="shared" si="13"/>
        <v>-2.9250000000000003</v>
      </c>
      <c r="W244">
        <f t="shared" si="14"/>
        <v>-3.8025000000000002</v>
      </c>
    </row>
    <row r="245" spans="17:23" x14ac:dyDescent="0.25">
      <c r="Q245">
        <f t="shared" si="15"/>
        <v>243</v>
      </c>
      <c r="R245" t="b">
        <f t="shared" si="12"/>
        <v>0</v>
      </c>
      <c r="V245">
        <f t="shared" si="13"/>
        <v>-2.9375</v>
      </c>
      <c r="W245">
        <f t="shared" si="14"/>
        <v>-3.8187499999999996</v>
      </c>
    </row>
    <row r="246" spans="17:23" x14ac:dyDescent="0.25">
      <c r="Q246">
        <f t="shared" si="15"/>
        <v>244</v>
      </c>
      <c r="R246" t="b">
        <f t="shared" si="12"/>
        <v>0</v>
      </c>
      <c r="V246">
        <f t="shared" si="13"/>
        <v>-2.95</v>
      </c>
      <c r="W246">
        <f t="shared" si="14"/>
        <v>-3.8350000000000004</v>
      </c>
    </row>
    <row r="247" spans="17:23" x14ac:dyDescent="0.25">
      <c r="Q247">
        <f t="shared" si="15"/>
        <v>245</v>
      </c>
      <c r="R247" t="b">
        <f t="shared" si="12"/>
        <v>0</v>
      </c>
      <c r="V247">
        <f t="shared" si="13"/>
        <v>-2.9624999999999999</v>
      </c>
      <c r="W247">
        <f t="shared" si="14"/>
        <v>-3.8512499999999998</v>
      </c>
    </row>
    <row r="248" spans="17:23" x14ac:dyDescent="0.25">
      <c r="Q248">
        <f t="shared" si="15"/>
        <v>246</v>
      </c>
      <c r="R248" t="b">
        <f t="shared" si="12"/>
        <v>0</v>
      </c>
      <c r="V248">
        <f t="shared" si="13"/>
        <v>-2.9750000000000001</v>
      </c>
      <c r="W248">
        <f t="shared" si="14"/>
        <v>-3.8674999999999997</v>
      </c>
    </row>
    <row r="249" spans="17:23" x14ac:dyDescent="0.25">
      <c r="Q249">
        <f t="shared" si="15"/>
        <v>247</v>
      </c>
      <c r="R249" t="b">
        <f t="shared" si="12"/>
        <v>0</v>
      </c>
      <c r="V249">
        <f t="shared" si="13"/>
        <v>-2.9875000000000007</v>
      </c>
      <c r="W249">
        <f t="shared" si="14"/>
        <v>-3.88375</v>
      </c>
    </row>
    <row r="250" spans="17:23" x14ac:dyDescent="0.25">
      <c r="Q250">
        <f t="shared" si="15"/>
        <v>248</v>
      </c>
      <c r="R250" t="b">
        <f t="shared" si="12"/>
        <v>0</v>
      </c>
      <c r="V250">
        <f t="shared" si="13"/>
        <v>-3</v>
      </c>
      <c r="W250">
        <f t="shared" si="14"/>
        <v>-3.9000000000000004</v>
      </c>
    </row>
    <row r="251" spans="17:23" x14ac:dyDescent="0.25">
      <c r="Q251">
        <f t="shared" si="15"/>
        <v>249</v>
      </c>
      <c r="R251" t="b">
        <f t="shared" si="12"/>
        <v>0</v>
      </c>
      <c r="V251">
        <f t="shared" si="13"/>
        <v>-3.0125000000000002</v>
      </c>
      <c r="W251">
        <f t="shared" si="14"/>
        <v>-3.9162500000000002</v>
      </c>
    </row>
    <row r="252" spans="17:23" x14ac:dyDescent="0.25">
      <c r="Q252">
        <f t="shared" si="15"/>
        <v>250</v>
      </c>
      <c r="R252" t="b">
        <f t="shared" si="12"/>
        <v>0</v>
      </c>
      <c r="V252">
        <f t="shared" si="13"/>
        <v>-3.0250000000000004</v>
      </c>
      <c r="W252">
        <f t="shared" si="14"/>
        <v>-3.9324999999999997</v>
      </c>
    </row>
    <row r="253" spans="17:23" x14ac:dyDescent="0.25">
      <c r="Q253">
        <f t="shared" si="15"/>
        <v>251</v>
      </c>
      <c r="R253" t="b">
        <f t="shared" si="12"/>
        <v>0</v>
      </c>
      <c r="V253">
        <f t="shared" si="13"/>
        <v>-3.0375000000000001</v>
      </c>
      <c r="W253">
        <f t="shared" si="14"/>
        <v>-3.94875</v>
      </c>
    </row>
    <row r="254" spans="17:23" x14ac:dyDescent="0.25">
      <c r="Q254">
        <f t="shared" si="15"/>
        <v>252</v>
      </c>
      <c r="R254" t="b">
        <f t="shared" si="12"/>
        <v>0</v>
      </c>
      <c r="V254">
        <f t="shared" si="13"/>
        <v>-3.05</v>
      </c>
      <c r="W254">
        <f t="shared" si="14"/>
        <v>-3.9649999999999994</v>
      </c>
    </row>
    <row r="255" spans="17:23" x14ac:dyDescent="0.25">
      <c r="Q255">
        <f t="shared" si="15"/>
        <v>253</v>
      </c>
      <c r="R255" t="b">
        <f t="shared" si="12"/>
        <v>0</v>
      </c>
      <c r="V255">
        <f t="shared" si="13"/>
        <v>-3.0625</v>
      </c>
      <c r="W255">
        <f t="shared" si="14"/>
        <v>-3.9812500000000002</v>
      </c>
    </row>
    <row r="256" spans="17:23" x14ac:dyDescent="0.25">
      <c r="Q256">
        <f t="shared" si="15"/>
        <v>254</v>
      </c>
      <c r="R256" t="b">
        <f t="shared" si="12"/>
        <v>0</v>
      </c>
      <c r="V256">
        <f t="shared" si="13"/>
        <v>-3.0750000000000006</v>
      </c>
      <c r="W256">
        <f t="shared" si="14"/>
        <v>-3.9975000000000005</v>
      </c>
    </row>
    <row r="257" spans="17:23" x14ac:dyDescent="0.25">
      <c r="Q257">
        <f t="shared" si="15"/>
        <v>255</v>
      </c>
      <c r="R257" t="b">
        <f t="shared" si="12"/>
        <v>0</v>
      </c>
      <c r="V257">
        <f t="shared" si="13"/>
        <v>-3.0875000000000004</v>
      </c>
      <c r="W257">
        <f t="shared" si="14"/>
        <v>-4.0137499999999999</v>
      </c>
    </row>
    <row r="258" spans="17:23" x14ac:dyDescent="0.25">
      <c r="Q258">
        <f t="shared" si="15"/>
        <v>256</v>
      </c>
      <c r="R258" t="b">
        <f t="shared" si="12"/>
        <v>0</v>
      </c>
      <c r="V258">
        <f t="shared" si="13"/>
        <v>-3.1</v>
      </c>
      <c r="W258">
        <f t="shared" si="14"/>
        <v>-4.03</v>
      </c>
    </row>
    <row r="259" spans="17:23" x14ac:dyDescent="0.25">
      <c r="Q259">
        <f t="shared" si="15"/>
        <v>257</v>
      </c>
      <c r="R259" t="b">
        <f t="shared" si="12"/>
        <v>0</v>
      </c>
      <c r="V259">
        <f t="shared" si="13"/>
        <v>-3.1125000000000003</v>
      </c>
      <c r="W259">
        <f t="shared" si="14"/>
        <v>-4.0462499999999997</v>
      </c>
    </row>
    <row r="260" spans="17:23" x14ac:dyDescent="0.25">
      <c r="Q260">
        <f t="shared" si="15"/>
        <v>258</v>
      </c>
      <c r="R260" t="b">
        <f t="shared" ref="R260:R323" si="16">Q260&lt;($S$3+1)</f>
        <v>0</v>
      </c>
      <c r="V260">
        <f t="shared" ref="V260:V323" si="17">$B$3*(($S$3-Q260+1)/$S$3)*($E$3/100)</f>
        <v>-3.125</v>
      </c>
      <c r="W260">
        <f t="shared" ref="W260:W323" si="18">$C$3*(($S$3-Q260+1)/$S$3)*($E$3/100)</f>
        <v>-4.0625</v>
      </c>
    </row>
    <row r="261" spans="17:23" x14ac:dyDescent="0.25">
      <c r="Q261">
        <f t="shared" ref="Q261:Q324" si="19">Q260+1</f>
        <v>259</v>
      </c>
      <c r="R261" t="b">
        <f t="shared" si="16"/>
        <v>0</v>
      </c>
      <c r="V261">
        <f t="shared" si="17"/>
        <v>-3.1374999999999997</v>
      </c>
      <c r="W261">
        <f t="shared" si="18"/>
        <v>-4.0787499999999994</v>
      </c>
    </row>
    <row r="262" spans="17:23" x14ac:dyDescent="0.25">
      <c r="Q262">
        <f t="shared" si="19"/>
        <v>260</v>
      </c>
      <c r="R262" t="b">
        <f t="shared" si="16"/>
        <v>0</v>
      </c>
      <c r="V262">
        <f t="shared" si="17"/>
        <v>-3.1500000000000004</v>
      </c>
      <c r="W262">
        <f t="shared" si="18"/>
        <v>-4.0949999999999998</v>
      </c>
    </row>
    <row r="263" spans="17:23" x14ac:dyDescent="0.25">
      <c r="Q263">
        <f t="shared" si="19"/>
        <v>261</v>
      </c>
      <c r="R263" t="b">
        <f t="shared" si="16"/>
        <v>0</v>
      </c>
      <c r="V263">
        <f t="shared" si="17"/>
        <v>-3.1625000000000005</v>
      </c>
      <c r="W263">
        <f t="shared" si="18"/>
        <v>-4.111250000000001</v>
      </c>
    </row>
    <row r="264" spans="17:23" x14ac:dyDescent="0.25">
      <c r="Q264">
        <f t="shared" si="19"/>
        <v>262</v>
      </c>
      <c r="R264" t="b">
        <f t="shared" si="16"/>
        <v>0</v>
      </c>
      <c r="V264">
        <f t="shared" si="17"/>
        <v>-3.1750000000000003</v>
      </c>
      <c r="W264">
        <f t="shared" si="18"/>
        <v>-4.1275000000000004</v>
      </c>
    </row>
    <row r="265" spans="17:23" x14ac:dyDescent="0.25">
      <c r="Q265">
        <f t="shared" si="19"/>
        <v>263</v>
      </c>
      <c r="R265" t="b">
        <f t="shared" si="16"/>
        <v>0</v>
      </c>
      <c r="V265">
        <f t="shared" si="17"/>
        <v>-3.1875</v>
      </c>
      <c r="W265">
        <f t="shared" si="18"/>
        <v>-4.1437499999999998</v>
      </c>
    </row>
    <row r="266" spans="17:23" x14ac:dyDescent="0.25">
      <c r="Q266">
        <f t="shared" si="19"/>
        <v>264</v>
      </c>
      <c r="R266" t="b">
        <f t="shared" si="16"/>
        <v>0</v>
      </c>
      <c r="V266">
        <f t="shared" si="17"/>
        <v>-3.2</v>
      </c>
      <c r="W266">
        <f t="shared" si="18"/>
        <v>-4.1599999999999993</v>
      </c>
    </row>
    <row r="267" spans="17:23" x14ac:dyDescent="0.25">
      <c r="Q267">
        <f t="shared" si="19"/>
        <v>265</v>
      </c>
      <c r="R267" t="b">
        <f t="shared" si="16"/>
        <v>0</v>
      </c>
      <c r="V267">
        <f t="shared" si="17"/>
        <v>-3.2125000000000004</v>
      </c>
      <c r="W267">
        <f t="shared" si="18"/>
        <v>-4.1762500000000005</v>
      </c>
    </row>
    <row r="268" spans="17:23" x14ac:dyDescent="0.25">
      <c r="Q268">
        <f t="shared" si="19"/>
        <v>266</v>
      </c>
      <c r="R268" t="b">
        <f t="shared" si="16"/>
        <v>0</v>
      </c>
      <c r="V268">
        <f t="shared" si="17"/>
        <v>-3.2250000000000001</v>
      </c>
      <c r="W268">
        <f t="shared" si="18"/>
        <v>-4.1924999999999999</v>
      </c>
    </row>
    <row r="269" spans="17:23" x14ac:dyDescent="0.25">
      <c r="Q269">
        <f t="shared" si="19"/>
        <v>267</v>
      </c>
      <c r="R269" t="b">
        <f t="shared" si="16"/>
        <v>0</v>
      </c>
      <c r="V269">
        <f t="shared" si="17"/>
        <v>-3.2375000000000003</v>
      </c>
      <c r="W269">
        <f t="shared" si="18"/>
        <v>-4.2087500000000002</v>
      </c>
    </row>
    <row r="270" spans="17:23" x14ac:dyDescent="0.25">
      <c r="Q270">
        <f t="shared" si="19"/>
        <v>268</v>
      </c>
      <c r="R270" t="b">
        <f t="shared" si="16"/>
        <v>0</v>
      </c>
      <c r="V270">
        <f t="shared" si="17"/>
        <v>-3.25</v>
      </c>
      <c r="W270">
        <f t="shared" si="18"/>
        <v>-4.2250000000000005</v>
      </c>
    </row>
    <row r="271" spans="17:23" x14ac:dyDescent="0.25">
      <c r="Q271">
        <f t="shared" si="19"/>
        <v>269</v>
      </c>
      <c r="R271" t="b">
        <f t="shared" si="16"/>
        <v>0</v>
      </c>
      <c r="V271">
        <f t="shared" si="17"/>
        <v>-3.2625000000000002</v>
      </c>
      <c r="W271">
        <f t="shared" si="18"/>
        <v>-4.24125</v>
      </c>
    </row>
    <row r="272" spans="17:23" x14ac:dyDescent="0.25">
      <c r="Q272">
        <f t="shared" si="19"/>
        <v>270</v>
      </c>
      <c r="R272" t="b">
        <f t="shared" si="16"/>
        <v>0</v>
      </c>
      <c r="V272">
        <f t="shared" si="17"/>
        <v>-3.2750000000000004</v>
      </c>
      <c r="W272">
        <f t="shared" si="18"/>
        <v>-4.2575000000000003</v>
      </c>
    </row>
    <row r="273" spans="17:23" x14ac:dyDescent="0.25">
      <c r="Q273">
        <f t="shared" si="19"/>
        <v>271</v>
      </c>
      <c r="R273" t="b">
        <f t="shared" si="16"/>
        <v>0</v>
      </c>
      <c r="V273">
        <f t="shared" si="17"/>
        <v>-3.2875000000000001</v>
      </c>
      <c r="W273">
        <f t="shared" si="18"/>
        <v>-4.2737499999999997</v>
      </c>
    </row>
    <row r="274" spans="17:23" x14ac:dyDescent="0.25">
      <c r="Q274">
        <f t="shared" si="19"/>
        <v>272</v>
      </c>
      <c r="R274" t="b">
        <f t="shared" si="16"/>
        <v>0</v>
      </c>
      <c r="V274">
        <f t="shared" si="17"/>
        <v>-3.3000000000000003</v>
      </c>
      <c r="W274">
        <f t="shared" si="18"/>
        <v>-4.29</v>
      </c>
    </row>
    <row r="275" spans="17:23" x14ac:dyDescent="0.25">
      <c r="Q275">
        <f t="shared" si="19"/>
        <v>273</v>
      </c>
      <c r="R275" t="b">
        <f t="shared" si="16"/>
        <v>0</v>
      </c>
      <c r="V275">
        <f t="shared" si="17"/>
        <v>-3.3125</v>
      </c>
      <c r="W275">
        <f t="shared" si="18"/>
        <v>-4.3062499999999995</v>
      </c>
    </row>
    <row r="276" spans="17:23" x14ac:dyDescent="0.25">
      <c r="Q276">
        <f t="shared" si="19"/>
        <v>274</v>
      </c>
      <c r="R276" t="b">
        <f t="shared" si="16"/>
        <v>0</v>
      </c>
      <c r="V276">
        <f t="shared" si="17"/>
        <v>-3.3250000000000002</v>
      </c>
      <c r="W276">
        <f t="shared" si="18"/>
        <v>-4.3225000000000007</v>
      </c>
    </row>
    <row r="277" spans="17:23" x14ac:dyDescent="0.25">
      <c r="Q277">
        <f t="shared" si="19"/>
        <v>275</v>
      </c>
      <c r="R277" t="b">
        <f t="shared" si="16"/>
        <v>0</v>
      </c>
      <c r="V277">
        <f t="shared" si="17"/>
        <v>-3.3375000000000004</v>
      </c>
      <c r="W277">
        <f t="shared" si="18"/>
        <v>-4.3387500000000001</v>
      </c>
    </row>
    <row r="278" spans="17:23" x14ac:dyDescent="0.25">
      <c r="Q278">
        <f t="shared" si="19"/>
        <v>276</v>
      </c>
      <c r="R278" t="b">
        <f t="shared" si="16"/>
        <v>0</v>
      </c>
      <c r="V278">
        <f t="shared" si="17"/>
        <v>-3.35</v>
      </c>
      <c r="W278">
        <f t="shared" si="18"/>
        <v>-4.3549999999999995</v>
      </c>
    </row>
    <row r="279" spans="17:23" x14ac:dyDescent="0.25">
      <c r="Q279">
        <f t="shared" si="19"/>
        <v>277</v>
      </c>
      <c r="R279" t="b">
        <f t="shared" si="16"/>
        <v>0</v>
      </c>
      <c r="V279">
        <f t="shared" si="17"/>
        <v>-3.3625000000000003</v>
      </c>
      <c r="W279">
        <f t="shared" si="18"/>
        <v>-4.3712499999999999</v>
      </c>
    </row>
    <row r="280" spans="17:23" x14ac:dyDescent="0.25">
      <c r="Q280">
        <f t="shared" si="19"/>
        <v>278</v>
      </c>
      <c r="R280" t="b">
        <f t="shared" si="16"/>
        <v>0</v>
      </c>
      <c r="V280">
        <f t="shared" si="17"/>
        <v>-3.375</v>
      </c>
      <c r="W280">
        <f t="shared" si="18"/>
        <v>-4.3874999999999993</v>
      </c>
    </row>
    <row r="281" spans="17:23" x14ac:dyDescent="0.25">
      <c r="Q281">
        <f t="shared" si="19"/>
        <v>279</v>
      </c>
      <c r="R281" t="b">
        <f t="shared" si="16"/>
        <v>0</v>
      </c>
      <c r="V281">
        <f t="shared" si="17"/>
        <v>-3.3875000000000002</v>
      </c>
      <c r="W281">
        <f t="shared" si="18"/>
        <v>-4.4037500000000005</v>
      </c>
    </row>
    <row r="282" spans="17:23" x14ac:dyDescent="0.25">
      <c r="Q282">
        <f t="shared" si="19"/>
        <v>280</v>
      </c>
      <c r="R282" t="b">
        <f t="shared" si="16"/>
        <v>0</v>
      </c>
      <c r="V282">
        <f t="shared" si="17"/>
        <v>-3.4000000000000004</v>
      </c>
      <c r="W282">
        <f t="shared" si="18"/>
        <v>-4.42</v>
      </c>
    </row>
    <row r="283" spans="17:23" x14ac:dyDescent="0.25">
      <c r="Q283">
        <f t="shared" si="19"/>
        <v>281</v>
      </c>
      <c r="R283" t="b">
        <f t="shared" si="16"/>
        <v>0</v>
      </c>
      <c r="V283">
        <f t="shared" si="17"/>
        <v>-3.4125000000000001</v>
      </c>
      <c r="W283">
        <f t="shared" si="18"/>
        <v>-4.4362500000000002</v>
      </c>
    </row>
    <row r="284" spans="17:23" x14ac:dyDescent="0.25">
      <c r="Q284">
        <f t="shared" si="19"/>
        <v>282</v>
      </c>
      <c r="R284" t="b">
        <f t="shared" si="16"/>
        <v>0</v>
      </c>
      <c r="V284">
        <f t="shared" si="17"/>
        <v>-3.4250000000000003</v>
      </c>
      <c r="W284">
        <f t="shared" si="18"/>
        <v>-4.4524999999999997</v>
      </c>
    </row>
    <row r="285" spans="17:23" x14ac:dyDescent="0.25">
      <c r="Q285">
        <f t="shared" si="19"/>
        <v>283</v>
      </c>
      <c r="R285" t="b">
        <f t="shared" si="16"/>
        <v>0</v>
      </c>
      <c r="V285">
        <f t="shared" si="17"/>
        <v>-3.4375</v>
      </c>
      <c r="W285">
        <f t="shared" si="18"/>
        <v>-4.46875</v>
      </c>
    </row>
    <row r="286" spans="17:23" x14ac:dyDescent="0.25">
      <c r="Q286">
        <f t="shared" si="19"/>
        <v>284</v>
      </c>
      <c r="R286" t="b">
        <f t="shared" si="16"/>
        <v>0</v>
      </c>
      <c r="V286">
        <f t="shared" si="17"/>
        <v>-3.45</v>
      </c>
      <c r="W286">
        <f t="shared" si="18"/>
        <v>-4.4850000000000003</v>
      </c>
    </row>
    <row r="287" spans="17:23" x14ac:dyDescent="0.25">
      <c r="Q287">
        <f t="shared" si="19"/>
        <v>285</v>
      </c>
      <c r="R287" t="b">
        <f t="shared" si="16"/>
        <v>0</v>
      </c>
      <c r="V287">
        <f t="shared" si="17"/>
        <v>-3.4625000000000004</v>
      </c>
      <c r="W287">
        <f t="shared" si="18"/>
        <v>-4.5012499999999998</v>
      </c>
    </row>
    <row r="288" spans="17:23" x14ac:dyDescent="0.25">
      <c r="Q288">
        <f t="shared" si="19"/>
        <v>286</v>
      </c>
      <c r="R288" t="b">
        <f t="shared" si="16"/>
        <v>0</v>
      </c>
      <c r="V288">
        <f t="shared" si="17"/>
        <v>-3.4750000000000001</v>
      </c>
      <c r="W288">
        <f t="shared" si="18"/>
        <v>-4.5175000000000001</v>
      </c>
    </row>
    <row r="289" spans="17:23" x14ac:dyDescent="0.25">
      <c r="Q289">
        <f t="shared" si="19"/>
        <v>287</v>
      </c>
      <c r="R289" t="b">
        <f t="shared" si="16"/>
        <v>0</v>
      </c>
      <c r="V289">
        <f t="shared" si="17"/>
        <v>-3.4875000000000003</v>
      </c>
      <c r="W289">
        <f t="shared" si="18"/>
        <v>-4.5337499999999995</v>
      </c>
    </row>
    <row r="290" spans="17:23" x14ac:dyDescent="0.25">
      <c r="Q290">
        <f t="shared" si="19"/>
        <v>288</v>
      </c>
      <c r="R290" t="b">
        <f t="shared" si="16"/>
        <v>0</v>
      </c>
      <c r="V290">
        <f t="shared" si="17"/>
        <v>-3.5</v>
      </c>
      <c r="W290">
        <f t="shared" si="18"/>
        <v>-4.55</v>
      </c>
    </row>
    <row r="291" spans="17:23" x14ac:dyDescent="0.25">
      <c r="Q291">
        <f t="shared" si="19"/>
        <v>289</v>
      </c>
      <c r="R291" t="b">
        <f t="shared" si="16"/>
        <v>0</v>
      </c>
      <c r="V291">
        <f t="shared" si="17"/>
        <v>-3.5125000000000002</v>
      </c>
      <c r="W291">
        <f t="shared" si="18"/>
        <v>-4.5662500000000001</v>
      </c>
    </row>
    <row r="292" spans="17:23" x14ac:dyDescent="0.25">
      <c r="Q292">
        <f t="shared" si="19"/>
        <v>290</v>
      </c>
      <c r="R292" t="b">
        <f t="shared" si="16"/>
        <v>0</v>
      </c>
      <c r="V292">
        <f t="shared" si="17"/>
        <v>-3.5250000000000004</v>
      </c>
      <c r="W292">
        <f t="shared" si="18"/>
        <v>-4.5824999999999996</v>
      </c>
    </row>
    <row r="293" spans="17:23" x14ac:dyDescent="0.25">
      <c r="Q293">
        <f t="shared" si="19"/>
        <v>291</v>
      </c>
      <c r="R293" t="b">
        <f t="shared" si="16"/>
        <v>0</v>
      </c>
      <c r="V293">
        <f t="shared" si="17"/>
        <v>-3.5375000000000001</v>
      </c>
      <c r="W293">
        <f t="shared" si="18"/>
        <v>-4.5987499999999999</v>
      </c>
    </row>
    <row r="294" spans="17:23" x14ac:dyDescent="0.25">
      <c r="Q294">
        <f t="shared" si="19"/>
        <v>292</v>
      </c>
      <c r="R294" t="b">
        <f t="shared" si="16"/>
        <v>0</v>
      </c>
      <c r="V294">
        <f t="shared" si="17"/>
        <v>-3.5500000000000003</v>
      </c>
      <c r="W294">
        <f t="shared" si="18"/>
        <v>-4.6150000000000002</v>
      </c>
    </row>
    <row r="295" spans="17:23" x14ac:dyDescent="0.25">
      <c r="Q295">
        <f t="shared" si="19"/>
        <v>293</v>
      </c>
      <c r="R295" t="b">
        <f t="shared" si="16"/>
        <v>0</v>
      </c>
      <c r="V295">
        <f t="shared" si="17"/>
        <v>-3.5625</v>
      </c>
      <c r="W295">
        <f t="shared" si="18"/>
        <v>-4.6312500000000005</v>
      </c>
    </row>
    <row r="296" spans="17:23" x14ac:dyDescent="0.25">
      <c r="Q296">
        <f t="shared" si="19"/>
        <v>294</v>
      </c>
      <c r="R296" t="b">
        <f t="shared" si="16"/>
        <v>0</v>
      </c>
      <c r="V296">
        <f t="shared" si="17"/>
        <v>-3.5750000000000002</v>
      </c>
      <c r="W296">
        <f t="shared" si="18"/>
        <v>-4.6475</v>
      </c>
    </row>
    <row r="297" spans="17:23" x14ac:dyDescent="0.25">
      <c r="Q297">
        <f t="shared" si="19"/>
        <v>295</v>
      </c>
      <c r="R297" t="b">
        <f t="shared" si="16"/>
        <v>0</v>
      </c>
      <c r="V297">
        <f t="shared" si="17"/>
        <v>-3.5875000000000004</v>
      </c>
      <c r="W297">
        <f t="shared" si="18"/>
        <v>-4.6637499999999994</v>
      </c>
    </row>
    <row r="298" spans="17:23" x14ac:dyDescent="0.25">
      <c r="Q298">
        <f t="shared" si="19"/>
        <v>296</v>
      </c>
      <c r="R298" t="b">
        <f t="shared" si="16"/>
        <v>0</v>
      </c>
      <c r="V298">
        <f t="shared" si="17"/>
        <v>-3.6</v>
      </c>
      <c r="W298">
        <f t="shared" si="18"/>
        <v>-4.6800000000000006</v>
      </c>
    </row>
    <row r="299" spans="17:23" x14ac:dyDescent="0.25">
      <c r="Q299">
        <f t="shared" si="19"/>
        <v>297</v>
      </c>
      <c r="R299" t="b">
        <f t="shared" si="16"/>
        <v>0</v>
      </c>
      <c r="V299">
        <f t="shared" si="17"/>
        <v>-3.6125000000000003</v>
      </c>
      <c r="W299">
        <f t="shared" si="18"/>
        <v>-4.69625</v>
      </c>
    </row>
    <row r="300" spans="17:23" x14ac:dyDescent="0.25">
      <c r="Q300">
        <f t="shared" si="19"/>
        <v>298</v>
      </c>
      <c r="R300" t="b">
        <f t="shared" si="16"/>
        <v>0</v>
      </c>
      <c r="V300">
        <f t="shared" si="17"/>
        <v>-3.625</v>
      </c>
      <c r="W300">
        <f t="shared" si="18"/>
        <v>-4.7125000000000004</v>
      </c>
    </row>
    <row r="301" spans="17:23" x14ac:dyDescent="0.25">
      <c r="Q301">
        <f t="shared" si="19"/>
        <v>299</v>
      </c>
      <c r="R301" t="b">
        <f t="shared" si="16"/>
        <v>0</v>
      </c>
      <c r="V301">
        <f t="shared" si="17"/>
        <v>-3.6375000000000002</v>
      </c>
      <c r="W301">
        <f t="shared" si="18"/>
        <v>-4.7287499999999998</v>
      </c>
    </row>
    <row r="302" spans="17:23" x14ac:dyDescent="0.25">
      <c r="Q302">
        <f t="shared" si="19"/>
        <v>300</v>
      </c>
      <c r="R302" t="b">
        <f t="shared" si="16"/>
        <v>0</v>
      </c>
      <c r="V302">
        <f t="shared" si="17"/>
        <v>-3.6500000000000004</v>
      </c>
      <c r="W302">
        <f t="shared" si="18"/>
        <v>-4.7450000000000001</v>
      </c>
    </row>
    <row r="303" spans="17:23" x14ac:dyDescent="0.25">
      <c r="Q303">
        <f t="shared" si="19"/>
        <v>301</v>
      </c>
      <c r="R303" t="b">
        <f t="shared" si="16"/>
        <v>0</v>
      </c>
      <c r="V303">
        <f t="shared" si="17"/>
        <v>-3.6625000000000001</v>
      </c>
      <c r="W303">
        <f t="shared" si="18"/>
        <v>-4.7612499999999995</v>
      </c>
    </row>
    <row r="304" spans="17:23" x14ac:dyDescent="0.25">
      <c r="Q304">
        <f t="shared" si="19"/>
        <v>302</v>
      </c>
      <c r="R304" t="b">
        <f t="shared" si="16"/>
        <v>0</v>
      </c>
      <c r="V304">
        <f t="shared" si="17"/>
        <v>-3.6750000000000003</v>
      </c>
      <c r="W304">
        <f t="shared" si="18"/>
        <v>-4.7774999999999999</v>
      </c>
    </row>
    <row r="305" spans="17:23" x14ac:dyDescent="0.25">
      <c r="Q305">
        <f t="shared" si="19"/>
        <v>303</v>
      </c>
      <c r="R305" t="b">
        <f t="shared" si="16"/>
        <v>0</v>
      </c>
      <c r="V305">
        <f t="shared" si="17"/>
        <v>-3.6875</v>
      </c>
      <c r="W305">
        <f t="shared" si="18"/>
        <v>-4.7937500000000002</v>
      </c>
    </row>
    <row r="306" spans="17:23" x14ac:dyDescent="0.25">
      <c r="Q306">
        <f t="shared" si="19"/>
        <v>304</v>
      </c>
      <c r="R306" t="b">
        <f t="shared" si="16"/>
        <v>0</v>
      </c>
      <c r="V306">
        <f t="shared" si="17"/>
        <v>-3.7</v>
      </c>
      <c r="W306">
        <f t="shared" si="18"/>
        <v>-4.8099999999999996</v>
      </c>
    </row>
    <row r="307" spans="17:23" x14ac:dyDescent="0.25">
      <c r="Q307">
        <f t="shared" si="19"/>
        <v>305</v>
      </c>
      <c r="R307" t="b">
        <f t="shared" si="16"/>
        <v>0</v>
      </c>
      <c r="V307">
        <f t="shared" si="17"/>
        <v>-3.7125000000000004</v>
      </c>
      <c r="W307">
        <f t="shared" si="18"/>
        <v>-4.8262500000000008</v>
      </c>
    </row>
    <row r="308" spans="17:23" x14ac:dyDescent="0.25">
      <c r="Q308">
        <f t="shared" si="19"/>
        <v>306</v>
      </c>
      <c r="R308" t="b">
        <f t="shared" si="16"/>
        <v>0</v>
      </c>
      <c r="V308">
        <f t="shared" si="17"/>
        <v>-3.7250000000000001</v>
      </c>
      <c r="W308">
        <f t="shared" si="18"/>
        <v>-4.8425000000000002</v>
      </c>
    </row>
    <row r="309" spans="17:23" x14ac:dyDescent="0.25">
      <c r="Q309">
        <f t="shared" si="19"/>
        <v>307</v>
      </c>
      <c r="R309" t="b">
        <f t="shared" si="16"/>
        <v>0</v>
      </c>
      <c r="V309">
        <f t="shared" si="17"/>
        <v>-3.7375000000000003</v>
      </c>
      <c r="W309">
        <f t="shared" si="18"/>
        <v>-4.8587500000000006</v>
      </c>
    </row>
    <row r="310" spans="17:23" x14ac:dyDescent="0.25">
      <c r="Q310">
        <f t="shared" si="19"/>
        <v>308</v>
      </c>
      <c r="R310" t="b">
        <f t="shared" si="16"/>
        <v>0</v>
      </c>
      <c r="V310">
        <f t="shared" si="17"/>
        <v>-3.75</v>
      </c>
      <c r="W310">
        <f t="shared" si="18"/>
        <v>-4.875</v>
      </c>
    </row>
    <row r="311" spans="17:23" x14ac:dyDescent="0.25">
      <c r="Q311">
        <f t="shared" si="19"/>
        <v>309</v>
      </c>
      <c r="R311" t="b">
        <f t="shared" si="16"/>
        <v>0</v>
      </c>
      <c r="V311">
        <f t="shared" si="17"/>
        <v>-3.7625000000000002</v>
      </c>
      <c r="W311">
        <f t="shared" si="18"/>
        <v>-4.8912500000000003</v>
      </c>
    </row>
    <row r="312" spans="17:23" x14ac:dyDescent="0.25">
      <c r="Q312">
        <f t="shared" si="19"/>
        <v>310</v>
      </c>
      <c r="R312" t="b">
        <f t="shared" si="16"/>
        <v>0</v>
      </c>
      <c r="V312">
        <f t="shared" si="17"/>
        <v>-3.7750000000000004</v>
      </c>
      <c r="W312">
        <f t="shared" si="18"/>
        <v>-4.9075000000000006</v>
      </c>
    </row>
    <row r="313" spans="17:23" x14ac:dyDescent="0.25">
      <c r="Q313">
        <f t="shared" si="19"/>
        <v>311</v>
      </c>
      <c r="R313" t="b">
        <f t="shared" si="16"/>
        <v>0</v>
      </c>
      <c r="V313">
        <f t="shared" si="17"/>
        <v>-3.7875000000000001</v>
      </c>
      <c r="W313">
        <f t="shared" si="18"/>
        <v>-4.9237500000000001</v>
      </c>
    </row>
    <row r="314" spans="17:23" x14ac:dyDescent="0.25">
      <c r="Q314">
        <f t="shared" si="19"/>
        <v>312</v>
      </c>
      <c r="R314" t="b">
        <f t="shared" si="16"/>
        <v>0</v>
      </c>
      <c r="V314">
        <f t="shared" si="17"/>
        <v>-3.8000000000000003</v>
      </c>
      <c r="W314">
        <f t="shared" si="18"/>
        <v>-4.9400000000000004</v>
      </c>
    </row>
    <row r="315" spans="17:23" x14ac:dyDescent="0.25">
      <c r="Q315">
        <f t="shared" si="19"/>
        <v>313</v>
      </c>
      <c r="R315" t="b">
        <f t="shared" si="16"/>
        <v>0</v>
      </c>
      <c r="V315">
        <f t="shared" si="17"/>
        <v>-3.8125</v>
      </c>
      <c r="W315">
        <f t="shared" si="18"/>
        <v>-4.9562499999999998</v>
      </c>
    </row>
    <row r="316" spans="17:23" x14ac:dyDescent="0.25">
      <c r="Q316">
        <f t="shared" si="19"/>
        <v>314</v>
      </c>
      <c r="R316" t="b">
        <f t="shared" si="16"/>
        <v>0</v>
      </c>
      <c r="V316">
        <f t="shared" si="17"/>
        <v>-3.8250000000000002</v>
      </c>
      <c r="W316">
        <f t="shared" si="18"/>
        <v>-4.9725000000000001</v>
      </c>
    </row>
    <row r="317" spans="17:23" x14ac:dyDescent="0.25">
      <c r="Q317">
        <f t="shared" si="19"/>
        <v>315</v>
      </c>
      <c r="R317" t="b">
        <f t="shared" si="16"/>
        <v>0</v>
      </c>
      <c r="V317">
        <f t="shared" si="17"/>
        <v>-3.8375000000000004</v>
      </c>
      <c r="W317">
        <f t="shared" si="18"/>
        <v>-4.9887499999999996</v>
      </c>
    </row>
    <row r="318" spans="17:23" x14ac:dyDescent="0.25">
      <c r="Q318">
        <f t="shared" si="19"/>
        <v>316</v>
      </c>
      <c r="R318" t="b">
        <f t="shared" si="16"/>
        <v>0</v>
      </c>
      <c r="V318">
        <f t="shared" si="17"/>
        <v>-3.85</v>
      </c>
      <c r="W318">
        <f t="shared" si="18"/>
        <v>-5.0049999999999999</v>
      </c>
    </row>
    <row r="319" spans="17:23" x14ac:dyDescent="0.25">
      <c r="Q319">
        <f t="shared" si="19"/>
        <v>317</v>
      </c>
      <c r="R319" t="b">
        <f t="shared" si="16"/>
        <v>0</v>
      </c>
      <c r="V319">
        <f t="shared" si="17"/>
        <v>-3.8625000000000003</v>
      </c>
      <c r="W319">
        <f t="shared" si="18"/>
        <v>-5.0212500000000002</v>
      </c>
    </row>
    <row r="320" spans="17:23" x14ac:dyDescent="0.25">
      <c r="Q320">
        <f t="shared" si="19"/>
        <v>318</v>
      </c>
      <c r="R320" t="b">
        <f t="shared" si="16"/>
        <v>0</v>
      </c>
      <c r="V320">
        <f t="shared" si="17"/>
        <v>-3.875</v>
      </c>
      <c r="W320">
        <f t="shared" si="18"/>
        <v>-5.0375000000000005</v>
      </c>
    </row>
    <row r="321" spans="17:23" x14ac:dyDescent="0.25">
      <c r="Q321">
        <f t="shared" si="19"/>
        <v>319</v>
      </c>
      <c r="R321" t="b">
        <f t="shared" si="16"/>
        <v>0</v>
      </c>
      <c r="V321">
        <f t="shared" si="17"/>
        <v>-3.8875000000000002</v>
      </c>
      <c r="W321">
        <f t="shared" si="18"/>
        <v>-5.0537500000000009</v>
      </c>
    </row>
    <row r="322" spans="17:23" x14ac:dyDescent="0.25">
      <c r="Q322">
        <f t="shared" si="19"/>
        <v>320</v>
      </c>
      <c r="R322" t="b">
        <f t="shared" si="16"/>
        <v>0</v>
      </c>
      <c r="V322">
        <f t="shared" si="17"/>
        <v>-3.9000000000000004</v>
      </c>
      <c r="W322">
        <f t="shared" si="18"/>
        <v>-5.07</v>
      </c>
    </row>
    <row r="323" spans="17:23" x14ac:dyDescent="0.25">
      <c r="Q323">
        <f t="shared" si="19"/>
        <v>321</v>
      </c>
      <c r="R323" t="b">
        <f t="shared" si="16"/>
        <v>0</v>
      </c>
      <c r="V323">
        <f t="shared" si="17"/>
        <v>-3.9125000000000001</v>
      </c>
      <c r="W323">
        <f t="shared" si="18"/>
        <v>-5.0862499999999997</v>
      </c>
    </row>
    <row r="324" spans="17:23" x14ac:dyDescent="0.25">
      <c r="Q324">
        <f t="shared" si="19"/>
        <v>322</v>
      </c>
      <c r="R324" t="b">
        <f t="shared" ref="R324:R387" si="20">Q324&lt;($S$3+1)</f>
        <v>0</v>
      </c>
      <c r="V324">
        <f t="shared" ref="V324:V387" si="21">$B$3*(($S$3-Q324+1)/$S$3)*($E$3/100)</f>
        <v>-3.9250000000000003</v>
      </c>
      <c r="W324">
        <f t="shared" ref="W324:W387" si="22">$C$3*(($S$3-Q324+1)/$S$3)*($E$3/100)</f>
        <v>-5.1024999999999991</v>
      </c>
    </row>
    <row r="325" spans="17:23" x14ac:dyDescent="0.25">
      <c r="Q325">
        <f t="shared" ref="Q325:Q388" si="23">Q324+1</f>
        <v>323</v>
      </c>
      <c r="R325" t="b">
        <f t="shared" si="20"/>
        <v>0</v>
      </c>
      <c r="V325">
        <f t="shared" si="21"/>
        <v>-3.9375</v>
      </c>
      <c r="W325">
        <f t="shared" si="22"/>
        <v>-5.1187500000000004</v>
      </c>
    </row>
    <row r="326" spans="17:23" x14ac:dyDescent="0.25">
      <c r="Q326">
        <f t="shared" si="23"/>
        <v>324</v>
      </c>
      <c r="R326" t="b">
        <f t="shared" si="20"/>
        <v>0</v>
      </c>
      <c r="V326">
        <f t="shared" si="21"/>
        <v>-3.95</v>
      </c>
      <c r="W326">
        <f t="shared" si="22"/>
        <v>-5.1350000000000007</v>
      </c>
    </row>
    <row r="327" spans="17:23" x14ac:dyDescent="0.25">
      <c r="Q327">
        <f t="shared" si="23"/>
        <v>325</v>
      </c>
      <c r="R327" t="b">
        <f t="shared" si="20"/>
        <v>0</v>
      </c>
      <c r="V327">
        <f t="shared" si="21"/>
        <v>-3.9625000000000004</v>
      </c>
      <c r="W327">
        <f t="shared" si="22"/>
        <v>-5.1512500000000001</v>
      </c>
    </row>
    <row r="328" spans="17:23" x14ac:dyDescent="0.25">
      <c r="Q328">
        <f t="shared" si="23"/>
        <v>326</v>
      </c>
      <c r="R328" t="b">
        <f t="shared" si="20"/>
        <v>0</v>
      </c>
      <c r="V328">
        <f t="shared" si="21"/>
        <v>-3.9750000000000001</v>
      </c>
      <c r="W328">
        <f t="shared" si="22"/>
        <v>-5.1675000000000004</v>
      </c>
    </row>
    <row r="329" spans="17:23" x14ac:dyDescent="0.25">
      <c r="Q329">
        <f t="shared" si="23"/>
        <v>327</v>
      </c>
      <c r="R329" t="b">
        <f t="shared" si="20"/>
        <v>0</v>
      </c>
      <c r="V329">
        <f t="shared" si="21"/>
        <v>-3.9875000000000003</v>
      </c>
      <c r="W329">
        <f t="shared" si="22"/>
        <v>-5.1837499999999999</v>
      </c>
    </row>
    <row r="330" spans="17:23" x14ac:dyDescent="0.25">
      <c r="Q330">
        <f t="shared" si="23"/>
        <v>328</v>
      </c>
      <c r="R330" t="b">
        <f t="shared" si="20"/>
        <v>0</v>
      </c>
      <c r="V330">
        <f t="shared" si="21"/>
        <v>-4</v>
      </c>
      <c r="W330">
        <f t="shared" si="22"/>
        <v>-5.2</v>
      </c>
    </row>
    <row r="331" spans="17:23" x14ac:dyDescent="0.25">
      <c r="Q331">
        <f t="shared" si="23"/>
        <v>329</v>
      </c>
      <c r="R331" t="b">
        <f t="shared" si="20"/>
        <v>0</v>
      </c>
      <c r="V331">
        <f t="shared" si="21"/>
        <v>-4.0125000000000002</v>
      </c>
      <c r="W331">
        <f t="shared" si="22"/>
        <v>-5.2162499999999996</v>
      </c>
    </row>
    <row r="332" spans="17:23" x14ac:dyDescent="0.25">
      <c r="Q332">
        <f t="shared" si="23"/>
        <v>330</v>
      </c>
      <c r="R332" t="b">
        <f t="shared" si="20"/>
        <v>0</v>
      </c>
      <c r="V332">
        <f t="shared" si="21"/>
        <v>-4.0250000000000004</v>
      </c>
      <c r="W332">
        <f t="shared" si="22"/>
        <v>-5.2324999999999999</v>
      </c>
    </row>
    <row r="333" spans="17:23" x14ac:dyDescent="0.25">
      <c r="Q333">
        <f t="shared" si="23"/>
        <v>331</v>
      </c>
      <c r="R333" t="b">
        <f t="shared" si="20"/>
        <v>0</v>
      </c>
      <c r="V333">
        <f t="shared" si="21"/>
        <v>-4.0375000000000005</v>
      </c>
      <c r="W333">
        <f t="shared" si="22"/>
        <v>-5.2487500000000011</v>
      </c>
    </row>
    <row r="334" spans="17:23" x14ac:dyDescent="0.25">
      <c r="Q334">
        <f t="shared" si="23"/>
        <v>332</v>
      </c>
      <c r="R334" t="b">
        <f t="shared" si="20"/>
        <v>0</v>
      </c>
      <c r="V334">
        <f t="shared" si="21"/>
        <v>-4.05</v>
      </c>
      <c r="W334">
        <f t="shared" si="22"/>
        <v>-5.2650000000000006</v>
      </c>
    </row>
    <row r="335" spans="17:23" x14ac:dyDescent="0.25">
      <c r="Q335">
        <f t="shared" si="23"/>
        <v>333</v>
      </c>
      <c r="R335" t="b">
        <f t="shared" si="20"/>
        <v>0</v>
      </c>
      <c r="V335">
        <f t="shared" si="21"/>
        <v>-4.0625</v>
      </c>
      <c r="W335">
        <f t="shared" si="22"/>
        <v>-5.28125</v>
      </c>
    </row>
    <row r="336" spans="17:23" x14ac:dyDescent="0.25">
      <c r="Q336">
        <f t="shared" si="23"/>
        <v>334</v>
      </c>
      <c r="R336" t="b">
        <f t="shared" si="20"/>
        <v>0</v>
      </c>
      <c r="V336">
        <f t="shared" si="21"/>
        <v>-4.0750000000000002</v>
      </c>
      <c r="W336">
        <f t="shared" si="22"/>
        <v>-5.2974999999999994</v>
      </c>
    </row>
    <row r="337" spans="17:23" x14ac:dyDescent="0.25">
      <c r="Q337">
        <f t="shared" si="23"/>
        <v>335</v>
      </c>
      <c r="R337" t="b">
        <f t="shared" si="20"/>
        <v>0</v>
      </c>
      <c r="V337">
        <f t="shared" si="21"/>
        <v>-4.0875000000000004</v>
      </c>
      <c r="W337">
        <f t="shared" si="22"/>
        <v>-5.3137499999999998</v>
      </c>
    </row>
    <row r="338" spans="17:23" x14ac:dyDescent="0.25">
      <c r="Q338">
        <f t="shared" si="23"/>
        <v>336</v>
      </c>
      <c r="R338" t="b">
        <f t="shared" si="20"/>
        <v>0</v>
      </c>
      <c r="V338">
        <f t="shared" si="21"/>
        <v>-4.1000000000000005</v>
      </c>
      <c r="W338">
        <f t="shared" si="22"/>
        <v>-5.33</v>
      </c>
    </row>
    <row r="339" spans="17:23" x14ac:dyDescent="0.25">
      <c r="Q339">
        <f t="shared" si="23"/>
        <v>337</v>
      </c>
      <c r="R339" t="b">
        <f t="shared" si="20"/>
        <v>0</v>
      </c>
      <c r="V339">
        <f t="shared" si="21"/>
        <v>-4.1124999999999998</v>
      </c>
      <c r="W339">
        <f t="shared" si="22"/>
        <v>-5.3462500000000004</v>
      </c>
    </row>
    <row r="340" spans="17:23" x14ac:dyDescent="0.25">
      <c r="Q340">
        <f t="shared" si="23"/>
        <v>338</v>
      </c>
      <c r="R340" t="b">
        <f t="shared" si="20"/>
        <v>0</v>
      </c>
      <c r="V340">
        <f t="shared" si="21"/>
        <v>-4.125</v>
      </c>
      <c r="W340">
        <f t="shared" si="22"/>
        <v>-5.3625000000000007</v>
      </c>
    </row>
    <row r="341" spans="17:23" x14ac:dyDescent="0.25">
      <c r="Q341">
        <f t="shared" si="23"/>
        <v>339</v>
      </c>
      <c r="R341" t="b">
        <f t="shared" si="20"/>
        <v>0</v>
      </c>
      <c r="V341">
        <f t="shared" si="21"/>
        <v>-4.1375000000000002</v>
      </c>
      <c r="W341">
        <f t="shared" si="22"/>
        <v>-5.3787500000000001</v>
      </c>
    </row>
    <row r="342" spans="17:23" x14ac:dyDescent="0.25">
      <c r="Q342">
        <f t="shared" si="23"/>
        <v>340</v>
      </c>
      <c r="R342" t="b">
        <f t="shared" si="20"/>
        <v>0</v>
      </c>
      <c r="V342">
        <f t="shared" si="21"/>
        <v>-4.1500000000000004</v>
      </c>
      <c r="W342">
        <f t="shared" si="22"/>
        <v>-5.3950000000000005</v>
      </c>
    </row>
    <row r="343" spans="17:23" x14ac:dyDescent="0.25">
      <c r="Q343">
        <f t="shared" si="23"/>
        <v>341</v>
      </c>
      <c r="R343" t="b">
        <f t="shared" si="20"/>
        <v>0</v>
      </c>
      <c r="V343">
        <f t="shared" si="21"/>
        <v>-4.1625000000000005</v>
      </c>
      <c r="W343">
        <f t="shared" si="22"/>
        <v>-5.4112499999999999</v>
      </c>
    </row>
    <row r="344" spans="17:23" x14ac:dyDescent="0.25">
      <c r="Q344">
        <f t="shared" si="23"/>
        <v>342</v>
      </c>
      <c r="R344" t="b">
        <f t="shared" si="20"/>
        <v>0</v>
      </c>
      <c r="V344">
        <f t="shared" si="21"/>
        <v>-4.1749999999999998</v>
      </c>
      <c r="W344">
        <f t="shared" si="22"/>
        <v>-5.4275000000000002</v>
      </c>
    </row>
    <row r="345" spans="17:23" x14ac:dyDescent="0.25">
      <c r="Q345">
        <f t="shared" si="23"/>
        <v>343</v>
      </c>
      <c r="R345" t="b">
        <f t="shared" si="20"/>
        <v>0</v>
      </c>
      <c r="V345">
        <f t="shared" si="21"/>
        <v>-4.1875</v>
      </c>
      <c r="W345">
        <f t="shared" si="22"/>
        <v>-5.4437499999999996</v>
      </c>
    </row>
    <row r="346" spans="17:23" x14ac:dyDescent="0.25">
      <c r="Q346">
        <f t="shared" si="23"/>
        <v>344</v>
      </c>
      <c r="R346" t="b">
        <f t="shared" si="20"/>
        <v>0</v>
      </c>
      <c r="V346">
        <f t="shared" si="21"/>
        <v>-4.2</v>
      </c>
      <c r="W346">
        <f t="shared" si="22"/>
        <v>-5.46</v>
      </c>
    </row>
    <row r="347" spans="17:23" x14ac:dyDescent="0.25">
      <c r="Q347">
        <f t="shared" si="23"/>
        <v>345</v>
      </c>
      <c r="R347" t="b">
        <f t="shared" si="20"/>
        <v>0</v>
      </c>
      <c r="V347">
        <f t="shared" si="21"/>
        <v>-4.2125000000000004</v>
      </c>
      <c r="W347">
        <f t="shared" si="22"/>
        <v>-5.4762500000000003</v>
      </c>
    </row>
    <row r="348" spans="17:23" x14ac:dyDescent="0.25">
      <c r="Q348">
        <f t="shared" si="23"/>
        <v>346</v>
      </c>
      <c r="R348" t="b">
        <f t="shared" si="20"/>
        <v>0</v>
      </c>
      <c r="V348">
        <f t="shared" si="21"/>
        <v>-4.2250000000000005</v>
      </c>
      <c r="W348">
        <f t="shared" si="22"/>
        <v>-5.4924999999999997</v>
      </c>
    </row>
    <row r="349" spans="17:23" x14ac:dyDescent="0.25">
      <c r="Q349">
        <f t="shared" si="23"/>
        <v>347</v>
      </c>
      <c r="R349" t="b">
        <f t="shared" si="20"/>
        <v>0</v>
      </c>
      <c r="V349">
        <f t="shared" si="21"/>
        <v>-4.2374999999999998</v>
      </c>
      <c r="W349">
        <f t="shared" si="22"/>
        <v>-5.50875</v>
      </c>
    </row>
    <row r="350" spans="17:23" x14ac:dyDescent="0.25">
      <c r="Q350">
        <f t="shared" si="23"/>
        <v>348</v>
      </c>
      <c r="R350" t="b">
        <f t="shared" si="20"/>
        <v>0</v>
      </c>
      <c r="V350">
        <f t="shared" si="21"/>
        <v>-4.25</v>
      </c>
      <c r="W350">
        <f t="shared" si="22"/>
        <v>-5.5249999999999995</v>
      </c>
    </row>
    <row r="351" spans="17:23" x14ac:dyDescent="0.25">
      <c r="Q351">
        <f t="shared" si="23"/>
        <v>349</v>
      </c>
      <c r="R351" t="b">
        <f t="shared" si="20"/>
        <v>0</v>
      </c>
      <c r="V351">
        <f t="shared" si="21"/>
        <v>-4.2625000000000002</v>
      </c>
      <c r="W351">
        <f t="shared" si="22"/>
        <v>-5.5412500000000007</v>
      </c>
    </row>
    <row r="352" spans="17:23" x14ac:dyDescent="0.25">
      <c r="Q352">
        <f t="shared" si="23"/>
        <v>350</v>
      </c>
      <c r="R352" t="b">
        <f t="shared" si="20"/>
        <v>0</v>
      </c>
      <c r="V352">
        <f t="shared" si="21"/>
        <v>-4.2750000000000004</v>
      </c>
      <c r="W352">
        <f t="shared" si="22"/>
        <v>-5.5575000000000001</v>
      </c>
    </row>
    <row r="353" spans="17:23" x14ac:dyDescent="0.25">
      <c r="Q353">
        <f t="shared" si="23"/>
        <v>351</v>
      </c>
      <c r="R353" t="b">
        <f t="shared" si="20"/>
        <v>0</v>
      </c>
      <c r="V353">
        <f t="shared" si="21"/>
        <v>-4.2875000000000005</v>
      </c>
      <c r="W353">
        <f t="shared" si="22"/>
        <v>-5.5737500000000004</v>
      </c>
    </row>
    <row r="354" spans="17:23" x14ac:dyDescent="0.25">
      <c r="Q354">
        <f t="shared" si="23"/>
        <v>352</v>
      </c>
      <c r="R354" t="b">
        <f t="shared" si="20"/>
        <v>0</v>
      </c>
      <c r="V354">
        <f t="shared" si="21"/>
        <v>-4.3</v>
      </c>
      <c r="W354">
        <f t="shared" si="22"/>
        <v>-5.59</v>
      </c>
    </row>
    <row r="355" spans="17:23" x14ac:dyDescent="0.25">
      <c r="Q355">
        <f t="shared" si="23"/>
        <v>353</v>
      </c>
      <c r="R355" t="b">
        <f t="shared" si="20"/>
        <v>0</v>
      </c>
      <c r="V355">
        <f t="shared" si="21"/>
        <v>-4.3125</v>
      </c>
      <c r="W355">
        <f t="shared" si="22"/>
        <v>-5.6062500000000002</v>
      </c>
    </row>
    <row r="356" spans="17:23" x14ac:dyDescent="0.25">
      <c r="Q356">
        <f t="shared" si="23"/>
        <v>354</v>
      </c>
      <c r="R356" t="b">
        <f t="shared" si="20"/>
        <v>0</v>
      </c>
      <c r="V356">
        <f t="shared" si="21"/>
        <v>-4.3250000000000002</v>
      </c>
      <c r="W356">
        <f t="shared" si="22"/>
        <v>-5.6225000000000005</v>
      </c>
    </row>
    <row r="357" spans="17:23" x14ac:dyDescent="0.25">
      <c r="Q357">
        <f t="shared" si="23"/>
        <v>355</v>
      </c>
      <c r="R357" t="b">
        <f t="shared" si="20"/>
        <v>0</v>
      </c>
      <c r="V357">
        <f t="shared" si="21"/>
        <v>-4.3375000000000004</v>
      </c>
      <c r="W357">
        <f t="shared" si="22"/>
        <v>-5.6387499999999999</v>
      </c>
    </row>
    <row r="358" spans="17:23" x14ac:dyDescent="0.25">
      <c r="Q358">
        <f t="shared" si="23"/>
        <v>356</v>
      </c>
      <c r="R358" t="b">
        <f t="shared" si="20"/>
        <v>0</v>
      </c>
      <c r="V358">
        <f t="shared" si="21"/>
        <v>-4.3500000000000005</v>
      </c>
      <c r="W358">
        <f t="shared" si="22"/>
        <v>-5.6550000000000002</v>
      </c>
    </row>
    <row r="359" spans="17:23" x14ac:dyDescent="0.25">
      <c r="Q359">
        <f t="shared" si="23"/>
        <v>357</v>
      </c>
      <c r="R359" t="b">
        <f t="shared" si="20"/>
        <v>0</v>
      </c>
      <c r="V359">
        <f t="shared" si="21"/>
        <v>-4.3624999999999998</v>
      </c>
      <c r="W359">
        <f t="shared" si="22"/>
        <v>-5.6712499999999997</v>
      </c>
    </row>
    <row r="360" spans="17:23" x14ac:dyDescent="0.25">
      <c r="Q360">
        <f t="shared" si="23"/>
        <v>358</v>
      </c>
      <c r="R360" t="b">
        <f t="shared" si="20"/>
        <v>0</v>
      </c>
      <c r="V360">
        <f t="shared" si="21"/>
        <v>-4.375</v>
      </c>
      <c r="W360">
        <f t="shared" si="22"/>
        <v>-5.6875</v>
      </c>
    </row>
    <row r="361" spans="17:23" x14ac:dyDescent="0.25">
      <c r="Q361">
        <f t="shared" si="23"/>
        <v>359</v>
      </c>
      <c r="R361" t="b">
        <f t="shared" si="20"/>
        <v>0</v>
      </c>
      <c r="V361">
        <f t="shared" si="21"/>
        <v>-4.3875000000000002</v>
      </c>
      <c r="W361">
        <f t="shared" si="22"/>
        <v>-5.7037500000000003</v>
      </c>
    </row>
    <row r="362" spans="17:23" x14ac:dyDescent="0.25">
      <c r="Q362">
        <f t="shared" si="23"/>
        <v>360</v>
      </c>
      <c r="R362" t="b">
        <f t="shared" si="20"/>
        <v>0</v>
      </c>
      <c r="V362">
        <f t="shared" si="21"/>
        <v>-4.4000000000000004</v>
      </c>
      <c r="W362">
        <f t="shared" si="22"/>
        <v>-5.72</v>
      </c>
    </row>
    <row r="363" spans="17:23" x14ac:dyDescent="0.25">
      <c r="Q363">
        <f t="shared" si="23"/>
        <v>361</v>
      </c>
      <c r="R363" t="b">
        <f t="shared" si="20"/>
        <v>0</v>
      </c>
      <c r="V363">
        <f t="shared" si="21"/>
        <v>-4.4125000000000005</v>
      </c>
      <c r="W363">
        <f t="shared" si="22"/>
        <v>-5.7362500000000001</v>
      </c>
    </row>
    <row r="364" spans="17:23" x14ac:dyDescent="0.25">
      <c r="Q364">
        <f t="shared" si="23"/>
        <v>362</v>
      </c>
      <c r="R364" t="b">
        <f t="shared" si="20"/>
        <v>0</v>
      </c>
      <c r="V364">
        <f t="shared" si="21"/>
        <v>-4.4249999999999998</v>
      </c>
      <c r="W364">
        <f t="shared" si="22"/>
        <v>-5.7525000000000004</v>
      </c>
    </row>
    <row r="365" spans="17:23" x14ac:dyDescent="0.25">
      <c r="Q365">
        <f t="shared" si="23"/>
        <v>363</v>
      </c>
      <c r="R365" t="b">
        <f t="shared" si="20"/>
        <v>0</v>
      </c>
      <c r="V365">
        <f t="shared" si="21"/>
        <v>-4.4375</v>
      </c>
      <c r="W365">
        <f t="shared" si="22"/>
        <v>-5.7687500000000007</v>
      </c>
    </row>
    <row r="366" spans="17:23" x14ac:dyDescent="0.25">
      <c r="Q366">
        <f t="shared" si="23"/>
        <v>364</v>
      </c>
      <c r="R366" t="b">
        <f t="shared" si="20"/>
        <v>0</v>
      </c>
      <c r="V366">
        <f t="shared" si="21"/>
        <v>-4.45</v>
      </c>
      <c r="W366">
        <f t="shared" si="22"/>
        <v>-5.7850000000000001</v>
      </c>
    </row>
    <row r="367" spans="17:23" x14ac:dyDescent="0.25">
      <c r="Q367">
        <f t="shared" si="23"/>
        <v>365</v>
      </c>
      <c r="R367" t="b">
        <f t="shared" si="20"/>
        <v>0</v>
      </c>
      <c r="V367">
        <f t="shared" si="21"/>
        <v>-4.4625000000000004</v>
      </c>
      <c r="W367">
        <f t="shared" si="22"/>
        <v>-5.8012499999999996</v>
      </c>
    </row>
    <row r="368" spans="17:23" x14ac:dyDescent="0.25">
      <c r="Q368">
        <f t="shared" si="23"/>
        <v>366</v>
      </c>
      <c r="R368" t="b">
        <f t="shared" si="20"/>
        <v>0</v>
      </c>
      <c r="V368">
        <f t="shared" si="21"/>
        <v>-4.4750000000000005</v>
      </c>
      <c r="W368">
        <f t="shared" si="22"/>
        <v>-5.8175000000000008</v>
      </c>
    </row>
    <row r="369" spans="17:23" x14ac:dyDescent="0.25">
      <c r="Q369">
        <f t="shared" si="23"/>
        <v>367</v>
      </c>
      <c r="R369" t="b">
        <f t="shared" si="20"/>
        <v>0</v>
      </c>
      <c r="V369">
        <f t="shared" si="21"/>
        <v>-4.4874999999999998</v>
      </c>
      <c r="W369">
        <f t="shared" si="22"/>
        <v>-5.8337500000000002</v>
      </c>
    </row>
    <row r="370" spans="17:23" x14ac:dyDescent="0.25">
      <c r="Q370">
        <f t="shared" si="23"/>
        <v>368</v>
      </c>
      <c r="R370" t="b">
        <f t="shared" si="20"/>
        <v>0</v>
      </c>
      <c r="V370">
        <f t="shared" si="21"/>
        <v>-4.5</v>
      </c>
      <c r="W370">
        <f t="shared" si="22"/>
        <v>-5.8500000000000005</v>
      </c>
    </row>
    <row r="371" spans="17:23" x14ac:dyDescent="0.25">
      <c r="Q371">
        <f t="shared" si="23"/>
        <v>369</v>
      </c>
      <c r="R371" t="b">
        <f t="shared" si="20"/>
        <v>0</v>
      </c>
      <c r="V371">
        <f t="shared" si="21"/>
        <v>-4.5125000000000002</v>
      </c>
      <c r="W371">
        <f t="shared" si="22"/>
        <v>-5.86625</v>
      </c>
    </row>
    <row r="372" spans="17:23" x14ac:dyDescent="0.25">
      <c r="Q372">
        <f t="shared" si="23"/>
        <v>370</v>
      </c>
      <c r="R372" t="b">
        <f t="shared" si="20"/>
        <v>0</v>
      </c>
      <c r="V372">
        <f t="shared" si="21"/>
        <v>-4.5250000000000004</v>
      </c>
      <c r="W372">
        <f t="shared" si="22"/>
        <v>-5.8825000000000003</v>
      </c>
    </row>
    <row r="373" spans="17:23" x14ac:dyDescent="0.25">
      <c r="Q373">
        <f t="shared" si="23"/>
        <v>371</v>
      </c>
      <c r="R373" t="b">
        <f t="shared" si="20"/>
        <v>0</v>
      </c>
      <c r="V373">
        <f t="shared" si="21"/>
        <v>-4.5375000000000005</v>
      </c>
      <c r="W373">
        <f t="shared" si="22"/>
        <v>-5.8987499999999997</v>
      </c>
    </row>
    <row r="374" spans="17:23" x14ac:dyDescent="0.25">
      <c r="Q374">
        <f t="shared" si="23"/>
        <v>372</v>
      </c>
      <c r="R374" t="b">
        <f t="shared" si="20"/>
        <v>0</v>
      </c>
      <c r="V374">
        <f t="shared" si="21"/>
        <v>-4.55</v>
      </c>
      <c r="W374">
        <f t="shared" si="22"/>
        <v>-5.915</v>
      </c>
    </row>
    <row r="375" spans="17:23" x14ac:dyDescent="0.25">
      <c r="Q375">
        <f t="shared" si="23"/>
        <v>373</v>
      </c>
      <c r="R375" t="b">
        <f t="shared" si="20"/>
        <v>0</v>
      </c>
      <c r="V375">
        <f t="shared" si="21"/>
        <v>-4.5625</v>
      </c>
      <c r="W375">
        <f t="shared" si="22"/>
        <v>-5.9312500000000004</v>
      </c>
    </row>
    <row r="376" spans="17:23" x14ac:dyDescent="0.25">
      <c r="Q376">
        <f t="shared" si="23"/>
        <v>374</v>
      </c>
      <c r="R376" t="b">
        <f t="shared" si="20"/>
        <v>0</v>
      </c>
      <c r="V376">
        <f t="shared" si="21"/>
        <v>-4.5750000000000002</v>
      </c>
      <c r="W376">
        <f t="shared" si="22"/>
        <v>-5.9474999999999998</v>
      </c>
    </row>
    <row r="377" spans="17:23" x14ac:dyDescent="0.25">
      <c r="Q377">
        <f t="shared" si="23"/>
        <v>375</v>
      </c>
      <c r="R377" t="b">
        <f t="shared" si="20"/>
        <v>0</v>
      </c>
      <c r="V377">
        <f t="shared" si="21"/>
        <v>-4.5875000000000004</v>
      </c>
      <c r="W377">
        <f t="shared" si="22"/>
        <v>-5.963750000000001</v>
      </c>
    </row>
    <row r="378" spans="17:23" x14ac:dyDescent="0.25">
      <c r="Q378">
        <f t="shared" si="23"/>
        <v>376</v>
      </c>
      <c r="R378" t="b">
        <f t="shared" si="20"/>
        <v>0</v>
      </c>
      <c r="V378">
        <f t="shared" si="21"/>
        <v>-4.6000000000000005</v>
      </c>
      <c r="W378">
        <f t="shared" si="22"/>
        <v>-5.98</v>
      </c>
    </row>
    <row r="379" spans="17:23" x14ac:dyDescent="0.25">
      <c r="Q379">
        <f t="shared" si="23"/>
        <v>377</v>
      </c>
      <c r="R379" t="b">
        <f t="shared" si="20"/>
        <v>0</v>
      </c>
      <c r="V379">
        <f t="shared" si="21"/>
        <v>-4.6124999999999998</v>
      </c>
      <c r="W379">
        <f t="shared" si="22"/>
        <v>-5.9962499999999999</v>
      </c>
    </row>
    <row r="380" spans="17:23" x14ac:dyDescent="0.25">
      <c r="Q380">
        <f t="shared" si="23"/>
        <v>378</v>
      </c>
      <c r="R380" t="b">
        <f t="shared" si="20"/>
        <v>0</v>
      </c>
      <c r="V380">
        <f t="shared" si="21"/>
        <v>-4.625</v>
      </c>
      <c r="W380">
        <f t="shared" si="22"/>
        <v>-6.0124999999999993</v>
      </c>
    </row>
    <row r="381" spans="17:23" x14ac:dyDescent="0.25">
      <c r="Q381">
        <f t="shared" si="23"/>
        <v>379</v>
      </c>
      <c r="R381" t="b">
        <f t="shared" si="20"/>
        <v>0</v>
      </c>
      <c r="V381">
        <f t="shared" si="21"/>
        <v>-4.6375000000000002</v>
      </c>
      <c r="W381">
        <f t="shared" si="22"/>
        <v>-6.0287499999999996</v>
      </c>
    </row>
    <row r="382" spans="17:23" x14ac:dyDescent="0.25">
      <c r="Q382">
        <f t="shared" si="23"/>
        <v>380</v>
      </c>
      <c r="R382" t="b">
        <f t="shared" si="20"/>
        <v>0</v>
      </c>
      <c r="V382">
        <f t="shared" si="21"/>
        <v>-4.6500000000000004</v>
      </c>
      <c r="W382">
        <f t="shared" si="22"/>
        <v>-6.0450000000000008</v>
      </c>
    </row>
    <row r="383" spans="17:23" x14ac:dyDescent="0.25">
      <c r="Q383">
        <f t="shared" si="23"/>
        <v>381</v>
      </c>
      <c r="R383" t="b">
        <f t="shared" si="20"/>
        <v>0</v>
      </c>
      <c r="V383">
        <f t="shared" si="21"/>
        <v>-4.6625000000000005</v>
      </c>
      <c r="W383">
        <f t="shared" si="22"/>
        <v>-6.0612500000000002</v>
      </c>
    </row>
    <row r="384" spans="17:23" x14ac:dyDescent="0.25">
      <c r="Q384">
        <f t="shared" si="23"/>
        <v>382</v>
      </c>
      <c r="R384" t="b">
        <f t="shared" si="20"/>
        <v>0</v>
      </c>
      <c r="V384">
        <f t="shared" si="21"/>
        <v>-4.6749999999999998</v>
      </c>
      <c r="W384">
        <f t="shared" si="22"/>
        <v>-6.0775000000000006</v>
      </c>
    </row>
    <row r="385" spans="17:23" x14ac:dyDescent="0.25">
      <c r="Q385">
        <f t="shared" si="23"/>
        <v>383</v>
      </c>
      <c r="R385" t="b">
        <f t="shared" si="20"/>
        <v>0</v>
      </c>
      <c r="V385">
        <f t="shared" si="21"/>
        <v>-4.6875</v>
      </c>
      <c r="W385">
        <f t="shared" si="22"/>
        <v>-6.09375</v>
      </c>
    </row>
    <row r="386" spans="17:23" x14ac:dyDescent="0.25">
      <c r="Q386">
        <f t="shared" si="23"/>
        <v>384</v>
      </c>
      <c r="R386" t="b">
        <f t="shared" si="20"/>
        <v>0</v>
      </c>
      <c r="V386">
        <f t="shared" si="21"/>
        <v>-4.7</v>
      </c>
      <c r="W386">
        <f t="shared" si="22"/>
        <v>-6.11</v>
      </c>
    </row>
    <row r="387" spans="17:23" x14ac:dyDescent="0.25">
      <c r="Q387">
        <f t="shared" si="23"/>
        <v>385</v>
      </c>
      <c r="R387" t="b">
        <f t="shared" si="20"/>
        <v>0</v>
      </c>
      <c r="V387">
        <f t="shared" si="21"/>
        <v>-4.7125000000000004</v>
      </c>
      <c r="W387">
        <f t="shared" si="22"/>
        <v>-6.1262499999999998</v>
      </c>
    </row>
    <row r="388" spans="17:23" x14ac:dyDescent="0.25">
      <c r="Q388">
        <f t="shared" si="23"/>
        <v>386</v>
      </c>
      <c r="R388" t="b">
        <f t="shared" ref="R388:R449" si="24">Q388&lt;($S$3+1)</f>
        <v>0</v>
      </c>
      <c r="V388">
        <f t="shared" ref="V388:V449" si="25">$B$3*(($S$3-Q388+1)/$S$3)*($E$3/100)</f>
        <v>-4.7250000000000005</v>
      </c>
      <c r="W388">
        <f t="shared" ref="W388:W449" si="26">$C$3*(($S$3-Q388+1)/$S$3)*($E$3/100)</f>
        <v>-6.1425000000000001</v>
      </c>
    </row>
    <row r="389" spans="17:23" x14ac:dyDescent="0.25">
      <c r="Q389">
        <f t="shared" ref="Q389:Q449" si="27">Q388+1</f>
        <v>387</v>
      </c>
      <c r="R389" t="b">
        <f t="shared" si="24"/>
        <v>0</v>
      </c>
      <c r="V389">
        <f t="shared" si="25"/>
        <v>-4.7374999999999998</v>
      </c>
      <c r="W389">
        <f t="shared" si="26"/>
        <v>-6.1587500000000004</v>
      </c>
    </row>
    <row r="390" spans="17:23" x14ac:dyDescent="0.25">
      <c r="Q390">
        <f t="shared" si="27"/>
        <v>388</v>
      </c>
      <c r="R390" t="b">
        <f t="shared" si="24"/>
        <v>0</v>
      </c>
      <c r="V390">
        <f t="shared" si="25"/>
        <v>-4.75</v>
      </c>
      <c r="W390">
        <f t="shared" si="26"/>
        <v>-6.1749999999999998</v>
      </c>
    </row>
    <row r="391" spans="17:23" x14ac:dyDescent="0.25">
      <c r="Q391">
        <f t="shared" si="27"/>
        <v>389</v>
      </c>
      <c r="R391" t="b">
        <f t="shared" si="24"/>
        <v>0</v>
      </c>
      <c r="V391">
        <f t="shared" si="25"/>
        <v>-4.7625000000000002</v>
      </c>
      <c r="W391">
        <f t="shared" si="26"/>
        <v>-6.1912500000000001</v>
      </c>
    </row>
    <row r="392" spans="17:23" x14ac:dyDescent="0.25">
      <c r="Q392">
        <f t="shared" si="27"/>
        <v>390</v>
      </c>
      <c r="R392" t="b">
        <f t="shared" si="24"/>
        <v>0</v>
      </c>
      <c r="V392">
        <f t="shared" si="25"/>
        <v>-4.7750000000000004</v>
      </c>
      <c r="W392">
        <f t="shared" si="26"/>
        <v>-6.2074999999999996</v>
      </c>
    </row>
    <row r="393" spans="17:23" x14ac:dyDescent="0.25">
      <c r="Q393">
        <f t="shared" si="27"/>
        <v>391</v>
      </c>
      <c r="R393" t="b">
        <f t="shared" si="24"/>
        <v>0</v>
      </c>
      <c r="V393">
        <f t="shared" si="25"/>
        <v>-4.7875000000000005</v>
      </c>
      <c r="W393">
        <f t="shared" si="26"/>
        <v>-6.2237499999999999</v>
      </c>
    </row>
    <row r="394" spans="17:23" x14ac:dyDescent="0.25">
      <c r="Q394">
        <f t="shared" si="27"/>
        <v>392</v>
      </c>
      <c r="R394" t="b">
        <f t="shared" si="24"/>
        <v>0</v>
      </c>
      <c r="V394">
        <f t="shared" si="25"/>
        <v>-4.8000000000000007</v>
      </c>
      <c r="W394">
        <f t="shared" si="26"/>
        <v>-6.2399999999999993</v>
      </c>
    </row>
    <row r="395" spans="17:23" x14ac:dyDescent="0.25">
      <c r="Q395">
        <f t="shared" si="27"/>
        <v>393</v>
      </c>
      <c r="R395" t="b">
        <f t="shared" si="24"/>
        <v>0</v>
      </c>
      <c r="V395">
        <f t="shared" si="25"/>
        <v>-4.8125</v>
      </c>
      <c r="W395">
        <f t="shared" si="26"/>
        <v>-6.2562500000000005</v>
      </c>
    </row>
    <row r="396" spans="17:23" x14ac:dyDescent="0.25">
      <c r="Q396">
        <f t="shared" si="27"/>
        <v>394</v>
      </c>
      <c r="R396" t="b">
        <f t="shared" si="24"/>
        <v>0</v>
      </c>
      <c r="V396">
        <f t="shared" si="25"/>
        <v>-4.8250000000000002</v>
      </c>
      <c r="W396">
        <f t="shared" si="26"/>
        <v>-6.2725000000000009</v>
      </c>
    </row>
    <row r="397" spans="17:23" x14ac:dyDescent="0.25">
      <c r="Q397">
        <f t="shared" si="27"/>
        <v>395</v>
      </c>
      <c r="R397" t="b">
        <f t="shared" si="24"/>
        <v>0</v>
      </c>
      <c r="V397">
        <f t="shared" si="25"/>
        <v>-4.8375000000000004</v>
      </c>
      <c r="W397">
        <f t="shared" si="26"/>
        <v>-6.2887500000000003</v>
      </c>
    </row>
    <row r="398" spans="17:23" x14ac:dyDescent="0.25">
      <c r="Q398">
        <f t="shared" si="27"/>
        <v>396</v>
      </c>
      <c r="R398" t="b">
        <f t="shared" si="24"/>
        <v>0</v>
      </c>
      <c r="V398">
        <f t="shared" si="25"/>
        <v>-4.8500000000000005</v>
      </c>
      <c r="W398">
        <f t="shared" si="26"/>
        <v>-6.3049999999999997</v>
      </c>
    </row>
    <row r="399" spans="17:23" x14ac:dyDescent="0.25">
      <c r="Q399">
        <f t="shared" si="27"/>
        <v>397</v>
      </c>
      <c r="R399" t="b">
        <f t="shared" si="24"/>
        <v>0</v>
      </c>
      <c r="V399">
        <f t="shared" si="25"/>
        <v>-4.8625000000000007</v>
      </c>
      <c r="W399">
        <f t="shared" si="26"/>
        <v>-6.32125</v>
      </c>
    </row>
    <row r="400" spans="17:23" x14ac:dyDescent="0.25">
      <c r="Q400">
        <f t="shared" si="27"/>
        <v>398</v>
      </c>
      <c r="R400" t="b">
        <f t="shared" si="24"/>
        <v>0</v>
      </c>
      <c r="V400">
        <f t="shared" si="25"/>
        <v>-4.875</v>
      </c>
      <c r="W400">
        <f t="shared" si="26"/>
        <v>-6.3375000000000004</v>
      </c>
    </row>
    <row r="401" spans="17:23" x14ac:dyDescent="0.25">
      <c r="Q401">
        <f t="shared" si="27"/>
        <v>399</v>
      </c>
      <c r="R401" t="b">
        <f t="shared" si="24"/>
        <v>0</v>
      </c>
      <c r="V401">
        <f t="shared" si="25"/>
        <v>-4.8875000000000002</v>
      </c>
      <c r="W401">
        <f t="shared" si="26"/>
        <v>-6.3537499999999998</v>
      </c>
    </row>
    <row r="402" spans="17:23" x14ac:dyDescent="0.25">
      <c r="Q402">
        <f t="shared" si="27"/>
        <v>400</v>
      </c>
      <c r="R402" t="b">
        <f t="shared" si="24"/>
        <v>0</v>
      </c>
      <c r="V402">
        <f t="shared" si="25"/>
        <v>-4.9000000000000004</v>
      </c>
      <c r="W402">
        <f t="shared" si="26"/>
        <v>-6.37</v>
      </c>
    </row>
    <row r="403" spans="17:23" x14ac:dyDescent="0.25">
      <c r="Q403">
        <f t="shared" si="27"/>
        <v>401</v>
      </c>
      <c r="R403" t="b">
        <f t="shared" si="24"/>
        <v>0</v>
      </c>
      <c r="V403">
        <f t="shared" si="25"/>
        <v>-4.9125000000000005</v>
      </c>
      <c r="W403">
        <f t="shared" si="26"/>
        <v>-6.3862500000000004</v>
      </c>
    </row>
    <row r="404" spans="17:23" x14ac:dyDescent="0.25">
      <c r="Q404">
        <f t="shared" si="27"/>
        <v>402</v>
      </c>
      <c r="R404" t="b">
        <f t="shared" si="24"/>
        <v>0</v>
      </c>
      <c r="V404">
        <f t="shared" si="25"/>
        <v>-4.9250000000000007</v>
      </c>
      <c r="W404">
        <f t="shared" si="26"/>
        <v>-6.4024999999999999</v>
      </c>
    </row>
    <row r="405" spans="17:23" x14ac:dyDescent="0.25">
      <c r="Q405">
        <f t="shared" si="27"/>
        <v>403</v>
      </c>
      <c r="R405" t="b">
        <f t="shared" si="24"/>
        <v>0</v>
      </c>
      <c r="V405">
        <f t="shared" si="25"/>
        <v>-4.9375</v>
      </c>
      <c r="W405">
        <f t="shared" si="26"/>
        <v>-6.4187500000000002</v>
      </c>
    </row>
    <row r="406" spans="17:23" x14ac:dyDescent="0.25">
      <c r="Q406">
        <f t="shared" si="27"/>
        <v>404</v>
      </c>
      <c r="R406" t="b">
        <f t="shared" si="24"/>
        <v>0</v>
      </c>
      <c r="V406">
        <f t="shared" si="25"/>
        <v>-4.95</v>
      </c>
      <c r="W406">
        <f t="shared" si="26"/>
        <v>-6.4349999999999996</v>
      </c>
    </row>
    <row r="407" spans="17:23" x14ac:dyDescent="0.25">
      <c r="Q407">
        <f t="shared" si="27"/>
        <v>405</v>
      </c>
      <c r="R407" t="b">
        <f t="shared" si="24"/>
        <v>0</v>
      </c>
      <c r="V407">
        <f t="shared" si="25"/>
        <v>-4.9625000000000004</v>
      </c>
      <c r="W407">
        <f t="shared" si="26"/>
        <v>-6.4512500000000008</v>
      </c>
    </row>
    <row r="408" spans="17:23" x14ac:dyDescent="0.25">
      <c r="Q408">
        <f t="shared" si="27"/>
        <v>406</v>
      </c>
      <c r="R408" t="b">
        <f t="shared" si="24"/>
        <v>0</v>
      </c>
      <c r="V408">
        <f t="shared" si="25"/>
        <v>-4.9750000000000005</v>
      </c>
      <c r="W408">
        <f t="shared" si="26"/>
        <v>-6.4675000000000002</v>
      </c>
    </row>
    <row r="409" spans="17:23" x14ac:dyDescent="0.25">
      <c r="Q409">
        <f t="shared" si="27"/>
        <v>407</v>
      </c>
      <c r="R409" t="b">
        <f t="shared" si="24"/>
        <v>0</v>
      </c>
      <c r="V409">
        <f t="shared" si="25"/>
        <v>-4.9875000000000007</v>
      </c>
      <c r="W409">
        <f t="shared" si="26"/>
        <v>-6.4837499999999997</v>
      </c>
    </row>
    <row r="410" spans="17:23" x14ac:dyDescent="0.25">
      <c r="Q410">
        <f t="shared" si="27"/>
        <v>408</v>
      </c>
      <c r="R410" t="b">
        <f t="shared" si="24"/>
        <v>0</v>
      </c>
      <c r="V410">
        <f t="shared" si="25"/>
        <v>-5</v>
      </c>
      <c r="W410">
        <f t="shared" si="26"/>
        <v>-6.5</v>
      </c>
    </row>
    <row r="411" spans="17:23" x14ac:dyDescent="0.25">
      <c r="Q411">
        <f t="shared" si="27"/>
        <v>409</v>
      </c>
      <c r="R411" t="b">
        <f t="shared" si="24"/>
        <v>0</v>
      </c>
      <c r="V411">
        <f t="shared" si="25"/>
        <v>-5.0125000000000002</v>
      </c>
      <c r="W411">
        <f t="shared" si="26"/>
        <v>-6.5162499999999994</v>
      </c>
    </row>
    <row r="412" spans="17:23" x14ac:dyDescent="0.25">
      <c r="Q412">
        <f t="shared" si="27"/>
        <v>410</v>
      </c>
      <c r="R412" t="b">
        <f t="shared" si="24"/>
        <v>0</v>
      </c>
      <c r="V412">
        <f t="shared" si="25"/>
        <v>-5.0250000000000004</v>
      </c>
      <c r="W412">
        <f t="shared" si="26"/>
        <v>-6.5325000000000006</v>
      </c>
    </row>
    <row r="413" spans="17:23" x14ac:dyDescent="0.25">
      <c r="Q413">
        <f t="shared" si="27"/>
        <v>411</v>
      </c>
      <c r="R413" t="b">
        <f t="shared" si="24"/>
        <v>0</v>
      </c>
      <c r="V413">
        <f t="shared" si="25"/>
        <v>-5.0375000000000005</v>
      </c>
      <c r="W413">
        <f t="shared" si="26"/>
        <v>-6.5487500000000001</v>
      </c>
    </row>
    <row r="414" spans="17:23" x14ac:dyDescent="0.25">
      <c r="Q414">
        <f t="shared" si="27"/>
        <v>412</v>
      </c>
      <c r="R414" t="b">
        <f t="shared" si="24"/>
        <v>0</v>
      </c>
      <c r="V414">
        <f t="shared" si="25"/>
        <v>-5.0500000000000007</v>
      </c>
      <c r="W414">
        <f t="shared" si="26"/>
        <v>-6.5650000000000013</v>
      </c>
    </row>
    <row r="415" spans="17:23" x14ac:dyDescent="0.25">
      <c r="Q415">
        <f t="shared" si="27"/>
        <v>413</v>
      </c>
      <c r="R415" t="b">
        <f t="shared" si="24"/>
        <v>0</v>
      </c>
      <c r="V415">
        <f t="shared" si="25"/>
        <v>-5.0625</v>
      </c>
      <c r="W415">
        <f t="shared" si="26"/>
        <v>-6.5812500000000007</v>
      </c>
    </row>
    <row r="416" spans="17:23" x14ac:dyDescent="0.25">
      <c r="Q416">
        <f t="shared" si="27"/>
        <v>414</v>
      </c>
      <c r="R416" t="b">
        <f t="shared" si="24"/>
        <v>0</v>
      </c>
      <c r="V416">
        <f t="shared" si="25"/>
        <v>-5.0750000000000002</v>
      </c>
      <c r="W416">
        <f t="shared" si="26"/>
        <v>-6.5975000000000001</v>
      </c>
    </row>
    <row r="417" spans="17:23" x14ac:dyDescent="0.25">
      <c r="Q417">
        <f t="shared" si="27"/>
        <v>415</v>
      </c>
      <c r="R417" t="b">
        <f t="shared" si="24"/>
        <v>0</v>
      </c>
      <c r="V417">
        <f t="shared" si="25"/>
        <v>-5.0875000000000004</v>
      </c>
      <c r="W417">
        <f t="shared" si="26"/>
        <v>-6.6137500000000005</v>
      </c>
    </row>
    <row r="418" spans="17:23" x14ac:dyDescent="0.25">
      <c r="Q418">
        <f t="shared" si="27"/>
        <v>416</v>
      </c>
      <c r="R418" t="b">
        <f t="shared" si="24"/>
        <v>0</v>
      </c>
      <c r="V418">
        <f t="shared" si="25"/>
        <v>-5.1000000000000005</v>
      </c>
      <c r="W418">
        <f t="shared" si="26"/>
        <v>-6.63</v>
      </c>
    </row>
    <row r="419" spans="17:23" x14ac:dyDescent="0.25">
      <c r="Q419">
        <f t="shared" si="27"/>
        <v>417</v>
      </c>
      <c r="R419" t="b">
        <f t="shared" si="24"/>
        <v>0</v>
      </c>
      <c r="V419">
        <f t="shared" si="25"/>
        <v>-5.1125000000000007</v>
      </c>
      <c r="W419">
        <f t="shared" si="26"/>
        <v>-6.6462500000000011</v>
      </c>
    </row>
    <row r="420" spans="17:23" x14ac:dyDescent="0.25">
      <c r="Q420">
        <f t="shared" si="27"/>
        <v>418</v>
      </c>
      <c r="R420" t="b">
        <f t="shared" si="24"/>
        <v>0</v>
      </c>
      <c r="V420">
        <f t="shared" si="25"/>
        <v>-5.125</v>
      </c>
      <c r="W420">
        <f t="shared" si="26"/>
        <v>-6.6625000000000005</v>
      </c>
    </row>
    <row r="421" spans="17:23" x14ac:dyDescent="0.25">
      <c r="Q421">
        <f t="shared" si="27"/>
        <v>419</v>
      </c>
      <c r="R421" t="b">
        <f t="shared" si="24"/>
        <v>0</v>
      </c>
      <c r="V421">
        <f t="shared" si="25"/>
        <v>-5.1375000000000002</v>
      </c>
      <c r="W421">
        <f t="shared" si="26"/>
        <v>-6.67875</v>
      </c>
    </row>
    <row r="422" spans="17:23" x14ac:dyDescent="0.25">
      <c r="Q422">
        <f t="shared" si="27"/>
        <v>420</v>
      </c>
      <c r="R422" t="b">
        <f t="shared" si="24"/>
        <v>0</v>
      </c>
      <c r="V422">
        <f t="shared" si="25"/>
        <v>-5.15</v>
      </c>
      <c r="W422">
        <f t="shared" si="26"/>
        <v>-6.6949999999999994</v>
      </c>
    </row>
    <row r="423" spans="17:23" x14ac:dyDescent="0.25">
      <c r="Q423">
        <f t="shared" si="27"/>
        <v>421</v>
      </c>
      <c r="R423" t="b">
        <f t="shared" si="24"/>
        <v>0</v>
      </c>
      <c r="V423">
        <f t="shared" si="25"/>
        <v>-5.1625000000000005</v>
      </c>
      <c r="W423">
        <f t="shared" si="26"/>
        <v>-6.7112499999999997</v>
      </c>
    </row>
    <row r="424" spans="17:23" x14ac:dyDescent="0.25">
      <c r="Q424">
        <f t="shared" si="27"/>
        <v>422</v>
      </c>
      <c r="R424" t="b">
        <f t="shared" si="24"/>
        <v>0</v>
      </c>
      <c r="V424">
        <f t="shared" si="25"/>
        <v>-5.1750000000000007</v>
      </c>
      <c r="W424">
        <f t="shared" si="26"/>
        <v>-6.7275000000000009</v>
      </c>
    </row>
    <row r="425" spans="17:23" x14ac:dyDescent="0.25">
      <c r="Q425">
        <f t="shared" si="27"/>
        <v>423</v>
      </c>
      <c r="R425" t="b">
        <f t="shared" si="24"/>
        <v>0</v>
      </c>
      <c r="V425">
        <f t="shared" si="25"/>
        <v>-5.1875</v>
      </c>
      <c r="W425">
        <f t="shared" si="26"/>
        <v>-6.7437500000000004</v>
      </c>
    </row>
    <row r="426" spans="17:23" x14ac:dyDescent="0.25">
      <c r="Q426">
        <f t="shared" si="27"/>
        <v>424</v>
      </c>
      <c r="R426" t="b">
        <f t="shared" si="24"/>
        <v>0</v>
      </c>
      <c r="V426">
        <f t="shared" si="25"/>
        <v>-5.2</v>
      </c>
      <c r="W426">
        <f t="shared" si="26"/>
        <v>-6.76</v>
      </c>
    </row>
    <row r="427" spans="17:23" x14ac:dyDescent="0.25">
      <c r="Q427">
        <f t="shared" si="27"/>
        <v>425</v>
      </c>
      <c r="R427" t="b">
        <f t="shared" si="24"/>
        <v>0</v>
      </c>
      <c r="V427">
        <f t="shared" si="25"/>
        <v>-5.2125000000000004</v>
      </c>
      <c r="W427">
        <f t="shared" si="26"/>
        <v>-6.7762499999999992</v>
      </c>
    </row>
    <row r="428" spans="17:23" x14ac:dyDescent="0.25">
      <c r="Q428">
        <f t="shared" si="27"/>
        <v>426</v>
      </c>
      <c r="R428" t="b">
        <f t="shared" si="24"/>
        <v>0</v>
      </c>
      <c r="V428">
        <f t="shared" si="25"/>
        <v>-5.2250000000000005</v>
      </c>
      <c r="W428">
        <f t="shared" si="26"/>
        <v>-6.7925000000000004</v>
      </c>
    </row>
    <row r="429" spans="17:23" x14ac:dyDescent="0.25">
      <c r="Q429">
        <f t="shared" si="27"/>
        <v>427</v>
      </c>
      <c r="R429" t="b">
        <f t="shared" si="24"/>
        <v>0</v>
      </c>
      <c r="V429">
        <f t="shared" si="25"/>
        <v>-5.2375000000000007</v>
      </c>
      <c r="W429">
        <f t="shared" si="26"/>
        <v>-6.8087499999999999</v>
      </c>
    </row>
    <row r="430" spans="17:23" x14ac:dyDescent="0.25">
      <c r="Q430">
        <f t="shared" si="27"/>
        <v>428</v>
      </c>
      <c r="R430" t="b">
        <f t="shared" si="24"/>
        <v>0</v>
      </c>
      <c r="V430">
        <f t="shared" si="25"/>
        <v>-5.25</v>
      </c>
      <c r="W430">
        <f t="shared" si="26"/>
        <v>-6.8250000000000002</v>
      </c>
    </row>
    <row r="431" spans="17:23" x14ac:dyDescent="0.25">
      <c r="Q431">
        <f t="shared" si="27"/>
        <v>429</v>
      </c>
      <c r="R431" t="b">
        <f t="shared" si="24"/>
        <v>0</v>
      </c>
      <c r="V431">
        <f t="shared" si="25"/>
        <v>-5.2625000000000002</v>
      </c>
      <c r="W431">
        <f t="shared" si="26"/>
        <v>-6.8412499999999996</v>
      </c>
    </row>
    <row r="432" spans="17:23" x14ac:dyDescent="0.25">
      <c r="Q432">
        <f t="shared" si="27"/>
        <v>430</v>
      </c>
      <c r="R432" t="b">
        <f t="shared" si="24"/>
        <v>0</v>
      </c>
      <c r="V432">
        <f t="shared" si="25"/>
        <v>-5.2750000000000004</v>
      </c>
      <c r="W432">
        <f t="shared" si="26"/>
        <v>-6.8575000000000008</v>
      </c>
    </row>
    <row r="433" spans="17:23" x14ac:dyDescent="0.25">
      <c r="Q433">
        <f t="shared" si="27"/>
        <v>431</v>
      </c>
      <c r="R433" t="b">
        <f t="shared" si="24"/>
        <v>0</v>
      </c>
      <c r="V433">
        <f t="shared" si="25"/>
        <v>-5.2875000000000005</v>
      </c>
      <c r="W433">
        <f t="shared" si="26"/>
        <v>-6.8737500000000002</v>
      </c>
    </row>
    <row r="434" spans="17:23" x14ac:dyDescent="0.25">
      <c r="Q434">
        <f t="shared" si="27"/>
        <v>432</v>
      </c>
      <c r="R434" t="b">
        <f t="shared" si="24"/>
        <v>0</v>
      </c>
      <c r="V434">
        <f t="shared" si="25"/>
        <v>-5.3000000000000007</v>
      </c>
      <c r="W434">
        <f t="shared" si="26"/>
        <v>-6.89</v>
      </c>
    </row>
    <row r="435" spans="17:23" x14ac:dyDescent="0.25">
      <c r="Q435">
        <f t="shared" si="27"/>
        <v>433</v>
      </c>
      <c r="R435" t="b">
        <f t="shared" si="24"/>
        <v>0</v>
      </c>
      <c r="V435">
        <f t="shared" si="25"/>
        <v>-5.3125</v>
      </c>
      <c r="W435">
        <f t="shared" si="26"/>
        <v>-6.90625</v>
      </c>
    </row>
    <row r="436" spans="17:23" x14ac:dyDescent="0.25">
      <c r="Q436">
        <f t="shared" si="27"/>
        <v>434</v>
      </c>
      <c r="R436" t="b">
        <f t="shared" si="24"/>
        <v>0</v>
      </c>
      <c r="V436">
        <f t="shared" si="25"/>
        <v>-5.3250000000000002</v>
      </c>
      <c r="W436">
        <f t="shared" si="26"/>
        <v>-6.9224999999999994</v>
      </c>
    </row>
    <row r="437" spans="17:23" x14ac:dyDescent="0.25">
      <c r="Q437">
        <f t="shared" si="27"/>
        <v>435</v>
      </c>
      <c r="R437" t="b">
        <f t="shared" si="24"/>
        <v>0</v>
      </c>
      <c r="V437">
        <f t="shared" si="25"/>
        <v>-5.3375000000000004</v>
      </c>
      <c r="W437">
        <f t="shared" si="26"/>
        <v>-6.9387500000000006</v>
      </c>
    </row>
    <row r="438" spans="17:23" x14ac:dyDescent="0.25">
      <c r="Q438">
        <f t="shared" si="27"/>
        <v>436</v>
      </c>
      <c r="R438" t="b">
        <f t="shared" si="24"/>
        <v>0</v>
      </c>
      <c r="V438">
        <f t="shared" si="25"/>
        <v>-5.3500000000000005</v>
      </c>
      <c r="W438">
        <f t="shared" si="26"/>
        <v>-6.9550000000000001</v>
      </c>
    </row>
    <row r="439" spans="17:23" x14ac:dyDescent="0.25">
      <c r="Q439">
        <f t="shared" si="27"/>
        <v>437</v>
      </c>
      <c r="R439" t="b">
        <f t="shared" si="24"/>
        <v>0</v>
      </c>
      <c r="V439">
        <f t="shared" si="25"/>
        <v>-5.3625000000000007</v>
      </c>
      <c r="W439">
        <f t="shared" si="26"/>
        <v>-6.9712499999999995</v>
      </c>
    </row>
    <row r="440" spans="17:23" x14ac:dyDescent="0.25">
      <c r="Q440">
        <f t="shared" si="27"/>
        <v>438</v>
      </c>
      <c r="R440" t="b">
        <f t="shared" si="24"/>
        <v>0</v>
      </c>
      <c r="V440">
        <f t="shared" si="25"/>
        <v>-5.375</v>
      </c>
      <c r="W440">
        <f t="shared" si="26"/>
        <v>-6.9875000000000007</v>
      </c>
    </row>
    <row r="441" spans="17:23" x14ac:dyDescent="0.25">
      <c r="Q441">
        <f t="shared" si="27"/>
        <v>439</v>
      </c>
      <c r="R441" t="b">
        <f t="shared" si="24"/>
        <v>0</v>
      </c>
      <c r="V441">
        <f t="shared" si="25"/>
        <v>-5.3875000000000002</v>
      </c>
      <c r="W441">
        <f t="shared" si="26"/>
        <v>-7.0037500000000001</v>
      </c>
    </row>
    <row r="442" spans="17:23" x14ac:dyDescent="0.25">
      <c r="Q442">
        <f t="shared" si="27"/>
        <v>440</v>
      </c>
      <c r="R442" t="b">
        <f t="shared" si="24"/>
        <v>0</v>
      </c>
      <c r="V442">
        <f t="shared" si="25"/>
        <v>-5.4</v>
      </c>
      <c r="W442">
        <f t="shared" si="26"/>
        <v>-7.0200000000000005</v>
      </c>
    </row>
    <row r="443" spans="17:23" x14ac:dyDescent="0.25">
      <c r="Q443">
        <f t="shared" si="27"/>
        <v>441</v>
      </c>
      <c r="R443" t="b">
        <f t="shared" si="24"/>
        <v>0</v>
      </c>
      <c r="V443">
        <f t="shared" si="25"/>
        <v>-5.4125000000000005</v>
      </c>
      <c r="W443">
        <f t="shared" si="26"/>
        <v>-7.0362499999999999</v>
      </c>
    </row>
    <row r="444" spans="17:23" x14ac:dyDescent="0.25">
      <c r="Q444">
        <f t="shared" si="27"/>
        <v>442</v>
      </c>
      <c r="R444" t="b">
        <f t="shared" si="24"/>
        <v>0</v>
      </c>
      <c r="V444">
        <f t="shared" si="25"/>
        <v>-5.4250000000000007</v>
      </c>
      <c r="W444">
        <f t="shared" si="26"/>
        <v>-7.0524999999999993</v>
      </c>
    </row>
    <row r="445" spans="17:23" x14ac:dyDescent="0.25">
      <c r="Q445">
        <f t="shared" si="27"/>
        <v>443</v>
      </c>
      <c r="R445" t="b">
        <f t="shared" si="24"/>
        <v>0</v>
      </c>
      <c r="V445">
        <f t="shared" si="25"/>
        <v>-5.4375</v>
      </c>
      <c r="W445">
        <f t="shared" si="26"/>
        <v>-7.0687500000000005</v>
      </c>
    </row>
    <row r="446" spans="17:23" x14ac:dyDescent="0.25">
      <c r="Q446">
        <f t="shared" si="27"/>
        <v>444</v>
      </c>
      <c r="R446" t="b">
        <f t="shared" si="24"/>
        <v>0</v>
      </c>
      <c r="V446">
        <f t="shared" si="25"/>
        <v>-5.45</v>
      </c>
      <c r="W446">
        <f t="shared" si="26"/>
        <v>-7.085</v>
      </c>
    </row>
    <row r="447" spans="17:23" x14ac:dyDescent="0.25">
      <c r="Q447">
        <f t="shared" si="27"/>
        <v>445</v>
      </c>
      <c r="R447" t="b">
        <f t="shared" si="24"/>
        <v>0</v>
      </c>
      <c r="V447">
        <f t="shared" si="25"/>
        <v>-5.4625000000000004</v>
      </c>
      <c r="W447">
        <f t="shared" si="26"/>
        <v>-7.1012500000000003</v>
      </c>
    </row>
    <row r="448" spans="17:23" x14ac:dyDescent="0.25">
      <c r="Q448">
        <f t="shared" si="27"/>
        <v>446</v>
      </c>
      <c r="R448" t="b">
        <f t="shared" si="24"/>
        <v>0</v>
      </c>
      <c r="V448">
        <f t="shared" si="25"/>
        <v>-5.4750000000000005</v>
      </c>
      <c r="W448">
        <f t="shared" si="26"/>
        <v>-7.1174999999999997</v>
      </c>
    </row>
    <row r="449" spans="17:23" x14ac:dyDescent="0.25">
      <c r="Q449">
        <f t="shared" si="27"/>
        <v>447</v>
      </c>
      <c r="R449" t="b">
        <f t="shared" si="24"/>
        <v>0</v>
      </c>
      <c r="V449">
        <f t="shared" si="25"/>
        <v>-5.4875000000000007</v>
      </c>
      <c r="W449">
        <f t="shared" si="26"/>
        <v>-7.1337499999999991</v>
      </c>
    </row>
  </sheetData>
  <mergeCells count="2">
    <mergeCell ref="B1:C1"/>
    <mergeCell ref="H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3240-CA33-4B56-910F-E6D2974F51F1}">
  <sheetPr>
    <tabColor theme="5"/>
  </sheetPr>
  <dimension ref="D3:M21"/>
  <sheetViews>
    <sheetView workbookViewId="0">
      <selection activeCell="F7" sqref="F7"/>
    </sheetView>
  </sheetViews>
  <sheetFormatPr defaultRowHeight="15" x14ac:dyDescent="0.25"/>
  <cols>
    <col min="4" max="4" width="21.7109375" bestFit="1" customWidth="1"/>
    <col min="5" max="5" width="16.85546875" bestFit="1" customWidth="1"/>
    <col min="6" max="6" width="22.85546875" bestFit="1" customWidth="1"/>
    <col min="8" max="8" width="33.85546875" bestFit="1" customWidth="1"/>
    <col min="9" max="9" width="31.140625" bestFit="1" customWidth="1"/>
  </cols>
  <sheetData>
    <row r="3" spans="4:13" x14ac:dyDescent="0.25">
      <c r="E3" t="s">
        <v>171</v>
      </c>
      <c r="F3" t="s">
        <v>165</v>
      </c>
      <c r="H3" t="s">
        <v>168</v>
      </c>
      <c r="I3" t="s">
        <v>169</v>
      </c>
    </row>
    <row r="4" spans="4:13" x14ac:dyDescent="0.25">
      <c r="D4" t="s">
        <v>163</v>
      </c>
      <c r="E4">
        <v>1.2975179999999999E-2</v>
      </c>
      <c r="F4">
        <f>E4*(E13/(2*E14))/(F13/100)</f>
        <v>6.9410302499386428E-2</v>
      </c>
      <c r="H4">
        <f>F5-F4</f>
        <v>4.0239077500613576E-2</v>
      </c>
      <c r="I4">
        <f>H4/E21</f>
        <v>0.11924456215917491</v>
      </c>
      <c r="K4">
        <f>I4*0.12455</f>
        <v>1.4851910216925234E-2</v>
      </c>
      <c r="M4">
        <f>I4*1.94005</f>
        <v>0.23134041281690729</v>
      </c>
    </row>
    <row r="5" spans="4:13" x14ac:dyDescent="0.25">
      <c r="D5" t="s">
        <v>164</v>
      </c>
      <c r="E5">
        <v>0.10964938</v>
      </c>
      <c r="F5">
        <f>E5</f>
        <v>0.10964938</v>
      </c>
    </row>
    <row r="12" spans="4:13" x14ac:dyDescent="0.25">
      <c r="E12" t="s">
        <v>166</v>
      </c>
      <c r="F12" t="s">
        <v>167</v>
      </c>
    </row>
    <row r="13" spans="4:13" x14ac:dyDescent="0.25">
      <c r="D13" t="s">
        <v>163</v>
      </c>
      <c r="E13">
        <v>73.89</v>
      </c>
      <c r="F13">
        <v>99.5</v>
      </c>
    </row>
    <row r="14" spans="4:13" x14ac:dyDescent="0.25">
      <c r="D14" t="s">
        <v>164</v>
      </c>
      <c r="E14">
        <v>6.9409999999999998</v>
      </c>
      <c r="F14">
        <v>100</v>
      </c>
    </row>
    <row r="21" spans="4:5" x14ac:dyDescent="0.25">
      <c r="D21" t="s">
        <v>170</v>
      </c>
      <c r="E21">
        <v>0.33745000000000003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EEC2-191A-48C2-83F6-75F0108A49D7}">
  <sheetPr>
    <tabColor theme="8"/>
  </sheetPr>
  <dimension ref="H2:AH36"/>
  <sheetViews>
    <sheetView workbookViewId="0">
      <selection activeCell="AG16" sqref="AG16:AH16"/>
    </sheetView>
  </sheetViews>
  <sheetFormatPr defaultRowHeight="15" x14ac:dyDescent="0.25"/>
  <cols>
    <col min="12" max="12" width="39.28515625" bestFit="1" customWidth="1"/>
    <col min="13" max="13" width="15.140625" bestFit="1" customWidth="1"/>
    <col min="14" max="14" width="14.140625" bestFit="1" customWidth="1"/>
    <col min="15" max="15" width="15.140625" bestFit="1" customWidth="1"/>
    <col min="16" max="16" width="14.140625" bestFit="1" customWidth="1"/>
    <col min="17" max="17" width="15.140625" bestFit="1" customWidth="1"/>
    <col min="18" max="18" width="14.140625" bestFit="1" customWidth="1"/>
    <col min="19" max="19" width="15.140625" bestFit="1" customWidth="1"/>
    <col min="20" max="20" width="14.140625" bestFit="1" customWidth="1"/>
    <col min="21" max="21" width="15.140625" bestFit="1" customWidth="1"/>
    <col min="22" max="22" width="14.140625" bestFit="1" customWidth="1"/>
    <col min="23" max="23" width="15.140625" bestFit="1" customWidth="1"/>
    <col min="24" max="24" width="14.140625" bestFit="1" customWidth="1"/>
    <col min="25" max="26" width="14.140625" customWidth="1"/>
    <col min="27" max="27" width="15.140625" bestFit="1" customWidth="1"/>
    <col min="28" max="28" width="14.140625" bestFit="1" customWidth="1"/>
    <col min="29" max="29" width="15.140625" bestFit="1" customWidth="1"/>
    <col min="30" max="30" width="14.140625" bestFit="1" customWidth="1"/>
    <col min="32" max="32" width="39.28515625" bestFit="1" customWidth="1"/>
  </cols>
  <sheetData>
    <row r="2" spans="8:34" x14ac:dyDescent="0.25">
      <c r="M2" s="83" t="s">
        <v>117</v>
      </c>
      <c r="N2" s="83"/>
      <c r="O2" s="83" t="s">
        <v>118</v>
      </c>
      <c r="P2" s="83"/>
      <c r="Q2" s="83" t="s">
        <v>119</v>
      </c>
      <c r="R2" s="83"/>
      <c r="S2" s="83" t="s">
        <v>120</v>
      </c>
      <c r="T2" s="83"/>
      <c r="U2" s="83" t="s">
        <v>121</v>
      </c>
      <c r="V2" s="83"/>
      <c r="W2" s="83" t="s">
        <v>122</v>
      </c>
      <c r="X2" s="83"/>
      <c r="Y2" s="83" t="s">
        <v>159</v>
      </c>
      <c r="Z2" s="83"/>
      <c r="AA2" s="83" t="s">
        <v>123</v>
      </c>
      <c r="AB2" s="83"/>
      <c r="AC2" s="83" t="s">
        <v>124</v>
      </c>
      <c r="AD2" s="83"/>
      <c r="AE2" s="78"/>
    </row>
    <row r="3" spans="8:34" x14ac:dyDescent="0.25">
      <c r="M3" t="s">
        <v>125</v>
      </c>
      <c r="N3" t="s">
        <v>126</v>
      </c>
      <c r="O3" t="s">
        <v>125</v>
      </c>
      <c r="P3" t="s">
        <v>126</v>
      </c>
      <c r="Q3" t="s">
        <v>125</v>
      </c>
      <c r="R3" t="s">
        <v>126</v>
      </c>
      <c r="S3" t="s">
        <v>125</v>
      </c>
      <c r="T3" t="s">
        <v>126</v>
      </c>
      <c r="U3" t="s">
        <v>125</v>
      </c>
      <c r="V3" t="s">
        <v>126</v>
      </c>
      <c r="W3" t="s">
        <v>125</v>
      </c>
      <c r="X3" t="s">
        <v>126</v>
      </c>
      <c r="Y3" t="s">
        <v>125</v>
      </c>
      <c r="Z3" t="s">
        <v>126</v>
      </c>
      <c r="AA3" t="s">
        <v>125</v>
      </c>
      <c r="AB3" t="s">
        <v>126</v>
      </c>
      <c r="AC3" t="s">
        <v>125</v>
      </c>
      <c r="AD3" t="s">
        <v>126</v>
      </c>
      <c r="AG3" t="s">
        <v>123</v>
      </c>
      <c r="AH3" t="s">
        <v>127</v>
      </c>
    </row>
    <row r="4" spans="8:34" x14ac:dyDescent="0.25">
      <c r="H4" t="s">
        <v>128</v>
      </c>
      <c r="L4" t="s">
        <v>128</v>
      </c>
      <c r="M4">
        <v>48.361857717732448</v>
      </c>
      <c r="N4">
        <v>48.361857717732448</v>
      </c>
      <c r="O4">
        <v>48.361857717732448</v>
      </c>
      <c r="P4">
        <v>48.361857717732448</v>
      </c>
      <c r="Q4">
        <v>48.361857717732448</v>
      </c>
      <c r="R4">
        <v>48.361857717732448</v>
      </c>
      <c r="S4">
        <v>48.361857717732448</v>
      </c>
      <c r="T4">
        <v>48.361857717732448</v>
      </c>
      <c r="U4">
        <v>48.361857717732448</v>
      </c>
      <c r="V4">
        <v>48.361857717732448</v>
      </c>
      <c r="W4">
        <v>48.361857717732448</v>
      </c>
      <c r="X4">
        <v>48.361857717732448</v>
      </c>
      <c r="Y4">
        <v>48.361857717732448</v>
      </c>
      <c r="Z4">
        <v>48.361857717732448</v>
      </c>
      <c r="AA4">
        <v>48.361857717732448</v>
      </c>
      <c r="AB4">
        <v>48.361857717732448</v>
      </c>
      <c r="AC4">
        <f>M4</f>
        <v>48.361857717732448</v>
      </c>
      <c r="AD4">
        <f>N4</f>
        <v>48.361857717732448</v>
      </c>
      <c r="AF4" t="s">
        <v>128</v>
      </c>
      <c r="AG4">
        <f>AB4</f>
        <v>48.361857717732448</v>
      </c>
      <c r="AH4">
        <f>AD4</f>
        <v>48.361857717732448</v>
      </c>
    </row>
    <row r="5" spans="8:34" x14ac:dyDescent="0.25">
      <c r="H5" t="s">
        <v>129</v>
      </c>
      <c r="L5" t="s">
        <v>129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8.4174279239112533</v>
      </c>
      <c r="AB5">
        <v>8.4174279239112533</v>
      </c>
      <c r="AC5">
        <f>(Outputs!H16/(0.2052))/(Inputs!$P$4*Inputs!$Q$4*Inputs!$R$4)</f>
        <v>13.1094489550325</v>
      </c>
      <c r="AD5">
        <f>(Outputs!H16/(0.2052))/(Inputs!$P$4*Inputs!$Q$4*Inputs!$R$4)</f>
        <v>13.1094489550325</v>
      </c>
      <c r="AF5" t="s">
        <v>129</v>
      </c>
      <c r="AG5">
        <f t="shared" ref="AG5:AG10" si="0">AB5</f>
        <v>8.4174279239112533</v>
      </c>
      <c r="AH5">
        <f t="shared" ref="AH5:AH10" si="1">AD5</f>
        <v>13.1094489550325</v>
      </c>
    </row>
    <row r="6" spans="8:34" x14ac:dyDescent="0.25">
      <c r="H6" t="s">
        <v>130</v>
      </c>
      <c r="L6" t="s">
        <v>130</v>
      </c>
      <c r="M6">
        <v>0.20442814252664682</v>
      </c>
      <c r="N6">
        <v>0.20442814252664682</v>
      </c>
      <c r="O6">
        <v>0.20442814252664682</v>
      </c>
      <c r="P6">
        <v>0.20442814252664682</v>
      </c>
      <c r="Q6">
        <v>0.20442814252664682</v>
      </c>
      <c r="R6">
        <v>0.20442814252664682</v>
      </c>
      <c r="S6">
        <v>0.20442814252664682</v>
      </c>
      <c r="T6">
        <v>0.20442814252664682</v>
      </c>
      <c r="U6">
        <v>0.20442814252664682</v>
      </c>
      <c r="V6">
        <v>0.20442814252664682</v>
      </c>
      <c r="W6">
        <v>0.20442814252664682</v>
      </c>
      <c r="X6">
        <v>0.20442814252664682</v>
      </c>
      <c r="Y6">
        <v>0.20442814252664682</v>
      </c>
      <c r="Z6">
        <v>0.20442814252664682</v>
      </c>
      <c r="AA6">
        <v>0.20442814252664682</v>
      </c>
      <c r="AB6">
        <v>0.20442814252664682</v>
      </c>
      <c r="AC6">
        <f t="shared" ref="AC6:AD10" si="2">M6</f>
        <v>0.20442814252664682</v>
      </c>
      <c r="AD6">
        <f t="shared" si="2"/>
        <v>0.20442814252664682</v>
      </c>
      <c r="AF6" t="s">
        <v>130</v>
      </c>
      <c r="AG6">
        <f t="shared" si="0"/>
        <v>0.20442814252664682</v>
      </c>
      <c r="AH6">
        <f t="shared" si="1"/>
        <v>0.20442814252664682</v>
      </c>
    </row>
    <row r="7" spans="8:34" x14ac:dyDescent="0.25">
      <c r="H7" t="s">
        <v>131</v>
      </c>
      <c r="L7" t="s">
        <v>131</v>
      </c>
      <c r="M7">
        <v>0.62893168690882939</v>
      </c>
      <c r="N7">
        <v>0.62893168690882939</v>
      </c>
      <c r="O7">
        <v>0.62893168690882939</v>
      </c>
      <c r="P7">
        <v>0.62893168690882939</v>
      </c>
      <c r="Q7">
        <v>0.62893168690882939</v>
      </c>
      <c r="R7">
        <v>0.62893168690882939</v>
      </c>
      <c r="S7">
        <v>0.62893168690882939</v>
      </c>
      <c r="T7">
        <v>0.62893168690882939</v>
      </c>
      <c r="U7">
        <v>0.62893168690882939</v>
      </c>
      <c r="V7">
        <v>0.62893168690882939</v>
      </c>
      <c r="W7">
        <v>0.62893168690882939</v>
      </c>
      <c r="X7">
        <v>0.62893168690882939</v>
      </c>
      <c r="Y7">
        <v>0.62893168690882939</v>
      </c>
      <c r="Z7">
        <v>0.62893168690882939</v>
      </c>
      <c r="AA7">
        <v>0.62893168690882939</v>
      </c>
      <c r="AB7">
        <v>0.62893168690882939</v>
      </c>
      <c r="AC7">
        <f t="shared" si="2"/>
        <v>0.62893168690882939</v>
      </c>
      <c r="AD7">
        <f t="shared" si="2"/>
        <v>0.62893168690882939</v>
      </c>
      <c r="AF7" t="s">
        <v>131</v>
      </c>
      <c r="AG7">
        <f t="shared" si="0"/>
        <v>0.62893168690882939</v>
      </c>
      <c r="AH7">
        <f t="shared" si="1"/>
        <v>0.62893168690882939</v>
      </c>
    </row>
    <row r="8" spans="8:34" x14ac:dyDescent="0.25">
      <c r="H8" t="s">
        <v>132</v>
      </c>
      <c r="L8" t="s">
        <v>132</v>
      </c>
      <c r="M8">
        <v>1.2616136795930204</v>
      </c>
      <c r="N8">
        <v>1.2616136795930204</v>
      </c>
      <c r="O8">
        <v>1.2616136795930204</v>
      </c>
      <c r="P8">
        <v>1.2616136795930204</v>
      </c>
      <c r="Q8">
        <v>1.2616136795930204</v>
      </c>
      <c r="R8">
        <v>1.2616136795930204</v>
      </c>
      <c r="S8">
        <v>1.2616136795930204</v>
      </c>
      <c r="T8">
        <v>1.2616136795930204</v>
      </c>
      <c r="U8">
        <v>1.2616136795930204</v>
      </c>
      <c r="V8">
        <v>1.2616136795930204</v>
      </c>
      <c r="W8">
        <v>1.2616136795930204</v>
      </c>
      <c r="X8">
        <v>1.2616136795930204</v>
      </c>
      <c r="Y8">
        <v>1.2616136795930204</v>
      </c>
      <c r="Z8">
        <v>1.2616136795930204</v>
      </c>
      <c r="AA8">
        <v>1.2616136795930204</v>
      </c>
      <c r="AB8">
        <v>1.2616136795930204</v>
      </c>
      <c r="AC8">
        <f t="shared" si="2"/>
        <v>1.2616136795930204</v>
      </c>
      <c r="AD8">
        <f t="shared" si="2"/>
        <v>1.2616136795930204</v>
      </c>
      <c r="AF8" t="s">
        <v>132</v>
      </c>
      <c r="AG8">
        <f t="shared" si="0"/>
        <v>1.2616136795930204</v>
      </c>
      <c r="AH8">
        <f t="shared" si="1"/>
        <v>1.2616136795930204</v>
      </c>
    </row>
    <row r="9" spans="8:34" x14ac:dyDescent="0.25">
      <c r="H9" t="s">
        <v>133</v>
      </c>
      <c r="L9" t="s">
        <v>133</v>
      </c>
      <c r="M9">
        <v>0.44364467743365332</v>
      </c>
      <c r="N9">
        <v>0.44364467743365332</v>
      </c>
      <c r="O9">
        <v>0.44364467743365332</v>
      </c>
      <c r="P9">
        <v>0.44364467743365332</v>
      </c>
      <c r="Q9">
        <v>0.44364467743365332</v>
      </c>
      <c r="R9">
        <v>0.44364467743365332</v>
      </c>
      <c r="S9">
        <v>0.44364467743365332</v>
      </c>
      <c r="T9">
        <v>0.44364467743365332</v>
      </c>
      <c r="U9">
        <v>0.44364467743365332</v>
      </c>
      <c r="V9">
        <v>0.44364467743365332</v>
      </c>
      <c r="W9">
        <v>0.44364467743365332</v>
      </c>
      <c r="X9">
        <v>0.44364467743365332</v>
      </c>
      <c r="Y9">
        <v>0.44364467743365332</v>
      </c>
      <c r="Z9">
        <v>0.44364467743365332</v>
      </c>
      <c r="AA9">
        <v>0.44364467743365332</v>
      </c>
      <c r="AB9">
        <v>0.44364467743365332</v>
      </c>
      <c r="AC9">
        <f t="shared" si="2"/>
        <v>0.44364467743365332</v>
      </c>
      <c r="AD9">
        <f t="shared" si="2"/>
        <v>0.44364467743365332</v>
      </c>
      <c r="AF9" t="s">
        <v>133</v>
      </c>
      <c r="AG9">
        <f t="shared" si="0"/>
        <v>0.44364467743365332</v>
      </c>
      <c r="AH9">
        <f t="shared" si="1"/>
        <v>0.44364467743365332</v>
      </c>
    </row>
    <row r="10" spans="8:34" x14ac:dyDescent="0.25">
      <c r="H10" t="s">
        <v>134</v>
      </c>
      <c r="L10" t="s">
        <v>134</v>
      </c>
      <c r="M10">
        <v>2.8412736570235677</v>
      </c>
      <c r="N10">
        <v>2.8412736570235677</v>
      </c>
      <c r="O10">
        <v>2.8412736570235677</v>
      </c>
      <c r="P10">
        <v>2.8412736570235677</v>
      </c>
      <c r="Q10">
        <v>2.8412736570235677</v>
      </c>
      <c r="R10">
        <v>2.8412736570235677</v>
      </c>
      <c r="S10">
        <v>2.8412736570235677</v>
      </c>
      <c r="T10">
        <v>2.8412736570235677</v>
      </c>
      <c r="U10">
        <v>2.8412736570235677</v>
      </c>
      <c r="V10">
        <v>2.8412736570235677</v>
      </c>
      <c r="W10">
        <v>2.8412736570235677</v>
      </c>
      <c r="X10">
        <v>2.8412736570235677</v>
      </c>
      <c r="Y10">
        <v>2.8412736570235677</v>
      </c>
      <c r="Z10">
        <v>2.8412736570235677</v>
      </c>
      <c r="AA10">
        <v>2.8412736570235677</v>
      </c>
      <c r="AB10">
        <v>2.8412736570235677</v>
      </c>
      <c r="AC10">
        <f t="shared" si="2"/>
        <v>2.8412736570235677</v>
      </c>
      <c r="AD10">
        <f t="shared" si="2"/>
        <v>2.8412736570235677</v>
      </c>
      <c r="AF10" t="s">
        <v>134</v>
      </c>
      <c r="AG10">
        <f t="shared" si="0"/>
        <v>2.8412736570235677</v>
      </c>
      <c r="AH10">
        <f t="shared" si="1"/>
        <v>2.8412736570235677</v>
      </c>
    </row>
    <row r="11" spans="8:34" x14ac:dyDescent="0.25">
      <c r="H11" t="s">
        <v>135</v>
      </c>
      <c r="L11" t="s">
        <v>136</v>
      </c>
      <c r="M11">
        <v>0</v>
      </c>
      <c r="N11">
        <v>0</v>
      </c>
      <c r="O11">
        <v>3.337514924070927</v>
      </c>
      <c r="P11">
        <v>3.337514924070927</v>
      </c>
      <c r="Q11">
        <v>3.337514924070927</v>
      </c>
      <c r="R11">
        <v>3.337514924070927</v>
      </c>
      <c r="S11">
        <v>3.337514924070927</v>
      </c>
      <c r="T11">
        <v>3.337514924070927</v>
      </c>
      <c r="U11">
        <v>3.337514924070927</v>
      </c>
      <c r="V11">
        <v>3.337514924070927</v>
      </c>
      <c r="W11">
        <v>3.337514924070927</v>
      </c>
      <c r="X11">
        <v>3.337514924070927</v>
      </c>
      <c r="Y11">
        <v>3.337514924070927</v>
      </c>
      <c r="Z11">
        <v>3.337514924070927</v>
      </c>
      <c r="AA11">
        <v>3.337514924070927</v>
      </c>
      <c r="AB11">
        <v>3.337514924070927</v>
      </c>
      <c r="AC11">
        <v>0</v>
      </c>
      <c r="AD11">
        <v>0</v>
      </c>
      <c r="AF11" t="s">
        <v>135</v>
      </c>
      <c r="AG11">
        <f>AB11+AB12</f>
        <v>5.9780609445615109</v>
      </c>
      <c r="AH11">
        <f>AD11+AD12</f>
        <v>24.331669999999999</v>
      </c>
    </row>
    <row r="12" spans="8:34" x14ac:dyDescent="0.25">
      <c r="H12" t="s">
        <v>137</v>
      </c>
      <c r="L12" t="s">
        <v>138</v>
      </c>
      <c r="M12">
        <v>0</v>
      </c>
      <c r="N12">
        <v>0</v>
      </c>
      <c r="O12">
        <v>2.640546020490584</v>
      </c>
      <c r="P12">
        <v>2.640546020490584</v>
      </c>
      <c r="Q12">
        <v>2.640546020490584</v>
      </c>
      <c r="R12">
        <v>2.640546020490584</v>
      </c>
      <c r="S12">
        <v>2.640546020490584</v>
      </c>
      <c r="T12">
        <v>2.640546020490584</v>
      </c>
      <c r="U12">
        <v>2.640546020490584</v>
      </c>
      <c r="V12">
        <v>2.640546020490584</v>
      </c>
      <c r="W12">
        <v>2.640546020490584</v>
      </c>
      <c r="X12">
        <v>2.640546020490584</v>
      </c>
      <c r="Y12">
        <v>2.640546020490584</v>
      </c>
      <c r="Z12">
        <v>2.640546020490584</v>
      </c>
      <c r="AA12">
        <v>2.640546020490584</v>
      </c>
      <c r="AB12">
        <v>2.640546020490584</v>
      </c>
      <c r="AC12">
        <v>24.331669999999999</v>
      </c>
      <c r="AD12">
        <v>24.331669999999999</v>
      </c>
      <c r="AF12" t="s">
        <v>137</v>
      </c>
      <c r="AG12">
        <f>AD13</f>
        <v>0</v>
      </c>
      <c r="AH12">
        <f>AD13</f>
        <v>0</v>
      </c>
    </row>
    <row r="13" spans="8:34" x14ac:dyDescent="0.25">
      <c r="H13" t="s">
        <v>139</v>
      </c>
      <c r="L13" t="s">
        <v>137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f t="shared" ref="AC13:AD17" si="3">M13</f>
        <v>0</v>
      </c>
      <c r="AD13">
        <f t="shared" si="3"/>
        <v>0</v>
      </c>
      <c r="AF13" t="s">
        <v>139</v>
      </c>
      <c r="AG13">
        <f t="shared" ref="AG13:AG26" si="4">AB14</f>
        <v>2.3175774915595997</v>
      </c>
      <c r="AH13">
        <f t="shared" ref="AH13:AH26" si="5">AD14</f>
        <v>2.3175774915595997</v>
      </c>
    </row>
    <row r="14" spans="8:34" x14ac:dyDescent="0.25">
      <c r="H14" t="s">
        <v>140</v>
      </c>
      <c r="L14" t="s">
        <v>139</v>
      </c>
      <c r="M14">
        <v>2.3175774915595997</v>
      </c>
      <c r="N14">
        <v>2.3175774915595997</v>
      </c>
      <c r="O14">
        <v>2.3175774915595997</v>
      </c>
      <c r="P14">
        <v>2.3175774915595997</v>
      </c>
      <c r="Q14">
        <v>2.3175774915595997</v>
      </c>
      <c r="R14">
        <v>2.3175774915595997</v>
      </c>
      <c r="S14">
        <v>2.3175774915595997</v>
      </c>
      <c r="T14">
        <v>2.3175774915595997</v>
      </c>
      <c r="U14">
        <v>2.3175774915595997</v>
      </c>
      <c r="V14">
        <v>2.3175774915595997</v>
      </c>
      <c r="W14">
        <v>2.3175774915595997</v>
      </c>
      <c r="X14">
        <v>2.3175774915595997</v>
      </c>
      <c r="Y14">
        <v>2.3175774915595997</v>
      </c>
      <c r="Z14">
        <v>2.3175774915595997</v>
      </c>
      <c r="AA14">
        <v>2.3175774915595997</v>
      </c>
      <c r="AB14">
        <v>2.3175774915595997</v>
      </c>
      <c r="AC14">
        <f t="shared" si="3"/>
        <v>2.3175774915595997</v>
      </c>
      <c r="AD14">
        <f t="shared" si="3"/>
        <v>2.3175774915595997</v>
      </c>
      <c r="AF14" t="s">
        <v>140</v>
      </c>
      <c r="AG14">
        <f t="shared" si="4"/>
        <v>7.6189144614269706</v>
      </c>
      <c r="AH14">
        <f t="shared" si="5"/>
        <v>7.6189144614269706</v>
      </c>
    </row>
    <row r="15" spans="8:34" x14ac:dyDescent="0.25">
      <c r="H15" t="s">
        <v>141</v>
      </c>
      <c r="L15" t="s">
        <v>140</v>
      </c>
      <c r="M15">
        <v>7.6189144614269706</v>
      </c>
      <c r="N15">
        <v>7.6189144614269706</v>
      </c>
      <c r="O15">
        <v>7.6189144614269706</v>
      </c>
      <c r="P15">
        <v>7.6189144614269706</v>
      </c>
      <c r="Q15">
        <v>7.6189144614269706</v>
      </c>
      <c r="R15">
        <v>7.6189144614269706</v>
      </c>
      <c r="S15">
        <v>7.6189144614269706</v>
      </c>
      <c r="T15">
        <v>7.6189144614269706</v>
      </c>
      <c r="U15">
        <v>7.6189144614269706</v>
      </c>
      <c r="V15">
        <v>7.6189144614269706</v>
      </c>
      <c r="W15">
        <v>7.6189144614269706</v>
      </c>
      <c r="X15">
        <v>7.6189144614269706</v>
      </c>
      <c r="Y15">
        <v>7.6189144614269706</v>
      </c>
      <c r="Z15">
        <v>7.6189144614269706</v>
      </c>
      <c r="AA15">
        <v>7.6189144614269706</v>
      </c>
      <c r="AB15">
        <v>7.6189144614269706</v>
      </c>
      <c r="AC15">
        <f t="shared" si="3"/>
        <v>7.6189144614269706</v>
      </c>
      <c r="AD15">
        <f t="shared" si="3"/>
        <v>7.6189144614269706</v>
      </c>
      <c r="AF15" t="s">
        <v>141</v>
      </c>
      <c r="AG15">
        <f t="shared" si="4"/>
        <v>4.3382744175765788</v>
      </c>
      <c r="AH15">
        <f t="shared" si="5"/>
        <v>4.3382744175765788</v>
      </c>
    </row>
    <row r="16" spans="8:34" x14ac:dyDescent="0.25">
      <c r="H16" t="s">
        <v>142</v>
      </c>
      <c r="L16" t="s">
        <v>141</v>
      </c>
      <c r="M16">
        <v>4.3382744175765788</v>
      </c>
      <c r="N16">
        <v>4.3382744175765788</v>
      </c>
      <c r="O16">
        <v>4.3382744175765788</v>
      </c>
      <c r="P16">
        <v>4.3382744175765788</v>
      </c>
      <c r="Q16">
        <v>4.3382744175765788</v>
      </c>
      <c r="R16">
        <v>4.3382744175765788</v>
      </c>
      <c r="S16">
        <v>4.3382744175765788</v>
      </c>
      <c r="T16">
        <v>4.3382744175765788</v>
      </c>
      <c r="U16">
        <v>4.3382744175765788</v>
      </c>
      <c r="V16">
        <v>4.3382744175765788</v>
      </c>
      <c r="W16">
        <v>4.3382744175765788</v>
      </c>
      <c r="X16">
        <v>4.3382744175765788</v>
      </c>
      <c r="Y16">
        <v>4.3382744175765788</v>
      </c>
      <c r="Z16">
        <v>4.3382744175765788</v>
      </c>
      <c r="AA16">
        <v>4.3382744175765788</v>
      </c>
      <c r="AB16">
        <v>4.3382744175765788</v>
      </c>
      <c r="AC16">
        <f t="shared" si="3"/>
        <v>4.3382744175765788</v>
      </c>
      <c r="AD16">
        <f t="shared" si="3"/>
        <v>4.3382744175765788</v>
      </c>
      <c r="AF16" t="s">
        <v>142</v>
      </c>
      <c r="AG16">
        <f t="shared" si="4"/>
        <v>3.5747059344023699</v>
      </c>
      <c r="AH16">
        <f t="shared" si="5"/>
        <v>3.5747059344023699</v>
      </c>
    </row>
    <row r="17" spans="8:34" x14ac:dyDescent="0.25">
      <c r="H17" t="s">
        <v>143</v>
      </c>
      <c r="L17" t="s">
        <v>142</v>
      </c>
      <c r="M17">
        <v>3.5747059344023699</v>
      </c>
      <c r="N17">
        <v>3.5747059344023699</v>
      </c>
      <c r="O17">
        <v>3.5747059344023699</v>
      </c>
      <c r="P17">
        <v>3.5747059344023699</v>
      </c>
      <c r="Q17">
        <v>3.5747059344023699</v>
      </c>
      <c r="R17">
        <v>3.5747059344023699</v>
      </c>
      <c r="S17">
        <v>3.5747059344023699</v>
      </c>
      <c r="T17">
        <v>3.5747059344023699</v>
      </c>
      <c r="U17">
        <v>3.5747059344023699</v>
      </c>
      <c r="V17">
        <v>3.5747059344023699</v>
      </c>
      <c r="W17">
        <v>3.5747059344023699</v>
      </c>
      <c r="X17">
        <v>3.5747059344023699</v>
      </c>
      <c r="Y17">
        <v>3.5747059344023699</v>
      </c>
      <c r="Z17">
        <v>3.5747059344023699</v>
      </c>
      <c r="AA17">
        <v>3.5747059344023699</v>
      </c>
      <c r="AB17">
        <v>3.5747059344023699</v>
      </c>
      <c r="AC17">
        <f t="shared" si="3"/>
        <v>3.5747059344023699</v>
      </c>
      <c r="AD17">
        <f t="shared" si="3"/>
        <v>3.5747059344023699</v>
      </c>
      <c r="AF17" t="s">
        <v>143</v>
      </c>
      <c r="AG17">
        <f t="shared" si="4"/>
        <v>85.986710734656441</v>
      </c>
      <c r="AH17">
        <f t="shared" si="5"/>
        <v>109.0323408212162</v>
      </c>
    </row>
    <row r="18" spans="8:34" x14ac:dyDescent="0.25">
      <c r="H18" t="s">
        <v>144</v>
      </c>
      <c r="L18" t="s">
        <v>143</v>
      </c>
      <c r="M18">
        <f>SUM(M4:M17)</f>
        <v>71.591221866183687</v>
      </c>
      <c r="N18">
        <f>SUM(N4:N17)</f>
        <v>71.591221866183687</v>
      </c>
      <c r="O18">
        <v>77.569282810745193</v>
      </c>
      <c r="P18">
        <v>77.569282810745193</v>
      </c>
      <c r="Q18">
        <v>77.569282810745193</v>
      </c>
      <c r="R18">
        <v>77.569282810745193</v>
      </c>
      <c r="S18">
        <v>77.569282810745193</v>
      </c>
      <c r="T18">
        <v>77.569282810745193</v>
      </c>
      <c r="U18">
        <v>77.569282810745193</v>
      </c>
      <c r="V18">
        <v>77.569282810745193</v>
      </c>
      <c r="W18">
        <v>77.569282810745193</v>
      </c>
      <c r="X18">
        <v>77.569282810745193</v>
      </c>
      <c r="Y18">
        <v>77.569282810745193</v>
      </c>
      <c r="Z18">
        <v>77.569282810745193</v>
      </c>
      <c r="AA18">
        <v>85.986710734656441</v>
      </c>
      <c r="AB18">
        <v>85.986710734656441</v>
      </c>
      <c r="AC18">
        <f>SUM(AC4:AC17)</f>
        <v>109.0323408212162</v>
      </c>
      <c r="AD18">
        <f>SUM(AD4:AD17)</f>
        <v>109.0323408212162</v>
      </c>
      <c r="AF18" t="s">
        <v>144</v>
      </c>
      <c r="AG18">
        <f t="shared" si="4"/>
        <v>1.8173344620708889</v>
      </c>
      <c r="AH18">
        <f t="shared" si="5"/>
        <v>3.642846514398959</v>
      </c>
    </row>
    <row r="19" spans="8:34" x14ac:dyDescent="0.25">
      <c r="H19" t="s">
        <v>145</v>
      </c>
      <c r="L19" t="s">
        <v>144</v>
      </c>
      <c r="M19">
        <v>1.5560659922964786</v>
      </c>
      <c r="N19">
        <v>1.5560659922964786</v>
      </c>
      <c r="O19">
        <v>1.5560659922964786</v>
      </c>
      <c r="P19">
        <v>1.5560659922964786</v>
      </c>
      <c r="Q19">
        <v>1.5560659922964786</v>
      </c>
      <c r="R19">
        <v>1.5560659922964786</v>
      </c>
      <c r="S19">
        <v>1.6507271183882812</v>
      </c>
      <c r="T19">
        <v>1.6507271183882812</v>
      </c>
      <c r="U19">
        <v>1.6639796760411341</v>
      </c>
      <c r="V19">
        <v>1.6639796760411341</v>
      </c>
      <c r="W19">
        <v>1.684047834772596</v>
      </c>
      <c r="X19">
        <v>1.684047834772596</v>
      </c>
      <c r="Y19">
        <v>1.6639796760411341</v>
      </c>
      <c r="Z19">
        <v>1.6639796760411341</v>
      </c>
      <c r="AA19">
        <v>1.8173344620708889</v>
      </c>
      <c r="AB19">
        <v>1.8173344620708889</v>
      </c>
      <c r="AC19">
        <f>Y19+((Outputs!H17/0.205)/Inputs!P4*Inputs!Q4*Inputs!R4)</f>
        <v>3.642846514398959</v>
      </c>
      <c r="AD19">
        <f>Z19+((Outputs!H17/0.205)/Inputs!P4*Inputs!Q4*Inputs!R4)</f>
        <v>3.642846514398959</v>
      </c>
      <c r="AF19" t="s">
        <v>145</v>
      </c>
      <c r="AG19">
        <f t="shared" si="4"/>
        <v>7.6198025563780858</v>
      </c>
      <c r="AH19">
        <f t="shared" si="5"/>
        <v>11.31407796341775</v>
      </c>
    </row>
    <row r="20" spans="8:34" x14ac:dyDescent="0.25">
      <c r="H20" t="s">
        <v>146</v>
      </c>
      <c r="L20" t="s">
        <v>145</v>
      </c>
      <c r="M20">
        <v>7.1631171800840931</v>
      </c>
      <c r="N20">
        <v>7.1631171800840931</v>
      </c>
      <c r="O20">
        <v>7.1631171800840931</v>
      </c>
      <c r="P20">
        <v>7.1631171800840931</v>
      </c>
      <c r="Q20">
        <v>7.1631171800840931</v>
      </c>
      <c r="R20">
        <v>7.1631171800840931</v>
      </c>
      <c r="S20">
        <v>7.2002873909707681</v>
      </c>
      <c r="T20">
        <v>7.2002873909707681</v>
      </c>
      <c r="U20">
        <v>7.2529532698346442</v>
      </c>
      <c r="V20">
        <v>7.2529532698346442</v>
      </c>
      <c r="W20">
        <v>7.2606054713071151</v>
      </c>
      <c r="X20">
        <v>7.2606054713071151</v>
      </c>
      <c r="Y20">
        <v>7.2529532698346442</v>
      </c>
      <c r="Z20">
        <v>7.2529532698346442</v>
      </c>
      <c r="AA20">
        <v>7.6198025563780858</v>
      </c>
      <c r="AB20">
        <v>7.6198025563780858</v>
      </c>
      <c r="AC20">
        <f>Y20+((Outputs!H14/0.2052)/(Inputs!P4*Inputs!Q4*Inputs!R4))</f>
        <v>11.31407796341775</v>
      </c>
      <c r="AD20">
        <f>Z20+((Outputs!H14/0.2052)/(Inputs!P4*Inputs!Q4*Inputs!R4))</f>
        <v>11.31407796341775</v>
      </c>
      <c r="AF20" t="s">
        <v>146</v>
      </c>
      <c r="AG20">
        <f t="shared" si="4"/>
        <v>2.4816158793368879</v>
      </c>
      <c r="AH20">
        <f t="shared" si="5"/>
        <v>2.8020100603824685</v>
      </c>
    </row>
    <row r="21" spans="8:34" x14ac:dyDescent="0.25">
      <c r="H21" t="s">
        <v>147</v>
      </c>
      <c r="L21" t="s">
        <v>146</v>
      </c>
      <c r="M21">
        <v>2.2532760989818925</v>
      </c>
      <c r="N21">
        <v>2.2532760989818925</v>
      </c>
      <c r="O21">
        <v>2.2532760989818925</v>
      </c>
      <c r="P21">
        <v>2.2532760989818925</v>
      </c>
      <c r="Q21">
        <v>2.2623775413068721</v>
      </c>
      <c r="R21">
        <v>2.2623775413068721</v>
      </c>
      <c r="S21">
        <v>2.3008525211765871</v>
      </c>
      <c r="T21">
        <v>2.3008525211765871</v>
      </c>
      <c r="U21">
        <v>2.3112787674235564</v>
      </c>
      <c r="V21">
        <v>2.3112787674235564</v>
      </c>
      <c r="W21">
        <v>2.3265922540435424</v>
      </c>
      <c r="X21">
        <v>2.3265922540435424</v>
      </c>
      <c r="Y21">
        <v>2.3203802097485355</v>
      </c>
      <c r="Z21">
        <v>2.3203802097485355</v>
      </c>
      <c r="AA21">
        <v>2.4816158793368879</v>
      </c>
      <c r="AB21">
        <v>2.4816158793368879</v>
      </c>
      <c r="AC21">
        <f>Y21+((Outputs!H22/0.2052)/(Inputs!P4*Inputs!Q4*Inputs!R4))</f>
        <v>2.8020100603824685</v>
      </c>
      <c r="AD21">
        <f>Z21+((Outputs!H22/0.2052)/(Inputs!P4*Inputs!Q4*Inputs!R4))</f>
        <v>2.8020100603824685</v>
      </c>
      <c r="AF21" t="s">
        <v>147</v>
      </c>
      <c r="AG21">
        <f t="shared" si="4"/>
        <v>6.4336235007769007</v>
      </c>
      <c r="AH21">
        <f t="shared" si="5"/>
        <v>8.7592490599724186</v>
      </c>
    </row>
    <row r="22" spans="8:34" x14ac:dyDescent="0.25">
      <c r="H22" t="s">
        <v>148</v>
      </c>
      <c r="L22" t="s">
        <v>147</v>
      </c>
      <c r="M22">
        <v>5.9219857330708008</v>
      </c>
      <c r="N22">
        <v>5.9219857330708008</v>
      </c>
      <c r="O22">
        <v>5.9219857330708008</v>
      </c>
      <c r="P22">
        <v>5.9219857330708008</v>
      </c>
      <c r="Q22">
        <v>5.9417714772555392</v>
      </c>
      <c r="R22">
        <v>5.9417714772555392</v>
      </c>
      <c r="S22">
        <v>5.9569272734035481</v>
      </c>
      <c r="T22">
        <v>5.9569272734035481</v>
      </c>
      <c r="U22">
        <v>5.9754923565515101</v>
      </c>
      <c r="V22">
        <v>5.9754923565515101</v>
      </c>
      <c r="W22">
        <v>6.0018374777934733</v>
      </c>
      <c r="X22">
        <v>6.0018374777934733</v>
      </c>
      <c r="Y22">
        <v>5.9952781007362486</v>
      </c>
      <c r="Z22">
        <v>5.9952781007362486</v>
      </c>
      <c r="AA22">
        <v>6.4336235007769007</v>
      </c>
      <c r="AB22">
        <v>6.4336235007769007</v>
      </c>
      <c r="AC22">
        <f>Y22+((Outputs!H24/0.2052)/(Inputs!P4*Inputs!Q4*Inputs!R4))</f>
        <v>8.7592490599724186</v>
      </c>
      <c r="AD22">
        <f>Z22+((Outputs!H24/0.2052)/(Inputs!P4*Inputs!Q4*Inputs!R4))</f>
        <v>8.7592490599724186</v>
      </c>
      <c r="AF22" t="s">
        <v>148</v>
      </c>
      <c r="AG22">
        <f t="shared" si="4"/>
        <v>1.7327433707926436</v>
      </c>
      <c r="AH22">
        <f t="shared" si="5"/>
        <v>1.9530504189889917</v>
      </c>
    </row>
    <row r="23" spans="8:34" x14ac:dyDescent="0.25">
      <c r="H23" t="s">
        <v>149</v>
      </c>
      <c r="L23" t="s">
        <v>148</v>
      </c>
      <c r="M23">
        <v>1.5639041610933306</v>
      </c>
      <c r="N23">
        <v>1.5639041610933306</v>
      </c>
      <c r="O23">
        <v>1.5639041610933306</v>
      </c>
      <c r="P23">
        <v>1.5639041610933306</v>
      </c>
      <c r="Q23">
        <v>1.5695925625464429</v>
      </c>
      <c r="R23">
        <v>1.5695925625464429</v>
      </c>
      <c r="S23">
        <v>1.6031055375741949</v>
      </c>
      <c r="T23">
        <v>1.6031055375741949</v>
      </c>
      <c r="U23">
        <v>1.6109471972438363</v>
      </c>
      <c r="V23">
        <v>1.6109471972438363</v>
      </c>
      <c r="W23">
        <v>1.6225249422544739</v>
      </c>
      <c r="X23">
        <v>1.6225249422544739</v>
      </c>
      <c r="Y23">
        <v>1.6166355986969483</v>
      </c>
      <c r="Z23">
        <v>1.6166355986969483</v>
      </c>
      <c r="AA23">
        <v>1.7327433707926436</v>
      </c>
      <c r="AB23">
        <v>1.7327433707926436</v>
      </c>
      <c r="AC23">
        <f>Y23+((Outputs!H21/0.2052)/(Inputs!P4*Inputs!Q4*Inputs!R4))</f>
        <v>1.9530504189889917</v>
      </c>
      <c r="AD23">
        <f>Z23+((Outputs!H21/0.2052)/(Inputs!P4*Inputs!Q4*Inputs!R4))</f>
        <v>1.9530504189889917</v>
      </c>
      <c r="AF23" t="s">
        <v>149</v>
      </c>
      <c r="AG23">
        <f t="shared" si="4"/>
        <v>2.2517682252719151</v>
      </c>
      <c r="AH23">
        <f t="shared" si="5"/>
        <v>2.4347621555497305</v>
      </c>
    </row>
    <row r="24" spans="8:34" x14ac:dyDescent="0.25">
      <c r="H24" t="s">
        <v>150</v>
      </c>
      <c r="L24" t="s">
        <v>149</v>
      </c>
      <c r="M24">
        <v>2.0726950065747802</v>
      </c>
      <c r="N24">
        <v>2.0726950065747802</v>
      </c>
      <c r="O24">
        <v>2.0726950065747802</v>
      </c>
      <c r="P24">
        <v>2.0726950065747802</v>
      </c>
      <c r="Q24">
        <v>2.0796200170394386</v>
      </c>
      <c r="R24">
        <v>2.0796200170394386</v>
      </c>
      <c r="S24">
        <v>2.084924545691242</v>
      </c>
      <c r="T24">
        <v>2.084924545691242</v>
      </c>
      <c r="U24">
        <v>2.0914223247930281</v>
      </c>
      <c r="V24">
        <v>2.0914223247930281</v>
      </c>
      <c r="W24">
        <v>2.1006431172277154</v>
      </c>
      <c r="X24">
        <v>2.1006431172277154</v>
      </c>
      <c r="Y24">
        <v>2.0983473352576869</v>
      </c>
      <c r="Z24">
        <v>2.0983473352576869</v>
      </c>
      <c r="AA24">
        <v>2.2517682252719151</v>
      </c>
      <c r="AB24">
        <v>2.2517682252719151</v>
      </c>
      <c r="AC24">
        <f>Y24+((Outputs!H21/0.2052)/(Inputs!P4*Inputs!Q4*Inputs!R4))</f>
        <v>2.4347621555497305</v>
      </c>
      <c r="AD24">
        <f>Z24+((Outputs!H21/0.2052)/(Inputs!P4*Inputs!Q4*Inputs!R4))</f>
        <v>2.4347621555497305</v>
      </c>
      <c r="AF24" t="s">
        <v>151</v>
      </c>
      <c r="AG24">
        <f t="shared" si="4"/>
        <v>5.3955567548402188</v>
      </c>
      <c r="AH24">
        <f t="shared" si="5"/>
        <v>5.6055459157268785</v>
      </c>
    </row>
    <row r="25" spans="8:34" x14ac:dyDescent="0.25">
      <c r="H25" t="s">
        <v>152</v>
      </c>
      <c r="L25" t="s">
        <v>151</v>
      </c>
      <c r="M25">
        <v>0.74849592362366013</v>
      </c>
      <c r="N25">
        <v>4.9899728241577357</v>
      </c>
      <c r="O25">
        <v>0.74849592362366013</v>
      </c>
      <c r="P25">
        <v>4.9899728241577357</v>
      </c>
      <c r="Q25">
        <v>0.75192602969988698</v>
      </c>
      <c r="R25">
        <v>5.012840197999247</v>
      </c>
      <c r="S25">
        <v>0.75247430258135006</v>
      </c>
      <c r="T25">
        <v>5.0164953505423338</v>
      </c>
      <c r="U25">
        <v>0.7545394075562174</v>
      </c>
      <c r="V25">
        <v>5.0302627170414498</v>
      </c>
      <c r="W25">
        <v>0.75735242969178784</v>
      </c>
      <c r="X25">
        <v>5.0490161979452521</v>
      </c>
      <c r="Y25">
        <v>0.75796951363244414</v>
      </c>
      <c r="Z25">
        <v>5.0531300908829619</v>
      </c>
      <c r="AA25">
        <v>0.80933351322603275</v>
      </c>
      <c r="AB25">
        <v>5.3955567548402188</v>
      </c>
      <c r="AC25">
        <f>Y25+((0.0147123264850849/0.2052)/(Inputs!P4*Inputs!Q4*Inputs!R4))</f>
        <v>0.84083188735903169</v>
      </c>
      <c r="AD25">
        <f>Z25+((Outputs!H23/0.2052)/(Inputs!P4*Inputs!Q4*Inputs!R4))</f>
        <v>5.6055459157268785</v>
      </c>
      <c r="AF25" t="s">
        <v>150</v>
      </c>
      <c r="AG25">
        <f t="shared" si="4"/>
        <v>5.3955567548402188</v>
      </c>
      <c r="AH25">
        <f t="shared" si="5"/>
        <v>5.3955567548402188</v>
      </c>
    </row>
    <row r="26" spans="8:34" x14ac:dyDescent="0.25">
      <c r="H26" t="s">
        <v>153</v>
      </c>
      <c r="L26" t="s">
        <v>150</v>
      </c>
      <c r="M26">
        <v>4.9899728241577357</v>
      </c>
      <c r="N26">
        <v>4.9899728241577357</v>
      </c>
      <c r="O26">
        <v>4.9899728241577357</v>
      </c>
      <c r="P26">
        <v>4.9899728241577357</v>
      </c>
      <c r="Q26">
        <v>5.012840197999247</v>
      </c>
      <c r="R26">
        <v>5.012840197999247</v>
      </c>
      <c r="S26">
        <v>5.0164953505423338</v>
      </c>
      <c r="T26">
        <v>5.0164953505423338</v>
      </c>
      <c r="U26">
        <v>5.0302627170414507</v>
      </c>
      <c r="V26">
        <v>5.0302627170414507</v>
      </c>
      <c r="W26">
        <v>5.049016197945253</v>
      </c>
      <c r="X26">
        <v>5.049016197945253</v>
      </c>
      <c r="Y26">
        <v>5.0531300908829619</v>
      </c>
      <c r="Z26">
        <v>5.0531300908829619</v>
      </c>
      <c r="AA26">
        <v>5.3955567548402188</v>
      </c>
      <c r="AB26">
        <v>5.3955567548402188</v>
      </c>
      <c r="AC26">
        <v>5.3955567548402188</v>
      </c>
      <c r="AD26">
        <v>5.3955567548402188</v>
      </c>
      <c r="AF26" t="s">
        <v>152</v>
      </c>
      <c r="AG26">
        <f t="shared" si="4"/>
        <v>6.6704238853819957</v>
      </c>
      <c r="AH26">
        <f t="shared" si="5"/>
        <v>6.6704238853819957</v>
      </c>
    </row>
    <row r="27" spans="8:34" x14ac:dyDescent="0.25">
      <c r="L27" t="s">
        <v>152</v>
      </c>
      <c r="M27">
        <v>5.8149725609151668</v>
      </c>
      <c r="N27">
        <v>6.0524952673450754</v>
      </c>
      <c r="O27">
        <v>5.8149725609151668</v>
      </c>
      <c r="P27">
        <v>6.0524952673450754</v>
      </c>
      <c r="Q27">
        <v>5.8187692533024986</v>
      </c>
      <c r="R27">
        <v>6.0573804467272634</v>
      </c>
      <c r="S27">
        <v>5.8315643036601159</v>
      </c>
      <c r="T27">
        <v>6.0703494823459296</v>
      </c>
      <c r="U27">
        <v>5.8385688775249101</v>
      </c>
      <c r="V27">
        <v>6.0780093828560835</v>
      </c>
      <c r="W27">
        <v>5.8448265420037435</v>
      </c>
      <c r="X27">
        <v>6.0851597130259378</v>
      </c>
      <c r="Y27">
        <v>5.8423655699122437</v>
      </c>
      <c r="Z27">
        <v>6.0828945622382715</v>
      </c>
      <c r="AA27">
        <v>6.4135953838516029</v>
      </c>
      <c r="AB27">
        <v>6.6704238853819957</v>
      </c>
      <c r="AC27">
        <v>6.4135953838516029</v>
      </c>
      <c r="AD27">
        <v>6.6704238853819957</v>
      </c>
      <c r="AF27" t="s">
        <v>153</v>
      </c>
      <c r="AG27">
        <f>SUM(AG4:AG26)-AG17</f>
        <v>125.7851361243462</v>
      </c>
      <c r="AH27">
        <f>SUM(AH4:AH26)-AH17</f>
        <v>157.6098635498756</v>
      </c>
    </row>
    <row r="28" spans="8:34" x14ac:dyDescent="0.25">
      <c r="L28" t="s">
        <v>153</v>
      </c>
      <c r="M28">
        <f>SUM(M4:M27)-M18</f>
        <v>103.67570734698167</v>
      </c>
      <c r="N28">
        <f>SUM(N4:N27)-N18</f>
        <v>108.15470695394565</v>
      </c>
      <c r="O28">
        <v>109.65376829154313</v>
      </c>
      <c r="P28">
        <v>114.13276789850711</v>
      </c>
      <c r="Q28">
        <v>109.72536306227568</v>
      </c>
      <c r="R28">
        <v>114.2248884239998</v>
      </c>
      <c r="S28">
        <v>109.96664115473362</v>
      </c>
      <c r="T28">
        <v>114.46944738138042</v>
      </c>
      <c r="U28">
        <v>110.09872740475546</v>
      </c>
      <c r="V28">
        <v>114.61389121957187</v>
      </c>
      <c r="W28">
        <v>110.21672907778488</v>
      </c>
      <c r="X28">
        <v>114.74872601706055</v>
      </c>
      <c r="Y28">
        <v>110.17032217548805</v>
      </c>
      <c r="Z28">
        <v>114.7060117450646</v>
      </c>
      <c r="AA28">
        <v>120.94208438120164</v>
      </c>
      <c r="AB28">
        <v>125.78513612434621</v>
      </c>
      <c r="AC28">
        <f>SUM(AC4:AC27)-AC18</f>
        <v>152.58832101997737</v>
      </c>
      <c r="AD28">
        <f>SUM(AD4:AD27)-AD18</f>
        <v>157.6098635498756</v>
      </c>
    </row>
    <row r="30" spans="8:34" x14ac:dyDescent="0.25">
      <c r="M30" s="83" t="s">
        <v>154</v>
      </c>
      <c r="N30" s="83"/>
      <c r="AG30">
        <f>SUM(AG4:AG16)</f>
        <v>85.986710734656455</v>
      </c>
      <c r="AH30">
        <f>SUM(AH4:AH16)</f>
        <v>109.0323408212162</v>
      </c>
    </row>
    <row r="31" spans="8:34" x14ac:dyDescent="0.25">
      <c r="M31" t="s">
        <v>125</v>
      </c>
      <c r="N31" t="s">
        <v>126</v>
      </c>
      <c r="AG31">
        <f>AG30-SUM(AG13:AG16)</f>
        <v>68.137238429690939</v>
      </c>
      <c r="AH31">
        <f>AH30-SUM(AH13:AH16)</f>
        <v>91.182868516250679</v>
      </c>
    </row>
    <row r="32" spans="8:34" x14ac:dyDescent="0.25">
      <c r="L32" t="s">
        <v>155</v>
      </c>
      <c r="M32" s="5">
        <f>S28-O28</f>
        <v>0.31287286319049201</v>
      </c>
      <c r="N32" s="5">
        <f>T28-P28</f>
        <v>0.33667948287330773</v>
      </c>
      <c r="AG32">
        <f>SUM(AG13:AG16)</f>
        <v>17.84947230496552</v>
      </c>
      <c r="AH32">
        <f>SUM(AH13:AH16)</f>
        <v>17.84947230496552</v>
      </c>
    </row>
    <row r="33" spans="12:34" x14ac:dyDescent="0.25">
      <c r="L33" t="s">
        <v>156</v>
      </c>
      <c r="M33" s="5">
        <f>U28-S28</f>
        <v>0.13208625002184249</v>
      </c>
      <c r="N33" s="5">
        <f>V28-T28</f>
        <v>0.14444383819144946</v>
      </c>
      <c r="AG33">
        <f>AG32-AG16</f>
        <v>14.27476637056315</v>
      </c>
      <c r="AH33">
        <f>AH32-AH16</f>
        <v>14.27476637056315</v>
      </c>
    </row>
    <row r="34" spans="12:34" x14ac:dyDescent="0.25">
      <c r="L34" t="s">
        <v>157</v>
      </c>
      <c r="M34" s="5">
        <f>W28-U28</f>
        <v>0.11800167302941134</v>
      </c>
      <c r="N34" s="5">
        <f>X28-V28</f>
        <v>0.13483479748867921</v>
      </c>
    </row>
    <row r="35" spans="12:34" x14ac:dyDescent="0.25">
      <c r="L35" t="s">
        <v>158</v>
      </c>
      <c r="M35" s="5">
        <f>Q28-O28</f>
        <v>7.1594770732545499E-2</v>
      </c>
      <c r="N35" s="5">
        <f>R28-P28</f>
        <v>9.2120525492688898E-2</v>
      </c>
    </row>
    <row r="36" spans="12:34" x14ac:dyDescent="0.25">
      <c r="L36" t="s">
        <v>162</v>
      </c>
      <c r="M36" s="81">
        <f>AA28-O28</f>
        <v>11.288316089658508</v>
      </c>
      <c r="N36" s="81">
        <f>AB28-P28</f>
        <v>11.652368225839098</v>
      </c>
    </row>
  </sheetData>
  <mergeCells count="10">
    <mergeCell ref="AA2:AB2"/>
    <mergeCell ref="AC2:AD2"/>
    <mergeCell ref="M30:N30"/>
    <mergeCell ref="Y2:Z2"/>
    <mergeCell ref="M2:N2"/>
    <mergeCell ref="O2:P2"/>
    <mergeCell ref="Q2:R2"/>
    <mergeCell ref="S2:T2"/>
    <mergeCell ref="U2:V2"/>
    <mergeCell ref="W2:X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063D-8D93-4B73-9DD9-478E02BF7943}">
  <sheetPr>
    <tabColor theme="1"/>
  </sheetPr>
  <dimension ref="A1:N56"/>
  <sheetViews>
    <sheetView zoomScaleNormal="100" workbookViewId="0">
      <selection activeCell="J21" sqref="J21"/>
    </sheetView>
  </sheetViews>
  <sheetFormatPr defaultColWidth="9.140625" defaultRowHeight="15" x14ac:dyDescent="0.25"/>
  <cols>
    <col min="1" max="1" width="28" style="25" customWidth="1"/>
    <col min="2" max="2" width="10.5703125" style="25" bestFit="1" customWidth="1"/>
    <col min="3" max="3" width="11.28515625" style="25" bestFit="1" customWidth="1"/>
    <col min="4" max="4" width="26.140625" style="25" bestFit="1" customWidth="1"/>
    <col min="5" max="5" width="11.5703125" style="25" bestFit="1" customWidth="1"/>
    <col min="6" max="6" width="40.5703125" style="25" bestFit="1" customWidth="1"/>
    <col min="7" max="7" width="21.42578125" style="25" bestFit="1" customWidth="1"/>
    <col min="8" max="8" width="27.140625" style="25" bestFit="1" customWidth="1"/>
    <col min="9" max="9" width="23" style="25" customWidth="1"/>
    <col min="10" max="10" width="34.42578125" style="25" bestFit="1" customWidth="1"/>
    <col min="11" max="11" width="14.28515625" style="25" bestFit="1" customWidth="1"/>
    <col min="12" max="16384" width="9.140625" style="25"/>
  </cols>
  <sheetData>
    <row r="1" spans="1:14" x14ac:dyDescent="0.25">
      <c r="A1" s="26"/>
      <c r="B1" s="99" t="s">
        <v>75</v>
      </c>
      <c r="C1" s="99"/>
      <c r="D1" s="25" t="s">
        <v>76</v>
      </c>
      <c r="F1" s="50" t="s">
        <v>1</v>
      </c>
      <c r="G1" s="68">
        <v>0.53400000000000003</v>
      </c>
      <c r="H1" s="68" t="s">
        <v>2</v>
      </c>
    </row>
    <row r="2" spans="1:14" x14ac:dyDescent="0.25">
      <c r="A2" s="26" t="s">
        <v>101</v>
      </c>
      <c r="B2" s="100">
        <f>($F$3/1000)*(100/99.5)</f>
        <v>2.2110552763819093E-2</v>
      </c>
      <c r="C2" s="101"/>
      <c r="D2" s="69">
        <f>($F$3/1000)*(100/99.5)</f>
        <v>2.2110552763819093E-2</v>
      </c>
      <c r="F2" s="25" t="s">
        <v>102</v>
      </c>
      <c r="G2" s="25" t="s">
        <v>73</v>
      </c>
      <c r="H2" s="25" t="s">
        <v>46</v>
      </c>
      <c r="I2" s="25" t="s">
        <v>74</v>
      </c>
    </row>
    <row r="3" spans="1:14" x14ac:dyDescent="0.25">
      <c r="A3" s="26" t="s">
        <v>104</v>
      </c>
      <c r="B3" s="100">
        <f>B2*(73.89/13.882)</f>
        <v>0.11768828293607497</v>
      </c>
      <c r="C3" s="101"/>
      <c r="D3" s="69">
        <f>D2*(73.89/13.882)</f>
        <v>0.11768828293607497</v>
      </c>
      <c r="F3" s="36">
        <v>22</v>
      </c>
      <c r="G3" s="36">
        <v>0.20699999999999999</v>
      </c>
      <c r="H3" s="36">
        <v>1.5</v>
      </c>
      <c r="I3" s="36">
        <v>20</v>
      </c>
    </row>
    <row r="4" spans="1:14" x14ac:dyDescent="0.25">
      <c r="A4" s="26" t="s">
        <v>103</v>
      </c>
      <c r="B4" s="100">
        <f>'Li2CO3 Processing Cost'!I4*Inputs!O4</f>
        <v>0.11924456215917491</v>
      </c>
      <c r="C4" s="101"/>
      <c r="D4" s="69">
        <f>'Li2CO3 Processing Cost'!I4*Inputs!O4</f>
        <v>0.11924456215917491</v>
      </c>
    </row>
    <row r="5" spans="1:14" x14ac:dyDescent="0.25">
      <c r="A5" s="26" t="s">
        <v>49</v>
      </c>
      <c r="B5" s="100">
        <f>B3+B4</f>
        <v>0.23693284509524987</v>
      </c>
      <c r="C5" s="101"/>
      <c r="D5" s="69">
        <f>D3+D4</f>
        <v>0.23693284509524987</v>
      </c>
      <c r="K5" s="49">
        <f>B3</f>
        <v>0.11768828293607497</v>
      </c>
    </row>
    <row r="6" spans="1:14" x14ac:dyDescent="0.25">
      <c r="A6" s="68" t="s">
        <v>48</v>
      </c>
      <c r="B6" s="100">
        <f>B5</f>
        <v>0.23693284509524987</v>
      </c>
      <c r="C6" s="101"/>
      <c r="D6" s="69">
        <f>D5</f>
        <v>0.23693284509524987</v>
      </c>
      <c r="K6" s="25">
        <f>K5*1000000</f>
        <v>117688.28293607497</v>
      </c>
    </row>
    <row r="7" spans="1:14" ht="15.75" thickBot="1" x14ac:dyDescent="0.3">
      <c r="A7" s="25" t="s">
        <v>68</v>
      </c>
      <c r="B7" s="111">
        <f>$B$31*B6*(1/($G$11/100))</f>
        <v>78.439753788032604</v>
      </c>
      <c r="C7" s="111"/>
      <c r="D7" s="69">
        <f>$D$31*D6*(1/($H$11/100))</f>
        <v>175.96658917714012</v>
      </c>
      <c r="K7" s="25">
        <f>109649.38-69410.3025</f>
        <v>40239.077499999999</v>
      </c>
    </row>
    <row r="8" spans="1:14" x14ac:dyDescent="0.25">
      <c r="A8" s="25" t="s">
        <v>66</v>
      </c>
      <c r="B8" s="111">
        <f>$G$9*$G$3</f>
        <v>24.561813321934604</v>
      </c>
      <c r="C8" s="111"/>
      <c r="D8" s="69">
        <f>H9*$G$3</f>
        <v>54.511998406961709</v>
      </c>
      <c r="F8" s="37" t="s">
        <v>55</v>
      </c>
      <c r="G8" s="38">
        <v>1.2</v>
      </c>
      <c r="H8" s="39">
        <v>3</v>
      </c>
      <c r="K8" s="25">
        <f>K7/1000000</f>
        <v>4.0239077499999998E-2</v>
      </c>
    </row>
    <row r="9" spans="1:14" x14ac:dyDescent="0.25">
      <c r="A9" s="25" t="s">
        <v>45</v>
      </c>
      <c r="B9" s="111">
        <f>H3*I3</f>
        <v>30</v>
      </c>
      <c r="C9" s="111"/>
      <c r="D9" s="69">
        <f>H3*I3</f>
        <v>30</v>
      </c>
      <c r="F9" s="40" t="s">
        <v>50</v>
      </c>
      <c r="G9" s="36">
        <v>118.656103004515</v>
      </c>
      <c r="H9" s="36">
        <v>263.34298747324499</v>
      </c>
      <c r="K9" s="25">
        <f>K8*(1/0.33745)</f>
        <v>0.11924456215735663</v>
      </c>
    </row>
    <row r="10" spans="1:14" x14ac:dyDescent="0.25">
      <c r="A10" s="25" t="s">
        <v>109</v>
      </c>
      <c r="B10" s="106">
        <f>(G18+G19+G20)*B17</f>
        <v>3.5571202323628985</v>
      </c>
      <c r="C10" s="106"/>
      <c r="D10" s="71">
        <f>(H18+H19+H20)*D17</f>
        <v>8.8928005809072452</v>
      </c>
      <c r="F10" s="40" t="s">
        <v>67</v>
      </c>
      <c r="G10" s="45">
        <v>1.2</v>
      </c>
      <c r="H10" s="46">
        <v>3</v>
      </c>
    </row>
    <row r="11" spans="1:14" x14ac:dyDescent="0.25">
      <c r="A11" s="25" t="s">
        <v>110</v>
      </c>
      <c r="B11" s="106">
        <f>G23*B27</f>
        <v>5.7038558065252127</v>
      </c>
      <c r="C11" s="112"/>
      <c r="D11" s="71">
        <f>H23*D27</f>
        <v>7.4150125484827756</v>
      </c>
      <c r="F11" s="40" t="s">
        <v>47</v>
      </c>
      <c r="G11" s="45">
        <v>82.920328303516001</v>
      </c>
      <c r="H11" s="46">
        <v>92.407458804622806</v>
      </c>
    </row>
    <row r="12" spans="1:14" ht="15.75" thickBot="1" x14ac:dyDescent="0.3">
      <c r="A12" s="25" t="s">
        <v>52</v>
      </c>
      <c r="B12" s="106">
        <f>(1.39/96.62)*(B7+B8+B9+B10+B11)</f>
        <v>2.0466252843811721</v>
      </c>
      <c r="C12" s="106"/>
      <c r="D12" s="71">
        <f>(1.39/96.62)*(D7+D8+D9+D10+D11+D14)</f>
        <v>4.5156565068821148</v>
      </c>
      <c r="F12" s="41" t="s">
        <v>53</v>
      </c>
      <c r="G12" s="43">
        <v>100</v>
      </c>
      <c r="H12" s="44">
        <f>100*H10/H8</f>
        <v>100</v>
      </c>
    </row>
    <row r="13" spans="1:14" x14ac:dyDescent="0.25">
      <c r="A13" s="25" t="s">
        <v>51</v>
      </c>
      <c r="B13" s="106">
        <f>(1.99/96.62)*(B7+B8+B9+B10+B11)</f>
        <v>2.9300606589341966</v>
      </c>
      <c r="C13" s="106"/>
      <c r="D13" s="71">
        <f>(1.99/96.62)*(D7+D8+D9+D10+D11+D14)</f>
        <v>6.4648607544571295</v>
      </c>
      <c r="F13" s="25" t="s">
        <v>54</v>
      </c>
      <c r="G13" s="42">
        <f>B8</f>
        <v>24.561813321934604</v>
      </c>
      <c r="H13" s="42">
        <f>D8</f>
        <v>54.511998406961709</v>
      </c>
    </row>
    <row r="14" spans="1:14" x14ac:dyDescent="0.25">
      <c r="A14" s="25" t="s">
        <v>36</v>
      </c>
      <c r="B14" s="113">
        <f>B25</f>
        <v>28.538812785388128</v>
      </c>
      <c r="C14" s="113"/>
      <c r="D14" s="71">
        <f>D25</f>
        <v>37.100456621004568</v>
      </c>
      <c r="F14" s="25" t="s">
        <v>56</v>
      </c>
      <c r="G14" s="42">
        <f>G13/B17</f>
        <v>0.81222927651900156</v>
      </c>
      <c r="H14" s="42">
        <f>H13/D17</f>
        <v>0.7210581799862662</v>
      </c>
      <c r="K14" s="51"/>
      <c r="L14" s="51"/>
      <c r="M14" s="51"/>
      <c r="N14" s="51"/>
    </row>
    <row r="15" spans="1:14" x14ac:dyDescent="0.25">
      <c r="A15" s="32" t="s">
        <v>60</v>
      </c>
      <c r="B15" s="114">
        <f>SUM(B7:B14)</f>
        <v>175.77804187755882</v>
      </c>
      <c r="C15" s="114"/>
      <c r="D15" s="71">
        <f>SUM(D7:D14)</f>
        <v>324.86737459583566</v>
      </c>
      <c r="F15" s="25" t="s">
        <v>105</v>
      </c>
      <c r="G15" s="42">
        <f>$B$31*B3*(1/($G$11/100))/B17</f>
        <v>1.288434638829556</v>
      </c>
      <c r="H15" s="42">
        <f>$D$31*D3*(1/($H$11/100))/D17</f>
        <v>1.1561558410047326</v>
      </c>
      <c r="K15" s="51"/>
      <c r="L15" s="51"/>
      <c r="M15" s="51"/>
      <c r="N15" s="51"/>
    </row>
    <row r="16" spans="1:14" x14ac:dyDescent="0.25">
      <c r="A16" s="24" t="s">
        <v>61</v>
      </c>
      <c r="B16" s="115">
        <f>B31</f>
        <v>274.51871999999997</v>
      </c>
      <c r="C16" s="115"/>
      <c r="D16" s="35">
        <f>D31</f>
        <v>686.29679999999985</v>
      </c>
      <c r="F16" s="25" t="s">
        <v>57</v>
      </c>
      <c r="G16" s="42">
        <f>B7/B17</f>
        <v>2.5939072019852056</v>
      </c>
      <c r="H16" s="42">
        <f>D7/D17</f>
        <v>2.3276003859410075</v>
      </c>
      <c r="K16" s="51"/>
      <c r="L16" s="51"/>
      <c r="M16" s="51"/>
      <c r="N16" s="51"/>
    </row>
    <row r="17" spans="1:14" ht="15.75" thickBot="1" x14ac:dyDescent="0.3">
      <c r="A17" s="33" t="s">
        <v>62</v>
      </c>
      <c r="B17" s="116">
        <f>B27</f>
        <v>30.239999999999995</v>
      </c>
      <c r="C17" s="116"/>
      <c r="D17" s="35">
        <f>D27</f>
        <v>75.59999999999998</v>
      </c>
      <c r="F17" s="25" t="s">
        <v>58</v>
      </c>
      <c r="G17" s="42">
        <f>B9/B17</f>
        <v>0.9920634920634922</v>
      </c>
      <c r="H17" s="42">
        <f>D9/D17</f>
        <v>0.39682539682539691</v>
      </c>
      <c r="M17" s="51"/>
      <c r="N17" s="51"/>
    </row>
    <row r="18" spans="1:14" ht="15.75" thickTop="1" x14ac:dyDescent="0.25">
      <c r="A18" s="29" t="s">
        <v>70</v>
      </c>
      <c r="B18" s="109">
        <f>B15/B16</f>
        <v>0.6403134980286912</v>
      </c>
      <c r="C18" s="110"/>
      <c r="D18" s="70">
        <f>D15/D16</f>
        <v>0.47336279958734434</v>
      </c>
      <c r="F18" s="25" t="s">
        <v>106</v>
      </c>
      <c r="G18" s="42">
        <f>H18</f>
        <v>1.8903131831099762E-2</v>
      </c>
      <c r="H18" s="42">
        <f>'BatPac Costs To Make Pack Costs'!N35*0.2052</f>
        <v>1.8903131831099762E-2</v>
      </c>
      <c r="K18" s="51"/>
      <c r="L18" s="51"/>
      <c r="M18" s="51"/>
      <c r="N18" s="51"/>
    </row>
    <row r="19" spans="1:14" x14ac:dyDescent="0.25">
      <c r="A19" s="68" t="s">
        <v>71</v>
      </c>
      <c r="B19" s="104">
        <f>B15/B17</f>
        <v>5.8127659351044594</v>
      </c>
      <c r="C19" s="105"/>
      <c r="D19" s="70">
        <f>D15/D17</f>
        <v>4.2971874946539117</v>
      </c>
      <c r="F19" s="25" t="s">
        <v>107</v>
      </c>
      <c r="G19" s="42">
        <f>H19</f>
        <v>6.9086629885602741E-2</v>
      </c>
      <c r="H19" s="42">
        <f>'BatPac Costs To Make Pack Costs'!N32*0.2052</f>
        <v>6.9086629885602741E-2</v>
      </c>
      <c r="K19" s="51"/>
      <c r="L19" s="51"/>
      <c r="M19" s="51"/>
      <c r="N19" s="51"/>
    </row>
    <row r="20" spans="1:14" x14ac:dyDescent="0.25">
      <c r="A20" s="68" t="s">
        <v>35</v>
      </c>
      <c r="B20" s="90">
        <f>B7/B15</f>
        <v>0.44624318800109941</v>
      </c>
      <c r="C20" s="91"/>
      <c r="D20" s="53">
        <f>D7/D15</f>
        <v>0.54165669727856924</v>
      </c>
      <c r="E20" s="30"/>
      <c r="F20" s="25" t="s">
        <v>108</v>
      </c>
      <c r="G20" s="42">
        <f>H20</f>
        <v>2.963987559688543E-2</v>
      </c>
      <c r="H20" s="42">
        <f>'BatPac Costs To Make Pack Costs'!N33*0.2052</f>
        <v>2.963987559688543E-2</v>
      </c>
      <c r="I20" s="30"/>
      <c r="J20" s="30"/>
      <c r="M20" s="51"/>
    </row>
    <row r="21" spans="1:14" x14ac:dyDescent="0.25">
      <c r="B21" s="92"/>
      <c r="C21" s="92"/>
      <c r="E21" s="30"/>
      <c r="F21" s="25" t="s">
        <v>64</v>
      </c>
      <c r="G21" s="42">
        <f>B12/B17</f>
        <v>6.7679407552287449E-2</v>
      </c>
      <c r="H21" s="42">
        <f>D12/D17</f>
        <v>5.9730906175689366E-2</v>
      </c>
      <c r="J21" s="49"/>
      <c r="M21" s="51"/>
    </row>
    <row r="22" spans="1:14" x14ac:dyDescent="0.25">
      <c r="A22" s="27"/>
      <c r="B22" s="72"/>
      <c r="C22" s="73"/>
      <c r="F22" s="25" t="s">
        <v>63</v>
      </c>
      <c r="G22" s="42">
        <f>B13/B17</f>
        <v>9.6893540308670534E-2</v>
      </c>
      <c r="H22" s="42">
        <f>D13/D17</f>
        <v>8.5514031143612848E-2</v>
      </c>
      <c r="K22" s="49"/>
      <c r="M22" s="51"/>
    </row>
    <row r="23" spans="1:14" x14ac:dyDescent="0.25">
      <c r="A23" s="68" t="s">
        <v>3</v>
      </c>
      <c r="B23" s="93">
        <f>Inputs!J4</f>
        <v>1750000</v>
      </c>
      <c r="C23" s="94"/>
      <c r="D23" s="55">
        <f>Inputs!K4</f>
        <v>2275000</v>
      </c>
      <c r="F23" s="25" t="s">
        <v>99</v>
      </c>
      <c r="G23" s="42">
        <f>'Financing Cost'!H8</f>
        <v>0.18861957032160098</v>
      </c>
      <c r="H23" s="42">
        <f>'Financing Cost'!I8</f>
        <v>9.8082176567232504E-2</v>
      </c>
      <c r="M23" s="51"/>
    </row>
    <row r="24" spans="1:14" x14ac:dyDescent="0.25">
      <c r="A24" s="68" t="s">
        <v>37</v>
      </c>
      <c r="B24" s="95">
        <f>Inputs!L4</f>
        <v>7</v>
      </c>
      <c r="C24" s="96"/>
      <c r="D24" s="25">
        <f>Inputs!L4</f>
        <v>7</v>
      </c>
      <c r="F24" s="25" t="s">
        <v>59</v>
      </c>
      <c r="G24" s="42">
        <f>B14/B17</f>
        <v>0.94374380904061284</v>
      </c>
      <c r="H24" s="42">
        <f>D14/D17</f>
        <v>0.49074678070111877</v>
      </c>
      <c r="M24" s="51"/>
    </row>
    <row r="25" spans="1:14" x14ac:dyDescent="0.25">
      <c r="A25" s="68" t="s">
        <v>36</v>
      </c>
      <c r="B25" s="97">
        <f>B23/B24/24/365</f>
        <v>28.538812785388128</v>
      </c>
      <c r="C25" s="98"/>
      <c r="D25" s="71">
        <f>D23/D24/365/24</f>
        <v>37.100456621004568</v>
      </c>
      <c r="F25" s="25" t="s">
        <v>65</v>
      </c>
      <c r="G25" s="42">
        <f>SUM(G14:G24)-G15</f>
        <v>5.8127659351044585</v>
      </c>
      <c r="H25" s="42">
        <f>SUM(H14:H24)-H15</f>
        <v>4.2971874946539117</v>
      </c>
      <c r="M25" s="51"/>
    </row>
    <row r="26" spans="1:14" x14ac:dyDescent="0.25">
      <c r="A26" s="28" t="s">
        <v>40</v>
      </c>
      <c r="B26" s="84">
        <f>'1.2 m R2R Machine'!D51*G12/100</f>
        <v>725.75999999999988</v>
      </c>
      <c r="C26" s="85"/>
      <c r="D26" s="25">
        <f>'1.2 m R2R Machine'!D51*(3/1.2)*H12/100</f>
        <v>1814.3999999999996</v>
      </c>
      <c r="M26" s="51"/>
    </row>
    <row r="27" spans="1:14" x14ac:dyDescent="0.25">
      <c r="A27" s="31" t="s">
        <v>41</v>
      </c>
      <c r="B27" s="86">
        <f>B26/24</f>
        <v>30.239999999999995</v>
      </c>
      <c r="C27" s="87"/>
      <c r="D27" s="25">
        <f>D26/24</f>
        <v>75.59999999999998</v>
      </c>
      <c r="F27" s="25" t="s">
        <v>69</v>
      </c>
      <c r="G27" s="47">
        <f>G14/G3</f>
        <v>3.9238129300434861</v>
      </c>
      <c r="H27" s="47">
        <f>H14/G3</f>
        <v>3.4833728501751993</v>
      </c>
      <c r="M27" s="51"/>
    </row>
    <row r="28" spans="1:14" x14ac:dyDescent="0.25">
      <c r="A28" s="68" t="s">
        <v>39</v>
      </c>
      <c r="B28" s="84">
        <f>Inputs!C4</f>
        <v>17</v>
      </c>
      <c r="C28" s="85"/>
      <c r="D28" s="34">
        <f>Inputs!C4</f>
        <v>17</v>
      </c>
      <c r="F28" s="25" t="s">
        <v>72</v>
      </c>
      <c r="G28" s="54">
        <f>G15/$F$3</f>
        <v>5.8565210855888908E-2</v>
      </c>
      <c r="H28" s="54">
        <f>H15/$F$3</f>
        <v>5.2552538227487844E-2</v>
      </c>
      <c r="M28" s="51"/>
    </row>
    <row r="29" spans="1:14" x14ac:dyDescent="0.25">
      <c r="A29" s="68" t="s">
        <v>42</v>
      </c>
      <c r="B29" s="88">
        <f>B27*B28/1000000</f>
        <v>5.1407999999999988E-4</v>
      </c>
      <c r="C29" s="89"/>
      <c r="D29" s="25">
        <f>D27*D28/1000000</f>
        <v>1.2851999999999996E-3</v>
      </c>
      <c r="M29" s="51"/>
    </row>
    <row r="30" spans="1:14" x14ac:dyDescent="0.25">
      <c r="A30" s="68" t="s">
        <v>43</v>
      </c>
      <c r="B30" s="102">
        <f>B29*1000000</f>
        <v>514.07999999999993</v>
      </c>
      <c r="C30" s="103"/>
      <c r="D30" s="25">
        <f>D29*1000000</f>
        <v>1285.1999999999996</v>
      </c>
      <c r="F30" s="25" t="s">
        <v>77</v>
      </c>
      <c r="G30" s="42">
        <f>G27*Inputs!H4*Inputs!I4/1000000</f>
        <v>1.0786557614360144</v>
      </c>
      <c r="H30" s="42">
        <f>H27*Inputs!H4*Inputs!I4/1000000</f>
        <v>0.957578829842336</v>
      </c>
      <c r="M30" s="51"/>
    </row>
    <row r="31" spans="1:14" x14ac:dyDescent="0.25">
      <c r="A31" s="31" t="s">
        <v>44</v>
      </c>
      <c r="B31" s="107">
        <f>B30*$G$1</f>
        <v>274.51871999999997</v>
      </c>
      <c r="C31" s="108"/>
      <c r="D31" s="25">
        <f>D30*$G$1</f>
        <v>686.29679999999985</v>
      </c>
      <c r="M31" s="51"/>
    </row>
    <row r="32" spans="1:14" ht="48.75" customHeight="1" x14ac:dyDescent="0.25">
      <c r="M32" s="51"/>
    </row>
    <row r="33" spans="1:14" x14ac:dyDescent="0.25">
      <c r="M33" s="51"/>
    </row>
    <row r="34" spans="1:14" x14ac:dyDescent="0.25">
      <c r="M34" s="51"/>
      <c r="N34" s="48"/>
    </row>
    <row r="35" spans="1:14" x14ac:dyDescent="0.25">
      <c r="E35" s="30"/>
      <c r="M35" s="51"/>
      <c r="N35" s="49"/>
    </row>
    <row r="42" spans="1:14" x14ac:dyDescent="0.25">
      <c r="A42" s="51"/>
    </row>
    <row r="43" spans="1:14" x14ac:dyDescent="0.25">
      <c r="A43" s="51"/>
    </row>
    <row r="44" spans="1:14" x14ac:dyDescent="0.25">
      <c r="A44" s="51"/>
    </row>
    <row r="45" spans="1:14" x14ac:dyDescent="0.25">
      <c r="A45" s="51"/>
    </row>
    <row r="46" spans="1:14" x14ac:dyDescent="0.25">
      <c r="A46" s="51"/>
    </row>
    <row r="47" spans="1:14" x14ac:dyDescent="0.25">
      <c r="A47" s="51"/>
    </row>
    <row r="48" spans="1:14" x14ac:dyDescent="0.25">
      <c r="A48" s="51"/>
    </row>
    <row r="49" spans="1:1" x14ac:dyDescent="0.25">
      <c r="A49" s="51"/>
    </row>
    <row r="50" spans="1:1" x14ac:dyDescent="0.25">
      <c r="A50" s="51"/>
    </row>
    <row r="51" spans="1:1" x14ac:dyDescent="0.25">
      <c r="A51" s="51"/>
    </row>
    <row r="52" spans="1:1" x14ac:dyDescent="0.25">
      <c r="A52" s="52"/>
    </row>
    <row r="53" spans="1:1" x14ac:dyDescent="0.25">
      <c r="A53" s="51"/>
    </row>
    <row r="54" spans="1:1" x14ac:dyDescent="0.25">
      <c r="A54" s="51"/>
    </row>
    <row r="55" spans="1:1" x14ac:dyDescent="0.25">
      <c r="A55" s="51"/>
    </row>
    <row r="56" spans="1:1" x14ac:dyDescent="0.25">
      <c r="A56" s="51"/>
    </row>
  </sheetData>
  <mergeCells count="30">
    <mergeCell ref="B31:C31"/>
    <mergeCell ref="B19:C19"/>
    <mergeCell ref="B20:C20"/>
    <mergeCell ref="B21:C21"/>
    <mergeCell ref="B23:C23"/>
    <mergeCell ref="B24:C24"/>
    <mergeCell ref="B25:C25"/>
    <mergeCell ref="B26:C26"/>
    <mergeCell ref="B27:C27"/>
    <mergeCell ref="B28:C28"/>
    <mergeCell ref="B29:C29"/>
    <mergeCell ref="B30:C30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B1:C1"/>
    <mergeCell ref="B2:C2"/>
    <mergeCell ref="B3:C3"/>
    <mergeCell ref="B4:C4"/>
    <mergeCell ref="B5:C5"/>
  </mergeCells>
  <pageMargins left="0.7" right="0.7" top="0.75" bottom="0.75" header="0.3" footer="0.3"/>
  <pageSetup paperSize="9" orientation="portrait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B8856-6BD8-4655-8512-0F8D53E1A95A}">
  <dimension ref="A5:R65"/>
  <sheetViews>
    <sheetView topLeftCell="A31" workbookViewId="0">
      <selection activeCell="B48" sqref="B48"/>
    </sheetView>
  </sheetViews>
  <sheetFormatPr defaultRowHeight="15" x14ac:dyDescent="0.25"/>
  <cols>
    <col min="1" max="1" width="32.42578125" customWidth="1"/>
    <col min="2" max="2" width="13.140625" customWidth="1"/>
    <col min="3" max="3" width="28.7109375" bestFit="1" customWidth="1"/>
    <col min="4" max="4" width="10.5703125" bestFit="1" customWidth="1"/>
    <col min="9" max="9" width="13.28515625" bestFit="1" customWidth="1"/>
    <col min="10" max="10" width="16.85546875" customWidth="1"/>
    <col min="15" max="15" width="14.140625" customWidth="1"/>
    <col min="16" max="16" width="14.28515625" bestFit="1" customWidth="1"/>
  </cols>
  <sheetData>
    <row r="5" spans="1:8" x14ac:dyDescent="0.25">
      <c r="B5" s="4"/>
    </row>
    <row r="8" spans="1:8" x14ac:dyDescent="0.25">
      <c r="B8" s="5"/>
    </row>
    <row r="9" spans="1:8" x14ac:dyDescent="0.25">
      <c r="B9" s="4"/>
    </row>
    <row r="10" spans="1:8" x14ac:dyDescent="0.25">
      <c r="B10" s="5"/>
    </row>
    <row r="11" spans="1:8" x14ac:dyDescent="0.25">
      <c r="B11" s="5"/>
    </row>
    <row r="12" spans="1:8" x14ac:dyDescent="0.25">
      <c r="B12" s="9"/>
      <c r="C12" s="10"/>
      <c r="H12" s="11"/>
    </row>
    <row r="13" spans="1:8" x14ac:dyDescent="0.25">
      <c r="B13" s="9"/>
      <c r="C13" s="10"/>
      <c r="H13" s="11"/>
    </row>
    <row r="15" spans="1:8" x14ac:dyDescent="0.25">
      <c r="A15" s="6"/>
    </row>
    <row r="16" spans="1:8" x14ac:dyDescent="0.25">
      <c r="B16" s="7"/>
    </row>
    <row r="17" spans="1:2" x14ac:dyDescent="0.25">
      <c r="B17" s="7"/>
    </row>
    <row r="25" spans="1:2" x14ac:dyDescent="0.25">
      <c r="A25" s="10"/>
      <c r="B25" s="9"/>
    </row>
    <row r="26" spans="1:2" x14ac:dyDescent="0.25">
      <c r="A26" s="10"/>
      <c r="B26" s="9"/>
    </row>
    <row r="28" spans="1:2" x14ac:dyDescent="0.25">
      <c r="A28" s="10"/>
      <c r="B28" s="9"/>
    </row>
    <row r="29" spans="1:2" x14ac:dyDescent="0.25">
      <c r="A29" s="10"/>
      <c r="B29" s="9"/>
    </row>
    <row r="34" spans="1:17" x14ac:dyDescent="0.25">
      <c r="A34" s="12"/>
    </row>
    <row r="35" spans="1:17" x14ac:dyDescent="0.25">
      <c r="A35" s="12"/>
    </row>
    <row r="36" spans="1:17" x14ac:dyDescent="0.25">
      <c r="A36" s="12"/>
      <c r="B36" s="11"/>
    </row>
    <row r="37" spans="1:17" x14ac:dyDescent="0.25">
      <c r="A37" s="12"/>
      <c r="B37" s="13"/>
    </row>
    <row r="38" spans="1:17" x14ac:dyDescent="0.25">
      <c r="B38" s="11"/>
    </row>
    <row r="40" spans="1:17" ht="28.5" x14ac:dyDescent="0.45">
      <c r="A40" s="14"/>
    </row>
    <row r="42" spans="1:17" x14ac:dyDescent="0.25">
      <c r="A42" t="s">
        <v>5</v>
      </c>
      <c r="B42" s="1">
        <f>B45/B44</f>
        <v>121.42857142857143</v>
      </c>
      <c r="C42" t="s">
        <v>7</v>
      </c>
    </row>
    <row r="43" spans="1:17" x14ac:dyDescent="0.25">
      <c r="A43" t="s">
        <v>4</v>
      </c>
      <c r="B43" s="1">
        <v>20</v>
      </c>
      <c r="C43" t="s">
        <v>0</v>
      </c>
    </row>
    <row r="44" spans="1:17" x14ac:dyDescent="0.25">
      <c r="A44" t="s">
        <v>8</v>
      </c>
      <c r="B44" s="1">
        <f>Inputs!B4</f>
        <v>140</v>
      </c>
      <c r="C44" t="s">
        <v>9</v>
      </c>
    </row>
    <row r="45" spans="1:17" x14ac:dyDescent="0.25">
      <c r="A45" t="s">
        <v>6</v>
      </c>
      <c r="B45" s="23">
        <f>Inputs!C4*1000</f>
        <v>17000</v>
      </c>
      <c r="C45" t="s">
        <v>10</v>
      </c>
    </row>
    <row r="46" spans="1:17" x14ac:dyDescent="0.25">
      <c r="A46" t="s">
        <v>11</v>
      </c>
      <c r="B46" s="1">
        <v>6</v>
      </c>
      <c r="C46" t="s">
        <v>23</v>
      </c>
      <c r="D46">
        <f>B43*B46</f>
        <v>120</v>
      </c>
      <c r="E46" t="s">
        <v>0</v>
      </c>
      <c r="F46">
        <v>1.2</v>
      </c>
      <c r="G46" t="s">
        <v>22</v>
      </c>
    </row>
    <row r="47" spans="1:17" x14ac:dyDescent="0.25">
      <c r="A47" t="s">
        <v>12</v>
      </c>
      <c r="B47" s="1">
        <v>5</v>
      </c>
      <c r="C47" t="s">
        <v>13</v>
      </c>
      <c r="D47">
        <f>B47*B43</f>
        <v>100</v>
      </c>
      <c r="E47" t="s">
        <v>0</v>
      </c>
      <c r="F47">
        <f>D47/100</f>
        <v>1</v>
      </c>
      <c r="G47" t="s">
        <v>22</v>
      </c>
      <c r="O47" s="12" t="s">
        <v>30</v>
      </c>
      <c r="P47" s="56">
        <f>Inputs!J4</f>
        <v>1750000</v>
      </c>
    </row>
    <row r="48" spans="1:17" x14ac:dyDescent="0.25">
      <c r="A48" t="s">
        <v>14</v>
      </c>
      <c r="B48" s="8">
        <f>(D47/100)/(B42/60)</f>
        <v>0.49411764705882355</v>
      </c>
      <c r="C48" t="s">
        <v>15</v>
      </c>
      <c r="O48" s="12" t="s">
        <v>33</v>
      </c>
      <c r="P48" s="57">
        <f>P47/24/365/7</f>
        <v>28.538812785388131</v>
      </c>
      <c r="Q48" t="s">
        <v>31</v>
      </c>
    </row>
    <row r="49" spans="1:18" x14ac:dyDescent="0.25">
      <c r="A49" t="s">
        <v>16</v>
      </c>
      <c r="B49" s="15">
        <f>Inputs!M4</f>
        <v>0.85</v>
      </c>
      <c r="C49" t="s">
        <v>17</v>
      </c>
    </row>
    <row r="50" spans="1:18" x14ac:dyDescent="0.25">
      <c r="A50" t="s">
        <v>18</v>
      </c>
      <c r="G50" s="2" t="s">
        <v>25</v>
      </c>
    </row>
    <row r="51" spans="1:18" x14ac:dyDescent="0.25">
      <c r="A51" s="20" t="s">
        <v>19</v>
      </c>
      <c r="B51" s="21">
        <f>$B$49*$B$48*60*24*B54</f>
        <v>604.79999999999995</v>
      </c>
      <c r="C51" s="22" t="s">
        <v>21</v>
      </c>
      <c r="D51" s="16">
        <f>$B$51*$F$46</f>
        <v>725.75999999999988</v>
      </c>
      <c r="E51" t="s">
        <v>24</v>
      </c>
      <c r="G51" s="1">
        <f>24</f>
        <v>24</v>
      </c>
      <c r="I51" s="18">
        <f>D51/G51</f>
        <v>30.239999999999995</v>
      </c>
      <c r="J51" t="s">
        <v>26</v>
      </c>
    </row>
    <row r="52" spans="1:18" x14ac:dyDescent="0.25">
      <c r="A52" s="12" t="s">
        <v>20</v>
      </c>
      <c r="B52" s="17">
        <f>$B$49*$B$48*60*24*365</f>
        <v>220751.99999999997</v>
      </c>
      <c r="C52" t="s">
        <v>21</v>
      </c>
      <c r="D52" s="16">
        <f>$B$52*$F$46</f>
        <v>264902.39999999997</v>
      </c>
      <c r="E52" t="s">
        <v>24</v>
      </c>
      <c r="G52" s="1">
        <f>G51*365</f>
        <v>8760</v>
      </c>
      <c r="I52">
        <f>B45/1000/1000/1000</f>
        <v>1.7E-5</v>
      </c>
      <c r="J52" t="s">
        <v>38</v>
      </c>
    </row>
    <row r="53" spans="1:18" x14ac:dyDescent="0.25">
      <c r="D53" s="18">
        <f>D51/G51</f>
        <v>30.239999999999995</v>
      </c>
      <c r="E53" t="s">
        <v>32</v>
      </c>
      <c r="I53" s="19">
        <f>I51*I52</f>
        <v>5.1407999999999988E-4</v>
      </c>
      <c r="J53" t="s">
        <v>28</v>
      </c>
    </row>
    <row r="54" spans="1:18" x14ac:dyDescent="0.25">
      <c r="A54" s="12" t="s">
        <v>34</v>
      </c>
      <c r="B54">
        <v>1</v>
      </c>
      <c r="I54" s="18">
        <f>I53*1000000</f>
        <v>514.07999999999993</v>
      </c>
      <c r="J54" t="s">
        <v>27</v>
      </c>
    </row>
    <row r="55" spans="1:18" x14ac:dyDescent="0.25">
      <c r="I55" s="18">
        <f>I54*B6</f>
        <v>0</v>
      </c>
      <c r="J55" t="s">
        <v>29</v>
      </c>
    </row>
    <row r="56" spans="1:18" x14ac:dyDescent="0.25">
      <c r="H56" s="58"/>
      <c r="I56" s="59"/>
      <c r="J56" s="59"/>
      <c r="K56" s="59"/>
      <c r="L56" s="59"/>
      <c r="M56" s="59"/>
      <c r="N56" s="58"/>
      <c r="O56" s="59"/>
      <c r="P56" s="59"/>
      <c r="Q56" s="59"/>
      <c r="R56" s="59"/>
    </row>
    <row r="57" spans="1:18" x14ac:dyDescent="0.25">
      <c r="H57" s="58"/>
      <c r="I57" s="60"/>
      <c r="J57" s="61"/>
      <c r="K57" s="61"/>
      <c r="L57" s="62"/>
      <c r="M57" s="61"/>
      <c r="N57" s="58"/>
      <c r="O57" s="60"/>
      <c r="P57" s="61"/>
      <c r="Q57" s="61"/>
      <c r="R57" s="62"/>
    </row>
    <row r="58" spans="1:18" x14ac:dyDescent="0.25">
      <c r="H58" s="58"/>
      <c r="I58" s="60"/>
      <c r="J58" s="61"/>
      <c r="K58" s="61"/>
      <c r="L58" s="61"/>
      <c r="M58" s="61"/>
      <c r="N58" s="58"/>
      <c r="O58" s="60"/>
      <c r="P58" s="61"/>
      <c r="Q58" s="61"/>
      <c r="R58" s="61"/>
    </row>
    <row r="59" spans="1:18" x14ac:dyDescent="0.25">
      <c r="H59" s="58"/>
      <c r="I59" s="60"/>
      <c r="J59" s="61"/>
      <c r="K59" s="61"/>
      <c r="L59" s="61"/>
      <c r="M59" s="61"/>
      <c r="N59" s="58"/>
      <c r="O59" s="60"/>
      <c r="P59" s="61"/>
      <c r="Q59" s="61"/>
      <c r="R59" s="61"/>
    </row>
    <row r="60" spans="1:18" x14ac:dyDescent="0.25">
      <c r="H60" s="61"/>
      <c r="I60" s="63"/>
      <c r="J60" s="61"/>
      <c r="K60" s="61"/>
      <c r="L60" s="61"/>
      <c r="M60" s="61"/>
      <c r="N60" s="61"/>
      <c r="O60" s="63"/>
      <c r="P60" s="61"/>
      <c r="Q60" s="61"/>
      <c r="R60" s="61"/>
    </row>
    <row r="61" spans="1:18" x14ac:dyDescent="0.25"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</row>
    <row r="62" spans="1:18" x14ac:dyDescent="0.25">
      <c r="H62" s="61"/>
      <c r="I62" s="63"/>
      <c r="J62" s="61"/>
      <c r="K62" s="61"/>
      <c r="L62" s="61"/>
      <c r="M62" s="61"/>
      <c r="N62" s="61"/>
      <c r="O62" s="63"/>
      <c r="P62" s="61"/>
      <c r="Q62" s="61"/>
      <c r="R62" s="61"/>
    </row>
    <row r="63" spans="1:18" x14ac:dyDescent="0.25">
      <c r="H63" s="61"/>
      <c r="I63" s="64"/>
      <c r="J63" s="61"/>
      <c r="K63" s="61"/>
      <c r="L63" s="61"/>
      <c r="M63" s="61"/>
      <c r="N63" s="61"/>
      <c r="O63" s="64"/>
      <c r="P63" s="61"/>
      <c r="Q63" s="61"/>
      <c r="R63" s="61"/>
    </row>
    <row r="64" spans="1:18" x14ac:dyDescent="0.25">
      <c r="I64" s="11"/>
      <c r="O64" s="11"/>
    </row>
    <row r="65" spans="9:15" x14ac:dyDescent="0.25">
      <c r="I65" s="3"/>
      <c r="O6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640ECD-4EC7-46A5-AC94-2098331653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0B3D61-C399-4B0D-80B9-C63148FEEA6E}">
  <ds:schemaRefs>
    <ds:schemaRef ds:uri="c0273f2d-eaa2-4c58-8c26-b75a180cb89f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2d5a0034-deb8-4d94-bf7f-f951a6583a6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682267-69E0-4015-AF97-EA3865A41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Outputs</vt:lpstr>
      <vt:lpstr>Financing Cost</vt:lpstr>
      <vt:lpstr>Li2CO3 Processing Cost</vt:lpstr>
      <vt:lpstr>BatPac Costs To Make Pack Costs</vt:lpstr>
      <vt:lpstr>Fixed Costs for Overheads</vt:lpstr>
      <vt:lpstr>1.2 m R2R Machine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Astbury</dc:creator>
  <cp:lastModifiedBy>Matthew Burton</cp:lastModifiedBy>
  <dcterms:created xsi:type="dcterms:W3CDTF">2022-08-11T09:22:54Z</dcterms:created>
  <dcterms:modified xsi:type="dcterms:W3CDTF">2024-07-10T08:38:47Z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