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ropbox\UBC PhD\paper 3\submission2020\submission\"/>
    </mc:Choice>
  </mc:AlternateContent>
  <bookViews>
    <workbookView xWindow="-120" yWindow="-120" windowWidth="29040" windowHeight="15840"/>
  </bookViews>
  <sheets>
    <sheet name="Table of Parameters" sheetId="2" r:id="rId1"/>
    <sheet name="Metrics prediction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1" i="2" l="1"/>
  <c r="F31" i="2"/>
  <c r="D31" i="2"/>
  <c r="E32" i="2"/>
  <c r="E33" i="2"/>
  <c r="D33" i="2"/>
  <c r="F33" i="2"/>
  <c r="E21" i="2"/>
  <c r="D21" i="2"/>
  <c r="F21" i="2"/>
  <c r="D5" i="2"/>
  <c r="P6" i="3" l="1"/>
  <c r="G6" i="3"/>
  <c r="E6" i="3"/>
  <c r="D6" i="3"/>
  <c r="B6" i="3"/>
  <c r="G5" i="3"/>
  <c r="E5" i="3"/>
  <c r="G4" i="3"/>
  <c r="E4" i="3"/>
  <c r="P3" i="3"/>
  <c r="G3" i="3"/>
  <c r="E3" i="3"/>
  <c r="E43" i="2" l="1"/>
  <c r="E42" i="2"/>
  <c r="D40" i="2"/>
  <c r="F40" i="2"/>
  <c r="D41" i="2"/>
  <c r="F41" i="2"/>
  <c r="E41" i="2"/>
  <c r="E38" i="2" l="1"/>
  <c r="F36" i="2"/>
  <c r="D36" i="2"/>
  <c r="E36" i="2"/>
  <c r="E37" i="2"/>
  <c r="D14" i="2"/>
  <c r="D34" i="2"/>
  <c r="F34" i="2"/>
  <c r="D38" i="2" l="1"/>
  <c r="F38" i="2" s="1"/>
  <c r="E35" i="2"/>
  <c r="D35" i="2"/>
  <c r="F35" i="2"/>
  <c r="E29" i="2"/>
  <c r="F5" i="2"/>
  <c r="E4" i="2" l="1"/>
  <c r="E40" i="2" l="1"/>
  <c r="E5" i="2"/>
</calcChain>
</file>

<file path=xl/sharedStrings.xml><?xml version="1.0" encoding="utf-8"?>
<sst xmlns="http://schemas.openxmlformats.org/spreadsheetml/2006/main" count="220" uniqueCount="148">
  <si>
    <t>Metrics predictions</t>
  </si>
  <si>
    <t>fluvial</t>
  </si>
  <si>
    <t>glacial</t>
  </si>
  <si>
    <t>sapping</t>
  </si>
  <si>
    <t>subglacial</t>
  </si>
  <si>
    <t>LB</t>
  </si>
  <si>
    <t>&lt;&gt;</t>
  </si>
  <si>
    <t>UB</t>
  </si>
  <si>
    <t>R</t>
  </si>
  <si>
    <t>Bounds</t>
  </si>
  <si>
    <t>-</t>
  </si>
  <si>
    <t>lower bound</t>
  </si>
  <si>
    <t>average</t>
  </si>
  <si>
    <t>upper bound</t>
  </si>
  <si>
    <t>g</t>
  </si>
  <si>
    <t>units</t>
  </si>
  <si>
    <t>m/s2</t>
  </si>
  <si>
    <t>significance</t>
  </si>
  <si>
    <t>water density</t>
  </si>
  <si>
    <t>kg/m3</t>
  </si>
  <si>
    <t>sediment density</t>
  </si>
  <si>
    <t>average grain size</t>
  </si>
  <si>
    <t>m</t>
  </si>
  <si>
    <t>static angle of friction</t>
  </si>
  <si>
    <t>deg</t>
  </si>
  <si>
    <t>H</t>
  </si>
  <si>
    <t>L</t>
  </si>
  <si>
    <t>S</t>
  </si>
  <si>
    <t>characteristic topographic drop</t>
  </si>
  <si>
    <t>characteristic length</t>
  </si>
  <si>
    <t>slope</t>
  </si>
  <si>
    <t>This study</t>
  </si>
  <si>
    <t>inclination of channel walls</t>
  </si>
  <si>
    <t>W</t>
  </si>
  <si>
    <t>characteristic depth</t>
  </si>
  <si>
    <t>friction factor</t>
  </si>
  <si>
    <t>characteristic channel width</t>
  </si>
  <si>
    <t>vtcw</t>
  </si>
  <si>
    <t>channel width to top width</t>
  </si>
  <si>
    <t>hydraulic radius</t>
  </si>
  <si>
    <t>Shield stress parameter</t>
  </si>
  <si>
    <t>non dimensional density</t>
  </si>
  <si>
    <t>ice density</t>
  </si>
  <si>
    <t>C</t>
  </si>
  <si>
    <t xml:space="preserve">ND constant </t>
  </si>
  <si>
    <t>ice thickness</t>
  </si>
  <si>
    <t>bed roughness</t>
  </si>
  <si>
    <t>bed friction parameter</t>
  </si>
  <si>
    <t>m/sPa2</t>
  </si>
  <si>
    <t>hydraulic conductivity</t>
  </si>
  <si>
    <t>m/s</t>
  </si>
  <si>
    <t>permeability</t>
  </si>
  <si>
    <t>m2</t>
  </si>
  <si>
    <t>dynamic viscosity of water</t>
  </si>
  <si>
    <t>Pa*s</t>
  </si>
  <si>
    <t xml:space="preserve">empirical constant </t>
  </si>
  <si>
    <t>critical shields stress</t>
  </si>
  <si>
    <t xml:space="preserve">Pa </t>
  </si>
  <si>
    <t>friction factor II</t>
  </si>
  <si>
    <t>Ice flow parameter, metling T</t>
  </si>
  <si>
    <t>1/(sPa3)</t>
  </si>
  <si>
    <t>Latent heat of ice fusion</t>
  </si>
  <si>
    <t>J/kg</t>
  </si>
  <si>
    <t>ice closure constant</t>
  </si>
  <si>
    <t>fraction of power available for erosion</t>
  </si>
  <si>
    <t>Df</t>
  </si>
  <si>
    <t>Sn</t>
  </si>
  <si>
    <t>l</t>
  </si>
  <si>
    <t>Average values</t>
  </si>
  <si>
    <t>W (%)</t>
  </si>
  <si>
    <t>parameter</t>
  </si>
  <si>
    <t>φ</t>
  </si>
  <si>
    <t>surface gravity</t>
  </si>
  <si>
    <r>
      <t>Kleinhans, M.G., 2005. Flow discharge and sediment transport models for estimating a minimum timescale of hydrological activity and channel and delta formation on Mars. </t>
    </r>
    <r>
      <rPr>
        <i/>
        <sz val="10"/>
        <color rgb="FF222222"/>
        <rFont val="Calibri"/>
        <family val="2"/>
        <scheme val="minor"/>
      </rPr>
      <t>Journal of Geophysical Research: Planets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110</t>
    </r>
    <r>
      <rPr>
        <sz val="10"/>
        <color rgb="FF222222"/>
        <rFont val="Calibri"/>
        <family val="2"/>
        <scheme val="minor"/>
      </rPr>
      <t>(E12).</t>
    </r>
  </si>
  <si>
    <r>
      <t>Team, R., 1997. Characterization of the Martian surface deposits by the Mars Pathfinder rover, Sojourner. </t>
    </r>
    <r>
      <rPr>
        <i/>
        <sz val="10"/>
        <color rgb="FF222222"/>
        <rFont val="Calibri"/>
        <family val="2"/>
        <scheme val="minor"/>
      </rPr>
      <t>Science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278</t>
    </r>
    <r>
      <rPr>
        <sz val="10"/>
        <color rgb="FF222222"/>
        <rFont val="Calibri"/>
        <family val="2"/>
        <scheme val="minor"/>
      </rPr>
      <t>(5344), pp.1765-1768.</t>
    </r>
  </si>
  <si>
    <r>
      <t>Kleinhans, M.G., Markies, H., De Vet, S.J. and Postema, F.N., 2011. Static and dynamic angles of repose in loose granular materials under reduced gravity. </t>
    </r>
    <r>
      <rPr>
        <i/>
        <sz val="10"/>
        <color rgb="FF222222"/>
        <rFont val="Calibri"/>
        <family val="2"/>
        <scheme val="minor"/>
      </rPr>
      <t>Journal of Geophysical Research: Planets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116</t>
    </r>
    <r>
      <rPr>
        <sz val="10"/>
        <color rgb="FF222222"/>
        <rFont val="Calibri"/>
        <family val="2"/>
        <scheme val="minor"/>
      </rPr>
      <t>(E11).</t>
    </r>
  </si>
  <si>
    <r>
      <t>Williams, R.M. and Phillips, R.J., 2001. Morphometric measurements of Martian valley networks from Mars Orbiter Laser Altimeter (MOLA) data. </t>
    </r>
    <r>
      <rPr>
        <i/>
        <sz val="10"/>
        <color rgb="FF222222"/>
        <rFont val="Calibri"/>
        <family val="2"/>
        <scheme val="minor"/>
      </rPr>
      <t>Journal of Geophysical Research: Planets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106</t>
    </r>
    <r>
      <rPr>
        <sz val="10"/>
        <color rgb="FF222222"/>
        <rFont val="Calibri"/>
        <family val="2"/>
        <scheme val="minor"/>
      </rPr>
      <t>(E10), pp.23737-23751.</t>
    </r>
  </si>
  <si>
    <r>
      <rPr>
        <b/>
        <sz val="10"/>
        <color rgb="FF222222"/>
        <rFont val="Calibri"/>
        <family val="2"/>
        <scheme val="minor"/>
      </rPr>
      <t>Equation in</t>
    </r>
    <r>
      <rPr>
        <sz val="10"/>
        <color rgb="FF222222"/>
        <rFont val="Calibri"/>
        <family val="2"/>
        <scheme val="minor"/>
      </rPr>
      <t xml:space="preserve"> Wilson, L., Ghatan, G.J., Head Iii, J.W. and Mitchell, K.L., 2004. Mars outflow channels: A reappraisal of the estimation of water flow velocities from water depths, regional slopes, and channel floor properties. </t>
    </r>
    <r>
      <rPr>
        <i/>
        <sz val="10"/>
        <color rgb="FF222222"/>
        <rFont val="Calibri"/>
        <family val="2"/>
        <scheme val="minor"/>
      </rPr>
      <t>Journal of Geophysical Research: Planets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109</t>
    </r>
    <r>
      <rPr>
        <sz val="10"/>
        <color rgb="FF222222"/>
        <rFont val="Calibri"/>
        <family val="2"/>
        <scheme val="minor"/>
      </rPr>
      <t>(E9);</t>
    </r>
    <r>
      <rPr>
        <b/>
        <sz val="10"/>
        <color rgb="FF222222"/>
        <rFont val="Calibri"/>
        <family val="2"/>
        <scheme val="minor"/>
      </rPr>
      <t xml:space="preserve"> with parameters from</t>
    </r>
    <r>
      <rPr>
        <sz val="10"/>
        <color rgb="FF222222"/>
        <rFont val="Calibri"/>
        <family val="2"/>
        <scheme val="minor"/>
      </rPr>
      <t xml:space="preserve"> Kleinhans, M.G., 2005. Flow discharge and sediment transport models for estimating a minimum timescale of hydrological activity and channel and delta formation on Mars. Journal of Geophysical Research: Planets, 110(E12).</t>
    </r>
  </si>
  <si>
    <r>
      <t>Penido, J.C., Fassett, C.I. and Som, S.M., 2013. Scaling relationships and concavity of small valley networks on Mars. </t>
    </r>
    <r>
      <rPr>
        <i/>
        <sz val="10"/>
        <color rgb="FF222222"/>
        <rFont val="Calibri"/>
        <family val="2"/>
        <scheme val="minor"/>
      </rPr>
      <t>Planetary and Space Science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75</t>
    </r>
    <r>
      <rPr>
        <sz val="10"/>
        <color rgb="FF222222"/>
        <rFont val="Calibri"/>
        <family val="2"/>
        <scheme val="minor"/>
      </rPr>
      <t>, pp.105-116.</t>
    </r>
  </si>
  <si>
    <t>Wilson, L., Ghatan, G.J., Head Iii, J.W. and Mitchell, K.L., 2004. Mars outflow channels: A reappraisal of the estimation of water flow velocities from water depths, regional slopes, and channel floor properties. Journal of Geophysical Research: Planets, 109(E9)</t>
  </si>
  <si>
    <t>references</t>
  </si>
  <si>
    <r>
      <rPr>
        <sz val="10"/>
        <color theme="1"/>
        <rFont val="Calibri"/>
        <family val="2"/>
        <scheme val="minor"/>
      </rPr>
      <t>Cuffey, K.M. and Paterson, W.S.B., 2010. The physics of glaciers. Academic Press.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(Taking n=3)</t>
    </r>
  </si>
  <si>
    <t>Assume same as channel depth</t>
  </si>
  <si>
    <r>
      <rPr>
        <sz val="10"/>
        <color theme="1"/>
        <rFont val="Calibri"/>
        <family val="2"/>
        <scheme val="minor"/>
      </rPr>
      <t>Cuffey, K.M. and Paterson, W.S.B., 2010. The physics of glaciers. Academic Press.(pg142)</t>
    </r>
    <r>
      <rPr>
        <sz val="11"/>
        <color theme="1"/>
        <rFont val="Calibri"/>
        <family val="2"/>
        <scheme val="minor"/>
      </rPr>
      <t xml:space="preserve">; also </t>
    </r>
    <r>
      <rPr>
        <sz val="10"/>
        <color theme="1"/>
        <rFont val="Calibri"/>
        <family val="2"/>
        <scheme val="minor"/>
      </rPr>
      <t>Kreslavsky, M.A. and Head III, J.W., 2000. Kilometer‐scale roughness of Mars: Results from MOLA data analysis. Journal of Geophysical Research: Planets, 105(E11), pp.26695-26711.</t>
    </r>
  </si>
  <si>
    <r>
      <t>Levy, J., 2012. Hydrological characteristics of recurrent slope lineae on Mars: Evidence for liquid flow through regolith and comparisons with Antarctic terrestrial analogs. </t>
    </r>
    <r>
      <rPr>
        <i/>
        <sz val="10"/>
        <color rgb="FF222222"/>
        <rFont val="Calibri"/>
        <family val="2"/>
        <scheme val="minor"/>
      </rPr>
      <t>Icarus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219</t>
    </r>
    <r>
      <rPr>
        <sz val="10"/>
        <color rgb="FF222222"/>
        <rFont val="Calibri"/>
        <family val="2"/>
        <scheme val="minor"/>
      </rPr>
      <t>(1), pp.1-4.</t>
    </r>
  </si>
  <si>
    <t>This study, calculated using the relationship between permeability and hydraulic conductivity</t>
  </si>
  <si>
    <r>
      <t>Walder, J.S. and Fowler, A., 1994. Channelized subglacial drainage over a deformable bed. </t>
    </r>
    <r>
      <rPr>
        <i/>
        <sz val="10"/>
        <color rgb="FF222222"/>
        <rFont val="Calibri"/>
        <family val="2"/>
        <scheme val="minor"/>
      </rPr>
      <t>Journal of Glaciology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40</t>
    </r>
    <r>
      <rPr>
        <sz val="10"/>
        <color rgb="FF222222"/>
        <rFont val="Calibri"/>
        <family val="2"/>
        <scheme val="minor"/>
      </rPr>
      <t>(134), pp.3-15.</t>
    </r>
  </si>
  <si>
    <r>
      <rPr>
        <sz val="10"/>
        <color theme="1"/>
        <rFont val="Calibri"/>
        <family val="2"/>
        <scheme val="minor"/>
      </rPr>
      <t>Lamb, M.P., Dietrich, W.E. and Venditti, J.G., 2008. Is the critical Shields stress for incipient sediment motion dependent on channel‐bed slope?. Journal of Geophysical Research: Earth Surface, 113(F2).</t>
    </r>
    <r>
      <rPr>
        <b/>
        <sz val="10"/>
        <color theme="1"/>
        <rFont val="Calibri"/>
        <family val="2"/>
        <scheme val="minor"/>
      </rPr>
      <t xml:space="preserve"> Jeremy Vendetti, personal communication, equations 1 and 3 in Lamb et al., 2008</t>
    </r>
  </si>
  <si>
    <t>Calculated in this study using the models in Parker, G., Dhamotharan, S. and Stefan, H., 1982. Model experiments on mobile, paved gravel bed streams. Water Resources Research, 18(5), pp.1395-1408.</t>
  </si>
  <si>
    <t>Algebraically derived for consistency in this study</t>
  </si>
  <si>
    <t>Cuffey, K.M. and Paterson, W.S.B., 2010. The physics of glaciers. Academic Press. (Taking n=3, T= 273K)</t>
  </si>
  <si>
    <t>Calculated from Walder, J.S. and Fowler, A., 1994. Channelized subglacial drainage over a deformable bed. Journal of Glaciology, 40(134), pp.3-15.</t>
  </si>
  <si>
    <t>D</t>
  </si>
  <si>
    <t>K</t>
  </si>
  <si>
    <t>soil diffusivity</t>
  </si>
  <si>
    <t>substrate erodibility</t>
  </si>
  <si>
    <t>m2/a</t>
  </si>
  <si>
    <t>m^(1-2m)/a</t>
  </si>
  <si>
    <r>
      <t>Perron, J.T., Dietrich, W.E. and Kirchner, J.W., 2008. Controls on the spacing of first‐order valleys. </t>
    </r>
    <r>
      <rPr>
        <i/>
        <sz val="10"/>
        <color rgb="FF222222"/>
        <rFont val="Calibri"/>
        <family val="2"/>
        <scheme val="minor"/>
      </rPr>
      <t>Journal of Geophysical Research: Earth Surface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113</t>
    </r>
    <r>
      <rPr>
        <sz val="10"/>
        <color rgb="FF222222"/>
        <rFont val="Calibri"/>
        <family val="2"/>
        <scheme val="minor"/>
      </rPr>
      <t>(F4).</t>
    </r>
  </si>
  <si>
    <r>
      <t>Whipple, K.X. and Tucker, G.E., 1999. Dynamics of the stream‐power river incision model: Implications for height limits of mountain ranges, landscape response timescales, and research needs. </t>
    </r>
    <r>
      <rPr>
        <i/>
        <sz val="10"/>
        <color rgb="FF222222"/>
        <rFont val="Calibri"/>
        <family val="2"/>
        <scheme val="minor"/>
      </rPr>
      <t>Journal of Geophysical Research: Solid Earth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104</t>
    </r>
    <r>
      <rPr>
        <sz val="10"/>
        <color rgb="FF222222"/>
        <rFont val="Calibri"/>
        <family val="2"/>
        <scheme val="minor"/>
      </rPr>
      <t>(B8), pp.17661-17674.</t>
    </r>
  </si>
  <si>
    <t>area exponent</t>
  </si>
  <si>
    <t>a</t>
  </si>
  <si>
    <t>b</t>
  </si>
  <si>
    <t>main stem slope</t>
  </si>
  <si>
    <t>tributary slope</t>
  </si>
  <si>
    <t>number of order 1 tributaries</t>
  </si>
  <si>
    <t>This study (systems analyzed)</t>
  </si>
  <si>
    <t>Fractal dimension of order 1 tributaries</t>
  </si>
  <si>
    <t>This study, consistent with values from Rodriguez-Iturbe, I. and Rinaldo, A., 2001. Fractal river basins: chance and self-organization. Cambridge University Press.</t>
  </si>
  <si>
    <t>sliding velocity</t>
  </si>
  <si>
    <r>
      <t>Pelletier, J.D., Comeau, D. and Kargel, J., 2010. Controls of glacial valley spacing on Earth and Mars. </t>
    </r>
    <r>
      <rPr>
        <i/>
        <sz val="10"/>
        <color rgb="FF222222"/>
        <rFont val="Calibri"/>
        <family val="2"/>
        <scheme val="minor"/>
      </rPr>
      <t>Geomorphology</t>
    </r>
    <r>
      <rPr>
        <sz val="10"/>
        <color rgb="FF222222"/>
        <rFont val="Calibri"/>
        <family val="2"/>
        <scheme val="minor"/>
      </rPr>
      <t>, </t>
    </r>
    <r>
      <rPr>
        <i/>
        <sz val="10"/>
        <color rgb="FF222222"/>
        <rFont val="Calibri"/>
        <family val="2"/>
        <scheme val="minor"/>
      </rPr>
      <t>116</t>
    </r>
    <r>
      <rPr>
        <sz val="10"/>
        <color rgb="FF222222"/>
        <rFont val="Calibri"/>
        <family val="2"/>
        <scheme val="minor"/>
      </rPr>
      <t>(1-2), pp.189-201.</t>
    </r>
  </si>
  <si>
    <t>Calculated scaling for Mars following the equations in Pelletier, J.D., Comeau, D. and Kargel, J., 2010. Controls of glacial valley spacing on Earth and Mars. Geomorphology, 116(1-2), pp.189-201.</t>
  </si>
  <si>
    <t>effective viscosity</t>
  </si>
  <si>
    <t>Pa s</t>
  </si>
  <si>
    <t>t</t>
  </si>
  <si>
    <t>basal shear stress</t>
  </si>
  <si>
    <r>
      <t>d</t>
    </r>
    <r>
      <rPr>
        <vertAlign val="subscript"/>
        <sz val="11"/>
        <color theme="1"/>
        <rFont val="Calibri"/>
        <family val="2"/>
        <scheme val="minor"/>
      </rPr>
      <t>s</t>
    </r>
  </si>
  <si>
    <r>
      <t>D</t>
    </r>
    <r>
      <rPr>
        <vertAlign val="subscript"/>
        <sz val="11"/>
        <color theme="1"/>
        <rFont val="Calibri"/>
        <family val="2"/>
        <scheme val="minor"/>
      </rPr>
      <t>10</t>
    </r>
  </si>
  <si>
    <r>
      <t>D</t>
    </r>
    <r>
      <rPr>
        <vertAlign val="subscript"/>
        <sz val="11"/>
        <color theme="1"/>
        <rFont val="Calibri"/>
        <family val="2"/>
        <scheme val="minor"/>
      </rPr>
      <t>50</t>
    </r>
  </si>
  <si>
    <r>
      <t>R</t>
    </r>
    <r>
      <rPr>
        <vertAlign val="subscript"/>
        <sz val="11"/>
        <color theme="1"/>
        <rFont val="Symbol"/>
        <family val="1"/>
        <charset val="2"/>
      </rPr>
      <t>r</t>
    </r>
  </si>
  <si>
    <r>
      <rPr>
        <sz val="11"/>
        <color theme="1"/>
        <rFont val="Symbol"/>
        <family val="1"/>
        <charset val="2"/>
      </rPr>
      <t>r</t>
    </r>
    <r>
      <rPr>
        <vertAlign val="subscript"/>
        <sz val="11"/>
        <color theme="1"/>
        <rFont val="Calibri"/>
        <family val="2"/>
        <scheme val="minor"/>
      </rPr>
      <t>s</t>
    </r>
  </si>
  <si>
    <r>
      <rPr>
        <sz val="11"/>
        <color theme="1"/>
        <rFont val="Symbol"/>
        <family val="1"/>
        <charset val="2"/>
      </rPr>
      <t>r</t>
    </r>
    <r>
      <rPr>
        <vertAlign val="subscript"/>
        <sz val="11"/>
        <color theme="1"/>
        <rFont val="Calibri"/>
        <family val="2"/>
        <scheme val="minor"/>
      </rPr>
      <t>w</t>
    </r>
  </si>
  <si>
    <r>
      <t>D</t>
    </r>
    <r>
      <rPr>
        <vertAlign val="subscript"/>
        <sz val="11"/>
        <color theme="1"/>
        <rFont val="Calibri"/>
        <family val="2"/>
        <scheme val="minor"/>
      </rPr>
      <t>84</t>
    </r>
  </si>
  <si>
    <r>
      <rPr>
        <sz val="11"/>
        <color theme="1"/>
        <rFont val="Calibri"/>
        <family val="2"/>
      </rPr>
      <t>φ</t>
    </r>
    <r>
      <rPr>
        <vertAlign val="subscript"/>
        <sz val="11"/>
        <color theme="1"/>
        <rFont val="Calibri"/>
        <family val="2"/>
        <scheme val="minor"/>
      </rPr>
      <t>r</t>
    </r>
  </si>
  <si>
    <r>
      <t>h</t>
    </r>
    <r>
      <rPr>
        <vertAlign val="subscript"/>
        <sz val="11"/>
        <color theme="1"/>
        <rFont val="Calibri"/>
        <family val="2"/>
        <scheme val="minor"/>
      </rPr>
      <t>t</t>
    </r>
  </si>
  <si>
    <r>
      <t>C</t>
    </r>
    <r>
      <rPr>
        <vertAlign val="subscript"/>
        <sz val="11"/>
        <color theme="1"/>
        <rFont val="Calibri"/>
        <family val="2"/>
        <scheme val="minor"/>
      </rPr>
      <t>f</t>
    </r>
  </si>
  <si>
    <r>
      <t>R</t>
    </r>
    <r>
      <rPr>
        <vertAlign val="sub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 </t>
    </r>
  </si>
  <si>
    <r>
      <t>N</t>
    </r>
    <r>
      <rPr>
        <vertAlign val="subscript"/>
        <sz val="11"/>
        <color theme="1"/>
        <rFont val="Symbol"/>
        <family val="1"/>
        <charset val="2"/>
      </rPr>
      <t>1</t>
    </r>
  </si>
  <si>
    <r>
      <t>D</t>
    </r>
    <r>
      <rPr>
        <vertAlign val="subscript"/>
        <sz val="11"/>
        <color theme="1"/>
        <rFont val="Calibri"/>
        <family val="2"/>
        <scheme val="minor"/>
      </rPr>
      <t>1</t>
    </r>
  </si>
  <si>
    <r>
      <rPr>
        <sz val="11"/>
        <color theme="1"/>
        <rFont val="Calibri"/>
        <family val="2"/>
      </rPr>
      <t>θ</t>
    </r>
    <r>
      <rPr>
        <vertAlign val="subscript"/>
        <sz val="11"/>
        <color theme="1"/>
        <rFont val="Calibri"/>
        <family val="2"/>
        <scheme val="minor"/>
      </rPr>
      <t>t</t>
    </r>
  </si>
  <si>
    <r>
      <t>ρ</t>
    </r>
    <r>
      <rPr>
        <vertAlign val="subscript"/>
        <sz val="11"/>
        <color theme="1"/>
        <rFont val="Calibri"/>
        <family val="2"/>
        <scheme val="minor"/>
      </rPr>
      <t>i</t>
    </r>
  </si>
  <si>
    <r>
      <t>h</t>
    </r>
    <r>
      <rPr>
        <vertAlign val="subscript"/>
        <sz val="11"/>
        <color theme="1"/>
        <rFont val="Calibri"/>
        <family val="2"/>
        <scheme val="minor"/>
      </rPr>
      <t>i</t>
    </r>
  </si>
  <si>
    <r>
      <t>u</t>
    </r>
    <r>
      <rPr>
        <vertAlign val="subscript"/>
        <sz val="11"/>
        <color theme="1"/>
        <rFont val="Calibri"/>
        <family val="2"/>
        <scheme val="minor"/>
      </rPr>
      <t>s</t>
    </r>
  </si>
  <si>
    <r>
      <t>h</t>
    </r>
    <r>
      <rPr>
        <vertAlign val="subscript"/>
        <sz val="11"/>
        <color theme="1"/>
        <rFont val="Calibri"/>
        <family val="2"/>
        <scheme val="minor"/>
      </rPr>
      <t>eff</t>
    </r>
  </si>
  <si>
    <r>
      <t>R</t>
    </r>
    <r>
      <rPr>
        <vertAlign val="subscript"/>
        <sz val="11"/>
        <color theme="1"/>
        <rFont val="Calibri"/>
        <family val="2"/>
        <scheme val="minor"/>
      </rPr>
      <t>b</t>
    </r>
  </si>
  <si>
    <r>
      <t>c</t>
    </r>
    <r>
      <rPr>
        <vertAlign val="subscript"/>
        <sz val="11"/>
        <color theme="1"/>
        <rFont val="Calibri"/>
        <family val="2"/>
        <scheme val="minor"/>
      </rPr>
      <t>p</t>
    </r>
  </si>
  <si>
    <r>
      <t>K</t>
    </r>
    <r>
      <rPr>
        <vertAlign val="subscript"/>
        <sz val="11"/>
        <color theme="1"/>
        <rFont val="Calibri"/>
        <family val="2"/>
        <scheme val="minor"/>
      </rPr>
      <t>p</t>
    </r>
  </si>
  <si>
    <r>
      <rPr>
        <sz val="11"/>
        <color theme="1"/>
        <rFont val="Calibri"/>
        <family val="2"/>
      </rPr>
      <t>µ</t>
    </r>
    <r>
      <rPr>
        <vertAlign val="subscript"/>
        <sz val="11"/>
        <color theme="1"/>
        <rFont val="Calibri"/>
        <family val="2"/>
        <scheme val="minor"/>
      </rPr>
      <t>w</t>
    </r>
  </si>
  <si>
    <r>
      <t>K</t>
    </r>
    <r>
      <rPr>
        <vertAlign val="subscript"/>
        <sz val="11"/>
        <color theme="1"/>
        <rFont val="Calibri"/>
        <family val="2"/>
        <scheme val="minor"/>
      </rPr>
      <t>h</t>
    </r>
  </si>
  <si>
    <r>
      <t>µ</t>
    </r>
    <r>
      <rPr>
        <vertAlign val="subscript"/>
        <sz val="11"/>
        <color theme="1"/>
        <rFont val="Calibri"/>
        <family val="2"/>
        <scheme val="minor"/>
      </rPr>
      <t>c</t>
    </r>
  </si>
  <si>
    <r>
      <rPr>
        <sz val="11"/>
        <color theme="1"/>
        <rFont val="Calibri"/>
        <family val="2"/>
      </rPr>
      <t>θ</t>
    </r>
    <r>
      <rPr>
        <vertAlign val="subscript"/>
        <sz val="11"/>
        <color theme="1"/>
        <rFont val="Calibri"/>
        <family val="2"/>
        <scheme val="minor"/>
      </rPr>
      <t>c</t>
    </r>
  </si>
  <si>
    <r>
      <t>f</t>
    </r>
    <r>
      <rPr>
        <vertAlign val="subscript"/>
        <sz val="11"/>
        <color theme="1"/>
        <rFont val="Calibri"/>
        <family val="2"/>
        <scheme val="minor"/>
      </rPr>
      <t>r</t>
    </r>
  </si>
  <si>
    <r>
      <t>A</t>
    </r>
    <r>
      <rPr>
        <vertAlign val="subscript"/>
        <sz val="11"/>
        <color theme="1"/>
        <rFont val="Calibri"/>
        <family val="2"/>
        <scheme val="minor"/>
      </rPr>
      <t>i</t>
    </r>
  </si>
  <si>
    <r>
      <t>L</t>
    </r>
    <r>
      <rPr>
        <vertAlign val="subscript"/>
        <sz val="11"/>
        <color theme="1"/>
        <rFont val="Calibri"/>
        <family val="2"/>
        <scheme val="minor"/>
      </rPr>
      <t>i</t>
    </r>
  </si>
  <si>
    <r>
      <t>K</t>
    </r>
    <r>
      <rPr>
        <vertAlign val="subscript"/>
        <sz val="11"/>
        <color theme="1"/>
        <rFont val="Calibri"/>
        <family val="2"/>
        <scheme val="minor"/>
      </rPr>
      <t>i</t>
    </r>
  </si>
  <si>
    <r>
      <t>f</t>
    </r>
    <r>
      <rPr>
        <vertAlign val="subscript"/>
        <sz val="11"/>
        <color theme="1"/>
        <rFont val="Calibri"/>
        <family val="2"/>
        <scheme val="minor"/>
      </rPr>
      <t>m</t>
    </r>
  </si>
  <si>
    <t xml:space="preserve">Calculated in this study. </t>
  </si>
  <si>
    <r>
      <t>l (</t>
    </r>
    <r>
      <rPr>
        <b/>
        <sz val="11"/>
        <color theme="1"/>
        <rFont val="Calibri"/>
        <family val="2"/>
        <scheme val="minor"/>
      </rPr>
      <t>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</si>
</sst>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222222"/>
      <name val="Calibri"/>
      <family val="2"/>
      <scheme val="minor"/>
    </font>
    <font>
      <i/>
      <sz val="10"/>
      <color rgb="FF22222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22222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Symbol"/>
      <family val="1"/>
      <charset val="2"/>
    </font>
    <font>
      <sz val="11"/>
      <color rgb="FFFF0000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sz val="11"/>
      <color theme="1" tint="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ashDot">
        <color indexed="64"/>
      </bottom>
      <diagonal/>
    </border>
    <border>
      <left/>
      <right/>
      <top style="double">
        <color indexed="64"/>
      </top>
      <bottom style="dashDot">
        <color indexed="64"/>
      </bottom>
      <diagonal/>
    </border>
    <border>
      <left/>
      <right style="thin">
        <color indexed="64"/>
      </right>
      <top style="dashDot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vertical="center"/>
    </xf>
    <xf numFmtId="0" fontId="0" fillId="0" borderId="21" xfId="0" applyBorder="1"/>
    <xf numFmtId="0" fontId="0" fillId="0" borderId="22" xfId="0" applyBorder="1"/>
    <xf numFmtId="0" fontId="5" fillId="0" borderId="22" xfId="0" applyFont="1" applyBorder="1"/>
    <xf numFmtId="0" fontId="0" fillId="0" borderId="22" xfId="0" applyBorder="1" applyAlignment="1">
      <alignment wrapText="1"/>
    </xf>
    <xf numFmtId="0" fontId="5" fillId="0" borderId="22" xfId="0" applyFont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4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5" fillId="0" borderId="22" xfId="0" applyFont="1" applyBorder="1" applyAlignment="1">
      <alignment vertical="center"/>
    </xf>
    <xf numFmtId="0" fontId="3" fillId="0" borderId="22" xfId="0" applyFont="1" applyBorder="1" applyAlignment="1">
      <alignment wrapText="1"/>
    </xf>
    <xf numFmtId="0" fontId="5" fillId="0" borderId="23" xfId="0" applyFont="1" applyBorder="1"/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1" fontId="14" fillId="0" borderId="0" xfId="0" applyNumberFormat="1" applyFont="1" applyAlignment="1">
      <alignment horizontal="center"/>
    </xf>
    <xf numFmtId="0" fontId="11" fillId="0" borderId="9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4" fillId="0" borderId="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" fontId="14" fillId="0" borderId="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/>
    <xf numFmtId="0" fontId="0" fillId="0" borderId="19" xfId="0" applyFont="1" applyBorder="1"/>
    <xf numFmtId="0" fontId="12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1" fontId="14" fillId="0" borderId="17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zoomScale="115" zoomScaleNormal="115" workbookViewId="0">
      <selection activeCell="F8" sqref="F8"/>
    </sheetView>
  </sheetViews>
  <sheetFormatPr baseColWidth="10" defaultColWidth="10.85546875" defaultRowHeight="15" x14ac:dyDescent="0.25"/>
  <cols>
    <col min="1" max="1" width="10.85546875" style="8"/>
    <col min="2" max="2" width="36" style="9" bestFit="1" customWidth="1"/>
    <col min="3" max="3" width="10.85546875" style="9" bestFit="1" customWidth="1"/>
    <col min="4" max="4" width="12.42578125" style="9" bestFit="1" customWidth="1"/>
    <col min="5" max="5" width="10.85546875" style="9"/>
    <col min="6" max="6" width="12.85546875" style="9" customWidth="1"/>
    <col min="7" max="7" width="90.7109375" style="10" customWidth="1"/>
  </cols>
  <sheetData>
    <row r="1" spans="1:7" ht="21" customHeight="1" thickBot="1" x14ac:dyDescent="0.3">
      <c r="A1" s="21" t="s">
        <v>70</v>
      </c>
      <c r="B1" s="21" t="s">
        <v>17</v>
      </c>
      <c r="C1" s="21" t="s">
        <v>15</v>
      </c>
      <c r="D1" s="22" t="s">
        <v>11</v>
      </c>
      <c r="E1" s="22" t="s">
        <v>12</v>
      </c>
      <c r="F1" s="23" t="s">
        <v>13</v>
      </c>
      <c r="G1" s="23" t="s">
        <v>80</v>
      </c>
    </row>
    <row r="2" spans="1:7" x14ac:dyDescent="0.25">
      <c r="A2" s="17" t="s">
        <v>14</v>
      </c>
      <c r="B2" s="28" t="s">
        <v>72</v>
      </c>
      <c r="C2" s="28" t="s">
        <v>16</v>
      </c>
      <c r="D2" s="9" t="s">
        <v>10</v>
      </c>
      <c r="E2" s="9">
        <v>3.71</v>
      </c>
      <c r="F2" s="7" t="s">
        <v>10</v>
      </c>
      <c r="G2" s="2"/>
    </row>
    <row r="3" spans="1:7" ht="17.45" customHeight="1" x14ac:dyDescent="0.25">
      <c r="A3" s="17" t="s">
        <v>121</v>
      </c>
      <c r="B3" s="28" t="s">
        <v>18</v>
      </c>
      <c r="C3" s="28" t="s">
        <v>19</v>
      </c>
      <c r="D3" s="9" t="s">
        <v>10</v>
      </c>
      <c r="E3" s="9">
        <v>1000</v>
      </c>
      <c r="F3" s="7" t="s">
        <v>10</v>
      </c>
      <c r="G3" s="3"/>
    </row>
    <row r="4" spans="1:7" s="1" customFormat="1" ht="33.6" customHeight="1" x14ac:dyDescent="0.25">
      <c r="A4" s="17" t="s">
        <v>120</v>
      </c>
      <c r="B4" s="28" t="s">
        <v>20</v>
      </c>
      <c r="C4" s="28" t="s">
        <v>19</v>
      </c>
      <c r="D4" s="9">
        <v>2650</v>
      </c>
      <c r="E4" s="9">
        <f>(F4+D4)/2</f>
        <v>3025</v>
      </c>
      <c r="F4" s="7">
        <v>3400</v>
      </c>
      <c r="G4" s="24" t="s">
        <v>73</v>
      </c>
    </row>
    <row r="5" spans="1:7" ht="16.5" x14ac:dyDescent="0.25">
      <c r="A5" s="17" t="s">
        <v>119</v>
      </c>
      <c r="B5" s="28" t="s">
        <v>41</v>
      </c>
      <c r="C5" s="28"/>
      <c r="D5" s="31">
        <f>E3/(F4-E3)</f>
        <v>0.41666666666666669</v>
      </c>
      <c r="E5" s="31">
        <f>E3/(E4-E3)</f>
        <v>0.49382716049382713</v>
      </c>
      <c r="F5" s="32">
        <f>E3/(D4-E3)</f>
        <v>0.60606060606060608</v>
      </c>
      <c r="G5" s="25" t="s">
        <v>146</v>
      </c>
    </row>
    <row r="6" spans="1:7" ht="30.6" customHeight="1" x14ac:dyDescent="0.25">
      <c r="A6" s="17" t="s">
        <v>116</v>
      </c>
      <c r="B6" s="28" t="s">
        <v>21</v>
      </c>
      <c r="C6" s="28" t="s">
        <v>22</v>
      </c>
      <c r="E6" s="9">
        <v>4.4999999999999998E-2</v>
      </c>
      <c r="F6" s="7"/>
      <c r="G6" s="24" t="s">
        <v>74</v>
      </c>
    </row>
    <row r="7" spans="1:7" ht="32.1" customHeight="1" x14ac:dyDescent="0.25">
      <c r="A7" s="17" t="s">
        <v>117</v>
      </c>
      <c r="B7" s="28"/>
      <c r="C7" s="28" t="s">
        <v>22</v>
      </c>
      <c r="E7" s="9">
        <v>7.1000000000000004E-3</v>
      </c>
      <c r="F7" s="7"/>
      <c r="G7" s="24" t="s">
        <v>73</v>
      </c>
    </row>
    <row r="8" spans="1:7" ht="30.6" customHeight="1" x14ac:dyDescent="0.25">
      <c r="A8" s="17" t="s">
        <v>118</v>
      </c>
      <c r="B8" s="28"/>
      <c r="C8" s="28" t="s">
        <v>22</v>
      </c>
      <c r="E8" s="9">
        <v>0.24</v>
      </c>
      <c r="F8" s="7"/>
      <c r="G8" s="24" t="s">
        <v>73</v>
      </c>
    </row>
    <row r="9" spans="1:7" ht="29.45" customHeight="1" x14ac:dyDescent="0.25">
      <c r="A9" s="17" t="s">
        <v>122</v>
      </c>
      <c r="B9" s="28"/>
      <c r="C9" s="28" t="s">
        <v>22</v>
      </c>
      <c r="E9" s="9">
        <v>0.63</v>
      </c>
      <c r="F9" s="7"/>
      <c r="G9" s="24" t="s">
        <v>73</v>
      </c>
    </row>
    <row r="10" spans="1:7" ht="25.5" x14ac:dyDescent="0.25">
      <c r="A10" s="17" t="s">
        <v>123</v>
      </c>
      <c r="B10" s="28" t="s">
        <v>23</v>
      </c>
      <c r="C10" s="28" t="s">
        <v>24</v>
      </c>
      <c r="D10" s="9">
        <v>30</v>
      </c>
      <c r="E10" s="9">
        <v>35</v>
      </c>
      <c r="F10" s="7">
        <v>40</v>
      </c>
      <c r="G10" s="24" t="s">
        <v>75</v>
      </c>
    </row>
    <row r="11" spans="1:7" ht="30" customHeight="1" x14ac:dyDescent="0.25">
      <c r="A11" s="17" t="s">
        <v>71</v>
      </c>
      <c r="B11" s="28" t="s">
        <v>32</v>
      </c>
      <c r="C11" s="28" t="s">
        <v>24</v>
      </c>
      <c r="D11" s="9">
        <v>4</v>
      </c>
      <c r="E11" s="9">
        <v>6</v>
      </c>
      <c r="F11" s="7">
        <v>10</v>
      </c>
      <c r="G11" s="24" t="s">
        <v>76</v>
      </c>
    </row>
    <row r="12" spans="1:7" x14ac:dyDescent="0.25">
      <c r="A12" s="17" t="s">
        <v>25</v>
      </c>
      <c r="B12" s="28" t="s">
        <v>28</v>
      </c>
      <c r="C12" s="28" t="s">
        <v>22</v>
      </c>
      <c r="D12" s="9">
        <v>581</v>
      </c>
      <c r="E12" s="9">
        <v>1640</v>
      </c>
      <c r="F12" s="7">
        <v>4976</v>
      </c>
      <c r="G12" s="4" t="s">
        <v>31</v>
      </c>
    </row>
    <row r="13" spans="1:7" x14ac:dyDescent="0.25">
      <c r="A13" s="17" t="s">
        <v>26</v>
      </c>
      <c r="B13" s="28" t="s">
        <v>29</v>
      </c>
      <c r="C13" s="28" t="s">
        <v>22</v>
      </c>
      <c r="D13" s="9">
        <v>133900</v>
      </c>
      <c r="E13" s="9">
        <v>410000</v>
      </c>
      <c r="F13" s="7">
        <v>1088000</v>
      </c>
      <c r="G13" s="4" t="s">
        <v>31</v>
      </c>
    </row>
    <row r="14" spans="1:7" x14ac:dyDescent="0.25">
      <c r="A14" s="17" t="s">
        <v>27</v>
      </c>
      <c r="B14" s="28" t="s">
        <v>30</v>
      </c>
      <c r="C14" s="28"/>
      <c r="D14" s="9">
        <f>3.9*10^-4</f>
        <v>3.8999999999999999E-4</v>
      </c>
      <c r="E14" s="9">
        <v>4.0000000000000001E-3</v>
      </c>
      <c r="F14" s="7">
        <v>0.04</v>
      </c>
      <c r="G14" s="4" t="s">
        <v>31</v>
      </c>
    </row>
    <row r="15" spans="1:7" ht="25.5" x14ac:dyDescent="0.25">
      <c r="A15" s="17" t="s">
        <v>124</v>
      </c>
      <c r="B15" s="28" t="s">
        <v>34</v>
      </c>
      <c r="C15" s="28" t="s">
        <v>22</v>
      </c>
      <c r="D15" s="9">
        <v>10</v>
      </c>
      <c r="E15" s="9">
        <v>109</v>
      </c>
      <c r="F15" s="7">
        <v>246</v>
      </c>
      <c r="G15" s="24" t="s">
        <v>76</v>
      </c>
    </row>
    <row r="16" spans="1:7" x14ac:dyDescent="0.25">
      <c r="A16" s="17" t="s">
        <v>33</v>
      </c>
      <c r="B16" s="28" t="s">
        <v>36</v>
      </c>
      <c r="C16" s="28" t="s">
        <v>22</v>
      </c>
      <c r="D16" s="9">
        <v>84</v>
      </c>
      <c r="E16" s="9">
        <v>770</v>
      </c>
      <c r="F16" s="7">
        <v>6816</v>
      </c>
      <c r="G16" s="4" t="s">
        <v>31</v>
      </c>
    </row>
    <row r="17" spans="1:7" ht="63.75" x14ac:dyDescent="0.25">
      <c r="A17" s="17" t="s">
        <v>125</v>
      </c>
      <c r="B17" s="28" t="s">
        <v>35</v>
      </c>
      <c r="C17" s="28"/>
      <c r="D17" s="9">
        <v>6.3700000000000007E-2</v>
      </c>
      <c r="E17" s="9">
        <v>6.7100000000000007E-2</v>
      </c>
      <c r="F17" s="7">
        <v>7.3800000000000004E-2</v>
      </c>
      <c r="G17" s="24" t="s">
        <v>77</v>
      </c>
    </row>
    <row r="18" spans="1:7" ht="26.25" x14ac:dyDescent="0.25">
      <c r="A18" s="17" t="s">
        <v>37</v>
      </c>
      <c r="B18" s="28" t="s">
        <v>38</v>
      </c>
      <c r="C18" s="28" t="s">
        <v>10</v>
      </c>
      <c r="E18" s="9">
        <v>0.12</v>
      </c>
      <c r="F18" s="7"/>
      <c r="G18" s="26" t="s">
        <v>78</v>
      </c>
    </row>
    <row r="19" spans="1:7" ht="39" x14ac:dyDescent="0.25">
      <c r="A19" s="17" t="s">
        <v>126</v>
      </c>
      <c r="B19" s="28" t="s">
        <v>39</v>
      </c>
      <c r="C19" s="28" t="s">
        <v>22</v>
      </c>
      <c r="D19" s="9">
        <v>30</v>
      </c>
      <c r="E19" s="9">
        <v>70</v>
      </c>
      <c r="F19" s="7">
        <v>105</v>
      </c>
      <c r="G19" s="6" t="s">
        <v>79</v>
      </c>
    </row>
    <row r="20" spans="1:7" ht="26.25" x14ac:dyDescent="0.25">
      <c r="A20" s="17" t="s">
        <v>92</v>
      </c>
      <c r="B20" s="28" t="s">
        <v>94</v>
      </c>
      <c r="C20" s="28" t="s">
        <v>96</v>
      </c>
      <c r="D20" s="9">
        <v>5.0000000000000001E-3</v>
      </c>
      <c r="E20" s="9">
        <v>0.01</v>
      </c>
      <c r="F20" s="7">
        <v>0.02</v>
      </c>
      <c r="G20" s="26" t="s">
        <v>98</v>
      </c>
    </row>
    <row r="21" spans="1:7" ht="26.25" x14ac:dyDescent="0.25">
      <c r="A21" s="17" t="s">
        <v>93</v>
      </c>
      <c r="B21" s="28" t="s">
        <v>95</v>
      </c>
      <c r="C21" s="28" t="s">
        <v>97</v>
      </c>
      <c r="D21" s="9">
        <f>10^-6</f>
        <v>9.9999999999999995E-7</v>
      </c>
      <c r="E21" s="9">
        <f>10^-5</f>
        <v>1.0000000000000001E-5</v>
      </c>
      <c r="F21" s="7">
        <f>50*10^-5</f>
        <v>5.0000000000000001E-4</v>
      </c>
      <c r="G21" s="26" t="s">
        <v>98</v>
      </c>
    </row>
    <row r="22" spans="1:7" ht="38.25" x14ac:dyDescent="0.25">
      <c r="A22" s="17" t="s">
        <v>22</v>
      </c>
      <c r="B22" s="28" t="s">
        <v>100</v>
      </c>
      <c r="C22" s="28" t="s">
        <v>10</v>
      </c>
      <c r="D22" s="9">
        <v>0.3</v>
      </c>
      <c r="E22" s="9">
        <v>0.7</v>
      </c>
      <c r="F22" s="7">
        <v>1</v>
      </c>
      <c r="G22" s="24" t="s">
        <v>99</v>
      </c>
    </row>
    <row r="23" spans="1:7" x14ac:dyDescent="0.25">
      <c r="A23" s="18" t="s">
        <v>101</v>
      </c>
      <c r="B23" s="28" t="s">
        <v>103</v>
      </c>
      <c r="C23" s="28" t="s">
        <v>24</v>
      </c>
      <c r="D23" s="9">
        <v>0</v>
      </c>
      <c r="E23" s="9">
        <v>40</v>
      </c>
      <c r="F23" s="7">
        <v>60</v>
      </c>
      <c r="G23" s="24" t="s">
        <v>106</v>
      </c>
    </row>
    <row r="24" spans="1:7" x14ac:dyDescent="0.25">
      <c r="A24" s="18" t="s">
        <v>102</v>
      </c>
      <c r="B24" s="28" t="s">
        <v>104</v>
      </c>
      <c r="C24" s="28" t="s">
        <v>24</v>
      </c>
      <c r="D24" s="9">
        <v>0</v>
      </c>
      <c r="E24" s="9">
        <v>25</v>
      </c>
      <c r="F24" s="7">
        <v>40</v>
      </c>
      <c r="G24" s="24" t="s">
        <v>106</v>
      </c>
    </row>
    <row r="25" spans="1:7" ht="16.5" x14ac:dyDescent="0.25">
      <c r="A25" s="18" t="s">
        <v>127</v>
      </c>
      <c r="B25" s="28" t="s">
        <v>105</v>
      </c>
      <c r="C25" s="28" t="s">
        <v>10</v>
      </c>
      <c r="D25" s="9">
        <v>1</v>
      </c>
      <c r="E25" s="9">
        <v>5</v>
      </c>
      <c r="F25" s="7">
        <v>4000</v>
      </c>
      <c r="G25" s="24" t="s">
        <v>106</v>
      </c>
    </row>
    <row r="26" spans="1:7" ht="25.5" x14ac:dyDescent="0.25">
      <c r="A26" s="17" t="s">
        <v>128</v>
      </c>
      <c r="B26" s="28" t="s">
        <v>107</v>
      </c>
      <c r="C26" s="28" t="s">
        <v>10</v>
      </c>
      <c r="D26" s="9">
        <v>1</v>
      </c>
      <c r="E26" s="9">
        <v>1.1000000000000001</v>
      </c>
      <c r="F26" s="7">
        <v>1.2</v>
      </c>
      <c r="G26" s="24" t="s">
        <v>108</v>
      </c>
    </row>
    <row r="27" spans="1:7" ht="39" x14ac:dyDescent="0.25">
      <c r="A27" s="17" t="s">
        <v>129</v>
      </c>
      <c r="B27" s="28" t="s">
        <v>40</v>
      </c>
      <c r="C27" s="28" t="s">
        <v>10</v>
      </c>
      <c r="D27" s="9">
        <v>0.10730000000000001</v>
      </c>
      <c r="E27" s="9">
        <v>0.11</v>
      </c>
      <c r="F27" s="7">
        <v>0.125</v>
      </c>
      <c r="G27" s="6" t="s">
        <v>87</v>
      </c>
    </row>
    <row r="28" spans="1:7" ht="18" x14ac:dyDescent="0.25">
      <c r="A28" s="17" t="s">
        <v>130</v>
      </c>
      <c r="B28" s="28" t="s">
        <v>42</v>
      </c>
      <c r="C28" s="28" t="s">
        <v>19</v>
      </c>
      <c r="D28" s="9" t="s">
        <v>10</v>
      </c>
      <c r="E28" s="9">
        <v>910</v>
      </c>
      <c r="F28" s="7" t="s">
        <v>10</v>
      </c>
      <c r="G28" s="3"/>
    </row>
    <row r="29" spans="1:7" x14ac:dyDescent="0.25">
      <c r="A29" s="17" t="s">
        <v>43</v>
      </c>
      <c r="B29" s="28" t="s">
        <v>44</v>
      </c>
      <c r="C29" s="28" t="s">
        <v>10</v>
      </c>
      <c r="D29" s="9" t="s">
        <v>10</v>
      </c>
      <c r="E29" s="9">
        <f>10^-10</f>
        <v>1E-10</v>
      </c>
      <c r="F29" s="7" t="s">
        <v>10</v>
      </c>
      <c r="G29" s="3" t="s">
        <v>81</v>
      </c>
    </row>
    <row r="30" spans="1:7" ht="18" x14ac:dyDescent="0.25">
      <c r="A30" s="17" t="s">
        <v>131</v>
      </c>
      <c r="B30" s="28" t="s">
        <v>45</v>
      </c>
      <c r="C30" s="28" t="s">
        <v>22</v>
      </c>
      <c r="D30" s="9">
        <v>10</v>
      </c>
      <c r="E30" s="9">
        <v>109</v>
      </c>
      <c r="F30" s="7">
        <v>246</v>
      </c>
      <c r="G30" s="4" t="s">
        <v>82</v>
      </c>
    </row>
    <row r="31" spans="1:7" ht="26.25" x14ac:dyDescent="0.25">
      <c r="A31" s="18" t="s">
        <v>114</v>
      </c>
      <c r="B31" s="28" t="s">
        <v>115</v>
      </c>
      <c r="C31" s="28" t="s">
        <v>113</v>
      </c>
      <c r="D31" s="9">
        <f>10^4</f>
        <v>10000</v>
      </c>
      <c r="E31" s="9">
        <f>7*10^4</f>
        <v>70000</v>
      </c>
      <c r="F31" s="7">
        <f>3*10^5</f>
        <v>300000</v>
      </c>
      <c r="G31" s="26" t="s">
        <v>110</v>
      </c>
    </row>
    <row r="32" spans="1:7" ht="26.25" x14ac:dyDescent="0.25">
      <c r="A32" s="18" t="s">
        <v>133</v>
      </c>
      <c r="B32" s="28" t="s">
        <v>112</v>
      </c>
      <c r="C32" s="28" t="s">
        <v>113</v>
      </c>
      <c r="E32" s="9">
        <f>10^14</f>
        <v>100000000000000</v>
      </c>
      <c r="F32" s="7"/>
      <c r="G32" s="26" t="s">
        <v>110</v>
      </c>
    </row>
    <row r="33" spans="1:7" ht="26.25" x14ac:dyDescent="0.25">
      <c r="A33" s="17" t="s">
        <v>132</v>
      </c>
      <c r="B33" s="28" t="s">
        <v>109</v>
      </c>
      <c r="C33" s="28" t="s">
        <v>50</v>
      </c>
      <c r="D33" s="9">
        <f>7*10^-11</f>
        <v>6.9999999999999991E-11</v>
      </c>
      <c r="E33" s="9">
        <f>10^-8</f>
        <v>1E-8</v>
      </c>
      <c r="F33" s="7">
        <f>4*10^-6</f>
        <v>3.9999999999999998E-6</v>
      </c>
      <c r="G33" s="6" t="s">
        <v>111</v>
      </c>
    </row>
    <row r="34" spans="1:7" ht="41.25" x14ac:dyDescent="0.25">
      <c r="A34" s="17" t="s">
        <v>134</v>
      </c>
      <c r="B34" s="28" t="s">
        <v>46</v>
      </c>
      <c r="C34" s="28" t="s">
        <v>10</v>
      </c>
      <c r="D34" s="11">
        <f>0.5/13</f>
        <v>3.8461538461538464E-2</v>
      </c>
      <c r="E34" s="12">
        <v>0.1</v>
      </c>
      <c r="F34" s="14">
        <f>13*0.5</f>
        <v>6.5</v>
      </c>
      <c r="G34" s="5" t="s">
        <v>83</v>
      </c>
    </row>
    <row r="35" spans="1:7" ht="26.25" x14ac:dyDescent="0.25">
      <c r="A35" s="19" t="s">
        <v>135</v>
      </c>
      <c r="B35" s="29" t="s">
        <v>47</v>
      </c>
      <c r="C35" s="29" t="s">
        <v>48</v>
      </c>
      <c r="D35" s="13">
        <f>3*10^-17</f>
        <v>3.0000000000000001E-17</v>
      </c>
      <c r="E35" s="9">
        <f>3*10^16</f>
        <v>3E+16</v>
      </c>
      <c r="F35" s="7">
        <f>3*10^-15</f>
        <v>3.0000000000000002E-15</v>
      </c>
      <c r="G35" s="26" t="s">
        <v>110</v>
      </c>
    </row>
    <row r="36" spans="1:7" ht="26.25" x14ac:dyDescent="0.25">
      <c r="A36" s="17" t="s">
        <v>136</v>
      </c>
      <c r="B36" s="28" t="s">
        <v>51</v>
      </c>
      <c r="C36" s="28" t="s">
        <v>52</v>
      </c>
      <c r="D36" s="9">
        <f>3.5*10^-13</f>
        <v>3.5000000000000002E-13</v>
      </c>
      <c r="E36" s="9">
        <f>10^-12</f>
        <v>9.9999999999999998E-13</v>
      </c>
      <c r="F36" s="7">
        <f>2.75*10^-12</f>
        <v>2.7499999999999998E-12</v>
      </c>
      <c r="G36" s="26" t="s">
        <v>84</v>
      </c>
    </row>
    <row r="37" spans="1:7" ht="18" x14ac:dyDescent="0.25">
      <c r="A37" s="17" t="s">
        <v>137</v>
      </c>
      <c r="B37" s="28" t="s">
        <v>53</v>
      </c>
      <c r="C37" s="28" t="s">
        <v>54</v>
      </c>
      <c r="D37" s="9">
        <v>1.6999999999999999E-3</v>
      </c>
      <c r="E37" s="9">
        <f>1.8*10^-3</f>
        <v>1.8000000000000002E-3</v>
      </c>
      <c r="F37" s="7">
        <v>1.8E-3</v>
      </c>
      <c r="G37" s="3"/>
    </row>
    <row r="38" spans="1:7" ht="18" x14ac:dyDescent="0.25">
      <c r="A38" s="17" t="s">
        <v>138</v>
      </c>
      <c r="B38" s="28" t="s">
        <v>49</v>
      </c>
      <c r="C38" s="28" t="s">
        <v>50</v>
      </c>
      <c r="D38" s="9">
        <f>D36*E3*E2/E37</f>
        <v>7.2138888888888878E-7</v>
      </c>
      <c r="E38" s="9">
        <f>2.1*10^-6</f>
        <v>2.0999999999999998E-6</v>
      </c>
      <c r="F38" s="7">
        <f>D38/D36*F36</f>
        <v>5.6680555555555543E-6</v>
      </c>
      <c r="G38" s="4" t="s">
        <v>85</v>
      </c>
    </row>
    <row r="39" spans="1:7" ht="25.5" x14ac:dyDescent="0.25">
      <c r="A39" s="17" t="s">
        <v>139</v>
      </c>
      <c r="B39" s="28" t="s">
        <v>55</v>
      </c>
      <c r="C39" s="28" t="s">
        <v>10</v>
      </c>
      <c r="E39" s="9">
        <v>0.05</v>
      </c>
      <c r="F39" s="7"/>
      <c r="G39" s="24" t="s">
        <v>86</v>
      </c>
    </row>
    <row r="40" spans="1:7" ht="26.25" x14ac:dyDescent="0.25">
      <c r="A40" s="17" t="s">
        <v>140</v>
      </c>
      <c r="B40" s="28" t="s">
        <v>56</v>
      </c>
      <c r="C40" s="28" t="s">
        <v>57</v>
      </c>
      <c r="D40" s="9">
        <f>E39*E2*(D4-E3)*E6</f>
        <v>13.773375</v>
      </c>
      <c r="E40" s="9">
        <f>E39*E2*(E4-E3)*E6</f>
        <v>16.9036875</v>
      </c>
      <c r="F40" s="7">
        <f>E39*E2*(F4-E3)*E6</f>
        <v>20.033999999999999</v>
      </c>
      <c r="G40" s="6" t="s">
        <v>88</v>
      </c>
    </row>
    <row r="41" spans="1:7" ht="18" x14ac:dyDescent="0.25">
      <c r="A41" s="17" t="s">
        <v>141</v>
      </c>
      <c r="B41" s="28" t="s">
        <v>58</v>
      </c>
      <c r="C41" s="28"/>
      <c r="D41" s="9">
        <f>8*D17^2</f>
        <v>3.2461520000000008E-2</v>
      </c>
      <c r="E41" s="9">
        <f>8*E17^2</f>
        <v>3.6019280000000008E-2</v>
      </c>
      <c r="F41" s="7">
        <f>8*F17^2</f>
        <v>4.3571520000000002E-2</v>
      </c>
      <c r="G41" s="4" t="s">
        <v>89</v>
      </c>
    </row>
    <row r="42" spans="1:7" ht="18" x14ac:dyDescent="0.25">
      <c r="A42" s="17" t="s">
        <v>142</v>
      </c>
      <c r="B42" s="28" t="s">
        <v>59</v>
      </c>
      <c r="C42" s="28" t="s">
        <v>60</v>
      </c>
      <c r="E42" s="9">
        <f>6.8*10^-24</f>
        <v>6.7999999999999998E-24</v>
      </c>
      <c r="F42" s="7"/>
      <c r="G42" s="4" t="s">
        <v>90</v>
      </c>
    </row>
    <row r="43" spans="1:7" ht="18" x14ac:dyDescent="0.25">
      <c r="A43" s="17" t="s">
        <v>143</v>
      </c>
      <c r="B43" s="28" t="s">
        <v>61</v>
      </c>
      <c r="C43" s="28" t="s">
        <v>62</v>
      </c>
      <c r="E43" s="9">
        <f>3.33*10^5</f>
        <v>333000</v>
      </c>
      <c r="F43" s="7"/>
      <c r="G43" s="3"/>
    </row>
    <row r="44" spans="1:7" ht="26.25" x14ac:dyDescent="0.25">
      <c r="A44" s="17" t="s">
        <v>144</v>
      </c>
      <c r="B44" s="28" t="s">
        <v>63</v>
      </c>
      <c r="C44" s="28" t="s">
        <v>10</v>
      </c>
      <c r="D44" s="9">
        <v>1</v>
      </c>
      <c r="E44" s="9">
        <v>1.0604</v>
      </c>
      <c r="F44" s="7"/>
      <c r="G44" s="6" t="s">
        <v>91</v>
      </c>
    </row>
    <row r="45" spans="1:7" ht="18.75" thickBot="1" x14ac:dyDescent="0.3">
      <c r="A45" s="20" t="s">
        <v>145</v>
      </c>
      <c r="B45" s="30" t="s">
        <v>64</v>
      </c>
      <c r="C45" s="30" t="s">
        <v>10</v>
      </c>
      <c r="D45" s="15">
        <v>0.01</v>
      </c>
      <c r="E45" s="15">
        <v>0.5</v>
      </c>
      <c r="F45" s="16">
        <v>0.8</v>
      </c>
      <c r="G45" s="27" t="s">
        <v>31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selection activeCell="C29" sqref="C29"/>
    </sheetView>
  </sheetViews>
  <sheetFormatPr baseColWidth="10" defaultColWidth="10.85546875" defaultRowHeight="15" x14ac:dyDescent="0.25"/>
  <cols>
    <col min="1" max="1" width="15.85546875" style="66" customWidth="1"/>
    <col min="2" max="19" width="10.85546875" style="66"/>
  </cols>
  <sheetData>
    <row r="1" spans="1:19" ht="15.75" thickBot="1" x14ac:dyDescent="0.3">
      <c r="A1" s="33" t="s">
        <v>0</v>
      </c>
      <c r="B1" s="34"/>
      <c r="C1" s="35" t="s">
        <v>14</v>
      </c>
      <c r="D1" s="36"/>
      <c r="E1" s="37"/>
      <c r="F1" s="37" t="s">
        <v>65</v>
      </c>
      <c r="G1" s="38"/>
      <c r="H1" s="34"/>
      <c r="I1" s="37" t="s">
        <v>66</v>
      </c>
      <c r="J1" s="36"/>
      <c r="K1" s="37"/>
      <c r="L1" s="35" t="s">
        <v>147</v>
      </c>
      <c r="M1" s="36"/>
      <c r="N1" s="37"/>
      <c r="O1" s="37" t="s">
        <v>8</v>
      </c>
      <c r="P1" s="36"/>
      <c r="Q1" s="37"/>
      <c r="R1" s="35" t="s">
        <v>69</v>
      </c>
      <c r="S1" s="36"/>
    </row>
    <row r="2" spans="1:19" ht="15.75" thickTop="1" x14ac:dyDescent="0.25">
      <c r="A2" s="39" t="s">
        <v>9</v>
      </c>
      <c r="B2" s="40" t="s">
        <v>5</v>
      </c>
      <c r="C2" s="40" t="s">
        <v>6</v>
      </c>
      <c r="D2" s="41" t="s">
        <v>7</v>
      </c>
      <c r="E2" s="40" t="s">
        <v>5</v>
      </c>
      <c r="F2" s="40" t="s">
        <v>6</v>
      </c>
      <c r="G2" s="41" t="s">
        <v>7</v>
      </c>
      <c r="H2" s="40" t="s">
        <v>5</v>
      </c>
      <c r="I2" s="40" t="s">
        <v>6</v>
      </c>
      <c r="J2" s="41" t="s">
        <v>7</v>
      </c>
      <c r="K2" s="40" t="s">
        <v>5</v>
      </c>
      <c r="L2" s="40" t="s">
        <v>6</v>
      </c>
      <c r="M2" s="41" t="s">
        <v>7</v>
      </c>
      <c r="N2" s="40" t="s">
        <v>5</v>
      </c>
      <c r="O2" s="40" t="s">
        <v>6</v>
      </c>
      <c r="P2" s="41" t="s">
        <v>7</v>
      </c>
      <c r="Q2" s="40" t="s">
        <v>5</v>
      </c>
      <c r="R2" s="40" t="s">
        <v>6</v>
      </c>
      <c r="S2" s="41" t="s">
        <v>7</v>
      </c>
    </row>
    <row r="3" spans="1:19" x14ac:dyDescent="0.25">
      <c r="A3" s="42" t="s">
        <v>1</v>
      </c>
      <c r="B3" s="43">
        <v>45</v>
      </c>
      <c r="C3" s="44">
        <v>60</v>
      </c>
      <c r="D3" s="45">
        <v>90</v>
      </c>
      <c r="E3" s="46">
        <f>F3-F3/10</f>
        <v>1.4400000000000002</v>
      </c>
      <c r="F3" s="47">
        <v>1.6</v>
      </c>
      <c r="G3" s="48">
        <f>F3+F3/10</f>
        <v>1.76</v>
      </c>
      <c r="H3" s="46">
        <v>3</v>
      </c>
      <c r="I3" s="49">
        <v>6.1438561897747199</v>
      </c>
      <c r="J3" s="50">
        <v>7</v>
      </c>
      <c r="K3" s="51">
        <v>50</v>
      </c>
      <c r="L3" s="52">
        <v>150</v>
      </c>
      <c r="M3" s="45">
        <v>300</v>
      </c>
      <c r="N3" s="51">
        <v>1150</v>
      </c>
      <c r="O3" s="53">
        <v>2430</v>
      </c>
      <c r="P3" s="45">
        <f>1.78*10^5</f>
        <v>178000</v>
      </c>
      <c r="Q3" s="43">
        <v>0</v>
      </c>
      <c r="R3" s="44">
        <v>1</v>
      </c>
      <c r="S3" s="48">
        <v>10</v>
      </c>
    </row>
    <row r="4" spans="1:19" x14ac:dyDescent="0.25">
      <c r="A4" s="42" t="s">
        <v>2</v>
      </c>
      <c r="B4" s="43">
        <v>70</v>
      </c>
      <c r="C4" s="44">
        <v>90</v>
      </c>
      <c r="D4" s="45">
        <v>110</v>
      </c>
      <c r="E4" s="46">
        <f t="shared" ref="E4:E6" si="0">F4-F4/10</f>
        <v>1.35</v>
      </c>
      <c r="F4" s="47">
        <v>1.5</v>
      </c>
      <c r="G4" s="48">
        <f t="shared" ref="G4:G6" si="1">F4+F4/10</f>
        <v>1.65</v>
      </c>
      <c r="H4" s="46">
        <v>1</v>
      </c>
      <c r="I4" s="49">
        <v>2.16096404744368</v>
      </c>
      <c r="J4" s="48">
        <v>4</v>
      </c>
      <c r="K4" s="51">
        <v>1000</v>
      </c>
      <c r="L4" s="52">
        <v>2000</v>
      </c>
      <c r="M4" s="45">
        <v>3000</v>
      </c>
      <c r="N4" s="43">
        <v>1</v>
      </c>
      <c r="O4" s="53">
        <v>5.5073956647514803</v>
      </c>
      <c r="P4" s="45">
        <v>550</v>
      </c>
      <c r="Q4" s="43">
        <v>0</v>
      </c>
      <c r="R4" s="44">
        <v>5</v>
      </c>
      <c r="S4" s="48">
        <v>15</v>
      </c>
    </row>
    <row r="5" spans="1:19" x14ac:dyDescent="0.25">
      <c r="A5" s="42" t="s">
        <v>3</v>
      </c>
      <c r="B5" s="43">
        <v>65</v>
      </c>
      <c r="C5" s="44">
        <v>72</v>
      </c>
      <c r="D5" s="45">
        <v>80</v>
      </c>
      <c r="E5" s="46">
        <f t="shared" si="0"/>
        <v>1.17</v>
      </c>
      <c r="F5" s="47">
        <v>1.3</v>
      </c>
      <c r="G5" s="48">
        <f t="shared" si="1"/>
        <v>1.4300000000000002</v>
      </c>
      <c r="H5" s="46">
        <v>1</v>
      </c>
      <c r="I5" s="49">
        <v>2.45344529780425</v>
      </c>
      <c r="J5" s="48">
        <v>3</v>
      </c>
      <c r="K5" s="46">
        <v>920</v>
      </c>
      <c r="L5" s="54">
        <v>1025</v>
      </c>
      <c r="M5" s="48">
        <v>1130</v>
      </c>
      <c r="N5" s="51">
        <v>25</v>
      </c>
      <c r="O5" s="53">
        <v>38</v>
      </c>
      <c r="P5" s="45">
        <v>440</v>
      </c>
      <c r="Q5" s="43">
        <v>0</v>
      </c>
      <c r="R5" s="44">
        <v>0.1</v>
      </c>
      <c r="S5" s="48">
        <v>5</v>
      </c>
    </row>
    <row r="6" spans="1:19" x14ac:dyDescent="0.25">
      <c r="A6" s="55" t="s">
        <v>4</v>
      </c>
      <c r="B6" s="56">
        <f>C6-C6/10</f>
        <v>54</v>
      </c>
      <c r="C6" s="57">
        <v>60</v>
      </c>
      <c r="D6" s="58">
        <f>C6+C6/10</f>
        <v>66</v>
      </c>
      <c r="E6" s="59">
        <f t="shared" si="0"/>
        <v>1.35</v>
      </c>
      <c r="F6" s="57">
        <v>1.5</v>
      </c>
      <c r="G6" s="60">
        <f t="shared" si="1"/>
        <v>1.65</v>
      </c>
      <c r="H6" s="61">
        <v>1</v>
      </c>
      <c r="I6" s="62">
        <v>3</v>
      </c>
      <c r="J6" s="60">
        <v>5</v>
      </c>
      <c r="K6" s="59">
        <v>920</v>
      </c>
      <c r="L6" s="62">
        <v>1025</v>
      </c>
      <c r="M6" s="60">
        <v>1130</v>
      </c>
      <c r="N6" s="56">
        <v>13</v>
      </c>
      <c r="O6" s="63">
        <v>1214.7106733267799</v>
      </c>
      <c r="P6" s="58">
        <f>1.42*10^5</f>
        <v>142000</v>
      </c>
      <c r="Q6" s="56">
        <v>0</v>
      </c>
      <c r="R6" s="64">
        <v>15</v>
      </c>
      <c r="S6" s="60">
        <v>70</v>
      </c>
    </row>
    <row r="8" spans="1:19" ht="15.75" thickBot="1" x14ac:dyDescent="0.3">
      <c r="A8" s="65" t="s">
        <v>68</v>
      </c>
    </row>
    <row r="9" spans="1:19" ht="15.75" thickBot="1" x14ac:dyDescent="0.3">
      <c r="A9" s="67"/>
      <c r="B9" s="68" t="s">
        <v>14</v>
      </c>
      <c r="C9" s="69" t="s">
        <v>65</v>
      </c>
      <c r="D9" s="69" t="s">
        <v>66</v>
      </c>
      <c r="E9" s="68" t="s">
        <v>67</v>
      </c>
      <c r="F9" s="69" t="s">
        <v>8</v>
      </c>
      <c r="G9" s="70" t="s">
        <v>33</v>
      </c>
    </row>
    <row r="10" spans="1:19" ht="15.75" thickTop="1" x14ac:dyDescent="0.25">
      <c r="A10" s="71" t="s">
        <v>1</v>
      </c>
      <c r="B10" s="72">
        <v>60</v>
      </c>
      <c r="C10" s="73">
        <v>1.6</v>
      </c>
      <c r="D10" s="54">
        <v>6.1438561897747199</v>
      </c>
      <c r="E10" s="52">
        <v>150</v>
      </c>
      <c r="F10" s="52">
        <v>2430</v>
      </c>
      <c r="G10" s="74">
        <v>1</v>
      </c>
    </row>
    <row r="11" spans="1:19" x14ac:dyDescent="0.25">
      <c r="A11" s="71" t="s">
        <v>2</v>
      </c>
      <c r="B11" s="72">
        <v>90</v>
      </c>
      <c r="C11" s="73">
        <v>1.5</v>
      </c>
      <c r="D11" s="54">
        <v>2.16096404744368</v>
      </c>
      <c r="E11" s="52">
        <v>2000</v>
      </c>
      <c r="F11" s="52">
        <v>5.5073956647514803</v>
      </c>
      <c r="G11" s="74">
        <v>5</v>
      </c>
    </row>
    <row r="12" spans="1:19" x14ac:dyDescent="0.25">
      <c r="A12" s="71" t="s">
        <v>3</v>
      </c>
      <c r="B12" s="72">
        <v>72</v>
      </c>
      <c r="C12" s="73">
        <v>1.3</v>
      </c>
      <c r="D12" s="54">
        <v>2.45344529780425</v>
      </c>
      <c r="E12" s="54">
        <v>1025</v>
      </c>
      <c r="F12" s="52">
        <v>38</v>
      </c>
      <c r="G12" s="74">
        <v>0.1</v>
      </c>
    </row>
    <row r="13" spans="1:19" ht="15.75" thickBot="1" x14ac:dyDescent="0.3">
      <c r="A13" s="75" t="s">
        <v>4</v>
      </c>
      <c r="B13" s="76">
        <v>60</v>
      </c>
      <c r="C13" s="76">
        <v>1.5</v>
      </c>
      <c r="D13" s="77">
        <v>3</v>
      </c>
      <c r="E13" s="77">
        <v>1025</v>
      </c>
      <c r="F13" s="78">
        <v>1214.7106733267799</v>
      </c>
      <c r="G13" s="79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of Parameters</vt:lpstr>
      <vt:lpstr>Metrics predictions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Usuario de Windows</cp:lastModifiedBy>
  <dcterms:created xsi:type="dcterms:W3CDTF">2018-01-30T01:29:37Z</dcterms:created>
  <dcterms:modified xsi:type="dcterms:W3CDTF">2020-06-12T01:04:04Z</dcterms:modified>
</cp:coreProperties>
</file>