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renmaxwell/Dropbox/ MANUSCRIPTS - IN PROGRESS/Vibrio Antiviral Defence Manuscript/"/>
    </mc:Choice>
  </mc:AlternateContent>
  <xr:revisionPtr revIDLastSave="0" documentId="13_ncr:1_{E544C7F8-AD8C-724F-96B4-4D0D68FD6FBB}" xr6:coauthVersionLast="47" xr6:coauthVersionMax="47" xr10:uidLastSave="{00000000-0000-0000-0000-000000000000}"/>
  <bookViews>
    <workbookView xWindow="16160" yWindow="500" windowWidth="31220" windowHeight="28120" xr2:uid="{E1CF8CDB-22A2-9C4D-B642-1BD991C2CCBC}"/>
  </bookViews>
  <sheets>
    <sheet name="Summary of Systems over 70% Seq" sheetId="11" r:id="rId1"/>
    <sheet name="VP1796" sheetId="12" r:id="rId2"/>
    <sheet name="VP1817" sheetId="5" r:id="rId3"/>
    <sheet name="VP1823" sheetId="2" r:id="rId4"/>
    <sheet name="VP1826" sheetId="6" r:id="rId5"/>
    <sheet name="VP1839" sheetId="7" r:id="rId6"/>
    <sheet name="VP1840" sheetId="8" r:id="rId7"/>
    <sheet name="VP1848" sheetId="9" r:id="rId8"/>
    <sheet name="VP1851" sheetId="13" r:id="rId9"/>
    <sheet name="VP1853" sheetId="14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06" i="14" l="1"/>
  <c r="E505" i="14"/>
  <c r="E504" i="14"/>
  <c r="E503" i="14"/>
  <c r="E502" i="14"/>
  <c r="E501" i="14"/>
  <c r="E500" i="14"/>
  <c r="E499" i="14"/>
  <c r="E498" i="14"/>
  <c r="E497" i="14"/>
  <c r="E496" i="14"/>
  <c r="E495" i="14"/>
  <c r="E494" i="14"/>
  <c r="E493" i="14"/>
  <c r="E492" i="14"/>
  <c r="E491" i="14"/>
  <c r="E490" i="14"/>
  <c r="E489" i="14"/>
  <c r="E488" i="14"/>
  <c r="E487" i="14"/>
  <c r="E486" i="14"/>
  <c r="E485" i="14"/>
  <c r="E484" i="14"/>
  <c r="E483" i="14"/>
  <c r="E482" i="14"/>
  <c r="E481" i="14"/>
  <c r="E480" i="14"/>
  <c r="E479" i="14"/>
  <c r="E478" i="14"/>
  <c r="E477" i="14"/>
  <c r="E476" i="14"/>
  <c r="E475" i="14"/>
  <c r="E474" i="14"/>
  <c r="E473" i="14"/>
  <c r="E472" i="14"/>
  <c r="E471" i="14"/>
  <c r="E470" i="14"/>
  <c r="E469" i="14"/>
  <c r="E468" i="14"/>
  <c r="E467" i="14"/>
  <c r="E466" i="14"/>
  <c r="E465" i="14"/>
  <c r="E464" i="14"/>
  <c r="E463" i="14"/>
  <c r="E462" i="14"/>
  <c r="E461" i="14"/>
  <c r="E460" i="14"/>
  <c r="E459" i="14"/>
  <c r="E458" i="14"/>
  <c r="E457" i="14"/>
  <c r="E456" i="14"/>
  <c r="E455" i="14"/>
  <c r="E454" i="14"/>
  <c r="E453" i="14"/>
  <c r="E452" i="14"/>
  <c r="E451" i="14"/>
  <c r="E450" i="14"/>
  <c r="E449" i="14"/>
  <c r="E448" i="14"/>
  <c r="E447" i="14"/>
  <c r="E446" i="14"/>
  <c r="E445" i="14"/>
  <c r="E444" i="14"/>
  <c r="E443" i="14"/>
  <c r="E442" i="14"/>
  <c r="E441" i="14"/>
  <c r="E440" i="14"/>
  <c r="E439" i="14"/>
  <c r="E438" i="14"/>
  <c r="E437" i="14"/>
  <c r="E436" i="14"/>
  <c r="E435" i="14"/>
  <c r="E434" i="14"/>
  <c r="E433" i="14"/>
  <c r="E432" i="14"/>
  <c r="E431" i="14"/>
  <c r="E430" i="14"/>
  <c r="E429" i="14"/>
  <c r="E428" i="14"/>
  <c r="E427" i="14"/>
  <c r="E426" i="14"/>
  <c r="E425" i="14"/>
  <c r="E424" i="14"/>
  <c r="E423" i="14"/>
  <c r="E422" i="14"/>
  <c r="E421" i="14"/>
  <c r="E420" i="14"/>
  <c r="E419" i="14"/>
  <c r="E418" i="14"/>
  <c r="E417" i="14"/>
  <c r="E416" i="14"/>
  <c r="E415" i="14"/>
  <c r="E414" i="14"/>
  <c r="E413" i="14"/>
  <c r="E412" i="14"/>
  <c r="E411" i="14"/>
  <c r="E410" i="14"/>
  <c r="E409" i="14"/>
  <c r="E408" i="14"/>
  <c r="E407" i="14"/>
  <c r="E406" i="14"/>
  <c r="E405" i="14"/>
  <c r="E404" i="14"/>
  <c r="E403" i="14"/>
  <c r="E402" i="14"/>
  <c r="E401" i="14"/>
  <c r="E400" i="14"/>
  <c r="E399" i="14"/>
  <c r="E398" i="14"/>
  <c r="E397" i="14"/>
  <c r="E396" i="14"/>
  <c r="E395" i="14"/>
  <c r="E394" i="14"/>
  <c r="E393" i="14"/>
  <c r="E392" i="14"/>
  <c r="E391" i="14"/>
  <c r="E390" i="14"/>
  <c r="E389" i="14"/>
  <c r="E388" i="14"/>
  <c r="E387" i="14"/>
  <c r="E386" i="14"/>
  <c r="E385" i="14"/>
  <c r="E384" i="14"/>
  <c r="E383" i="14"/>
  <c r="E382" i="14"/>
  <c r="E381" i="14"/>
  <c r="E380" i="14"/>
  <c r="E379" i="14"/>
  <c r="E378" i="14"/>
  <c r="E377" i="14"/>
  <c r="E376" i="14"/>
  <c r="E375" i="14"/>
  <c r="E374" i="14"/>
  <c r="E373" i="14"/>
  <c r="E372" i="14"/>
  <c r="E371" i="14"/>
  <c r="E370" i="14"/>
  <c r="E369" i="14"/>
  <c r="E368" i="14"/>
  <c r="E367" i="14"/>
  <c r="E366" i="14"/>
  <c r="E365" i="14"/>
  <c r="E364" i="14"/>
  <c r="E363" i="14"/>
  <c r="E362" i="14"/>
  <c r="E361" i="14"/>
  <c r="E360" i="14"/>
  <c r="E359" i="14"/>
  <c r="E358" i="14"/>
  <c r="E357" i="14"/>
  <c r="E356" i="14"/>
  <c r="E355" i="14"/>
  <c r="E354" i="14"/>
  <c r="E353" i="14"/>
  <c r="E352" i="14"/>
  <c r="E351" i="14"/>
  <c r="E350" i="14"/>
  <c r="E349" i="14"/>
  <c r="E348" i="14"/>
  <c r="E347" i="14"/>
  <c r="E346" i="14"/>
  <c r="E345" i="14"/>
  <c r="E344" i="14"/>
  <c r="E343" i="14"/>
  <c r="E342" i="14"/>
  <c r="E341" i="14"/>
  <c r="E340" i="14"/>
  <c r="E339" i="14"/>
  <c r="E338" i="14"/>
  <c r="E337" i="14"/>
  <c r="E336" i="14"/>
  <c r="E335" i="14"/>
  <c r="E334" i="14"/>
  <c r="E333" i="14"/>
  <c r="E332" i="14"/>
  <c r="E331" i="14"/>
  <c r="E330" i="14"/>
  <c r="E329" i="14"/>
  <c r="E328" i="14"/>
  <c r="E327" i="14"/>
  <c r="E326" i="14"/>
  <c r="E325" i="14"/>
  <c r="E324" i="14"/>
  <c r="E323" i="14"/>
  <c r="E322" i="14"/>
  <c r="E321" i="14"/>
  <c r="E320" i="14"/>
  <c r="E319" i="14"/>
  <c r="E318" i="14"/>
  <c r="E317" i="14"/>
  <c r="E316" i="14"/>
  <c r="E315" i="14"/>
  <c r="E314" i="14"/>
  <c r="E313" i="14"/>
  <c r="E312" i="14"/>
  <c r="E311" i="14"/>
  <c r="E310" i="14"/>
  <c r="E309" i="14"/>
  <c r="E308" i="14"/>
  <c r="E307" i="14"/>
  <c r="E306" i="14"/>
  <c r="E305" i="14"/>
  <c r="E304" i="14"/>
  <c r="E303" i="14"/>
  <c r="E302" i="14"/>
  <c r="E301" i="14"/>
  <c r="E300" i="14"/>
  <c r="E299" i="14"/>
  <c r="E298" i="14"/>
  <c r="E297" i="14"/>
  <c r="E296" i="14"/>
  <c r="E295" i="14"/>
  <c r="E294" i="14"/>
  <c r="E293" i="14"/>
  <c r="E292" i="14"/>
  <c r="E291" i="14"/>
  <c r="E290" i="14"/>
  <c r="E289" i="14"/>
  <c r="E288" i="14"/>
  <c r="E287" i="14"/>
  <c r="E286" i="14"/>
  <c r="E285" i="14"/>
  <c r="E284" i="14"/>
  <c r="E283" i="14"/>
  <c r="E282" i="14"/>
  <c r="E281" i="14"/>
  <c r="E280" i="14"/>
  <c r="E279" i="14"/>
  <c r="E278" i="14"/>
  <c r="E277" i="14"/>
  <c r="E276" i="14"/>
  <c r="E275" i="14"/>
  <c r="E274" i="14"/>
  <c r="E273" i="14"/>
  <c r="E272" i="14"/>
  <c r="E271" i="14"/>
  <c r="E270" i="14"/>
  <c r="E269" i="14"/>
  <c r="E268" i="14"/>
  <c r="E267" i="14"/>
  <c r="E266" i="14"/>
  <c r="E265" i="14"/>
  <c r="E264" i="14"/>
  <c r="E263" i="14"/>
  <c r="E262" i="14"/>
  <c r="E261" i="14"/>
  <c r="E260" i="14"/>
  <c r="E259" i="14"/>
  <c r="E258" i="14"/>
  <c r="E257" i="14"/>
  <c r="E256" i="14"/>
  <c r="E255" i="14"/>
  <c r="E254" i="14"/>
  <c r="E253" i="14"/>
  <c r="E252" i="14"/>
  <c r="E251" i="14"/>
  <c r="E250" i="14"/>
  <c r="E249" i="14"/>
  <c r="E248" i="14"/>
  <c r="E247" i="14"/>
  <c r="E246" i="14"/>
  <c r="E245" i="14"/>
  <c r="E244" i="14"/>
  <c r="E243" i="14"/>
  <c r="E242" i="14"/>
  <c r="E241" i="14"/>
  <c r="E240" i="14"/>
  <c r="E239" i="14"/>
  <c r="E238" i="14"/>
  <c r="E237" i="14"/>
  <c r="E236" i="14"/>
  <c r="E235" i="14"/>
  <c r="E234" i="14"/>
  <c r="E233" i="14"/>
  <c r="E232" i="14"/>
  <c r="E231" i="14"/>
  <c r="E230" i="14"/>
  <c r="E229" i="14"/>
  <c r="E228" i="14"/>
  <c r="E227" i="14"/>
  <c r="E226" i="14"/>
  <c r="E225" i="14"/>
  <c r="E224" i="14"/>
  <c r="E223" i="14"/>
  <c r="E222" i="14"/>
  <c r="E221" i="14"/>
  <c r="E220" i="14"/>
  <c r="E219" i="14"/>
  <c r="E218" i="14"/>
  <c r="E217" i="14"/>
  <c r="E216" i="14"/>
  <c r="E215" i="14"/>
  <c r="E214" i="14"/>
  <c r="E213" i="14"/>
  <c r="E212" i="14"/>
  <c r="E211" i="14"/>
  <c r="E210" i="14"/>
  <c r="E209" i="14"/>
  <c r="E208" i="14"/>
  <c r="E207" i="14"/>
  <c r="E206" i="14"/>
  <c r="E205" i="14"/>
  <c r="E204" i="14"/>
  <c r="E203" i="14"/>
  <c r="E202" i="14"/>
  <c r="E201" i="14"/>
  <c r="E200" i="14"/>
  <c r="E199" i="14"/>
  <c r="E198" i="14"/>
  <c r="E197" i="14"/>
  <c r="E196" i="14"/>
  <c r="E195" i="14"/>
  <c r="E194" i="14"/>
  <c r="E193" i="14"/>
  <c r="E192" i="14"/>
  <c r="E191" i="14"/>
  <c r="E190" i="14"/>
  <c r="E189" i="14"/>
  <c r="E188" i="14"/>
  <c r="E187" i="14"/>
  <c r="E186" i="14"/>
  <c r="E185" i="14"/>
  <c r="E184" i="14"/>
  <c r="E183" i="14"/>
  <c r="E182" i="14"/>
  <c r="E181" i="14"/>
  <c r="E180" i="14"/>
  <c r="E179" i="14"/>
  <c r="E178" i="14"/>
  <c r="E177" i="14"/>
  <c r="E176" i="14"/>
  <c r="E175" i="14"/>
  <c r="E174" i="14"/>
  <c r="E173" i="14"/>
  <c r="E172" i="14"/>
  <c r="E171" i="14"/>
  <c r="E170" i="14"/>
  <c r="E169" i="14"/>
  <c r="E168" i="14"/>
  <c r="E167" i="14"/>
  <c r="E166" i="14"/>
  <c r="E165" i="14"/>
  <c r="E164" i="14"/>
  <c r="E163" i="14"/>
  <c r="E162" i="14"/>
  <c r="E161" i="14"/>
  <c r="E160" i="14"/>
  <c r="E159" i="14"/>
  <c r="E158" i="14"/>
  <c r="E157" i="14"/>
  <c r="E156" i="14"/>
  <c r="E155" i="14"/>
  <c r="E154" i="14"/>
  <c r="E153" i="14"/>
  <c r="E152" i="14"/>
  <c r="E151" i="14"/>
  <c r="E150" i="14"/>
  <c r="E149" i="14"/>
  <c r="E148" i="14"/>
  <c r="E147" i="14"/>
  <c r="E146" i="14"/>
  <c r="E145" i="14"/>
  <c r="E144" i="14"/>
  <c r="E143" i="14"/>
  <c r="E142" i="14"/>
  <c r="E141" i="14"/>
  <c r="E140" i="14"/>
  <c r="E139" i="14"/>
  <c r="E138" i="14"/>
  <c r="E137" i="14"/>
  <c r="E136" i="14"/>
  <c r="E135" i="14"/>
  <c r="E134" i="14"/>
  <c r="E133" i="14"/>
  <c r="E132" i="14"/>
  <c r="E131" i="14"/>
  <c r="E130" i="14"/>
  <c r="E129" i="14"/>
  <c r="E128" i="14"/>
  <c r="E127" i="14"/>
  <c r="E126" i="14"/>
  <c r="E125" i="14"/>
  <c r="E124" i="14"/>
  <c r="E123" i="14"/>
  <c r="E122" i="14"/>
  <c r="E121" i="14"/>
  <c r="E120" i="14"/>
  <c r="E119" i="14"/>
  <c r="E118" i="14"/>
  <c r="E117" i="14"/>
  <c r="E116" i="14"/>
  <c r="E115" i="14"/>
  <c r="E114" i="14"/>
  <c r="E113" i="14"/>
  <c r="E112" i="14"/>
  <c r="E111" i="14"/>
  <c r="E110" i="14"/>
  <c r="E109" i="14"/>
  <c r="E108" i="14"/>
  <c r="E107" i="14"/>
  <c r="E106" i="14"/>
  <c r="E105" i="14"/>
  <c r="E104" i="14"/>
  <c r="E103" i="14"/>
  <c r="E102" i="14"/>
  <c r="E101" i="14"/>
  <c r="E100" i="14"/>
  <c r="E99" i="14"/>
  <c r="E98" i="14"/>
  <c r="E97" i="14"/>
  <c r="E96" i="14"/>
  <c r="E95" i="14"/>
  <c r="E94" i="14"/>
  <c r="E93" i="14"/>
  <c r="E92" i="14"/>
  <c r="E91" i="14"/>
  <c r="E90" i="14"/>
  <c r="E89" i="14"/>
  <c r="E88" i="14"/>
  <c r="E87" i="14"/>
  <c r="E86" i="14"/>
  <c r="E85" i="14"/>
  <c r="E84" i="14"/>
  <c r="E83" i="14"/>
  <c r="E82" i="14"/>
  <c r="E81" i="14"/>
  <c r="E80" i="14"/>
  <c r="E79" i="14"/>
  <c r="E78" i="14"/>
  <c r="E77" i="14"/>
  <c r="E76" i="14"/>
  <c r="E75" i="14"/>
  <c r="E74" i="14"/>
  <c r="E73" i="14"/>
  <c r="E72" i="14"/>
  <c r="E71" i="14"/>
  <c r="E70" i="14"/>
  <c r="E69" i="14"/>
  <c r="E68" i="14"/>
  <c r="E67" i="14"/>
  <c r="E66" i="14"/>
  <c r="E65" i="14"/>
  <c r="E64" i="14"/>
  <c r="E63" i="14"/>
  <c r="E62" i="14"/>
  <c r="E61" i="14"/>
  <c r="E60" i="14"/>
  <c r="E59" i="14"/>
  <c r="E58" i="14"/>
  <c r="E57" i="14"/>
  <c r="E56" i="14"/>
  <c r="E55" i="14"/>
  <c r="E54" i="14"/>
  <c r="E53" i="14"/>
  <c r="E52" i="14"/>
  <c r="E51" i="14"/>
  <c r="E50" i="14"/>
  <c r="E49" i="14"/>
  <c r="E48" i="14"/>
  <c r="E47" i="14"/>
  <c r="E46" i="14"/>
  <c r="E45" i="14"/>
  <c r="E44" i="14"/>
  <c r="E43" i="14"/>
  <c r="E42" i="14"/>
  <c r="E41" i="14"/>
  <c r="E40" i="14"/>
  <c r="E39" i="14"/>
  <c r="E38" i="14"/>
  <c r="E37" i="14"/>
  <c r="E36" i="14"/>
  <c r="E35" i="14"/>
  <c r="E34" i="14"/>
  <c r="E33" i="14"/>
  <c r="E32" i="14"/>
  <c r="E31" i="14"/>
  <c r="E30" i="14"/>
  <c r="E29" i="14"/>
  <c r="E28" i="14"/>
  <c r="E27" i="14"/>
  <c r="E26" i="14"/>
  <c r="E25" i="14"/>
  <c r="E24" i="14"/>
  <c r="E23" i="14"/>
  <c r="E22" i="14"/>
  <c r="E21" i="14"/>
  <c r="E20" i="14"/>
  <c r="E19" i="14"/>
  <c r="E18" i="14"/>
  <c r="E17" i="14"/>
  <c r="E16" i="14"/>
  <c r="E15" i="14"/>
  <c r="E14" i="14"/>
  <c r="E13" i="14"/>
  <c r="E12" i="14"/>
  <c r="E11" i="14"/>
  <c r="E10" i="14"/>
  <c r="E9" i="14"/>
  <c r="E8" i="14"/>
  <c r="E7" i="14"/>
  <c r="E387" i="11"/>
  <c r="E386" i="11"/>
  <c r="E385" i="11"/>
  <c r="E384" i="11"/>
  <c r="E383" i="11"/>
  <c r="E382" i="11"/>
  <c r="E381" i="11"/>
  <c r="E380" i="11"/>
  <c r="E379" i="11"/>
  <c r="E378" i="11"/>
  <c r="E377" i="11"/>
  <c r="E376" i="11"/>
  <c r="E375" i="11"/>
  <c r="E374" i="11"/>
  <c r="E373" i="11"/>
  <c r="E372" i="11"/>
  <c r="E371" i="11"/>
  <c r="E370" i="11"/>
  <c r="E369" i="11"/>
  <c r="E368" i="11"/>
  <c r="E367" i="11"/>
  <c r="E366" i="11"/>
  <c r="E365" i="11"/>
  <c r="E364" i="11"/>
  <c r="E363" i="11"/>
  <c r="E362" i="11"/>
  <c r="E361" i="11"/>
  <c r="E360" i="11"/>
  <c r="E359" i="11"/>
  <c r="E358" i="11"/>
  <c r="E357" i="11"/>
  <c r="E356" i="11"/>
  <c r="E355" i="11"/>
  <c r="E354" i="11"/>
  <c r="E353" i="11"/>
  <c r="E352" i="11"/>
  <c r="E351" i="11"/>
  <c r="E350" i="11"/>
  <c r="E349" i="11"/>
  <c r="E348" i="11"/>
  <c r="E347" i="11"/>
  <c r="E346" i="11"/>
  <c r="E345" i="11"/>
  <c r="E344" i="11"/>
  <c r="E343" i="11"/>
  <c r="E342" i="11"/>
  <c r="E341" i="11"/>
  <c r="E340" i="11"/>
  <c r="E339" i="11"/>
  <c r="E338" i="11"/>
  <c r="E337" i="11"/>
  <c r="E336" i="11"/>
  <c r="E335" i="11"/>
  <c r="E334" i="11"/>
  <c r="E333" i="11"/>
  <c r="E332" i="11"/>
  <c r="E331" i="11"/>
  <c r="E330" i="11"/>
  <c r="E329" i="11"/>
  <c r="E328" i="11"/>
  <c r="E327" i="11"/>
  <c r="E326" i="11"/>
  <c r="E325" i="11"/>
  <c r="E324" i="11"/>
  <c r="E323" i="11"/>
  <c r="E322" i="11"/>
  <c r="E321" i="11"/>
  <c r="E320" i="11"/>
  <c r="E319" i="11"/>
  <c r="E318" i="11"/>
  <c r="E317" i="11"/>
  <c r="E316" i="11"/>
  <c r="E315" i="11"/>
  <c r="E314" i="11"/>
  <c r="E313" i="11"/>
  <c r="E312" i="11"/>
  <c r="E311" i="11"/>
  <c r="E310" i="11"/>
  <c r="E309" i="11"/>
  <c r="E308" i="11"/>
  <c r="E307" i="11"/>
  <c r="E306" i="11"/>
  <c r="E305" i="11"/>
  <c r="E304" i="11"/>
  <c r="E303" i="11"/>
  <c r="E302" i="11"/>
  <c r="E301" i="11"/>
  <c r="E300" i="11"/>
  <c r="E299" i="11"/>
  <c r="E298" i="11"/>
  <c r="E297" i="11"/>
  <c r="E296" i="11"/>
  <c r="E295" i="11"/>
  <c r="E294" i="11"/>
  <c r="E293" i="11"/>
  <c r="E292" i="11"/>
  <c r="E291" i="11"/>
  <c r="E290" i="11"/>
  <c r="E289" i="11"/>
  <c r="E288" i="11"/>
  <c r="E287" i="11"/>
  <c r="E286" i="11"/>
  <c r="E285" i="11"/>
  <c r="E284" i="11"/>
  <c r="E283" i="11"/>
  <c r="E282" i="11"/>
  <c r="E281" i="11"/>
  <c r="E280" i="11"/>
  <c r="E279" i="11"/>
  <c r="E278" i="11"/>
  <c r="E277" i="11"/>
  <c r="E276" i="11"/>
  <c r="E275" i="11"/>
  <c r="E274" i="11"/>
  <c r="E273" i="11"/>
  <c r="E272" i="11"/>
  <c r="E271" i="11"/>
  <c r="E270" i="11"/>
  <c r="E269" i="11"/>
  <c r="E268" i="11"/>
  <c r="E267" i="11"/>
  <c r="E266" i="11"/>
  <c r="E265" i="11"/>
  <c r="E264" i="11"/>
  <c r="E263" i="11"/>
  <c r="E262" i="11"/>
  <c r="E261" i="11"/>
  <c r="E260" i="11"/>
  <c r="E259" i="11"/>
  <c r="E258" i="11"/>
  <c r="E257" i="11"/>
  <c r="E256" i="11"/>
  <c r="E255" i="11"/>
  <c r="E254" i="11"/>
  <c r="E253" i="11"/>
  <c r="E252" i="11"/>
  <c r="E251" i="11"/>
  <c r="E250" i="11"/>
  <c r="E249" i="11"/>
  <c r="E248" i="11"/>
  <c r="E247" i="11"/>
  <c r="E246" i="11"/>
  <c r="E245" i="11"/>
  <c r="E244" i="11"/>
  <c r="E243" i="11"/>
  <c r="E242" i="11"/>
  <c r="E241" i="11"/>
  <c r="E240" i="11"/>
  <c r="E239" i="11"/>
  <c r="E238" i="11"/>
  <c r="E237" i="11"/>
  <c r="E236" i="11"/>
  <c r="E235" i="11"/>
  <c r="E234" i="11"/>
  <c r="E233" i="11"/>
  <c r="E506" i="13"/>
  <c r="E505" i="13"/>
  <c r="E504" i="13"/>
  <c r="E503" i="13"/>
  <c r="E502" i="13"/>
  <c r="E501" i="13"/>
  <c r="E500" i="13"/>
  <c r="E499" i="13"/>
  <c r="E498" i="13"/>
  <c r="E497" i="13"/>
  <c r="E496" i="13"/>
  <c r="E495" i="13"/>
  <c r="E494" i="13"/>
  <c r="E493" i="13"/>
  <c r="E492" i="13"/>
  <c r="E491" i="13"/>
  <c r="E490" i="13"/>
  <c r="E489" i="13"/>
  <c r="E488" i="13"/>
  <c r="E487" i="13"/>
  <c r="E486" i="13"/>
  <c r="E485" i="13"/>
  <c r="E484" i="13"/>
  <c r="E483" i="13"/>
  <c r="E482" i="13"/>
  <c r="E481" i="13"/>
  <c r="E480" i="13"/>
  <c r="E479" i="13"/>
  <c r="E478" i="13"/>
  <c r="E477" i="13"/>
  <c r="E476" i="13"/>
  <c r="E475" i="13"/>
  <c r="E474" i="13"/>
  <c r="E473" i="13"/>
  <c r="E472" i="13"/>
  <c r="E471" i="13"/>
  <c r="E470" i="13"/>
  <c r="E469" i="13"/>
  <c r="E468" i="13"/>
  <c r="E467" i="13"/>
  <c r="E466" i="13"/>
  <c r="E465" i="13"/>
  <c r="E464" i="13"/>
  <c r="E463" i="13"/>
  <c r="E462" i="13"/>
  <c r="E461" i="13"/>
  <c r="E460" i="13"/>
  <c r="E459" i="13"/>
  <c r="E458" i="13"/>
  <c r="E457" i="13"/>
  <c r="E456" i="13"/>
  <c r="E455" i="13"/>
  <c r="E454" i="13"/>
  <c r="E453" i="13"/>
  <c r="E452" i="13"/>
  <c r="E451" i="13"/>
  <c r="E450" i="13"/>
  <c r="E449" i="13"/>
  <c r="E448" i="13"/>
  <c r="E447" i="13"/>
  <c r="E446" i="13"/>
  <c r="E445" i="13"/>
  <c r="E444" i="13"/>
  <c r="E443" i="13"/>
  <c r="E442" i="13"/>
  <c r="E441" i="13"/>
  <c r="E440" i="13"/>
  <c r="E439" i="13"/>
  <c r="E438" i="13"/>
  <c r="E437" i="13"/>
  <c r="E436" i="13"/>
  <c r="E435" i="13"/>
  <c r="E434" i="13"/>
  <c r="E433" i="13"/>
  <c r="E432" i="13"/>
  <c r="E431" i="13"/>
  <c r="E430" i="13"/>
  <c r="E429" i="13"/>
  <c r="E428" i="13"/>
  <c r="E427" i="13"/>
  <c r="E426" i="13"/>
  <c r="E425" i="13"/>
  <c r="E424" i="13"/>
  <c r="E423" i="13"/>
  <c r="E422" i="13"/>
  <c r="E421" i="13"/>
  <c r="E420" i="13"/>
  <c r="E419" i="13"/>
  <c r="E418" i="13"/>
  <c r="E417" i="13"/>
  <c r="E416" i="13"/>
  <c r="E415" i="13"/>
  <c r="E414" i="13"/>
  <c r="E413" i="13"/>
  <c r="E412" i="13"/>
  <c r="E411" i="13"/>
  <c r="E410" i="13"/>
  <c r="E409" i="13"/>
  <c r="E408" i="13"/>
  <c r="E407" i="13"/>
  <c r="E406" i="13"/>
  <c r="E405" i="13"/>
  <c r="E404" i="13"/>
  <c r="E403" i="13"/>
  <c r="E402" i="13"/>
  <c r="E401" i="13"/>
  <c r="E400" i="13"/>
  <c r="E399" i="13"/>
  <c r="E398" i="13"/>
  <c r="E397" i="13"/>
  <c r="E396" i="13"/>
  <c r="E395" i="13"/>
  <c r="E394" i="13"/>
  <c r="E393" i="13"/>
  <c r="E392" i="13"/>
  <c r="E391" i="13"/>
  <c r="E390" i="13"/>
  <c r="E389" i="13"/>
  <c r="E388" i="13"/>
  <c r="E387" i="13"/>
  <c r="E386" i="13"/>
  <c r="E385" i="13"/>
  <c r="E384" i="13"/>
  <c r="E383" i="13"/>
  <c r="E382" i="13"/>
  <c r="E381" i="13"/>
  <c r="E380" i="13"/>
  <c r="E379" i="13"/>
  <c r="E378" i="13"/>
  <c r="E377" i="13"/>
  <c r="E376" i="13"/>
  <c r="E375" i="13"/>
  <c r="E374" i="13"/>
  <c r="E373" i="13"/>
  <c r="E372" i="13"/>
  <c r="E371" i="13"/>
  <c r="E370" i="13"/>
  <c r="E369" i="13"/>
  <c r="E368" i="13"/>
  <c r="E367" i="13"/>
  <c r="E366" i="13"/>
  <c r="E365" i="13"/>
  <c r="E364" i="13"/>
  <c r="E363" i="13"/>
  <c r="E362" i="13"/>
  <c r="E361" i="13"/>
  <c r="E360" i="13"/>
  <c r="E359" i="13"/>
  <c r="E358" i="13"/>
  <c r="E357" i="13"/>
  <c r="E356" i="13"/>
  <c r="E355" i="13"/>
  <c r="E354" i="13"/>
  <c r="E353" i="13"/>
  <c r="E352" i="13"/>
  <c r="E351" i="13"/>
  <c r="E350" i="13"/>
  <c r="E349" i="13"/>
  <c r="E348" i="13"/>
  <c r="E347" i="13"/>
  <c r="E346" i="13"/>
  <c r="E345" i="13"/>
  <c r="E344" i="13"/>
  <c r="E343" i="13"/>
  <c r="E342" i="13"/>
  <c r="E341" i="13"/>
  <c r="E340" i="13"/>
  <c r="E339" i="13"/>
  <c r="E338" i="13"/>
  <c r="E337" i="13"/>
  <c r="E336" i="13"/>
  <c r="E335" i="13"/>
  <c r="E334" i="13"/>
  <c r="E333" i="13"/>
  <c r="E332" i="13"/>
  <c r="E331" i="13"/>
  <c r="E330" i="13"/>
  <c r="E329" i="13"/>
  <c r="E328" i="13"/>
  <c r="E327" i="13"/>
  <c r="E326" i="13"/>
  <c r="E325" i="13"/>
  <c r="E324" i="13"/>
  <c r="E323" i="13"/>
  <c r="E322" i="13"/>
  <c r="E321" i="13"/>
  <c r="E320" i="13"/>
  <c r="E319" i="13"/>
  <c r="E318" i="13"/>
  <c r="E317" i="13"/>
  <c r="E316" i="13"/>
  <c r="E315" i="13"/>
  <c r="E314" i="13"/>
  <c r="E313" i="13"/>
  <c r="E312" i="13"/>
  <c r="E311" i="13"/>
  <c r="E310" i="13"/>
  <c r="E309" i="13"/>
  <c r="E308" i="13"/>
  <c r="E307" i="13"/>
  <c r="E306" i="13"/>
  <c r="E305" i="13"/>
  <c r="E304" i="13"/>
  <c r="E303" i="13"/>
  <c r="E302" i="13"/>
  <c r="E301" i="13"/>
  <c r="E300" i="13"/>
  <c r="E299" i="13"/>
  <c r="E298" i="13"/>
  <c r="E297" i="13"/>
  <c r="E296" i="13"/>
  <c r="E295" i="13"/>
  <c r="E294" i="13"/>
  <c r="E293" i="13"/>
  <c r="E292" i="13"/>
  <c r="E291" i="13"/>
  <c r="E290" i="13"/>
  <c r="E289" i="13"/>
  <c r="E288" i="13"/>
  <c r="E287" i="13"/>
  <c r="E286" i="13"/>
  <c r="E285" i="13"/>
  <c r="E284" i="13"/>
  <c r="E283" i="13"/>
  <c r="E282" i="13"/>
  <c r="E281" i="13"/>
  <c r="E280" i="13"/>
  <c r="E279" i="13"/>
  <c r="E278" i="13"/>
  <c r="E277" i="13"/>
  <c r="E276" i="13"/>
  <c r="E275" i="13"/>
  <c r="E274" i="13"/>
  <c r="E273" i="13"/>
  <c r="E272" i="13"/>
  <c r="E271" i="13"/>
  <c r="E270" i="13"/>
  <c r="E269" i="13"/>
  <c r="E268" i="13"/>
  <c r="E267" i="13"/>
  <c r="E266" i="13"/>
  <c r="E265" i="13"/>
  <c r="E264" i="13"/>
  <c r="E263" i="13"/>
  <c r="E262" i="13"/>
  <c r="E261" i="13"/>
  <c r="E260" i="13"/>
  <c r="E259" i="13"/>
  <c r="E258" i="13"/>
  <c r="E257" i="13"/>
  <c r="E256" i="13"/>
  <c r="E255" i="13"/>
  <c r="E254" i="13"/>
  <c r="E253" i="13"/>
  <c r="E252" i="13"/>
  <c r="E251" i="13"/>
  <c r="E250" i="13"/>
  <c r="E249" i="13"/>
  <c r="E248" i="13"/>
  <c r="E247" i="13"/>
  <c r="E246" i="13"/>
  <c r="E245" i="13"/>
  <c r="E244" i="13"/>
  <c r="E243" i="13"/>
  <c r="E242" i="13"/>
  <c r="E241" i="13"/>
  <c r="E240" i="13"/>
  <c r="E239" i="13"/>
  <c r="E238" i="13"/>
  <c r="E237" i="13"/>
  <c r="E236" i="13"/>
  <c r="E235" i="13"/>
  <c r="E234" i="13"/>
  <c r="E233" i="13"/>
  <c r="E232" i="13"/>
  <c r="E231" i="13"/>
  <c r="E230" i="13"/>
  <c r="E229" i="13"/>
  <c r="E228" i="13"/>
  <c r="E227" i="13"/>
  <c r="E226" i="13"/>
  <c r="E225" i="13"/>
  <c r="E224" i="13"/>
  <c r="E223" i="13"/>
  <c r="E222" i="13"/>
  <c r="E221" i="13"/>
  <c r="E220" i="13"/>
  <c r="E219" i="13"/>
  <c r="E218" i="13"/>
  <c r="E217" i="13"/>
  <c r="E216" i="13"/>
  <c r="E215" i="13"/>
  <c r="E214" i="13"/>
  <c r="E213" i="13"/>
  <c r="E212" i="13"/>
  <c r="E211" i="13"/>
  <c r="E210" i="13"/>
  <c r="E209" i="13"/>
  <c r="E208" i="13"/>
  <c r="E207" i="13"/>
  <c r="E206" i="13"/>
  <c r="E205" i="13"/>
  <c r="E204" i="13"/>
  <c r="E203" i="13"/>
  <c r="E202" i="13"/>
  <c r="E201" i="13"/>
  <c r="E200" i="13"/>
  <c r="E199" i="13"/>
  <c r="E198" i="13"/>
  <c r="E197" i="13"/>
  <c r="E196" i="13"/>
  <c r="E195" i="13"/>
  <c r="E194" i="13"/>
  <c r="E193" i="13"/>
  <c r="E192" i="13"/>
  <c r="E191" i="13"/>
  <c r="E190" i="13"/>
  <c r="E189" i="13"/>
  <c r="E188" i="13"/>
  <c r="E187" i="13"/>
  <c r="E186" i="13"/>
  <c r="E185" i="13"/>
  <c r="E184" i="13"/>
  <c r="E183" i="13"/>
  <c r="E182" i="13"/>
  <c r="E181" i="13"/>
  <c r="E180" i="13"/>
  <c r="E179" i="13"/>
  <c r="E178" i="13"/>
  <c r="E177" i="13"/>
  <c r="E176" i="13"/>
  <c r="E175" i="13"/>
  <c r="E174" i="13"/>
  <c r="E173" i="13"/>
  <c r="E172" i="13"/>
  <c r="E171" i="13"/>
  <c r="E170" i="13"/>
  <c r="E169" i="13"/>
  <c r="E168" i="13"/>
  <c r="E167" i="13"/>
  <c r="E166" i="13"/>
  <c r="E165" i="13"/>
  <c r="E164" i="13"/>
  <c r="E163" i="13"/>
  <c r="E162" i="13"/>
  <c r="E161" i="13"/>
  <c r="E160" i="13"/>
  <c r="E159" i="13"/>
  <c r="E158" i="13"/>
  <c r="E157" i="13"/>
  <c r="E156" i="13"/>
  <c r="E155" i="13"/>
  <c r="E154" i="13"/>
  <c r="E153" i="13"/>
  <c r="E152" i="13"/>
  <c r="E151" i="13"/>
  <c r="E150" i="13"/>
  <c r="E149" i="13"/>
  <c r="E148" i="13"/>
  <c r="E147" i="13"/>
  <c r="E146" i="13"/>
  <c r="E145" i="13"/>
  <c r="E144" i="13"/>
  <c r="E143" i="13"/>
  <c r="E142" i="13"/>
  <c r="E141" i="13"/>
  <c r="E140" i="13"/>
  <c r="E139" i="13"/>
  <c r="E138" i="13"/>
  <c r="E137" i="13"/>
  <c r="E136" i="13"/>
  <c r="E135" i="13"/>
  <c r="E134" i="13"/>
  <c r="E133" i="13"/>
  <c r="E132" i="13"/>
  <c r="E131" i="13"/>
  <c r="E130" i="13"/>
  <c r="E129" i="13"/>
  <c r="E128" i="13"/>
  <c r="E127" i="13"/>
  <c r="E126" i="13"/>
  <c r="E125" i="13"/>
  <c r="E124" i="13"/>
  <c r="E123" i="13"/>
  <c r="E122" i="13"/>
  <c r="E121" i="13"/>
  <c r="E120" i="13"/>
  <c r="E119" i="13"/>
  <c r="E118" i="13"/>
  <c r="E117" i="13"/>
  <c r="E116" i="13"/>
  <c r="E115" i="13"/>
  <c r="E114" i="13"/>
  <c r="E113" i="13"/>
  <c r="E112" i="13"/>
  <c r="E111" i="13"/>
  <c r="E110" i="13"/>
  <c r="E109" i="13"/>
  <c r="E108" i="13"/>
  <c r="E107" i="13"/>
  <c r="E106" i="13"/>
  <c r="E105" i="13"/>
  <c r="E104" i="13"/>
  <c r="E103" i="13"/>
  <c r="E102" i="13"/>
  <c r="E101" i="13"/>
  <c r="E100" i="13"/>
  <c r="E99" i="13"/>
  <c r="E98" i="13"/>
  <c r="E97" i="13"/>
  <c r="E96" i="13"/>
  <c r="E95" i="13"/>
  <c r="E94" i="13"/>
  <c r="E93" i="13"/>
  <c r="E92" i="13"/>
  <c r="E91" i="13"/>
  <c r="E90" i="13"/>
  <c r="E89" i="13"/>
  <c r="E88" i="13"/>
  <c r="E87" i="13"/>
  <c r="E86" i="13"/>
  <c r="E85" i="13"/>
  <c r="E84" i="13"/>
  <c r="E83" i="13"/>
  <c r="E82" i="13"/>
  <c r="E81" i="13"/>
  <c r="E80" i="13"/>
  <c r="E79" i="13"/>
  <c r="E78" i="13"/>
  <c r="E77" i="13"/>
  <c r="E76" i="13"/>
  <c r="E75" i="13"/>
  <c r="E74" i="13"/>
  <c r="E73" i="13"/>
  <c r="E72" i="13"/>
  <c r="E71" i="13"/>
  <c r="E70" i="13"/>
  <c r="E69" i="13"/>
  <c r="E68" i="13"/>
  <c r="E67" i="13"/>
  <c r="E66" i="13"/>
  <c r="E65" i="13"/>
  <c r="E64" i="13"/>
  <c r="E63" i="13"/>
  <c r="E62" i="13"/>
  <c r="E61" i="13"/>
  <c r="E60" i="13"/>
  <c r="E59" i="13"/>
  <c r="E58" i="13"/>
  <c r="E57" i="13"/>
  <c r="E56" i="13"/>
  <c r="E55" i="13"/>
  <c r="E54" i="13"/>
  <c r="E53" i="13"/>
  <c r="E52" i="13"/>
  <c r="E51" i="13"/>
  <c r="E50" i="13"/>
  <c r="E49" i="13"/>
  <c r="E48" i="13"/>
  <c r="E47" i="13"/>
  <c r="E46" i="13"/>
  <c r="E45" i="13"/>
  <c r="E44" i="13"/>
  <c r="E43" i="13"/>
  <c r="E42" i="13"/>
  <c r="E41" i="13"/>
  <c r="E40" i="13"/>
  <c r="E39" i="13"/>
  <c r="E38" i="13"/>
  <c r="E37" i="13"/>
  <c r="E36" i="13"/>
  <c r="E35" i="13"/>
  <c r="E34" i="13"/>
  <c r="E33" i="13"/>
  <c r="E32" i="13"/>
  <c r="E31" i="13"/>
  <c r="E30" i="13"/>
  <c r="E29" i="13"/>
  <c r="E28" i="13"/>
  <c r="E27" i="13"/>
  <c r="E26" i="13"/>
  <c r="E25" i="13"/>
  <c r="E24" i="13"/>
  <c r="E23" i="13"/>
  <c r="E22" i="13"/>
  <c r="E21" i="13"/>
  <c r="E20" i="13"/>
  <c r="E19" i="13"/>
  <c r="E18" i="13"/>
  <c r="E17" i="13"/>
  <c r="E16" i="13"/>
  <c r="E15" i="13"/>
  <c r="E14" i="13"/>
  <c r="E13" i="13"/>
  <c r="E12" i="13"/>
  <c r="E11" i="13"/>
  <c r="E10" i="13"/>
  <c r="E9" i="13"/>
  <c r="E8" i="13"/>
  <c r="E7" i="13"/>
  <c r="E187" i="11"/>
  <c r="E186" i="11"/>
  <c r="E185" i="11"/>
  <c r="E184" i="11"/>
  <c r="E183" i="11"/>
  <c r="E182" i="11"/>
  <c r="E181" i="11"/>
  <c r="E180" i="11"/>
  <c r="E179" i="11"/>
  <c r="E178" i="11"/>
  <c r="E177" i="11"/>
  <c r="E176" i="11"/>
  <c r="E175" i="11"/>
  <c r="E174" i="11"/>
  <c r="E173" i="11"/>
  <c r="E172" i="11"/>
  <c r="E171" i="11"/>
  <c r="E170" i="11"/>
  <c r="E169" i="11"/>
  <c r="E168" i="11"/>
  <c r="E167" i="11"/>
  <c r="E166" i="11"/>
  <c r="E165" i="11"/>
  <c r="E164" i="11"/>
  <c r="E163" i="11"/>
  <c r="E159" i="11"/>
  <c r="E158" i="11"/>
  <c r="E157" i="11"/>
  <c r="E156" i="11"/>
  <c r="E155" i="11"/>
  <c r="E154" i="11"/>
  <c r="E153" i="11"/>
  <c r="E152" i="11"/>
  <c r="E151" i="11"/>
  <c r="E150" i="11"/>
  <c r="E149" i="11"/>
  <c r="E148" i="11"/>
  <c r="E147" i="11"/>
  <c r="E146" i="11"/>
  <c r="E145" i="11"/>
  <c r="E144" i="11"/>
  <c r="E143" i="11"/>
  <c r="E142" i="11"/>
  <c r="E141" i="11"/>
  <c r="E140" i="11"/>
  <c r="E139" i="11"/>
  <c r="E138" i="11"/>
  <c r="E137" i="11"/>
  <c r="E136" i="11"/>
  <c r="E135" i="11"/>
  <c r="E134" i="11"/>
  <c r="E133" i="11"/>
  <c r="E132" i="11"/>
  <c r="E131" i="11"/>
  <c r="E130" i="11"/>
  <c r="E129" i="11"/>
  <c r="E125" i="11"/>
  <c r="E124" i="11"/>
  <c r="E123" i="11"/>
  <c r="E122" i="11"/>
  <c r="E121" i="11"/>
  <c r="E120" i="11"/>
  <c r="E119" i="11"/>
  <c r="E118" i="11"/>
  <c r="E117" i="11"/>
  <c r="E116" i="11"/>
  <c r="E115" i="11"/>
  <c r="E114" i="11"/>
  <c r="E113" i="11"/>
  <c r="E112" i="11"/>
  <c r="E111" i="11"/>
  <c r="E110" i="11"/>
  <c r="E109" i="11"/>
  <c r="E108" i="11"/>
  <c r="E107" i="11"/>
  <c r="E106" i="11"/>
  <c r="E105" i="11"/>
  <c r="E104" i="11"/>
  <c r="E103" i="11"/>
  <c r="E102" i="11"/>
  <c r="E101" i="11"/>
  <c r="E100" i="11"/>
  <c r="E99" i="11"/>
  <c r="E98" i="11"/>
  <c r="E97" i="11"/>
  <c r="E96" i="11"/>
  <c r="E95" i="11"/>
  <c r="E94" i="11"/>
  <c r="E93" i="11"/>
  <c r="E92" i="11"/>
  <c r="E91" i="11"/>
  <c r="E90" i="11"/>
  <c r="E89" i="11"/>
  <c r="E88" i="11"/>
  <c r="E87" i="11"/>
  <c r="E86" i="11"/>
  <c r="E85" i="11"/>
  <c r="E81" i="11"/>
  <c r="E80" i="11"/>
  <c r="E79" i="11"/>
  <c r="E78" i="11"/>
  <c r="E77" i="11"/>
  <c r="E76" i="11"/>
  <c r="E75" i="11"/>
  <c r="E74" i="11"/>
  <c r="E73" i="11"/>
  <c r="E72" i="11"/>
  <c r="E71" i="11"/>
  <c r="E70" i="11"/>
  <c r="E69" i="11"/>
  <c r="E68" i="11"/>
  <c r="E67" i="11"/>
  <c r="E66" i="11"/>
  <c r="E65" i="11"/>
  <c r="E64" i="11"/>
  <c r="E63" i="11"/>
  <c r="E62" i="11"/>
  <c r="E61" i="11"/>
  <c r="E60" i="11"/>
  <c r="E59" i="11"/>
  <c r="E58" i="11"/>
  <c r="E57" i="11"/>
  <c r="E56" i="11"/>
  <c r="E55" i="11"/>
  <c r="E54" i="11"/>
  <c r="E53" i="11"/>
  <c r="E52" i="11"/>
  <c r="E51" i="11"/>
  <c r="E50" i="11"/>
  <c r="E49" i="11"/>
  <c r="E48" i="11"/>
  <c r="E47" i="11"/>
  <c r="E46" i="11"/>
  <c r="E45" i="11"/>
  <c r="E44" i="11"/>
  <c r="E43" i="11"/>
  <c r="E42" i="11"/>
  <c r="E41" i="11"/>
  <c r="E40" i="11"/>
  <c r="E36" i="11"/>
  <c r="E35" i="11"/>
  <c r="E34" i="11"/>
  <c r="E33" i="11"/>
  <c r="E32" i="11"/>
  <c r="E31" i="11"/>
  <c r="E30" i="11"/>
  <c r="E29" i="11"/>
  <c r="E28" i="11"/>
  <c r="E27" i="11"/>
  <c r="E26" i="11"/>
  <c r="E25" i="11"/>
  <c r="E24" i="11"/>
  <c r="E23" i="11"/>
  <c r="E22" i="11"/>
  <c r="E21" i="11"/>
  <c r="F341" i="12"/>
  <c r="F340" i="12"/>
  <c r="F339" i="12"/>
  <c r="F338" i="12"/>
  <c r="F337" i="12"/>
  <c r="F336" i="12"/>
  <c r="F335" i="12"/>
  <c r="F334" i="12"/>
  <c r="F333" i="12"/>
  <c r="F332" i="12"/>
  <c r="F331" i="12"/>
  <c r="F330" i="12"/>
  <c r="F329" i="12"/>
  <c r="F328" i="12"/>
  <c r="F327" i="12"/>
  <c r="F326" i="12"/>
  <c r="F325" i="12"/>
  <c r="F324" i="12"/>
  <c r="F323" i="12"/>
  <c r="F322" i="12"/>
  <c r="F321" i="12"/>
  <c r="F320" i="12"/>
  <c r="F319" i="12"/>
  <c r="F318" i="12"/>
  <c r="F317" i="12"/>
  <c r="F316" i="12"/>
  <c r="F315" i="12"/>
  <c r="F314" i="12"/>
  <c r="F313" i="12"/>
  <c r="F312" i="12"/>
  <c r="F311" i="12"/>
  <c r="F310" i="12"/>
  <c r="F309" i="12"/>
  <c r="F308" i="12"/>
  <c r="F307" i="12"/>
  <c r="F306" i="12"/>
  <c r="F305" i="12"/>
  <c r="F304" i="12"/>
  <c r="F303" i="12"/>
  <c r="F302" i="12"/>
  <c r="F301" i="12"/>
  <c r="F300" i="12"/>
  <c r="F299" i="12"/>
  <c r="F298" i="12"/>
  <c r="F297" i="12"/>
  <c r="F296" i="12"/>
  <c r="F295" i="12"/>
  <c r="F294" i="12"/>
  <c r="F293" i="12"/>
  <c r="F292" i="12"/>
  <c r="F291" i="12"/>
  <c r="F290" i="12"/>
  <c r="F289" i="12"/>
  <c r="F288" i="12"/>
  <c r="F287" i="12"/>
  <c r="F286" i="12"/>
  <c r="F285" i="12"/>
  <c r="F284" i="12"/>
  <c r="F283" i="12"/>
  <c r="F282" i="12"/>
  <c r="F281" i="12"/>
  <c r="F280" i="12"/>
  <c r="F279" i="12"/>
  <c r="F278" i="12"/>
  <c r="F277" i="12"/>
  <c r="F276" i="12"/>
  <c r="F275" i="12"/>
  <c r="F274" i="12"/>
  <c r="F273" i="12"/>
  <c r="F272" i="12"/>
  <c r="F271" i="12"/>
  <c r="F270" i="12"/>
  <c r="F269" i="12"/>
  <c r="F268" i="12"/>
  <c r="F267" i="12"/>
  <c r="F266" i="12"/>
  <c r="F265" i="12"/>
  <c r="F264" i="12"/>
  <c r="F263" i="12"/>
  <c r="F262" i="12"/>
  <c r="F261" i="12"/>
  <c r="F260" i="12"/>
  <c r="F259" i="12"/>
  <c r="F258" i="12"/>
  <c r="F257" i="12"/>
  <c r="F256" i="12"/>
  <c r="F255" i="12"/>
  <c r="F254" i="12"/>
  <c r="F253" i="12"/>
  <c r="F252" i="12"/>
  <c r="F251" i="12"/>
  <c r="F250" i="12"/>
  <c r="F249" i="12"/>
  <c r="F248" i="12"/>
  <c r="F247" i="12"/>
  <c r="F246" i="12"/>
  <c r="F245" i="12"/>
  <c r="F244" i="12"/>
  <c r="F243" i="12"/>
  <c r="F242" i="12"/>
  <c r="F241" i="12"/>
  <c r="F240" i="12"/>
  <c r="F239" i="12"/>
  <c r="F238" i="12"/>
  <c r="F237" i="12"/>
  <c r="F236" i="12"/>
  <c r="F235" i="12"/>
  <c r="F234" i="12"/>
  <c r="F233" i="12"/>
  <c r="F232" i="12"/>
  <c r="F231" i="12"/>
  <c r="F230" i="12"/>
  <c r="F229" i="12"/>
  <c r="F228" i="12"/>
  <c r="F227" i="12"/>
  <c r="F226" i="12"/>
  <c r="F225" i="12"/>
  <c r="F224" i="12"/>
  <c r="F223" i="12"/>
  <c r="F222" i="12"/>
  <c r="F221" i="12"/>
  <c r="F220" i="12"/>
  <c r="F219" i="12"/>
  <c r="F218" i="12"/>
  <c r="F217" i="12"/>
  <c r="F216" i="12"/>
  <c r="F215" i="12"/>
  <c r="F214" i="12"/>
  <c r="F213" i="12"/>
  <c r="F212" i="12"/>
  <c r="F211" i="12"/>
  <c r="F210" i="12"/>
  <c r="F209" i="12"/>
  <c r="F208" i="12"/>
  <c r="F207" i="12"/>
  <c r="F206" i="12"/>
  <c r="F205" i="12"/>
  <c r="F204" i="12"/>
  <c r="F203" i="12"/>
  <c r="F202" i="12"/>
  <c r="F201" i="12"/>
  <c r="F200" i="12"/>
  <c r="F199" i="12"/>
  <c r="F198" i="12"/>
  <c r="F197" i="12"/>
  <c r="F196" i="12"/>
  <c r="F195" i="12"/>
  <c r="F194" i="12"/>
  <c r="F193" i="12"/>
  <c r="F192" i="12"/>
  <c r="F191" i="12"/>
  <c r="F190" i="12"/>
  <c r="F189" i="12"/>
  <c r="F188" i="12"/>
  <c r="F187" i="12"/>
  <c r="F186" i="12"/>
  <c r="F185" i="12"/>
  <c r="F184" i="12"/>
  <c r="F183" i="12"/>
  <c r="F182" i="12"/>
  <c r="F181" i="12"/>
  <c r="F180" i="12"/>
  <c r="F179" i="12"/>
  <c r="F178" i="12"/>
  <c r="F177" i="12"/>
  <c r="F176" i="12"/>
  <c r="F175" i="12"/>
  <c r="F174" i="12"/>
  <c r="F173" i="12"/>
  <c r="F172" i="12"/>
  <c r="F171" i="12"/>
  <c r="F170" i="12"/>
  <c r="F169" i="12"/>
  <c r="F168" i="12"/>
  <c r="F167" i="12"/>
  <c r="F166" i="12"/>
  <c r="F165" i="12"/>
  <c r="F164" i="12"/>
  <c r="F163" i="12"/>
  <c r="F162" i="12"/>
  <c r="F161" i="12"/>
  <c r="F160" i="12"/>
  <c r="F159" i="12"/>
  <c r="F158" i="12"/>
  <c r="F157" i="12"/>
  <c r="F156" i="12"/>
  <c r="F155" i="12"/>
  <c r="F154" i="12"/>
  <c r="F153" i="12"/>
  <c r="F152" i="12"/>
  <c r="F151" i="12"/>
  <c r="F150" i="12"/>
  <c r="F149" i="12"/>
  <c r="F148" i="12"/>
  <c r="F147" i="12"/>
  <c r="F146" i="12"/>
  <c r="F145" i="12"/>
  <c r="F144" i="12"/>
  <c r="F143" i="12"/>
  <c r="F142" i="12"/>
  <c r="F141" i="12"/>
  <c r="F140" i="12"/>
  <c r="F139" i="12"/>
  <c r="F138" i="12"/>
  <c r="F137" i="12"/>
  <c r="F136" i="12"/>
  <c r="F135" i="12"/>
  <c r="F134" i="12"/>
  <c r="F133" i="12"/>
  <c r="F132" i="12"/>
  <c r="F131" i="12"/>
  <c r="F130" i="12"/>
  <c r="F129" i="12"/>
  <c r="F128" i="12"/>
  <c r="F127" i="12"/>
  <c r="F126" i="12"/>
  <c r="F125" i="12"/>
  <c r="F124" i="12"/>
  <c r="F123" i="12"/>
  <c r="F122" i="12"/>
  <c r="F121" i="12"/>
  <c r="F120" i="12"/>
  <c r="F119" i="12"/>
  <c r="F118" i="12"/>
  <c r="F117" i="12"/>
  <c r="F116" i="12"/>
  <c r="F115" i="12"/>
  <c r="F114" i="12"/>
  <c r="F113" i="12"/>
  <c r="F112" i="12"/>
  <c r="F111" i="12"/>
  <c r="F110" i="12"/>
  <c r="F109" i="12"/>
  <c r="F108" i="12"/>
  <c r="F107" i="12"/>
  <c r="F106" i="12"/>
  <c r="F105" i="12"/>
  <c r="F104" i="12"/>
  <c r="F103" i="12"/>
  <c r="F102" i="12"/>
  <c r="F101" i="12"/>
  <c r="F100" i="12"/>
  <c r="F99" i="12"/>
  <c r="F98" i="12"/>
  <c r="F97" i="12"/>
  <c r="F96" i="12"/>
  <c r="F95" i="12"/>
  <c r="F94" i="12"/>
  <c r="F93" i="12"/>
  <c r="F92" i="12"/>
  <c r="F91" i="12"/>
  <c r="F90" i="12"/>
  <c r="F89" i="12"/>
  <c r="F88" i="12"/>
  <c r="F87" i="12"/>
  <c r="F86" i="12"/>
  <c r="F85" i="12"/>
  <c r="F84" i="12"/>
  <c r="F83" i="12"/>
  <c r="F82" i="12"/>
  <c r="F81" i="12"/>
  <c r="F80" i="12"/>
  <c r="F79" i="12"/>
  <c r="F78" i="12"/>
  <c r="F77" i="12"/>
  <c r="F76" i="12"/>
  <c r="F75" i="12"/>
  <c r="F74" i="12"/>
  <c r="F73" i="12"/>
  <c r="F72" i="12"/>
  <c r="F71" i="12"/>
  <c r="F70" i="12"/>
  <c r="F69" i="12"/>
  <c r="F68" i="12"/>
  <c r="F67" i="12"/>
  <c r="F66" i="12"/>
  <c r="F65" i="12"/>
  <c r="F64" i="12"/>
  <c r="F63" i="12"/>
  <c r="F62" i="12"/>
  <c r="F61" i="12"/>
  <c r="F60" i="12"/>
  <c r="F59" i="12"/>
  <c r="F58" i="12"/>
  <c r="F57" i="12"/>
  <c r="F56" i="12"/>
  <c r="F55" i="12"/>
  <c r="F54" i="12"/>
  <c r="F53" i="12"/>
  <c r="F52" i="12"/>
  <c r="F51" i="12"/>
  <c r="F50" i="12"/>
  <c r="F49" i="12"/>
  <c r="F48" i="12"/>
  <c r="F47" i="12"/>
  <c r="F46" i="12"/>
  <c r="F45" i="12"/>
  <c r="F44" i="12"/>
  <c r="F43" i="12"/>
  <c r="F42" i="12"/>
  <c r="F41" i="12"/>
  <c r="F40" i="12"/>
  <c r="F39" i="12"/>
  <c r="F38" i="12"/>
  <c r="F37" i="12"/>
  <c r="F36" i="12"/>
  <c r="F35" i="12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E207" i="5"/>
  <c r="E155" i="5"/>
  <c r="E212" i="5"/>
  <c r="E195" i="5"/>
  <c r="E237" i="5"/>
  <c r="E221" i="5"/>
  <c r="E125" i="5"/>
  <c r="E206" i="5"/>
  <c r="E225" i="5"/>
  <c r="E196" i="5"/>
  <c r="E177" i="5"/>
  <c r="E190" i="5"/>
  <c r="E189" i="5"/>
  <c r="E141" i="5"/>
  <c r="E224" i="5"/>
  <c r="E140" i="5"/>
  <c r="E126" i="5"/>
  <c r="E238" i="5"/>
  <c r="E139" i="5"/>
  <c r="E138" i="5"/>
  <c r="E227" i="5"/>
  <c r="E217" i="5"/>
  <c r="E137" i="5"/>
  <c r="E136" i="5"/>
  <c r="E124" i="5"/>
  <c r="E236" i="5"/>
  <c r="E123" i="5"/>
  <c r="E247" i="5"/>
  <c r="E246" i="5"/>
  <c r="E122" i="5"/>
  <c r="E102" i="5"/>
  <c r="E181" i="5"/>
  <c r="E148" i="5"/>
  <c r="E245" i="5"/>
  <c r="E153" i="5"/>
  <c r="E180" i="5"/>
  <c r="E244" i="5"/>
  <c r="E243" i="5"/>
  <c r="E208" i="5"/>
  <c r="E184" i="5"/>
  <c r="E248" i="5"/>
  <c r="E121" i="5"/>
  <c r="E234" i="5"/>
  <c r="E108" i="5"/>
  <c r="E107" i="5"/>
  <c r="E135" i="5"/>
  <c r="E211" i="5"/>
  <c r="E156" i="5"/>
  <c r="E191" i="5"/>
  <c r="E146" i="5"/>
  <c r="E162" i="5"/>
  <c r="E242" i="5"/>
  <c r="E235" i="5"/>
  <c r="E147" i="5"/>
  <c r="E176" i="5"/>
  <c r="E130" i="5"/>
  <c r="E129" i="5"/>
  <c r="E128" i="5"/>
  <c r="E194" i="5"/>
  <c r="E226" i="5"/>
  <c r="E233" i="5"/>
  <c r="E185" i="5"/>
  <c r="E193" i="5"/>
  <c r="E232" i="5"/>
  <c r="E210" i="5"/>
  <c r="E179" i="5"/>
  <c r="E62" i="5"/>
  <c r="E231" i="5"/>
  <c r="E188" i="5"/>
  <c r="E218" i="5"/>
  <c r="E230" i="5"/>
  <c r="E229" i="5"/>
  <c r="E168" i="5"/>
  <c r="E192" i="5"/>
  <c r="E228" i="5"/>
  <c r="E76" i="5"/>
  <c r="E197" i="5"/>
  <c r="E178" i="5"/>
  <c r="E143" i="5"/>
  <c r="E222" i="5"/>
  <c r="E174" i="5"/>
  <c r="E152" i="5"/>
  <c r="E41" i="5"/>
  <c r="E150" i="5"/>
  <c r="E142" i="5"/>
  <c r="E160" i="5"/>
  <c r="E159" i="5"/>
  <c r="E56" i="5"/>
  <c r="E120" i="5"/>
  <c r="E134" i="5"/>
  <c r="E167" i="5"/>
  <c r="E249" i="5"/>
  <c r="E145" i="5"/>
  <c r="E165" i="5"/>
  <c r="E40" i="5"/>
  <c r="E205" i="5"/>
  <c r="E119" i="5"/>
  <c r="E209" i="5"/>
  <c r="E204" i="5"/>
  <c r="E132" i="5"/>
  <c r="E173" i="5"/>
  <c r="E144" i="5"/>
  <c r="E51" i="5"/>
  <c r="E154" i="5"/>
  <c r="E118" i="5"/>
  <c r="E93" i="5"/>
  <c r="E92" i="5"/>
  <c r="E223" i="5"/>
  <c r="E127" i="5"/>
  <c r="E87" i="5"/>
  <c r="E117" i="5"/>
  <c r="E187" i="5"/>
  <c r="E86" i="5"/>
  <c r="E239" i="5"/>
  <c r="E50" i="5"/>
  <c r="E240" i="5"/>
  <c r="E116" i="5"/>
  <c r="E203" i="5"/>
  <c r="E202" i="5"/>
  <c r="E151" i="5"/>
  <c r="E214" i="5"/>
  <c r="E115" i="5"/>
  <c r="E216" i="5"/>
  <c r="E77" i="5"/>
  <c r="E37" i="5"/>
  <c r="E90" i="5"/>
  <c r="E201" i="5"/>
  <c r="E183" i="5"/>
  <c r="E200" i="5"/>
  <c r="E213" i="5"/>
  <c r="E199" i="5"/>
  <c r="E175" i="5"/>
  <c r="E198" i="5"/>
  <c r="E164" i="5"/>
  <c r="E163" i="5"/>
  <c r="E35" i="5"/>
  <c r="E215" i="5"/>
  <c r="E171" i="5"/>
  <c r="E170" i="5"/>
  <c r="E182" i="5"/>
  <c r="E158" i="5"/>
  <c r="E169" i="5"/>
  <c r="E49" i="5"/>
  <c r="E157" i="5"/>
  <c r="E26" i="5"/>
  <c r="E161" i="5"/>
  <c r="E39" i="5"/>
  <c r="E104" i="5"/>
  <c r="E241" i="5"/>
  <c r="E166" i="5"/>
  <c r="E33" i="5"/>
  <c r="E219" i="5"/>
  <c r="E110" i="5"/>
  <c r="E149" i="5"/>
  <c r="E106" i="5"/>
  <c r="E75" i="5"/>
  <c r="E109" i="5"/>
  <c r="E32" i="5"/>
  <c r="E34" i="5"/>
  <c r="E220" i="5"/>
  <c r="E133" i="5"/>
  <c r="E31" i="5"/>
  <c r="E186" i="5"/>
  <c r="E114" i="5"/>
  <c r="E113" i="5"/>
  <c r="E66" i="5"/>
  <c r="E131" i="5"/>
  <c r="E103" i="5"/>
  <c r="E172" i="5"/>
  <c r="E30" i="5"/>
  <c r="E48" i="5"/>
  <c r="E28" i="5"/>
  <c r="E46" i="5"/>
  <c r="E70" i="5"/>
  <c r="E29" i="5"/>
  <c r="E68" i="5"/>
  <c r="E78" i="5"/>
  <c r="E24" i="5"/>
  <c r="E55" i="5"/>
  <c r="E73" i="5"/>
  <c r="E23" i="5"/>
  <c r="E85" i="5"/>
  <c r="E71" i="5"/>
  <c r="E79" i="5"/>
  <c r="E54" i="5"/>
  <c r="E74" i="5"/>
  <c r="E25" i="5"/>
  <c r="E27" i="5"/>
  <c r="E38" i="5"/>
  <c r="E112" i="5"/>
  <c r="E72" i="5"/>
  <c r="E84" i="5"/>
  <c r="E82" i="5"/>
  <c r="E80" i="5"/>
  <c r="E81" i="5"/>
  <c r="E69" i="5"/>
  <c r="E83" i="5"/>
  <c r="E111" i="5"/>
  <c r="E105" i="5"/>
  <c r="E36" i="5"/>
  <c r="E101" i="5"/>
  <c r="E57" i="5"/>
  <c r="E89" i="5"/>
  <c r="E53" i="5"/>
  <c r="E65" i="5"/>
  <c r="E44" i="5"/>
  <c r="E100" i="5"/>
  <c r="E63" i="5"/>
  <c r="E99" i="5"/>
  <c r="E64" i="5"/>
  <c r="E88" i="5"/>
  <c r="E10" i="5"/>
  <c r="E98" i="5"/>
  <c r="E22" i="5"/>
  <c r="E97" i="5"/>
  <c r="E47" i="5"/>
  <c r="E96" i="5"/>
  <c r="E45" i="5"/>
  <c r="E52" i="5"/>
  <c r="E61" i="5"/>
  <c r="E60" i="5"/>
  <c r="E59" i="5"/>
  <c r="E43" i="5"/>
  <c r="E95" i="5"/>
  <c r="E42" i="5"/>
  <c r="E91" i="5"/>
  <c r="E58" i="5"/>
  <c r="E94" i="5"/>
  <c r="E21" i="5"/>
  <c r="E67" i="5"/>
  <c r="E18" i="5"/>
  <c r="E20" i="5"/>
  <c r="E19" i="5"/>
  <c r="E14" i="5"/>
  <c r="E9" i="5"/>
  <c r="E13" i="5"/>
  <c r="E17" i="5"/>
  <c r="E16" i="5"/>
  <c r="E15" i="5"/>
  <c r="E8" i="5"/>
  <c r="E12" i="5"/>
  <c r="E11" i="5"/>
  <c r="E7" i="5"/>
  <c r="E291" i="8"/>
  <c r="E505" i="8"/>
  <c r="E290" i="8"/>
  <c r="E289" i="8"/>
  <c r="E467" i="8"/>
  <c r="E248" i="8"/>
  <c r="E149" i="8"/>
  <c r="E68" i="8"/>
  <c r="E418" i="8"/>
  <c r="E196" i="8"/>
  <c r="E221" i="8"/>
  <c r="E220" i="8"/>
  <c r="E287" i="8"/>
  <c r="E502" i="8"/>
  <c r="E389" i="8"/>
  <c r="E170" i="8"/>
  <c r="E506" i="8"/>
  <c r="E256" i="8"/>
  <c r="E391" i="8"/>
  <c r="E390" i="8"/>
  <c r="E488" i="8"/>
  <c r="E500" i="8"/>
  <c r="E169" i="8"/>
  <c r="E487" i="8"/>
  <c r="E195" i="8"/>
  <c r="E194" i="8"/>
  <c r="E262" i="8"/>
  <c r="E499" i="8"/>
  <c r="E193" i="8"/>
  <c r="E490" i="8"/>
  <c r="E468" i="8"/>
  <c r="E466" i="8"/>
  <c r="E227" i="8"/>
  <c r="E219" i="8"/>
  <c r="E497" i="8"/>
  <c r="E192" i="8"/>
  <c r="E168" i="8"/>
  <c r="E191" i="8"/>
  <c r="E495" i="8"/>
  <c r="E92" i="8"/>
  <c r="E457" i="8"/>
  <c r="E226" i="8"/>
  <c r="E421" i="8"/>
  <c r="E373" i="8"/>
  <c r="E181" i="8"/>
  <c r="E167" i="8"/>
  <c r="E486" i="8"/>
  <c r="E51" i="8"/>
  <c r="E441" i="8"/>
  <c r="E190" i="8"/>
  <c r="E200" i="8"/>
  <c r="E496" i="8"/>
  <c r="E440" i="8"/>
  <c r="E261" i="8"/>
  <c r="E417" i="8"/>
  <c r="E414" i="8"/>
  <c r="E173" i="8"/>
  <c r="E469" i="8"/>
  <c r="E439" i="8"/>
  <c r="E286" i="8"/>
  <c r="E247" i="8"/>
  <c r="E209" i="8"/>
  <c r="E504" i="8"/>
  <c r="E498" i="8"/>
  <c r="E433" i="8"/>
  <c r="E481" i="8"/>
  <c r="E199" i="8"/>
  <c r="E208" i="8"/>
  <c r="E24" i="8"/>
  <c r="E27" i="8"/>
  <c r="E207" i="8"/>
  <c r="E304" i="8"/>
  <c r="E503" i="8"/>
  <c r="E416" i="8"/>
  <c r="E328" i="8"/>
  <c r="E448" i="8"/>
  <c r="E206" i="8"/>
  <c r="E234" i="8"/>
  <c r="E438" i="8"/>
  <c r="E205" i="8"/>
  <c r="E204" i="8"/>
  <c r="E479" i="8"/>
  <c r="E431" i="8"/>
  <c r="E233" i="8"/>
  <c r="E449" i="8"/>
  <c r="E246" i="8"/>
  <c r="E180" i="8"/>
  <c r="E133" i="8"/>
  <c r="E342" i="8"/>
  <c r="E361" i="8"/>
  <c r="E360" i="8"/>
  <c r="E113" i="8"/>
  <c r="E110" i="8"/>
  <c r="E359" i="8"/>
  <c r="E358" i="8"/>
  <c r="E357" i="8"/>
  <c r="E179" i="8"/>
  <c r="E456" i="8"/>
  <c r="E34" i="8"/>
  <c r="E455" i="8"/>
  <c r="E178" i="8"/>
  <c r="E218" i="8"/>
  <c r="E454" i="8"/>
  <c r="E453" i="8"/>
  <c r="E489" i="8"/>
  <c r="E452" i="8"/>
  <c r="E485" i="8"/>
  <c r="E494" i="8"/>
  <c r="E245" i="8"/>
  <c r="E430" i="8"/>
  <c r="E423" i="8"/>
  <c r="E60" i="8"/>
  <c r="E106" i="8"/>
  <c r="E254" i="8"/>
  <c r="E437" i="8"/>
  <c r="E372" i="8"/>
  <c r="E56" i="8"/>
  <c r="E264" i="8"/>
  <c r="E224" i="8"/>
  <c r="E211" i="8"/>
  <c r="E151" i="8"/>
  <c r="E150" i="8"/>
  <c r="E341" i="8"/>
  <c r="E43" i="8"/>
  <c r="E154" i="8"/>
  <c r="E36" i="8"/>
  <c r="E385" i="8"/>
  <c r="E70" i="8"/>
  <c r="E197" i="8"/>
  <c r="E480" i="8"/>
  <c r="E232" i="8"/>
  <c r="E222" i="8"/>
  <c r="E284" i="8"/>
  <c r="E283" i="8"/>
  <c r="E330" i="8"/>
  <c r="E313" i="8"/>
  <c r="E33" i="8"/>
  <c r="E384" i="8"/>
  <c r="E309" i="8"/>
  <c r="E54" i="8"/>
  <c r="E15" i="8"/>
  <c r="E109" i="8"/>
  <c r="E415" i="8"/>
  <c r="E131" i="8"/>
  <c r="E66" i="8"/>
  <c r="E297" i="8"/>
  <c r="E388" i="8"/>
  <c r="E371" i="8"/>
  <c r="E249" i="8"/>
  <c r="E501" i="8"/>
  <c r="E340" i="8"/>
  <c r="E49" i="8"/>
  <c r="E312" i="8"/>
  <c r="E163" i="8"/>
  <c r="E127" i="8"/>
  <c r="E288" i="8"/>
  <c r="E148" i="8"/>
  <c r="E339" i="8"/>
  <c r="E87" i="8"/>
  <c r="E32" i="8"/>
  <c r="E356" i="8"/>
  <c r="E303" i="8"/>
  <c r="E50" i="8"/>
  <c r="E260" i="8"/>
  <c r="E419" i="8"/>
  <c r="E14" i="8"/>
  <c r="E311" i="8"/>
  <c r="E493" i="8"/>
  <c r="E48" i="8"/>
  <c r="E35" i="8"/>
  <c r="E296" i="8"/>
  <c r="E366" i="8"/>
  <c r="E434" i="8"/>
  <c r="E370" i="8"/>
  <c r="E253" i="8"/>
  <c r="E130" i="8"/>
  <c r="E338" i="8"/>
  <c r="E337" i="8"/>
  <c r="E185" i="8"/>
  <c r="E210" i="8"/>
  <c r="E369" i="8"/>
  <c r="E336" i="8"/>
  <c r="E231" i="8"/>
  <c r="E335" i="8"/>
  <c r="E252" i="8"/>
  <c r="E28" i="8"/>
  <c r="E69" i="8"/>
  <c r="E40" i="8"/>
  <c r="E184" i="8"/>
  <c r="E387" i="8"/>
  <c r="E82" i="8"/>
  <c r="E295" i="8"/>
  <c r="E203" i="8"/>
  <c r="E172" i="8"/>
  <c r="E188" i="8"/>
  <c r="E251" i="8"/>
  <c r="E308" i="8"/>
  <c r="E81" i="8"/>
  <c r="E443" i="8"/>
  <c r="E177" i="8"/>
  <c r="E86" i="8"/>
  <c r="E432" i="8"/>
  <c r="E39" i="8"/>
  <c r="E294" i="8"/>
  <c r="E41" i="8"/>
  <c r="E406" i="8"/>
  <c r="E175" i="8"/>
  <c r="E45" i="8"/>
  <c r="E52" i="8"/>
  <c r="E386" i="8"/>
  <c r="E53" i="8"/>
  <c r="E55" i="8"/>
  <c r="E31" i="8"/>
  <c r="E259" i="8"/>
  <c r="E202" i="8"/>
  <c r="E30" i="8"/>
  <c r="E37" i="8"/>
  <c r="E126" i="8"/>
  <c r="E29" i="8"/>
  <c r="E105" i="8"/>
  <c r="E478" i="8"/>
  <c r="E44" i="8"/>
  <c r="E183" i="8"/>
  <c r="E436" i="8"/>
  <c r="E61" i="8"/>
  <c r="E258" i="8"/>
  <c r="E217" i="8"/>
  <c r="E327" i="8"/>
  <c r="E285" i="8"/>
  <c r="E240" i="8"/>
  <c r="E165" i="8"/>
  <c r="E65" i="8"/>
  <c r="E62" i="8"/>
  <c r="E257" i="8"/>
  <c r="E429" i="8"/>
  <c r="E463" i="8"/>
  <c r="E223" i="8"/>
  <c r="E162" i="8"/>
  <c r="E230" i="8"/>
  <c r="E216" i="8"/>
  <c r="E80" i="8"/>
  <c r="E47" i="8"/>
  <c r="E428" i="8"/>
  <c r="E244" i="8"/>
  <c r="E119" i="8"/>
  <c r="E243" i="8"/>
  <c r="E242" i="8"/>
  <c r="E182" i="8"/>
  <c r="E355" i="8"/>
  <c r="E20" i="8"/>
  <c r="E201" i="8"/>
  <c r="E72" i="8"/>
  <c r="E79" i="8"/>
  <c r="E78" i="8"/>
  <c r="E108" i="8"/>
  <c r="E334" i="8"/>
  <c r="E465" i="8"/>
  <c r="E19" i="8"/>
  <c r="E229" i="8"/>
  <c r="E23" i="8"/>
  <c r="E77" i="8"/>
  <c r="E215" i="8"/>
  <c r="E76" i="8"/>
  <c r="E266" i="8"/>
  <c r="E265" i="8"/>
  <c r="E166" i="8"/>
  <c r="E18" i="8"/>
  <c r="E17" i="8"/>
  <c r="E64" i="8"/>
  <c r="E420" i="8"/>
  <c r="E42" i="8"/>
  <c r="E22" i="8"/>
  <c r="E38" i="8"/>
  <c r="E147" i="8"/>
  <c r="E16" i="8"/>
  <c r="E153" i="8"/>
  <c r="E305" i="8"/>
  <c r="E413" i="8"/>
  <c r="E329" i="8"/>
  <c r="E46" i="8"/>
  <c r="E354" i="8"/>
  <c r="E13" i="8"/>
  <c r="E132" i="8"/>
  <c r="E26" i="8"/>
  <c r="E473" i="8"/>
  <c r="E212" i="8"/>
  <c r="E71" i="8"/>
  <c r="E310" i="8"/>
  <c r="E241" i="8"/>
  <c r="E125" i="8"/>
  <c r="E12" i="8"/>
  <c r="E75" i="8"/>
  <c r="E124" i="8"/>
  <c r="E160" i="8"/>
  <c r="E146" i="8"/>
  <c r="E123" i="8"/>
  <c r="E159" i="8"/>
  <c r="E107" i="8"/>
  <c r="E187" i="8"/>
  <c r="E63" i="8"/>
  <c r="E333" i="8"/>
  <c r="E152" i="8"/>
  <c r="E122" i="8"/>
  <c r="E225" i="8"/>
  <c r="E85" i="8"/>
  <c r="E129" i="8"/>
  <c r="E239" i="8"/>
  <c r="E255" i="8"/>
  <c r="E176" i="8"/>
  <c r="E353" i="8"/>
  <c r="E84" i="8"/>
  <c r="E145" i="8"/>
  <c r="E67" i="8"/>
  <c r="E11" i="8"/>
  <c r="E326" i="8"/>
  <c r="E117" i="8"/>
  <c r="E144" i="8"/>
  <c r="E174" i="8"/>
  <c r="E121" i="8"/>
  <c r="E83" i="8"/>
  <c r="E59" i="8"/>
  <c r="E58" i="8"/>
  <c r="E104" i="8"/>
  <c r="E103" i="8"/>
  <c r="E10" i="8"/>
  <c r="E171" i="8"/>
  <c r="E74" i="8"/>
  <c r="E102" i="8"/>
  <c r="E57" i="8"/>
  <c r="E143" i="8"/>
  <c r="E116" i="8"/>
  <c r="E112" i="8"/>
  <c r="E161" i="8"/>
  <c r="E158" i="8"/>
  <c r="E325" i="8"/>
  <c r="E142" i="8"/>
  <c r="E21" i="8"/>
  <c r="E141" i="8"/>
  <c r="E140" i="8"/>
  <c r="E9" i="8"/>
  <c r="E111" i="8"/>
  <c r="E25" i="8"/>
  <c r="E139" i="8"/>
  <c r="E95" i="8"/>
  <c r="E138" i="8"/>
  <c r="E91" i="8"/>
  <c r="E115" i="8"/>
  <c r="E157" i="8"/>
  <c r="E90" i="8"/>
  <c r="E164" i="8"/>
  <c r="E94" i="8"/>
  <c r="E156" i="8"/>
  <c r="E8" i="8"/>
  <c r="E89" i="8"/>
  <c r="E137" i="8"/>
  <c r="E155" i="8"/>
  <c r="E422" i="8"/>
  <c r="E228" i="8"/>
  <c r="E114" i="8"/>
  <c r="E7" i="8"/>
  <c r="E352" i="8"/>
  <c r="E93" i="8"/>
  <c r="E136" i="8"/>
  <c r="E118" i="8"/>
  <c r="E135" i="8"/>
  <c r="E101" i="8"/>
  <c r="E374" i="8"/>
  <c r="E73" i="8"/>
  <c r="E263" i="8"/>
  <c r="E238" i="8"/>
  <c r="E100" i="8"/>
  <c r="E351" i="8"/>
  <c r="E282" i="8"/>
  <c r="E307" i="8"/>
  <c r="E88" i="8"/>
  <c r="E120" i="8"/>
  <c r="E237" i="8"/>
  <c r="E134" i="8"/>
  <c r="E186" i="8"/>
  <c r="E281" i="8"/>
  <c r="E306" i="8"/>
  <c r="E292" i="8"/>
  <c r="E347" i="8"/>
  <c r="E128" i="8"/>
  <c r="E405" i="8"/>
  <c r="E324" i="8"/>
  <c r="E323" i="8"/>
  <c r="E482" i="8"/>
  <c r="E99" i="8"/>
  <c r="E98" i="8"/>
  <c r="E97" i="8"/>
  <c r="E96" i="8"/>
  <c r="E198" i="8"/>
  <c r="E236" i="8"/>
  <c r="E427" i="8"/>
  <c r="E426" i="8"/>
  <c r="E404" i="8"/>
  <c r="E412" i="8"/>
  <c r="E214" i="8"/>
  <c r="E365" i="8"/>
  <c r="E302" i="8"/>
  <c r="E280" i="8"/>
  <c r="E476" i="8"/>
  <c r="E447" i="8"/>
  <c r="E394" i="8"/>
  <c r="E364" i="8"/>
  <c r="E368" i="8"/>
  <c r="E475" i="8"/>
  <c r="E279" i="8"/>
  <c r="E363" i="8"/>
  <c r="E403" i="8"/>
  <c r="E322" i="8"/>
  <c r="E446" i="8"/>
  <c r="E301" i="8"/>
  <c r="E435" i="8"/>
  <c r="E346" i="8"/>
  <c r="E189" i="8"/>
  <c r="E332" i="8"/>
  <c r="E393" i="8"/>
  <c r="E321" i="8"/>
  <c r="E411" i="8"/>
  <c r="E350" i="8"/>
  <c r="E402" i="8"/>
  <c r="E462" i="8"/>
  <c r="E492" i="8"/>
  <c r="E401" i="8"/>
  <c r="E445" i="8"/>
  <c r="E491" i="8"/>
  <c r="E410" i="8"/>
  <c r="E442" i="8"/>
  <c r="E300" i="8"/>
  <c r="E362" i="8"/>
  <c r="E397" i="8"/>
  <c r="E409" i="8"/>
  <c r="E472" i="8"/>
  <c r="E299" i="8"/>
  <c r="E345" i="8"/>
  <c r="E484" i="8"/>
  <c r="E278" i="8"/>
  <c r="E408" i="8"/>
  <c r="E471" i="8"/>
  <c r="E320" i="8"/>
  <c r="E319" i="8"/>
  <c r="E344" i="8"/>
  <c r="E400" i="8"/>
  <c r="E383" i="8"/>
  <c r="E318" i="8"/>
  <c r="E450" i="8"/>
  <c r="E392" i="8"/>
  <c r="E407" i="8"/>
  <c r="E425" i="8"/>
  <c r="E367" i="8"/>
  <c r="E382" i="8"/>
  <c r="E444" i="8"/>
  <c r="E381" i="8"/>
  <c r="E399" i="8"/>
  <c r="E470" i="8"/>
  <c r="E424" i="8"/>
  <c r="E380" i="8"/>
  <c r="E349" i="8"/>
  <c r="E277" i="8"/>
  <c r="E464" i="8"/>
  <c r="E483" i="8"/>
  <c r="E250" i="8"/>
  <c r="E317" i="8"/>
  <c r="E461" i="8"/>
  <c r="E276" i="8"/>
  <c r="E474" i="8"/>
  <c r="E396" i="8"/>
  <c r="E293" i="8"/>
  <c r="E460" i="8"/>
  <c r="E343" i="8"/>
  <c r="E395" i="8"/>
  <c r="E451" i="8"/>
  <c r="E477" i="8"/>
  <c r="E298" i="8"/>
  <c r="E213" i="8"/>
  <c r="E348" i="8"/>
  <c r="E379" i="8"/>
  <c r="E459" i="8"/>
  <c r="E316" i="8"/>
  <c r="E398" i="8"/>
  <c r="E235" i="8"/>
  <c r="E275" i="8"/>
  <c r="E458" i="8"/>
  <c r="E331" i="8"/>
  <c r="E274" i="8"/>
  <c r="E315" i="8"/>
  <c r="E273" i="8"/>
  <c r="E272" i="8"/>
  <c r="E314" i="8"/>
  <c r="E271" i="8"/>
  <c r="E270" i="8"/>
  <c r="E269" i="8"/>
  <c r="E268" i="8"/>
  <c r="E267" i="8"/>
  <c r="E378" i="8"/>
  <c r="E377" i="8"/>
  <c r="E376" i="8"/>
  <c r="E375" i="8"/>
  <c r="E394" i="7"/>
  <c r="E505" i="7"/>
  <c r="E499" i="7"/>
  <c r="E504" i="7"/>
  <c r="E502" i="7"/>
  <c r="E197" i="7"/>
  <c r="E452" i="7"/>
  <c r="E503" i="7"/>
  <c r="E506" i="7"/>
  <c r="E479" i="7"/>
  <c r="E365" i="7"/>
  <c r="E313" i="7"/>
  <c r="E344" i="7"/>
  <c r="E493" i="7"/>
  <c r="E318" i="7"/>
  <c r="E325" i="7"/>
  <c r="E324" i="7"/>
  <c r="E323" i="7"/>
  <c r="E322" i="7"/>
  <c r="E312" i="7"/>
  <c r="E461" i="7"/>
  <c r="E491" i="7"/>
  <c r="E332" i="7"/>
  <c r="E457" i="7"/>
  <c r="E308" i="7"/>
  <c r="E490" i="7"/>
  <c r="E492" i="7"/>
  <c r="E489" i="7"/>
  <c r="E448" i="7"/>
  <c r="E488" i="7"/>
  <c r="E456" i="7"/>
  <c r="E441" i="7"/>
  <c r="E478" i="7"/>
  <c r="E440" i="7"/>
  <c r="E342" i="7"/>
  <c r="E501" i="7"/>
  <c r="E500" i="7"/>
  <c r="E467" i="7"/>
  <c r="E459" i="7"/>
  <c r="E303" i="7"/>
  <c r="E343" i="7"/>
  <c r="E336" i="7"/>
  <c r="E376" i="7"/>
  <c r="E458" i="7"/>
  <c r="E424" i="7"/>
  <c r="E439" i="7"/>
  <c r="E321" i="7"/>
  <c r="E423" i="7"/>
  <c r="E422" i="7"/>
  <c r="E421" i="7"/>
  <c r="E473" i="7"/>
  <c r="E485" i="7"/>
  <c r="E472" i="7"/>
  <c r="E447" i="7"/>
  <c r="E430" i="7"/>
  <c r="E484" i="7"/>
  <c r="E483" i="7"/>
  <c r="E335" i="7"/>
  <c r="E329" i="7"/>
  <c r="E471" i="7"/>
  <c r="E446" i="7"/>
  <c r="E442" i="7"/>
  <c r="E482" i="7"/>
  <c r="E481" i="7"/>
  <c r="E480" i="7"/>
  <c r="E470" i="7"/>
  <c r="E232" i="7"/>
  <c r="E469" i="7"/>
  <c r="E209" i="7"/>
  <c r="E331" i="7"/>
  <c r="E498" i="7"/>
  <c r="E438" i="7"/>
  <c r="E497" i="7"/>
  <c r="E437" i="7"/>
  <c r="E496" i="7"/>
  <c r="E495" i="7"/>
  <c r="E380" i="7"/>
  <c r="E388" i="7"/>
  <c r="E494" i="7"/>
  <c r="E373" i="7"/>
  <c r="E346" i="7"/>
  <c r="E444" i="7"/>
  <c r="E334" i="7"/>
  <c r="E443" i="7"/>
  <c r="E477" i="7"/>
  <c r="E68" i="7"/>
  <c r="E466" i="7"/>
  <c r="E476" i="7"/>
  <c r="E141" i="7"/>
  <c r="E420" i="7"/>
  <c r="E455" i="7"/>
  <c r="E454" i="7"/>
  <c r="E445" i="7"/>
  <c r="E465" i="7"/>
  <c r="E304" i="7"/>
  <c r="E340" i="7"/>
  <c r="E475" i="7"/>
  <c r="E464" i="7"/>
  <c r="E315" i="7"/>
  <c r="E130" i="7"/>
  <c r="E381" i="7"/>
  <c r="E330" i="7"/>
  <c r="E425" i="7"/>
  <c r="E287" i="7"/>
  <c r="E326" i="7"/>
  <c r="E431" i="7"/>
  <c r="E487" i="7"/>
  <c r="E359" i="7"/>
  <c r="E393" i="7"/>
  <c r="E474" i="7"/>
  <c r="E217" i="7"/>
  <c r="E486" i="7"/>
  <c r="E451" i="7"/>
  <c r="E387" i="7"/>
  <c r="E382" i="7"/>
  <c r="E345" i="7"/>
  <c r="E341" i="7"/>
  <c r="E284" i="7"/>
  <c r="E450" i="7"/>
  <c r="E429" i="7"/>
  <c r="E399" i="7"/>
  <c r="E371" i="7"/>
  <c r="E462" i="7"/>
  <c r="E419" i="7"/>
  <c r="E428" i="7"/>
  <c r="E427" i="7"/>
  <c r="E468" i="7"/>
  <c r="E436" i="7"/>
  <c r="E426" i="7"/>
  <c r="E99" i="7"/>
  <c r="E256" i="7"/>
  <c r="E463" i="7"/>
  <c r="E370" i="7"/>
  <c r="E449" i="7"/>
  <c r="E157" i="7"/>
  <c r="E391" i="7"/>
  <c r="E435" i="7"/>
  <c r="E358" i="7"/>
  <c r="E453" i="7"/>
  <c r="E300" i="7"/>
  <c r="E460" i="7"/>
  <c r="E396" i="7"/>
  <c r="E379" i="7"/>
  <c r="E434" i="7"/>
  <c r="E390" i="7"/>
  <c r="E418" i="7"/>
  <c r="E433" i="7"/>
  <c r="E389" i="7"/>
  <c r="E386" i="7"/>
  <c r="E385" i="7"/>
  <c r="E85" i="7"/>
  <c r="E372" i="7"/>
  <c r="E384" i="7"/>
  <c r="E369" i="7"/>
  <c r="E317" i="7"/>
  <c r="E378" i="7"/>
  <c r="E383" i="7"/>
  <c r="E286" i="7"/>
  <c r="E368" i="7"/>
  <c r="E417" i="7"/>
  <c r="E347" i="7"/>
  <c r="E432" i="7"/>
  <c r="E416" i="7"/>
  <c r="E357" i="7"/>
  <c r="E415" i="7"/>
  <c r="E392" i="7"/>
  <c r="E414" i="7"/>
  <c r="E413" i="7"/>
  <c r="E298" i="7"/>
  <c r="E297" i="7"/>
  <c r="E356" i="7"/>
  <c r="E355" i="7"/>
  <c r="E402" i="7"/>
  <c r="E361" i="7"/>
  <c r="E412" i="7"/>
  <c r="E235" i="7"/>
  <c r="E411" i="7"/>
  <c r="E410" i="7"/>
  <c r="E401" i="7"/>
  <c r="E409" i="7"/>
  <c r="E354" i="7"/>
  <c r="E408" i="7"/>
  <c r="E185" i="7"/>
  <c r="E407" i="7"/>
  <c r="E353" i="7"/>
  <c r="E98" i="7"/>
  <c r="E406" i="7"/>
  <c r="E405" i="7"/>
  <c r="E404" i="7"/>
  <c r="E352" i="7"/>
  <c r="E225" i="7"/>
  <c r="E252" i="7"/>
  <c r="E289" i="7"/>
  <c r="E306" i="7"/>
  <c r="E231" i="7"/>
  <c r="E221" i="7"/>
  <c r="E292" i="7"/>
  <c r="E295" i="7"/>
  <c r="E403" i="7"/>
  <c r="E374" i="7"/>
  <c r="E230" i="7"/>
  <c r="E395" i="7"/>
  <c r="E363" i="7"/>
  <c r="E320" i="7"/>
  <c r="E309" i="7"/>
  <c r="E229" i="7"/>
  <c r="E170" i="7"/>
  <c r="E327" i="7"/>
  <c r="E398" i="7"/>
  <c r="E305" i="7"/>
  <c r="E144" i="7"/>
  <c r="E375" i="7"/>
  <c r="E280" i="7"/>
  <c r="E279" i="7"/>
  <c r="E112" i="7"/>
  <c r="E116" i="7"/>
  <c r="E115" i="7"/>
  <c r="E173" i="7"/>
  <c r="E104" i="7"/>
  <c r="E177" i="7"/>
  <c r="E106" i="7"/>
  <c r="E242" i="7"/>
  <c r="E114" i="7"/>
  <c r="E131" i="7"/>
  <c r="E103" i="7"/>
  <c r="E113" i="7"/>
  <c r="E302" i="7"/>
  <c r="E294" i="7"/>
  <c r="E206" i="7"/>
  <c r="E333" i="7"/>
  <c r="E285" i="7"/>
  <c r="E82" i="7"/>
  <c r="E105" i="7"/>
  <c r="E123" i="7"/>
  <c r="E169" i="7"/>
  <c r="E296" i="7"/>
  <c r="E153" i="7"/>
  <c r="E190" i="7"/>
  <c r="E364" i="7"/>
  <c r="E271" i="7"/>
  <c r="E228" i="7"/>
  <c r="E102" i="7"/>
  <c r="E87" i="7"/>
  <c r="E377" i="7"/>
  <c r="E95" i="7"/>
  <c r="E254" i="7"/>
  <c r="E274" i="7"/>
  <c r="E93" i="7"/>
  <c r="E314" i="7"/>
  <c r="E142" i="7"/>
  <c r="E88" i="7"/>
  <c r="E122" i="7"/>
  <c r="E272" i="7"/>
  <c r="E143" i="7"/>
  <c r="E283" i="7"/>
  <c r="E319" i="7"/>
  <c r="E290" i="7"/>
  <c r="E282" i="7"/>
  <c r="E260" i="7"/>
  <c r="E316" i="7"/>
  <c r="E81" i="7"/>
  <c r="E367" i="7"/>
  <c r="E281" i="7"/>
  <c r="E360" i="7"/>
  <c r="E251" i="7"/>
  <c r="E46" i="7"/>
  <c r="E366" i="7"/>
  <c r="E94" i="7"/>
  <c r="E201" i="7"/>
  <c r="E397" i="7"/>
  <c r="E362" i="7"/>
  <c r="E186" i="7"/>
  <c r="E275" i="7"/>
  <c r="E84" i="7"/>
  <c r="E74" i="7"/>
  <c r="E288" i="7"/>
  <c r="E337" i="7"/>
  <c r="E351" i="7"/>
  <c r="E400" i="7"/>
  <c r="E172" i="7"/>
  <c r="E80" i="7"/>
  <c r="E350" i="7"/>
  <c r="E339" i="7"/>
  <c r="E349" i="7"/>
  <c r="E307" i="7"/>
  <c r="E348" i="7"/>
  <c r="E299" i="7"/>
  <c r="E255" i="7"/>
  <c r="E216" i="7"/>
  <c r="E328" i="7"/>
  <c r="E338" i="7"/>
  <c r="E227" i="7"/>
  <c r="E259" i="7"/>
  <c r="E110" i="7"/>
  <c r="E311" i="7"/>
  <c r="E163" i="7"/>
  <c r="E293" i="7"/>
  <c r="E310" i="7"/>
  <c r="E291" i="7"/>
  <c r="E161" i="7"/>
  <c r="E261" i="7"/>
  <c r="E179" i="7"/>
  <c r="E189" i="7"/>
  <c r="E246" i="7"/>
  <c r="E220" i="7"/>
  <c r="E224" i="7"/>
  <c r="E78" i="7"/>
  <c r="E178" i="7"/>
  <c r="E183" i="7"/>
  <c r="E77" i="7"/>
  <c r="E168" i="7"/>
  <c r="E233" i="7"/>
  <c r="E262" i="7"/>
  <c r="E218" i="7"/>
  <c r="E253" i="7"/>
  <c r="E75" i="7"/>
  <c r="E278" i="7"/>
  <c r="E226" i="7"/>
  <c r="E191" i="7"/>
  <c r="E245" i="7"/>
  <c r="E188" i="7"/>
  <c r="E257" i="7"/>
  <c r="E234" i="7"/>
  <c r="E187" i="7"/>
  <c r="E301" i="7"/>
  <c r="E96" i="7"/>
  <c r="E165" i="7"/>
  <c r="E244" i="7"/>
  <c r="E107" i="7"/>
  <c r="E214" i="7"/>
  <c r="E273" i="7"/>
  <c r="E270" i="7"/>
  <c r="E111" i="7"/>
  <c r="E269" i="7"/>
  <c r="E268" i="7"/>
  <c r="E277" i="7"/>
  <c r="E267" i="7"/>
  <c r="E266" i="7"/>
  <c r="E164" i="7"/>
  <c r="E250" i="7"/>
  <c r="E100" i="7"/>
  <c r="E194" i="7"/>
  <c r="E207" i="7"/>
  <c r="E265" i="7"/>
  <c r="E241" i="7"/>
  <c r="E249" i="7"/>
  <c r="E13" i="7"/>
  <c r="E159" i="7"/>
  <c r="E174" i="7"/>
  <c r="E83" i="7"/>
  <c r="E248" i="7"/>
  <c r="E276" i="7"/>
  <c r="E92" i="7"/>
  <c r="E79" i="7"/>
  <c r="E258" i="7"/>
  <c r="E240" i="7"/>
  <c r="E160" i="7"/>
  <c r="E91" i="7"/>
  <c r="E171" i="7"/>
  <c r="E208" i="7"/>
  <c r="E198" i="7"/>
  <c r="E213" i="7"/>
  <c r="E239" i="7"/>
  <c r="E238" i="7"/>
  <c r="E247" i="7"/>
  <c r="E202" i="7"/>
  <c r="E76" i="7"/>
  <c r="E205" i="7"/>
  <c r="E212" i="7"/>
  <c r="E129" i="7"/>
  <c r="E264" i="7"/>
  <c r="E263" i="7"/>
  <c r="E176" i="7"/>
  <c r="E211" i="7"/>
  <c r="E155" i="7"/>
  <c r="E237" i="7"/>
  <c r="E97" i="7"/>
  <c r="E148" i="7"/>
  <c r="E156" i="7"/>
  <c r="E158" i="7"/>
  <c r="E175" i="7"/>
  <c r="E215" i="7"/>
  <c r="E223" i="7"/>
  <c r="E182" i="7"/>
  <c r="E101" i="7"/>
  <c r="E132" i="7"/>
  <c r="E109" i="7"/>
  <c r="E181" i="7"/>
  <c r="E200" i="7"/>
  <c r="E199" i="7"/>
  <c r="E219" i="7"/>
  <c r="E243" i="7"/>
  <c r="E236" i="7"/>
  <c r="E147" i="7"/>
  <c r="E90" i="7"/>
  <c r="E89" i="7"/>
  <c r="E128" i="7"/>
  <c r="E152" i="7"/>
  <c r="E193" i="7"/>
  <c r="E180" i="7"/>
  <c r="E146" i="7"/>
  <c r="E49" i="7"/>
  <c r="E192" i="7"/>
  <c r="E167" i="7"/>
  <c r="E145" i="7"/>
  <c r="E127" i="7"/>
  <c r="E126" i="7"/>
  <c r="E47" i="7"/>
  <c r="E154" i="7"/>
  <c r="E62" i="7"/>
  <c r="E125" i="7"/>
  <c r="E61" i="7"/>
  <c r="E140" i="7"/>
  <c r="E124" i="7"/>
  <c r="E139" i="7"/>
  <c r="E184" i="7"/>
  <c r="E71" i="7"/>
  <c r="E222" i="7"/>
  <c r="E67" i="7"/>
  <c r="E138" i="7"/>
  <c r="E45" i="7"/>
  <c r="E137" i="7"/>
  <c r="E151" i="7"/>
  <c r="E136" i="7"/>
  <c r="E121" i="7"/>
  <c r="E120" i="7"/>
  <c r="E135" i="7"/>
  <c r="E134" i="7"/>
  <c r="E50" i="7"/>
  <c r="E150" i="7"/>
  <c r="E149" i="7"/>
  <c r="E72" i="7"/>
  <c r="E44" i="7"/>
  <c r="E166" i="7"/>
  <c r="E119" i="7"/>
  <c r="E60" i="7"/>
  <c r="E196" i="7"/>
  <c r="E195" i="7"/>
  <c r="E162" i="7"/>
  <c r="E118" i="7"/>
  <c r="E117" i="7"/>
  <c r="E133" i="7"/>
  <c r="E204" i="7"/>
  <c r="E69" i="7"/>
  <c r="E56" i="7"/>
  <c r="E12" i="7"/>
  <c r="E108" i="7"/>
  <c r="E86" i="7"/>
  <c r="E59" i="7"/>
  <c r="E203" i="7"/>
  <c r="E57" i="7"/>
  <c r="E73" i="7"/>
  <c r="E48" i="7"/>
  <c r="E210" i="7"/>
  <c r="E52" i="7"/>
  <c r="E63" i="7"/>
  <c r="E66" i="7"/>
  <c r="E65" i="7"/>
  <c r="E58" i="7"/>
  <c r="E51" i="7"/>
  <c r="E70" i="7"/>
  <c r="E54" i="7"/>
  <c r="E11" i="7"/>
  <c r="E53" i="7"/>
  <c r="E10" i="7"/>
  <c r="E55" i="7"/>
  <c r="E64" i="7"/>
  <c r="E43" i="7"/>
  <c r="E9" i="7"/>
  <c r="E42" i="7"/>
  <c r="E40" i="7"/>
  <c r="E37" i="7"/>
  <c r="E36" i="7"/>
  <c r="E35" i="7"/>
  <c r="E34" i="7"/>
  <c r="E29" i="7"/>
  <c r="E33" i="7"/>
  <c r="E41" i="7"/>
  <c r="E39" i="7"/>
  <c r="E25" i="7"/>
  <c r="E28" i="7"/>
  <c r="E31" i="7"/>
  <c r="E38" i="7"/>
  <c r="E27" i="7"/>
  <c r="E23" i="7"/>
  <c r="E21" i="7"/>
  <c r="E26" i="7"/>
  <c r="E32" i="7"/>
  <c r="E20" i="7"/>
  <c r="E19" i="7"/>
  <c r="E24" i="7"/>
  <c r="E18" i="7"/>
  <c r="E30" i="7"/>
  <c r="E22" i="7"/>
  <c r="E17" i="7"/>
  <c r="E8" i="7"/>
  <c r="E16" i="7"/>
  <c r="E15" i="7"/>
  <c r="E14" i="7"/>
  <c r="E7" i="7"/>
  <c r="E272" i="6"/>
  <c r="E224" i="6"/>
  <c r="E229" i="6"/>
  <c r="E219" i="6"/>
  <c r="E245" i="6"/>
  <c r="E256" i="6"/>
  <c r="E207" i="6"/>
  <c r="E246" i="6"/>
  <c r="E244" i="6"/>
  <c r="E268" i="6"/>
  <c r="E267" i="6"/>
  <c r="E274" i="6"/>
  <c r="E225" i="6"/>
  <c r="E270" i="6"/>
  <c r="E271" i="6"/>
  <c r="E276" i="6"/>
  <c r="E269" i="6"/>
  <c r="E253" i="6"/>
  <c r="E205" i="6"/>
  <c r="E266" i="6"/>
  <c r="E223" i="6"/>
  <c r="E242" i="6"/>
  <c r="E248" i="6"/>
  <c r="E220" i="6"/>
  <c r="E210" i="6"/>
  <c r="E243" i="6"/>
  <c r="E265" i="6"/>
  <c r="E217" i="6"/>
  <c r="E263" i="6"/>
  <c r="E257" i="6"/>
  <c r="E249" i="6"/>
  <c r="E216" i="6"/>
  <c r="E239" i="6"/>
  <c r="E206" i="6"/>
  <c r="E231" i="6"/>
  <c r="E247" i="6"/>
  <c r="E238" i="6"/>
  <c r="E199" i="6"/>
  <c r="E227" i="6"/>
  <c r="E277" i="6"/>
  <c r="E241" i="6"/>
  <c r="E213" i="6"/>
  <c r="E212" i="6"/>
  <c r="E226" i="6"/>
  <c r="E218" i="6"/>
  <c r="E211" i="6"/>
  <c r="E254" i="6"/>
  <c r="E214" i="6"/>
  <c r="E260" i="6"/>
  <c r="E237" i="6"/>
  <c r="E201" i="6"/>
  <c r="E252" i="6"/>
  <c r="E275" i="6"/>
  <c r="E133" i="6"/>
  <c r="E204" i="6"/>
  <c r="E222" i="6"/>
  <c r="E189" i="6"/>
  <c r="E128" i="6"/>
  <c r="E258" i="6"/>
  <c r="E232" i="6"/>
  <c r="E221" i="6"/>
  <c r="E281" i="6"/>
  <c r="E279" i="6"/>
  <c r="E176" i="6"/>
  <c r="E259" i="6"/>
  <c r="E284" i="6"/>
  <c r="E230" i="6"/>
  <c r="E240" i="6"/>
  <c r="E72" i="6"/>
  <c r="E150" i="6"/>
  <c r="E107" i="6"/>
  <c r="E255" i="6"/>
  <c r="E282" i="6"/>
  <c r="E102" i="6"/>
  <c r="E187" i="6"/>
  <c r="E278" i="6"/>
  <c r="E178" i="6"/>
  <c r="E273" i="6"/>
  <c r="E236" i="6"/>
  <c r="E177" i="6"/>
  <c r="E251" i="6"/>
  <c r="E81" i="6"/>
  <c r="E99" i="6"/>
  <c r="E264" i="6"/>
  <c r="E280" i="6"/>
  <c r="E283" i="6"/>
  <c r="E235" i="6"/>
  <c r="E174" i="6"/>
  <c r="E173" i="6"/>
  <c r="E234" i="6"/>
  <c r="E167" i="6"/>
  <c r="E262" i="6"/>
  <c r="E200" i="6"/>
  <c r="E250" i="6"/>
  <c r="E261" i="6"/>
  <c r="E198" i="6"/>
  <c r="E139" i="6"/>
  <c r="E166" i="6"/>
  <c r="E194" i="6"/>
  <c r="E193" i="6"/>
  <c r="E161" i="6"/>
  <c r="E192" i="6"/>
  <c r="E215" i="6"/>
  <c r="E105" i="6"/>
  <c r="E80" i="6"/>
  <c r="E93" i="6"/>
  <c r="E160" i="6"/>
  <c r="E143" i="6"/>
  <c r="E125" i="6"/>
  <c r="E149" i="6"/>
  <c r="E74" i="6"/>
  <c r="E142" i="6"/>
  <c r="E156" i="6"/>
  <c r="E119" i="6"/>
  <c r="E191" i="6"/>
  <c r="E145" i="6"/>
  <c r="E124" i="6"/>
  <c r="E123" i="6"/>
  <c r="E172" i="6"/>
  <c r="E197" i="6"/>
  <c r="E165" i="6"/>
  <c r="E140" i="6"/>
  <c r="E209" i="6"/>
  <c r="E144" i="6"/>
  <c r="E233" i="6"/>
  <c r="E141" i="6"/>
  <c r="E196" i="6"/>
  <c r="E190" i="6"/>
  <c r="E228" i="6"/>
  <c r="E113" i="6"/>
  <c r="E170" i="6"/>
  <c r="E122" i="6"/>
  <c r="E186" i="6"/>
  <c r="E185" i="6"/>
  <c r="E175" i="6"/>
  <c r="E184" i="6"/>
  <c r="E169" i="6"/>
  <c r="E188" i="6"/>
  <c r="E121" i="6"/>
  <c r="E183" i="6"/>
  <c r="E182" i="6"/>
  <c r="E155" i="6"/>
  <c r="E181" i="6"/>
  <c r="E53" i="6"/>
  <c r="E104" i="6"/>
  <c r="E132" i="6"/>
  <c r="E98" i="6"/>
  <c r="E106" i="6"/>
  <c r="E208" i="6"/>
  <c r="E180" i="6"/>
  <c r="E168" i="6"/>
  <c r="E179" i="6"/>
  <c r="E202" i="6"/>
  <c r="E131" i="6"/>
  <c r="E91" i="6"/>
  <c r="E148" i="6"/>
  <c r="E90" i="6"/>
  <c r="E117" i="6"/>
  <c r="E203" i="6"/>
  <c r="E89" i="6"/>
  <c r="E88" i="6"/>
  <c r="E87" i="6"/>
  <c r="E116" i="6"/>
  <c r="E195" i="6"/>
  <c r="E97" i="6"/>
  <c r="E86" i="6"/>
  <c r="E85" i="6"/>
  <c r="E84" i="6"/>
  <c r="E111" i="6"/>
  <c r="E75" i="6"/>
  <c r="E120" i="6"/>
  <c r="E126" i="6"/>
  <c r="E147" i="6"/>
  <c r="E127" i="6"/>
  <c r="E135" i="6"/>
  <c r="E112" i="6"/>
  <c r="E134" i="6"/>
  <c r="E94" i="6"/>
  <c r="E118" i="6"/>
  <c r="E154" i="6"/>
  <c r="E171" i="6"/>
  <c r="E18" i="6"/>
  <c r="E68" i="6"/>
  <c r="E56" i="6"/>
  <c r="E130" i="6"/>
  <c r="E159" i="6"/>
  <c r="E158" i="6"/>
  <c r="E79" i="6"/>
  <c r="E58" i="6"/>
  <c r="E138" i="6"/>
  <c r="E83" i="6"/>
  <c r="E92" i="6"/>
  <c r="E164" i="6"/>
  <c r="E163" i="6"/>
  <c r="E103" i="6"/>
  <c r="E153" i="6"/>
  <c r="E115" i="6"/>
  <c r="E78" i="6"/>
  <c r="E157" i="6"/>
  <c r="E96" i="6"/>
  <c r="E76" i="6"/>
  <c r="E71" i="6"/>
  <c r="E54" i="6"/>
  <c r="E137" i="6"/>
  <c r="E162" i="6"/>
  <c r="E136" i="6"/>
  <c r="E110" i="6"/>
  <c r="E82" i="6"/>
  <c r="E73" i="6"/>
  <c r="E101" i="6"/>
  <c r="E152" i="6"/>
  <c r="E151" i="6"/>
  <c r="E109" i="6"/>
  <c r="E100" i="6"/>
  <c r="E146" i="6"/>
  <c r="E129" i="6"/>
  <c r="E114" i="6"/>
  <c r="E95" i="6"/>
  <c r="E66" i="6"/>
  <c r="E77" i="6"/>
  <c r="E108" i="6"/>
  <c r="E65" i="6"/>
  <c r="E55" i="6"/>
  <c r="E70" i="6"/>
  <c r="E52" i="6"/>
  <c r="E61" i="6"/>
  <c r="E60" i="6"/>
  <c r="E59" i="6"/>
  <c r="E51" i="6"/>
  <c r="E49" i="6"/>
  <c r="E64" i="6"/>
  <c r="E63" i="6"/>
  <c r="E48" i="6"/>
  <c r="E62" i="6"/>
  <c r="E50" i="6"/>
  <c r="E67" i="6"/>
  <c r="E69" i="6"/>
  <c r="E47" i="6"/>
  <c r="E57" i="6"/>
  <c r="E46" i="6"/>
  <c r="E45" i="6"/>
  <c r="E42" i="6"/>
  <c r="E44" i="6"/>
  <c r="E43" i="6"/>
  <c r="E8" i="6"/>
  <c r="E38" i="6"/>
  <c r="E40" i="6"/>
  <c r="E36" i="6"/>
  <c r="E41" i="6"/>
  <c r="E39" i="6"/>
  <c r="E17" i="6"/>
  <c r="E37" i="6"/>
  <c r="E19" i="6"/>
  <c r="E32" i="6"/>
  <c r="E35" i="6"/>
  <c r="E34" i="6"/>
  <c r="E33" i="6"/>
  <c r="E12" i="6"/>
  <c r="E22" i="6"/>
  <c r="E31" i="6"/>
  <c r="E11" i="6"/>
  <c r="E30" i="6"/>
  <c r="E21" i="6"/>
  <c r="E26" i="6"/>
  <c r="E25" i="6"/>
  <c r="E24" i="6"/>
  <c r="E10" i="6"/>
  <c r="E16" i="6"/>
  <c r="E15" i="6"/>
  <c r="E14" i="6"/>
  <c r="E13" i="6"/>
  <c r="E29" i="6"/>
  <c r="E20" i="6"/>
  <c r="E7" i="6"/>
  <c r="E28" i="6"/>
  <c r="E9" i="6"/>
  <c r="E23" i="6"/>
  <c r="E27" i="6"/>
  <c r="E69" i="2"/>
  <c r="E63" i="2"/>
  <c r="E65" i="2"/>
  <c r="E66" i="2"/>
  <c r="E60" i="2"/>
  <c r="E62" i="2"/>
  <c r="E59" i="2"/>
  <c r="E68" i="2"/>
  <c r="E64" i="2"/>
  <c r="E58" i="2"/>
  <c r="E57" i="2"/>
  <c r="E56" i="2"/>
  <c r="E80" i="2"/>
  <c r="E53" i="2"/>
  <c r="E74" i="2"/>
  <c r="E78" i="2"/>
  <c r="E73" i="2"/>
  <c r="E79" i="2"/>
  <c r="E72" i="2"/>
  <c r="E67" i="2"/>
  <c r="E71" i="2"/>
  <c r="E70" i="2"/>
  <c r="E55" i="2"/>
  <c r="E54" i="2"/>
  <c r="E61" i="2"/>
  <c r="E76" i="2"/>
  <c r="E81" i="2"/>
  <c r="E75" i="2"/>
  <c r="E77" i="2"/>
  <c r="E52" i="2"/>
  <c r="E49" i="2"/>
  <c r="E51" i="2"/>
  <c r="E50" i="2"/>
  <c r="E26" i="2"/>
  <c r="E25" i="2"/>
  <c r="E24" i="2"/>
  <c r="E23" i="2"/>
  <c r="E22" i="2"/>
  <c r="E34" i="2"/>
  <c r="E44" i="2"/>
  <c r="E21" i="2"/>
  <c r="E43" i="2"/>
  <c r="E33" i="2"/>
  <c r="E20" i="2"/>
  <c r="E48" i="2"/>
  <c r="E42" i="2"/>
  <c r="E32" i="2"/>
  <c r="E46" i="2"/>
  <c r="E19" i="2"/>
  <c r="E31" i="2"/>
  <c r="E18" i="2"/>
  <c r="E38" i="2"/>
  <c r="E45" i="2"/>
  <c r="E40" i="2"/>
  <c r="E47" i="2"/>
  <c r="E17" i="2"/>
  <c r="E37" i="2"/>
  <c r="E30" i="2"/>
  <c r="E16" i="2"/>
  <c r="E41" i="2"/>
  <c r="E15" i="2"/>
  <c r="E14" i="2"/>
  <c r="E36" i="2"/>
  <c r="E13" i="2"/>
  <c r="E35" i="2"/>
  <c r="E12" i="2"/>
  <c r="E39" i="2"/>
  <c r="E11" i="2"/>
  <c r="E29" i="2"/>
  <c r="E28" i="2"/>
  <c r="E27" i="2"/>
  <c r="E10" i="2"/>
  <c r="E9" i="2"/>
  <c r="E8" i="2"/>
  <c r="E7" i="2"/>
</calcChain>
</file>

<file path=xl/sharedStrings.xml><?xml version="1.0" encoding="utf-8"?>
<sst xmlns="http://schemas.openxmlformats.org/spreadsheetml/2006/main" count="3919" uniqueCount="1733">
  <si>
    <t>&gt;BAC60080.1 hypothetical protein [Vibrio parahaemolyticus RIMD 2210633]</t>
  </si>
  <si>
    <t>MVGVAHHLTRRYTYRGNMEQIIHNLKDPSWWFTGVFFVVLGIVLTWIVPRVSRLFPYYKVEFARRRKLQR LKFIHQNRQHQVLVNWYTARYWAIATVSIIYMVFAGLMYTISPEIISNGYNKIALTALFLPIYIINFVVM ETKKKATSLVRAHIAWNQRSNKNNL</t>
  </si>
  <si>
    <t>VP1823</t>
  </si>
  <si>
    <t>&gt;BAC60086.1 hypothetical protein [Vibrio parahaemolyticus RIMD 2210633]</t>
  </si>
  <si>
    <t>MRRLRYCVPHTLTGRYRVLLIFVNVMNYISQIEEAKDYIIRKIDESDYPLGHPFKDERFRNDFHCHLLAV FMVIGKGKFIVDDLIEKKLSGNVSGKFDFNSFQEGLGEFNVLYYMFFGLMFSKDFPHIQLKDLFYEPNAL VENKVLEFVFKATSNGEDCYVATEVKTIATAPEYREVKAIKSGNKVVKPYFKDVDLDVLKDREDYDSLIF LEQSTHSRQIAKNIKNINKKFEKKERVLNIGVIIFQYATSFDEMYAYLFHPTLGIYTRNPLHFENIDALV VFSMTPAPDPSLNDLYEKNHVQTICLTNELWKTDMLKCLRFDNYMFKNGKVVELVRPYIDEEFGVFTLEL QHDVLFYINEKDDREAAIKLAETLNAKLPKLKERYIPRE</t>
  </si>
  <si>
    <t>VP1817</t>
  </si>
  <si>
    <t xml:space="preserve"> </t>
  </si>
  <si>
    <t>VP1826</t>
  </si>
  <si>
    <t>&gt;BAC60089.1 hypothetical protein [Vibrio parahaemolyticus RIMD 2210633]</t>
  </si>
  <si>
    <t>MKLSDFSIEALKGFVTGDDSDAPYMSGPDLVKFFNLFGVRDVYSFQNGGLPESASRKDYALKTVKSLNGT NQMKLMVEGLVDSRRSENYAELAVGINEIIKHDGYSLEQNSLGVFIVSGCNIEDSTVDVEAYFQEIRQRI LESILKAKFSIWVAMAWFTDKEIGNALLNKHRDGLNIQVIVNDDSTTSKYGLDFSSKGIEYYKIAPSSPW GKKIMHNKFCVIDFKKVVHGSYNWTKNAQYNNESITITDSRELAEDFAEQFIALKQAHKSAHA</t>
  </si>
  <si>
    <t>Scientific Name</t>
  </si>
  <si>
    <t>Query Cover</t>
  </si>
  <si>
    <t>E value</t>
  </si>
  <si>
    <t>Per. ident</t>
  </si>
  <si>
    <t xml:space="preserve">Accession  </t>
  </si>
  <si>
    <t>Vibrio parahaemolyticus</t>
  </si>
  <si>
    <t>Vibrionaceae</t>
  </si>
  <si>
    <t>Vibrio crassostreae</t>
  </si>
  <si>
    <t>Vibrio vulnificus</t>
  </si>
  <si>
    <t>Aeromonas jandaei</t>
  </si>
  <si>
    <t>Aeromonas sp. SE22</t>
  </si>
  <si>
    <t>Clostridia bacterium</t>
  </si>
  <si>
    <t>Roseburia sp.</t>
  </si>
  <si>
    <t>Neglectibacter timonensis</t>
  </si>
  <si>
    <t>Roseburia faecis</t>
  </si>
  <si>
    <t>Lachnospiraceae bacterium</t>
  </si>
  <si>
    <t>Lachnoclostridium sp. MSJ-17</t>
  </si>
  <si>
    <t>Lachnospira eligens</t>
  </si>
  <si>
    <t>Eubacterium ramulus</t>
  </si>
  <si>
    <t>Ruminococcus sp.</t>
  </si>
  <si>
    <t>Clostridium botulinum</t>
  </si>
  <si>
    <t>Clostridium</t>
  </si>
  <si>
    <t>Coprococcus catus</t>
  </si>
  <si>
    <t>Clostridium sporogenes</t>
  </si>
  <si>
    <t>bacterium</t>
  </si>
  <si>
    <t>Clostridium sp.</t>
  </si>
  <si>
    <t>Clostridium tyrobutyricum</t>
  </si>
  <si>
    <t>Treponema sp.</t>
  </si>
  <si>
    <t>&gt;BAC60102.1 hypothetical protein [Vibrio parahaemolyticus RIMD 2210633]</t>
  </si>
  <si>
    <t>VP1839</t>
  </si>
  <si>
    <t>MQGGTMKRFTDSIRRSVKSQDWYGALSTALTLPDVCGRLESPEQGSKARYVSWFQVWMQPLYTRKIGVDR QEHTFLYGEDCYALRCSYLHEGGSNIEEQRAKKALENFHFITPINGMHVHCNQVNNTLQLQVDVFCLQIA DAVDLWSESVKSNSEVQARLSNLLTIHNSENGIRF</t>
  </si>
  <si>
    <t>Vibrio harveyi</t>
  </si>
  <si>
    <t>Vibrio harveyi group</t>
  </si>
  <si>
    <t>Vibrio</t>
  </si>
  <si>
    <t>Vibrio aestuarianus</t>
  </si>
  <si>
    <t>Vibrio sp. J2-4</t>
  </si>
  <si>
    <t>Vibrio metschnikovii</t>
  </si>
  <si>
    <t>Vibrio alfacsensis</t>
  </si>
  <si>
    <t>Vibrio coralliirubri</t>
  </si>
  <si>
    <t>Vibrio hyugaensis</t>
  </si>
  <si>
    <t>Salinivibrio sp. VYel4</t>
  </si>
  <si>
    <t>Vibrio agarilyticus</t>
  </si>
  <si>
    <t>Photobacterium alginatilyticum</t>
  </si>
  <si>
    <t>Vibrio cyclitrophicus</t>
  </si>
  <si>
    <t>Aliivibrio finisterrensis</t>
  </si>
  <si>
    <t>Aliivibrio</t>
  </si>
  <si>
    <t>Aliivibrio fischeri</t>
  </si>
  <si>
    <t>Photobacterium carnosum</t>
  </si>
  <si>
    <t>Photobacterium phosphoreum</t>
  </si>
  <si>
    <t>Colwellia sp. 12G3</t>
  </si>
  <si>
    <t>Shewanella sp. SE1</t>
  </si>
  <si>
    <t>unclassified Aliiglaciecola</t>
  </si>
  <si>
    <t>Acinetobacter tandoii</t>
  </si>
  <si>
    <t>Vibrio splendidus</t>
  </si>
  <si>
    <t>Acinetobacter indicus</t>
  </si>
  <si>
    <t>Vibrio sp. SBT000027</t>
  </si>
  <si>
    <t>Vibrio tasmaniensis</t>
  </si>
  <si>
    <t>Acinetobacter pseudolwoffii</t>
  </si>
  <si>
    <t>Acinetobacter variabilis</t>
  </si>
  <si>
    <t>Halomonas sp. DN3</t>
  </si>
  <si>
    <t>Snowella sp.</t>
  </si>
  <si>
    <t>Psychrobacter sp. Ps4</t>
  </si>
  <si>
    <t>Acinetobacter calcoaceticus</t>
  </si>
  <si>
    <t>uncultured Shewanella sp.</t>
  </si>
  <si>
    <t>Parendozoicomonas sp. Alg238-R29</t>
  </si>
  <si>
    <t>Oceanospirillaceae bacterium</t>
  </si>
  <si>
    <t>Pedobacter sp. BS3</t>
  </si>
  <si>
    <t>Reichenbachiella versicolor</t>
  </si>
  <si>
    <t>Psychrobacter urativorans</t>
  </si>
  <si>
    <t>Flavobacteriales bacterium</t>
  </si>
  <si>
    <t>Sphingobacterium</t>
  </si>
  <si>
    <t>Elizabethkingia miricola</t>
  </si>
  <si>
    <t>Chitinophagaceae</t>
  </si>
  <si>
    <t>Flavobacterium sp. SYSU M80004</t>
  </si>
  <si>
    <t>Flavobacterium sp.</t>
  </si>
  <si>
    <t>Cyclobacteriaceae</t>
  </si>
  <si>
    <t>Chryseobacterium flavum</t>
  </si>
  <si>
    <t>Pedobacter indicus</t>
  </si>
  <si>
    <t>Hymenobacter sp.</t>
  </si>
  <si>
    <t>Flavobacteriaceae bacterium</t>
  </si>
  <si>
    <t>Saccharicrinis carchari</t>
  </si>
  <si>
    <t>Sphingobacterium sp.</t>
  </si>
  <si>
    <t>Chitinophagales bacterium</t>
  </si>
  <si>
    <t>Pedobacter chitinilyticus</t>
  </si>
  <si>
    <t>Acinetobacter lwoffii</t>
  </si>
  <si>
    <t>Psychrobacter sp.</t>
  </si>
  <si>
    <t>Flavobacterium ichthyis</t>
  </si>
  <si>
    <t>Flavivirga eckloniae</t>
  </si>
  <si>
    <t>Empedobacter brevis</t>
  </si>
  <si>
    <t>Tenacibaculum finnmarkense</t>
  </si>
  <si>
    <t>Subsaximicrobium wynnwilliamsii</t>
  </si>
  <si>
    <t>Mesoflavibacter sp. CH_XMU1404-2</t>
  </si>
  <si>
    <t>Opitutaceae bacterium</t>
  </si>
  <si>
    <t>Chryseobacterium bernardetii</t>
  </si>
  <si>
    <t>Chryseobacterium wanjuense</t>
  </si>
  <si>
    <t>Psychroflexus tropicus</t>
  </si>
  <si>
    <t>Flammeovirga sp. EKP202</t>
  </si>
  <si>
    <t>Aestuariibaculum lutulentum</t>
  </si>
  <si>
    <t>Acinetobacter sp. HY1485</t>
  </si>
  <si>
    <t>unclassified Cellulophaga</t>
  </si>
  <si>
    <t>Chishuiella sp.</t>
  </si>
  <si>
    <t>Sphingobacterium siyangense</t>
  </si>
  <si>
    <t>Bacteroidales bacterium</t>
  </si>
  <si>
    <t>Cyanobium sp. WKJ7-Wakatipu</t>
  </si>
  <si>
    <t>Vibrio jasicida</t>
  </si>
  <si>
    <t>Echinicola vietnamensis</t>
  </si>
  <si>
    <t>Flavobacterium sp. I3-2</t>
  </si>
  <si>
    <t>uncultured Psychroserpens sp.</t>
  </si>
  <si>
    <t>Acinetobacter sp. YH12218</t>
  </si>
  <si>
    <t>Acinetobacter</t>
  </si>
  <si>
    <t>Fusobacterium varium</t>
  </si>
  <si>
    <t>Acinetobacter nosocomialis</t>
  </si>
  <si>
    <t>Bacteroidota bacterium</t>
  </si>
  <si>
    <t>Dysgonomonas capnocytophagoides</t>
  </si>
  <si>
    <t>Bacillus spizizenii</t>
  </si>
  <si>
    <t>Sebaldella sp. S0638</t>
  </si>
  <si>
    <t>Taibaiella chishuiensis</t>
  </si>
  <si>
    <t>Acinetobacter seifertii</t>
  </si>
  <si>
    <t>Acinetobacter pittii</t>
  </si>
  <si>
    <t>Acinetobacter baumannii</t>
  </si>
  <si>
    <t>Acinetobacter dispersus</t>
  </si>
  <si>
    <t>Parabacteroides sp. AF17-3</t>
  </si>
  <si>
    <t>Acinetobacter sp. CFCC 10889</t>
  </si>
  <si>
    <t>Pedobacter</t>
  </si>
  <si>
    <t>Bacteroidales</t>
  </si>
  <si>
    <t>Parabacteroides goldsteinii</t>
  </si>
  <si>
    <t>Bacillus cereus</t>
  </si>
  <si>
    <t>Acinetobacter sp. SwsAc7</t>
  </si>
  <si>
    <t>Bacteroidia bacterium</t>
  </si>
  <si>
    <t>Acinetobacter pittii ANC 4050</t>
  </si>
  <si>
    <t>Clostridium chromiireducens</t>
  </si>
  <si>
    <t>Bacteroidaceae</t>
  </si>
  <si>
    <t>Bacillus sp. EB600</t>
  </si>
  <si>
    <t>Bacillus sp. S3</t>
  </si>
  <si>
    <t>Bacillus sp. MSP13</t>
  </si>
  <si>
    <t>Bacillus bingmayongensis</t>
  </si>
  <si>
    <t>Adhaeribacter aquaticus</t>
  </si>
  <si>
    <t>Acinetobacter soli</t>
  </si>
  <si>
    <t>Lewinellaceae bacterium SD302</t>
  </si>
  <si>
    <t>Neobacillus sp. FSL H8-0543</t>
  </si>
  <si>
    <t>Bacillus subtilis</t>
  </si>
  <si>
    <t>Neobacillus sp. SuZ13</t>
  </si>
  <si>
    <t>Flavobacterium sp. KACC 22758</t>
  </si>
  <si>
    <t>Acinetobacter sp. ANC 3882</t>
  </si>
  <si>
    <t>Acinetobacter sp. ANC 5414</t>
  </si>
  <si>
    <t>Acinetobacter johnsonii</t>
  </si>
  <si>
    <t>Priestia endophytica</t>
  </si>
  <si>
    <t>Acinetobacter bohemicus</t>
  </si>
  <si>
    <t>Bacillus pseudomycoides</t>
  </si>
  <si>
    <t>Yeosuana aromativorans</t>
  </si>
  <si>
    <t>Clostridioides difficile</t>
  </si>
  <si>
    <t>Acinetobacter sp. AG3</t>
  </si>
  <si>
    <t>Paenibacillus sp. TRM 82003</t>
  </si>
  <si>
    <t>Pseudalkalibacillus hwajinpoensis</t>
  </si>
  <si>
    <t>Runella sp. MFBS21</t>
  </si>
  <si>
    <t>Cytobacillus kochii</t>
  </si>
  <si>
    <t>Bacteroides</t>
  </si>
  <si>
    <t>Winogradskyella vidalii</t>
  </si>
  <si>
    <t>Bacteroides fragilis</t>
  </si>
  <si>
    <t>Bacteroides thetaiotaomicron</t>
  </si>
  <si>
    <t>Fusobacterium ulcerans</t>
  </si>
  <si>
    <t>Algoriphagus aquaeductus</t>
  </si>
  <si>
    <t>Algoriphagus sp. AK58</t>
  </si>
  <si>
    <t>Chryseobacterium sp. AG363</t>
  </si>
  <si>
    <t>Sphingobacterium multivorum</t>
  </si>
  <si>
    <t>Bacteroides sp. HPS0048</t>
  </si>
  <si>
    <t>Clostridium tertium</t>
  </si>
  <si>
    <t>Cylindrospermum stagnale</t>
  </si>
  <si>
    <t>Flectobacillus major</t>
  </si>
  <si>
    <t>Clostridium perfringens</t>
  </si>
  <si>
    <t>Bacteroides finegoldii</t>
  </si>
  <si>
    <t>Proteiniphilum saccharofermentans</t>
  </si>
  <si>
    <t>Clostridium beijerinckii</t>
  </si>
  <si>
    <t>Chryseobacterium sp. UNC8MFCol</t>
  </si>
  <si>
    <t>Elizabethkingia anophelis</t>
  </si>
  <si>
    <t>Chitinophaga sp.</t>
  </si>
  <si>
    <t>Cylindrospermopsis raciborskii</t>
  </si>
  <si>
    <t>Psychrobacter sp. Ps7</t>
  </si>
  <si>
    <t>Paludibacter sp.</t>
  </si>
  <si>
    <t>uncultured Chryseobacterium sp.</t>
  </si>
  <si>
    <t>Elizabethkingia meningoseptica</t>
  </si>
  <si>
    <t>Acinetobacter sp.</t>
  </si>
  <si>
    <t>Bacteroidota</t>
  </si>
  <si>
    <t>Chryseobacterium sp. KBW03</t>
  </si>
  <si>
    <t>Bacteroides sp.</t>
  </si>
  <si>
    <t>unclassified Flavobacterium</t>
  </si>
  <si>
    <t>Chryseobacterium arthrosphaerae</t>
  </si>
  <si>
    <t>Bacillus atrophaeus</t>
  </si>
  <si>
    <t>Phocaeicola vulgatus</t>
  </si>
  <si>
    <t>Planctomycetota bacterium</t>
  </si>
  <si>
    <t>Richelia sinica</t>
  </si>
  <si>
    <t>Chryseobacterium sp. T9W2-O</t>
  </si>
  <si>
    <t>Sphingobacteriia bacterium 28-36-52</t>
  </si>
  <si>
    <t>Clostridium algidicarnis</t>
  </si>
  <si>
    <t>Prevotella sp.</t>
  </si>
  <si>
    <t>Puia sp.</t>
  </si>
  <si>
    <t>Paludibacteraceae bacterium</t>
  </si>
  <si>
    <t>Candidatus Phocaeicola excrementigallinarum</t>
  </si>
  <si>
    <t>Phocaeicola coprocola</t>
  </si>
  <si>
    <t>Prevotella veroralis</t>
  </si>
  <si>
    <t>Muribaculaceae bacterium</t>
  </si>
  <si>
    <t>Pedobacter sp. PF22-3</t>
  </si>
  <si>
    <t>Prevotella veroralis F0319</t>
  </si>
  <si>
    <t>Turicibacter sanguinis</t>
  </si>
  <si>
    <t>Alistipes sp.</t>
  </si>
  <si>
    <t>Prevotella</t>
  </si>
  <si>
    <t>Alistipes putredinis</t>
  </si>
  <si>
    <t>Rikenellaceae bacterium</t>
  </si>
  <si>
    <t>uncultured Muribaculum sp.</t>
  </si>
  <si>
    <t>Sarcina ventriculi</t>
  </si>
  <si>
    <t>Phocaeicola sp. HCN-6420</t>
  </si>
  <si>
    <t>Bacteroides intestinalis</t>
  </si>
  <si>
    <t>Sphingobacterium endophyticum</t>
  </si>
  <si>
    <t>Larkinella soli</t>
  </si>
  <si>
    <t>Prevotella melaninogenica</t>
  </si>
  <si>
    <t>Bacteroidaceae bacterium</t>
  </si>
  <si>
    <t>Mucilaginibacter mali</t>
  </si>
  <si>
    <t>Prevotella conceptionensis</t>
  </si>
  <si>
    <t>Leadbetterella sp.</t>
  </si>
  <si>
    <t>Xylanibacter rodentium</t>
  </si>
  <si>
    <t>Paraliobacillus sp. PM-2</t>
  </si>
  <si>
    <t>Fusobacterium sp.</t>
  </si>
  <si>
    <t>Paraprevotella xylaniphila</t>
  </si>
  <si>
    <t>Caproicibacterium sp. BJN0003</t>
  </si>
  <si>
    <t>Clostridiales bacterium</t>
  </si>
  <si>
    <t>Clostridiales bacterium GWF2_38_85</t>
  </si>
  <si>
    <t>Firmicutes bacterium CAG:321_26_22</t>
  </si>
  <si>
    <t>Vibrio cholerae</t>
  </si>
  <si>
    <t>Vibrio alginolyticus</t>
  </si>
  <si>
    <t>Vibrio sp. CCB-PB317</t>
  </si>
  <si>
    <t>Vibrio fluvialis</t>
  </si>
  <si>
    <t>Salinivibrio proteolyticus</t>
  </si>
  <si>
    <t>Photobacterium leiognathi</t>
  </si>
  <si>
    <t>Pseudoalteromonas luteoviolacea</t>
  </si>
  <si>
    <t>Methylotenera sp.</t>
  </si>
  <si>
    <t>Burkholderia gladioli</t>
  </si>
  <si>
    <t>Caudoviricetes sp.</t>
  </si>
  <si>
    <t>Glutamicibacter sp.</t>
  </si>
  <si>
    <t>Pseudomonas putida</t>
  </si>
  <si>
    <t>Burkholderia cenocepacia</t>
  </si>
  <si>
    <t>Pseudomonas sp. RL_5y_Pfl2_69</t>
  </si>
  <si>
    <t>Pseudomonas atacamensis</t>
  </si>
  <si>
    <t>Pseudomonas sp. WS 5503</t>
  </si>
  <si>
    <t>Pseudomonas sp. K5002</t>
  </si>
  <si>
    <t>Janthinobacterium sp. OK676</t>
  </si>
  <si>
    <t>Photobacterium sanguinicancri</t>
  </si>
  <si>
    <t>Providencia sp. PROV024</t>
  </si>
  <si>
    <t>Exiguobacterium sp. s183</t>
  </si>
  <si>
    <t>Pseudomonas monteilii</t>
  </si>
  <si>
    <t>Providencia rettgeri</t>
  </si>
  <si>
    <t>Pseudomonas sp. D2002</t>
  </si>
  <si>
    <t>unclassified Exiguobacterium</t>
  </si>
  <si>
    <t>Klebsiella pneumoniae</t>
  </si>
  <si>
    <t>Pseudomonas sp. MWU13-3659</t>
  </si>
  <si>
    <t>Candidatus Scalindua sp.</t>
  </si>
  <si>
    <t>Moraxella sp. CTOTU48268</t>
  </si>
  <si>
    <t>Klebsiella quasipneumoniae</t>
  </si>
  <si>
    <t>Klebsiella</t>
  </si>
  <si>
    <t>Proteus</t>
  </si>
  <si>
    <t>Proteus vulgaris</t>
  </si>
  <si>
    <t>Pseudomonas palleroniana</t>
  </si>
  <si>
    <t>Acinetobacter oleivorans</t>
  </si>
  <si>
    <t>Nitrospinota bacterium</t>
  </si>
  <si>
    <t>Klebsiella pneumoniae subsp. pneumoniae</t>
  </si>
  <si>
    <t>Klebsiella sp. 10982</t>
  </si>
  <si>
    <t>Enterobacteriaceae</t>
  </si>
  <si>
    <t>Pseudomonas sp.</t>
  </si>
  <si>
    <t>Providencia sp. PROV020</t>
  </si>
  <si>
    <t>Pandoraea capi</t>
  </si>
  <si>
    <t>Pseudomonas syringae</t>
  </si>
  <si>
    <t>Escherichia coli</t>
  </si>
  <si>
    <t>Bacillus safensis</t>
  </si>
  <si>
    <t>Gibbsiella quercinecans</t>
  </si>
  <si>
    <t>Morganella morganii</t>
  </si>
  <si>
    <t>Bacillus altitudinis</t>
  </si>
  <si>
    <t>Bacillus</t>
  </si>
  <si>
    <t>Bacillus sp. NMCN1</t>
  </si>
  <si>
    <t>Nitrospira sp.</t>
  </si>
  <si>
    <t>Shiella aurantiaca</t>
  </si>
  <si>
    <t>Vibrio rumoiensis</t>
  </si>
  <si>
    <t>Bacillus sp. L_1B0_12</t>
  </si>
  <si>
    <t>Citrobacter sp. wls714</t>
  </si>
  <si>
    <t>Citrobacter freundii</t>
  </si>
  <si>
    <t>Proteus mirabilis</t>
  </si>
  <si>
    <t>Methylomonas methanica</t>
  </si>
  <si>
    <t>Moraxella osloensis</t>
  </si>
  <si>
    <t>Escherichia</t>
  </si>
  <si>
    <t>Thiomicrospira sp.</t>
  </si>
  <si>
    <t>Idiomarina sp. 29L</t>
  </si>
  <si>
    <t>Arthrobacter sp. LS16</t>
  </si>
  <si>
    <t>Nitrosospira sp. Nsp2</t>
  </si>
  <si>
    <t>Citrobacter cronae</t>
  </si>
  <si>
    <t>Halomonas caseinilytica</t>
  </si>
  <si>
    <t>Nitrosospira sp. Nsp14</t>
  </si>
  <si>
    <t>Morganellaceae</t>
  </si>
  <si>
    <t>Undibacterium luofuense</t>
  </si>
  <si>
    <t>Bacillus pumilus</t>
  </si>
  <si>
    <t>Raoultella sp. BIGb0399</t>
  </si>
  <si>
    <t>Priestia megaterium</t>
  </si>
  <si>
    <t>Desulfobacteraceae bacterium</t>
  </si>
  <si>
    <t>Deltaproteobacteria bacterium</t>
  </si>
  <si>
    <t>Leclercia adecarboxylata</t>
  </si>
  <si>
    <t>Klebsiella sp. RC2</t>
  </si>
  <si>
    <t>Pseudomonas sp. GL-RE-26</t>
  </si>
  <si>
    <t>Nitrosospira sp. Is2</t>
  </si>
  <si>
    <t>Chromohalobacter</t>
  </si>
  <si>
    <t>Rectinemataceae bacterium</t>
  </si>
  <si>
    <t>Psychrobacter faecalis</t>
  </si>
  <si>
    <t>Winogradskyella algicola</t>
  </si>
  <si>
    <t>Psychrobacter communis</t>
  </si>
  <si>
    <t>Rouxiella silvae</t>
  </si>
  <si>
    <t>Psychrobacter</t>
  </si>
  <si>
    <t>Pseudomonas alliivorans</t>
  </si>
  <si>
    <t>Stenotrophomonas maltophilia</t>
  </si>
  <si>
    <t>Sphingobacteriaceae bacterium</t>
  </si>
  <si>
    <t>Bacillus inaquosorum</t>
  </si>
  <si>
    <t>Arthrobacter agilis</t>
  </si>
  <si>
    <t>Burkholderiales bacterium</t>
  </si>
  <si>
    <t>Dehalococcoidales bacterium</t>
  </si>
  <si>
    <t>Oceanococcus sp. HetDA_MAG_MS8</t>
  </si>
  <si>
    <t>Halomonas zhuhanensis</t>
  </si>
  <si>
    <t>Gracilibacillus halophilus</t>
  </si>
  <si>
    <t>Candidatus Daviesbacteria bacterium</t>
  </si>
  <si>
    <t>Oryzibacter oryziterrae</t>
  </si>
  <si>
    <t>Fundidesulfovibrio putealis</t>
  </si>
  <si>
    <t>Cronobacter dublinensis</t>
  </si>
  <si>
    <t>Acetobacterium bakii</t>
  </si>
  <si>
    <t>Enterobacter hormaechei subsp. steigerwaltii</t>
  </si>
  <si>
    <t>Pseudomonas psychrotolerans</t>
  </si>
  <si>
    <t>Stutzerimonas stutzeri</t>
  </si>
  <si>
    <t>Enterobacter hormaechei</t>
  </si>
  <si>
    <t>Acidithiobacillus thiooxidans</t>
  </si>
  <si>
    <t>Treponema endosymbiont of Eucomonympha sp.</t>
  </si>
  <si>
    <t>Pelorhabdus rhamnosifermentans</t>
  </si>
  <si>
    <t>Psychrobacter sp. CAM01</t>
  </si>
  <si>
    <t>Enterobacter kobei</t>
  </si>
  <si>
    <t>Psychrobacter sp. 230</t>
  </si>
  <si>
    <t>Cronobacter sakazakii</t>
  </si>
  <si>
    <t>unclassified Cobetia</t>
  </si>
  <si>
    <t>Sphingobium yanoikuyae</t>
  </si>
  <si>
    <t>Kosakonia cowanii</t>
  </si>
  <si>
    <t>Shewanella sp. SG44-6</t>
  </si>
  <si>
    <t>Microbulbifer sp. MKSA007</t>
  </si>
  <si>
    <t>Pseudomonas mandelii</t>
  </si>
  <si>
    <t>uncultured Amphritea sp.</t>
  </si>
  <si>
    <t>candidate division KSB1 bacterium</t>
  </si>
  <si>
    <t>Bacillus thuringiensis</t>
  </si>
  <si>
    <t>Pseudoalteromonas sp. SWYJZ12</t>
  </si>
  <si>
    <t>Bacillus cereus group</t>
  </si>
  <si>
    <t>Shewanella sp. SG41-3</t>
  </si>
  <si>
    <t>Enterobacter cloacae</t>
  </si>
  <si>
    <t>Cetobacterium somerae</t>
  </si>
  <si>
    <t>Thiobacillus sp.</t>
  </si>
  <si>
    <t>Cobetia</t>
  </si>
  <si>
    <t>Pseudomonas fluorescens</t>
  </si>
  <si>
    <t>Pseudomonas sp. fls2-241-R2A-110</t>
  </si>
  <si>
    <t>Roseateles sp.</t>
  </si>
  <si>
    <t>Shewanella sp. SR44-3</t>
  </si>
  <si>
    <t>Acidobacteriota bacterium</t>
  </si>
  <si>
    <t>Marinobacter caseinilyticus</t>
  </si>
  <si>
    <t>Pelosinus sp. UFO1</t>
  </si>
  <si>
    <t>Ferrimonas pelagia</t>
  </si>
  <si>
    <t>Nodularia sp. (in: cyanobacteria)</t>
  </si>
  <si>
    <t>Pseudomonas aeruginosa</t>
  </si>
  <si>
    <t>Marinobacter sp. ELB17</t>
  </si>
  <si>
    <t>Aeromonas dhakensis</t>
  </si>
  <si>
    <t>Cobetia sp. MMG027</t>
  </si>
  <si>
    <t>unclassified Mesorhizobium</t>
  </si>
  <si>
    <t>Acidobacteria bacterium RIFCSPLOWO2_02_FULL_65_29</t>
  </si>
  <si>
    <t>unclassified Aerococcus</t>
  </si>
  <si>
    <t>Anaerolineae bacterium</t>
  </si>
  <si>
    <t>Streptomyces sp. KN37</t>
  </si>
  <si>
    <t>Anaerospora hongkongensis</t>
  </si>
  <si>
    <t>Nodularia spumigena</t>
  </si>
  <si>
    <t>Sporosarcina sp. JAI121</t>
  </si>
  <si>
    <t>Cobetia marina</t>
  </si>
  <si>
    <t>Pseudomonas veronii</t>
  </si>
  <si>
    <t>Rahnella sp. BIGb0236</t>
  </si>
  <si>
    <t>Nostoc sp. ChiQUE02</t>
  </si>
  <si>
    <t>Nostoc sp. GT001</t>
  </si>
  <si>
    <t>Mesorhizobium sp.</t>
  </si>
  <si>
    <t>Streptomyces olivaceiscleroticus</t>
  </si>
  <si>
    <t>Achromobacter xylosoxidans</t>
  </si>
  <si>
    <t>Oculatella sp. LEGE 06141</t>
  </si>
  <si>
    <t>Pseudomonas sp. SWI6</t>
  </si>
  <si>
    <t>Streptomyces europaeiscabiei</t>
  </si>
  <si>
    <t>Pseudomonas sp. PCH44</t>
  </si>
  <si>
    <t>Paenibacillus alkalitolerans</t>
  </si>
  <si>
    <t>Pseudoalteromonas sp. Z9A5</t>
  </si>
  <si>
    <t>Armatimonadota bacterium</t>
  </si>
  <si>
    <t>unclassified Pseudomonas</t>
  </si>
  <si>
    <t>Yersinia bercovieri</t>
  </si>
  <si>
    <t>Enterobacter cloacae complex</t>
  </si>
  <si>
    <t>Bacillus velezensis</t>
  </si>
  <si>
    <t>Enterobacter sichuanensis</t>
  </si>
  <si>
    <t>unclassified Chryseobacterium</t>
  </si>
  <si>
    <t>Pseudomonas sp. MH9.3</t>
  </si>
  <si>
    <t>Taibaiella lutea</t>
  </si>
  <si>
    <t>Bacillus amyloliquefaciens group</t>
  </si>
  <si>
    <t>Bacillus sp. 37MA</t>
  </si>
  <si>
    <t>Cupriavidus sp. D384</t>
  </si>
  <si>
    <t>Psychrobacter sp. B29-1</t>
  </si>
  <si>
    <t>Citrobacter</t>
  </si>
  <si>
    <t>Citrobacter youngae</t>
  </si>
  <si>
    <t>Anabaena sp. 49628_E55</t>
  </si>
  <si>
    <t>Escherichia fergusonii</t>
  </si>
  <si>
    <t>Nostoc sp. FACHB-973</t>
  </si>
  <si>
    <t>Nostoc sp. ATCC 43529</t>
  </si>
  <si>
    <t>Citrobacter portucalensis</t>
  </si>
  <si>
    <t>unclassified Escherichia</t>
  </si>
  <si>
    <t>Yersinia</t>
  </si>
  <si>
    <t>Bacillus phage SPbetaL5</t>
  </si>
  <si>
    <t>Yersinia proxima</t>
  </si>
  <si>
    <t>Anabaena</t>
  </si>
  <si>
    <t>Dickeya dianthicola</t>
  </si>
  <si>
    <t>Anaerolineales bacterium</t>
  </si>
  <si>
    <t>Yersinia kristensenii</t>
  </si>
  <si>
    <t>Balneola sp.</t>
  </si>
  <si>
    <t>Candidatus Moraniibacteriota bacterium</t>
  </si>
  <si>
    <t>Escherichia sp. 4726-5</t>
  </si>
  <si>
    <t>Alphaproteobacteria bacterium</t>
  </si>
  <si>
    <t>Acinetobacter radioresistens</t>
  </si>
  <si>
    <t>Citrobacter sp. Cb127</t>
  </si>
  <si>
    <t>Chloroflexota bacterium</t>
  </si>
  <si>
    <t>Elusimicrobiales bacterium</t>
  </si>
  <si>
    <t>Psychrosphaera saromensis</t>
  </si>
  <si>
    <t>Streptomyces sp. S063</t>
  </si>
  <si>
    <t>unclassified Curtobacterium</t>
  </si>
  <si>
    <t>candidate division WWE3 bacterium</t>
  </si>
  <si>
    <t>Enterobacter roggenkampii</t>
  </si>
  <si>
    <t>Pseudomonadota bacterium</t>
  </si>
  <si>
    <t>Enterobacter sp.</t>
  </si>
  <si>
    <t>Legionella rowbothamii</t>
  </si>
  <si>
    <t>Sulfuricurvum sp.</t>
  </si>
  <si>
    <t>Paraburkholderia acidisoli</t>
  </si>
  <si>
    <t>Burkholderia anthina</t>
  </si>
  <si>
    <t>Streptomyces sp.</t>
  </si>
  <si>
    <t>Streptomyces durmitorensis</t>
  </si>
  <si>
    <t>Klebsiella grimontii</t>
  </si>
  <si>
    <t>Erwinia aphidicola</t>
  </si>
  <si>
    <t>Bacillota bacterium</t>
  </si>
  <si>
    <t>Aestuariivirga sp.</t>
  </si>
  <si>
    <t>Patescibacteria group bacterium</t>
  </si>
  <si>
    <t>Candidatus Roizmanbacteria bacterium CG_4_10_14_0_2_um_filter_39_12</t>
  </si>
  <si>
    <t>Inquilinus sp. Marseille-Q2685</t>
  </si>
  <si>
    <t>Klebsiella quasipneumoniae subsp. quasipneumoniae</t>
  </si>
  <si>
    <t>Bacillus amyloliquefaciens</t>
  </si>
  <si>
    <t>Serratia fonticola</t>
  </si>
  <si>
    <t>Francisellaceae bacterium</t>
  </si>
  <si>
    <t>Inquilinus sp.</t>
  </si>
  <si>
    <t>Klebsiella variicola</t>
  </si>
  <si>
    <t>Paenibacillus sacheonensis</t>
  </si>
  <si>
    <t>Candidatus Blackburnbacteria bacterium RIFCSPHIGHO2_02_FULL_44_20</t>
  </si>
  <si>
    <t>Paeniglutamicibacter terrestris</t>
  </si>
  <si>
    <t>Oxalobacteraceae sp. CFBP 8763</t>
  </si>
  <si>
    <t>Candidatus Peregrinibacteria bacterium GW2011_GWA2_47_7</t>
  </si>
  <si>
    <t>Pseudolabrys sp.</t>
  </si>
  <si>
    <t>Fluviicola sp.</t>
  </si>
  <si>
    <t>Deinococcus peraridilitoris</t>
  </si>
  <si>
    <t>Candidatus Paceibacterota bacterium</t>
  </si>
  <si>
    <t>Raoultella ornithinolytica</t>
  </si>
  <si>
    <t>Sulfitobacter indolifex</t>
  </si>
  <si>
    <t>Streptomyces sp. Amel2xC10</t>
  </si>
  <si>
    <t>Streptomyces luteocolor</t>
  </si>
  <si>
    <t>Stellaceae bacterium</t>
  </si>
  <si>
    <t>Raoultella planticola</t>
  </si>
  <si>
    <t>Vibrio sp. ER1A</t>
  </si>
  <si>
    <t>Klebsiella variicola subsp. variicola</t>
  </si>
  <si>
    <t>Klebsiella quasipneumoniae subsp. similipneumoniae</t>
  </si>
  <si>
    <t>Sulfitobacter sp. AS92</t>
  </si>
  <si>
    <t xml:space="preserve">		</t>
  </si>
  <si>
    <t>VP1840</t>
  </si>
  <si>
    <t>&gt;BAC60103.1 hypothetical protein [Vibrio parahaemolyticus RIMD 2210633]</t>
  </si>
  <si>
    <t>MPKEILVTFPENPSIDIVKGYLELWHTLESYTLQEKSLENLFKKFCPQNDKIEDVLLKVSALNDFYSTNI YDTYSVSKHILGLSIDEKLNQGCLGLVDEVAPIEIKGKTRRFYSFATKYCSHHKPNDYPIYDSYVEKMLM HFKRRDSFCQFKKDDLKNYRMFVQIIKEFSRYYSLEEFSLREIDIYLWLAGKKHFPNRY</t>
  </si>
  <si>
    <t>Aneurinibacillus aneurinilyticus ATCC 12856</t>
  </si>
  <si>
    <t>Aneurinibacillus aneurinilyticus</t>
  </si>
  <si>
    <t>Clostridium sp. OS1-26</t>
  </si>
  <si>
    <t>Bacillota</t>
  </si>
  <si>
    <t>Romboutsia ilealis</t>
  </si>
  <si>
    <t>Lysinibacillus sp. FSL P2-0066</t>
  </si>
  <si>
    <t>Ruminiclostridium josui</t>
  </si>
  <si>
    <t>Lysinibacillus boronitolerans</t>
  </si>
  <si>
    <t>Cytobacillus horneckiae</t>
  </si>
  <si>
    <t>Thermicanus aegyptius</t>
  </si>
  <si>
    <t>Absicoccus porci</t>
  </si>
  <si>
    <t>Jeotgalibaca caeni</t>
  </si>
  <si>
    <t>Rummeliibacillus sp. SL167</t>
  </si>
  <si>
    <t>Caldisalinibacter kiritimatiensis</t>
  </si>
  <si>
    <t>Caldifermentibacillus hisashii</t>
  </si>
  <si>
    <t>Streptococcus infantarius</t>
  </si>
  <si>
    <t>Erysipelothrix tonsillarum</t>
  </si>
  <si>
    <t>Acetoanaerobium noterae</t>
  </si>
  <si>
    <t>Bacillaceae bacterium S4-13-58</t>
  </si>
  <si>
    <t>Lysinibacillus macroides</t>
  </si>
  <si>
    <t>Eubacteriales bacterium</t>
  </si>
  <si>
    <t>Oscillospiraceae bacterium</t>
  </si>
  <si>
    <t>Streptococcus suis</t>
  </si>
  <si>
    <t>Mediterraneibacter glycyrrhizinilyticus</t>
  </si>
  <si>
    <t>Lysinibacillus cavernae</t>
  </si>
  <si>
    <t>Suilimivivens aceti</t>
  </si>
  <si>
    <t>Fervidobacterium sp.</t>
  </si>
  <si>
    <t>Vagococcus fluvialis</t>
  </si>
  <si>
    <t>Clostridium sp. C2-6-12</t>
  </si>
  <si>
    <t>Erysipelotrichaceae bacterium MTC7</t>
  </si>
  <si>
    <t>Acetobacterium sp.</t>
  </si>
  <si>
    <t>unclassified Enterococcus</t>
  </si>
  <si>
    <t>Defluviitalea raffinosedens</t>
  </si>
  <si>
    <t>Desulfosporosinus sp. Tol-M</t>
  </si>
  <si>
    <t>Streptococcus infantarius subsp. infantarius</t>
  </si>
  <si>
    <t>Desulfosporosinus sp.</t>
  </si>
  <si>
    <t>Asaccharospora irregularis</t>
  </si>
  <si>
    <t>Sedimentibacter sp.</t>
  </si>
  <si>
    <t>Proteiniclasticum sediminis</t>
  </si>
  <si>
    <t>Anaerovoracaceae bacterium</t>
  </si>
  <si>
    <t>Coprococcus aceti</t>
  </si>
  <si>
    <t>Streptococcus agalactiae</t>
  </si>
  <si>
    <t>Sporolactobacillus sp. THM19-2</t>
  </si>
  <si>
    <t>Ruminobacter sp. RM87</t>
  </si>
  <si>
    <t>Lysinibacillus antri</t>
  </si>
  <si>
    <t>Erysipelothrix sp.</t>
  </si>
  <si>
    <t>Selenomonadaceae bacterium</t>
  </si>
  <si>
    <t>Fundicoccus culcitae</t>
  </si>
  <si>
    <t>Ruminobacter amylophilus</t>
  </si>
  <si>
    <t>Clostridium sp. C105KSO15</t>
  </si>
  <si>
    <t>Sedimentibacter saalensis</t>
  </si>
  <si>
    <t>[Eubacterium] siraeum</t>
  </si>
  <si>
    <t>Pseudobutyrivibrio sp. MD2005</t>
  </si>
  <si>
    <t>Negativicutes bacterium</t>
  </si>
  <si>
    <t>Firmicutes bacterium ADurb.Bin419</t>
  </si>
  <si>
    <t>Robinsoniella</t>
  </si>
  <si>
    <t>Acetoanaerobium sp.</t>
  </si>
  <si>
    <t>Clostridiaceae bacterium HFYG-1003</t>
  </si>
  <si>
    <t>Dehalobacterium formicoaceticum</t>
  </si>
  <si>
    <t>Anaerocolumna sp.</t>
  </si>
  <si>
    <t>Streptococcus parasuis</t>
  </si>
  <si>
    <t>Bacillaceae bacterium Marseille-Q3522</t>
  </si>
  <si>
    <t>Dehalobacter restrictus</t>
  </si>
  <si>
    <t>Lysinibacillus sp. K60</t>
  </si>
  <si>
    <t>Stomatobaculum longum</t>
  </si>
  <si>
    <t>Firmicutes bacterium AM41-11</t>
  </si>
  <si>
    <t>Massilimicrobiota sp. An142</t>
  </si>
  <si>
    <t>Erysipelothrix sp. HDW6B</t>
  </si>
  <si>
    <t>Clostridiaceae bacterium</t>
  </si>
  <si>
    <t>Eubacterium sp. 45_250</t>
  </si>
  <si>
    <t>unclassified Eubacterium (in: firmicutes)</t>
  </si>
  <si>
    <t>Peptostreptococcaceae bacterium</t>
  </si>
  <si>
    <t>Catenibacterium mitsuokai</t>
  </si>
  <si>
    <t>Coprococcus eutactus</t>
  </si>
  <si>
    <t>Eubacterium limosum</t>
  </si>
  <si>
    <t>Enterococcus faecalis</t>
  </si>
  <si>
    <t>Merdimmobilis hominis</t>
  </si>
  <si>
    <t>Streptococcus anginosus</t>
  </si>
  <si>
    <t>Streptococcus anginosus DORA_7</t>
  </si>
  <si>
    <t>Oscillibacter valericigenes</t>
  </si>
  <si>
    <t>Peptostreptococcus anaerobius</t>
  </si>
  <si>
    <t>Peptostreptococcus anaerobius CAG:621</t>
  </si>
  <si>
    <t>uncultured Catenibacterium sp.</t>
  </si>
  <si>
    <t>Senimuribacter intestinalis</t>
  </si>
  <si>
    <t>Caldisericales bacterium</t>
  </si>
  <si>
    <t>Streptococcus pseudopneumoniae</t>
  </si>
  <si>
    <t>Tissierellales bacterium</t>
  </si>
  <si>
    <t>Streptococcus oralis subsp. tigurinus 2425</t>
  </si>
  <si>
    <t>Propionispora sp. 2/2-37</t>
  </si>
  <si>
    <t>Bacillus sp. FJAT-29814</t>
  </si>
  <si>
    <t>Sporomusaceae bacterium</t>
  </si>
  <si>
    <t>Anaerobacillus alkalidiazotrophicus</t>
  </si>
  <si>
    <t>Oscillibacter sp.</t>
  </si>
  <si>
    <t>Streptococcus constellatus</t>
  </si>
  <si>
    <t>Streptococcus</t>
  </si>
  <si>
    <t>Streptococcus oralis</t>
  </si>
  <si>
    <t>Streptococcus mitis</t>
  </si>
  <si>
    <t>Bhargavaea massiliensis</t>
  </si>
  <si>
    <t>Caldibacillus thermoamylovorans</t>
  </si>
  <si>
    <t>Candidatus Saccharibacteria bacterium</t>
  </si>
  <si>
    <t>Streptococcus sp. SR1</t>
  </si>
  <si>
    <t>Streptococcus cristatus</t>
  </si>
  <si>
    <t>Streptococcus oralis SK255</t>
  </si>
  <si>
    <t>Streptococcus sp. oral taxon 071</t>
  </si>
  <si>
    <t>Vibrio mytili</t>
  </si>
  <si>
    <t>Streptococcus oralis subsp. tigurinus</t>
  </si>
  <si>
    <t>Streptococcus sp. F0441</t>
  </si>
  <si>
    <t>Streptococcus sp. M143</t>
  </si>
  <si>
    <t>Oleidesulfovibrio alaskensis</t>
  </si>
  <si>
    <t>Desulfovibrio sp.</t>
  </si>
  <si>
    <t>Desulfatibacillum aliphaticivorans</t>
  </si>
  <si>
    <t>Gammaproteobacteria bacterium</t>
  </si>
  <si>
    <t>Candidatus Stoquefichus massiliensis</t>
  </si>
  <si>
    <t>uncultured Streptococcus sp.</t>
  </si>
  <si>
    <t>Proteinivorax hydrogeniformans</t>
  </si>
  <si>
    <t>Butyrivibrio sp. AE2005</t>
  </si>
  <si>
    <t>Streptococcus salivarius</t>
  </si>
  <si>
    <t>Facklamia lactis</t>
  </si>
  <si>
    <t>Desulfatitalea alkaliphila</t>
  </si>
  <si>
    <t>Verrucomicrobiota bacterium</t>
  </si>
  <si>
    <t>Streptococcus sanguinis</t>
  </si>
  <si>
    <t>Clostridium homopropionicum</t>
  </si>
  <si>
    <t>Erysipelotrichaceae bacterium</t>
  </si>
  <si>
    <t>Marispirochaeta sp.</t>
  </si>
  <si>
    <t>uncultured Blautia sp.</t>
  </si>
  <si>
    <t>Calidifontibacillus oryziterrae</t>
  </si>
  <si>
    <t>Erysipelotrichales bacterium</t>
  </si>
  <si>
    <t>Bacilli bacterium</t>
  </si>
  <si>
    <t>Neisseriaceae bacterium</t>
  </si>
  <si>
    <t>Anaerovorax sp. IOR16</t>
  </si>
  <si>
    <t>Thermoanaerobacterales bacterium</t>
  </si>
  <si>
    <t>Solobacterium sp.</t>
  </si>
  <si>
    <t>Butyrivibrio sp.</t>
  </si>
  <si>
    <t>Clostridium sp. C8</t>
  </si>
  <si>
    <t>Hathewaya proteolytica</t>
  </si>
  <si>
    <t>Peptoclostridium acidaminophilum</t>
  </si>
  <si>
    <t>Clostridium sartagoforme</t>
  </si>
  <si>
    <t>Peptostreptococcaceae bacterium oral taxon 929</t>
  </si>
  <si>
    <t>Schwartzia sp. (in: firmicutes)</t>
  </si>
  <si>
    <t>Faecalitalea cylindroides</t>
  </si>
  <si>
    <t>Clostridium bornimense</t>
  </si>
  <si>
    <t>Garciella nitratireducens</t>
  </si>
  <si>
    <t>Ligilactobacillus agilis</t>
  </si>
  <si>
    <t>Gallionella sp.</t>
  </si>
  <si>
    <t>Anaerococcus murdochii</t>
  </si>
  <si>
    <t>Bacillus sp. AG4(2022)</t>
  </si>
  <si>
    <t>Candidatus Onthousia faecipullorum</t>
  </si>
  <si>
    <t>Terrisporobacter petrolearius</t>
  </si>
  <si>
    <t>Treponemataceae bacterium</t>
  </si>
  <si>
    <t>Anaerococcus sp.</t>
  </si>
  <si>
    <t>Clostridium sp. YIM B02500</t>
  </si>
  <si>
    <t>Anaeromicropila populeti</t>
  </si>
  <si>
    <t>uncultured Anaerococcus sp.</t>
  </si>
  <si>
    <t>Anaerolineaceae bacterium</t>
  </si>
  <si>
    <t>Oscillibacter sp. ER4</t>
  </si>
  <si>
    <t>Faecalicoccus pleomorphus</t>
  </si>
  <si>
    <t>Clostridium sp. 2-1</t>
  </si>
  <si>
    <t>Pelotomaculum sp. PtaB.Bin104</t>
  </si>
  <si>
    <t>Streptococcus sp. CSL10205-OR2</t>
  </si>
  <si>
    <t>Pasteurellaceae bacterium RH1A</t>
  </si>
  <si>
    <t>Methylophilus sp. 14</t>
  </si>
  <si>
    <t>Synergistaceae bacterium</t>
  </si>
  <si>
    <t>Eubacterium sp.</t>
  </si>
  <si>
    <t>Halothiobacillus sp.</t>
  </si>
  <si>
    <t>Haemophilus parainfluenzae</t>
  </si>
  <si>
    <t>Candidatus Methylomirabilis limnetica</t>
  </si>
  <si>
    <t>Treponema brennaborense</t>
  </si>
  <si>
    <t>Candidatus Dojkabacteria bacterium</t>
  </si>
  <si>
    <t>Parvimonas</t>
  </si>
  <si>
    <t>Tannerella sp.</t>
  </si>
  <si>
    <t>Sedimentisphaera cyanobacteriorum</t>
  </si>
  <si>
    <t>Haemophilus haemolyticus</t>
  </si>
  <si>
    <t>Desulfuromonadaceae bacterium</t>
  </si>
  <si>
    <t>Candidatus Parcubacteria bacterium</t>
  </si>
  <si>
    <t>Bacteroidetes bacterium GWE2_40_15</t>
  </si>
  <si>
    <t>Haemophilus sp.</t>
  </si>
  <si>
    <t>Anaerofustis stercorihominis</t>
  </si>
  <si>
    <t>Desulfosporosinus orientis</t>
  </si>
  <si>
    <t>Rhodocyclaceae bacterium</t>
  </si>
  <si>
    <t>Histophilus somni</t>
  </si>
  <si>
    <t>Spirochaetia bacterium</t>
  </si>
  <si>
    <t>uncultured Carboxylicivirga sp.</t>
  </si>
  <si>
    <t>Nitrospiraceae bacterium</t>
  </si>
  <si>
    <t>Gaoshiqia sediminis</t>
  </si>
  <si>
    <t>Kiritimatiellia bacterium</t>
  </si>
  <si>
    <t>Spirochaetota bacterium</t>
  </si>
  <si>
    <t>unclassified Haemophilus</t>
  </si>
  <si>
    <t>Leptospiraceae bacterium</t>
  </si>
  <si>
    <t>Candidatus Eubacterium faecipullorum</t>
  </si>
  <si>
    <t>Spirochaetales bacterium</t>
  </si>
  <si>
    <t>Ignavibacteria bacterium</t>
  </si>
  <si>
    <t>Oscillibacter sp. PEA192</t>
  </si>
  <si>
    <t>uncultured Aminipila sp.</t>
  </si>
  <si>
    <t>Marinilabilia sp.</t>
  </si>
  <si>
    <t>Moraxella sp.</t>
  </si>
  <si>
    <t>Pirellulaceae bacterium</t>
  </si>
  <si>
    <t>Desulfosporosinus sp. PR</t>
  </si>
  <si>
    <t>uncultured Aggregatibacter sp.</t>
  </si>
  <si>
    <t>Ursidibacter maritimus</t>
  </si>
  <si>
    <t>Rhodospirillaceae bacterium</t>
  </si>
  <si>
    <t>uncultured Methanobrevibacter sp.</t>
  </si>
  <si>
    <t>Aggregatibacter sp. oral taxon 458</t>
  </si>
  <si>
    <t>Candidatus Omnitrophota bacterium</t>
  </si>
  <si>
    <t>Shewanella sp. AS16</t>
  </si>
  <si>
    <t>Pasteurellaceae bacterium</t>
  </si>
  <si>
    <t>Methanobrevibacter olleyae</t>
  </si>
  <si>
    <t>Haemophilus sp. oral taxon 851</t>
  </si>
  <si>
    <t>Candidatus Eremiobacterota bacterium</t>
  </si>
  <si>
    <t>Candidatus Brocadia sapporoensis</t>
  </si>
  <si>
    <t>Methanobrevibacter millerae</t>
  </si>
  <si>
    <t>Treponema medium</t>
  </si>
  <si>
    <t>Parvimonas micra</t>
  </si>
  <si>
    <t>Dysosmobacter sp.</t>
  </si>
  <si>
    <t>Flavobacterium cupriresistens</t>
  </si>
  <si>
    <t>Segatella copri</t>
  </si>
  <si>
    <t>Candidatus Persebacteraceae bacterium Df01</t>
  </si>
  <si>
    <t>Hallella mizrahii</t>
  </si>
  <si>
    <t>Segatella copri DSM 18205</t>
  </si>
  <si>
    <t>Ruminococcus sp. HUN007</t>
  </si>
  <si>
    <t>Parasutterella excrementihominis</t>
  </si>
  <si>
    <t>Flavobacterium gilvum</t>
  </si>
  <si>
    <t>Defluviitaleaceae bacterium</t>
  </si>
  <si>
    <t>Prevotellaceae bacterium</t>
  </si>
  <si>
    <t>Prevotella sp. B2-R-102</t>
  </si>
  <si>
    <t>Prevotella sp. CAG:604</t>
  </si>
  <si>
    <t>Sphaerochaetaceae bacterium</t>
  </si>
  <si>
    <t>Segatella sinensis</t>
  </si>
  <si>
    <t>Segatella hominis</t>
  </si>
  <si>
    <t>Tissierellia bacterium</t>
  </si>
  <si>
    <t>Acidaminococcales bacterium</t>
  </si>
  <si>
    <t>Parvimonas sp. oral taxon 393 str. F0440</t>
  </si>
  <si>
    <t>Vibrio campbellii</t>
  </si>
  <si>
    <t>uncultured Turicimonas sp.</t>
  </si>
  <si>
    <t>Succinivibrio sp.</t>
  </si>
  <si>
    <t>Xylanibacter ruminicola</t>
  </si>
  <si>
    <t>Acholeplasmatales bacterium</t>
  </si>
  <si>
    <t>Brachyspira intermedia</t>
  </si>
  <si>
    <t>Brachyspira hyodysenteriae</t>
  </si>
  <si>
    <t>[Pasteurella] aerogenes</t>
  </si>
  <si>
    <t>Methanobrevibacter sp.</t>
  </si>
  <si>
    <t>Verrucomicrobiia bacterium</t>
  </si>
  <si>
    <t>uncultured bacterium</t>
  </si>
  <si>
    <t>uncultured Campylobacter sp.</t>
  </si>
  <si>
    <t>Aminipila sp.</t>
  </si>
  <si>
    <t>Candidatus Izemoplasmatales bacterium</t>
  </si>
  <si>
    <t>bacterium F083</t>
  </si>
  <si>
    <t>uncultured Adlercreutzia sp.</t>
  </si>
  <si>
    <t>Actinobacillus porcinus</t>
  </si>
  <si>
    <t>Peptostreptococcus porci</t>
  </si>
  <si>
    <t>Haemophilus paraphrohaemolyticus HK411</t>
  </si>
  <si>
    <t>Methanococcus maripaludis</t>
  </si>
  <si>
    <t>uncultured Moraxella sp.</t>
  </si>
  <si>
    <t>Segatella sp.</t>
  </si>
  <si>
    <t>Acinetobacter guillouiae</t>
  </si>
  <si>
    <t>Marinimicrobium sp. UBA4509</t>
  </si>
  <si>
    <t>Phocaeicola plebeius</t>
  </si>
  <si>
    <t>Moraxella porci</t>
  </si>
  <si>
    <t>VP1848</t>
  </si>
  <si>
    <t>&gt;BAC60111.1 hypothetical protein [Vibrio parahaemolyticus RIMD 2210633]</t>
  </si>
  <si>
    <t>MQDIWLVISKWDWSGIVQAGSGLLTVVVAYCALSSWKIQQKSAQVNALFDELITEVNEFIRHSVVPAQIV KFSHIRFESHKDYIELDKSLPHPEVVYVINEFGNDLSKQLIAALEPCGQNSSRIKSLLVRIQLHQPLGFE DCINACNYIVWQHDRMQAFAMTLGSPHMNWENPMVAKSVENSLAITAENIEEHTNENYAKLLKYITKTYG IIYKKPNKAFKSDS</t>
  </si>
  <si>
    <t>Thauera sp. SDU_THAU2</t>
  </si>
  <si>
    <t>WP_341644339.1</t>
  </si>
  <si>
    <t>Pseudoxanthomonas sp.</t>
  </si>
  <si>
    <t>WP_334179968.1</t>
  </si>
  <si>
    <t>Brachymonas denitrificans</t>
  </si>
  <si>
    <t>WP_213361031.1</t>
  </si>
  <si>
    <t>Cupriavidus sp. U2</t>
  </si>
  <si>
    <t>WP_153946359.1</t>
  </si>
  <si>
    <t>MEQ1663024.1</t>
  </si>
  <si>
    <t>Stappia sp. 28M-7</t>
  </si>
  <si>
    <t>WP_185925140.1</t>
  </si>
  <si>
    <t>Pseudoxanthomonas winnipegensis</t>
  </si>
  <si>
    <t>WP_130532104.1</t>
  </si>
  <si>
    <t>Methylophaga</t>
  </si>
  <si>
    <t>WP_273181265.1</t>
  </si>
  <si>
    <t>Methylophaga sp. UBA2689</t>
  </si>
  <si>
    <t>WP_292758205.1</t>
  </si>
  <si>
    <t>WP_139315599.1</t>
  </si>
  <si>
    <t>ELA7884001.1</t>
  </si>
  <si>
    <t>MDE1222734.1</t>
  </si>
  <si>
    <t>Stappia indica</t>
  </si>
  <si>
    <t>WP_139111065.1</t>
  </si>
  <si>
    <t>WP_203479114.1</t>
  </si>
  <si>
    <t>WP_203513435.1</t>
  </si>
  <si>
    <t>WP_204157856.1</t>
  </si>
  <si>
    <t>MCW8933435.1</t>
  </si>
  <si>
    <t>WP_267423107.1</t>
  </si>
  <si>
    <t>EJC6794069.1</t>
  </si>
  <si>
    <t>WP_069500530.1</t>
  </si>
  <si>
    <t>MCU8238805.1</t>
  </si>
  <si>
    <t>WP_061035840.1</t>
  </si>
  <si>
    <t>Vibrio proteolyticus</t>
  </si>
  <si>
    <t>WP_021707493.1</t>
  </si>
  <si>
    <t>WP_005483286.1</t>
  </si>
  <si>
    <t>WP_186159961.1</t>
  </si>
  <si>
    <t>Vibrio sp. ES.051</t>
  </si>
  <si>
    <t>WP_098415759.1</t>
  </si>
  <si>
    <t>HAS8570121.1</t>
  </si>
  <si>
    <t>WP_274018949.1</t>
  </si>
  <si>
    <t>Sphingomonas sp.</t>
  </si>
  <si>
    <t>WP_312489773.1</t>
  </si>
  <si>
    <t>WP_225458394.1</t>
  </si>
  <si>
    <t>Sphingomonas pseudosanguinis</t>
  </si>
  <si>
    <t>WP_183950660.1</t>
  </si>
  <si>
    <t>ELJ9746604.1</t>
  </si>
  <si>
    <t>ELB2962496.1</t>
  </si>
  <si>
    <t>HCH1532214.1</t>
  </si>
  <si>
    <t>WP_130248722.1</t>
  </si>
  <si>
    <t>Novosphingobium lindaniclasticum</t>
  </si>
  <si>
    <t>WP_277666475.1</t>
  </si>
  <si>
    <t>Cupriavidus pampae</t>
  </si>
  <si>
    <t>WP_223995380.1</t>
  </si>
  <si>
    <t>MCF9512906.1</t>
  </si>
  <si>
    <t>WP_248376158.1</t>
  </si>
  <si>
    <t>Lysobacter sp.</t>
  </si>
  <si>
    <t>NOT89697.1</t>
  </si>
  <si>
    <t>Paraburkholderia azotifigens</t>
  </si>
  <si>
    <t>WP_342959045.1</t>
  </si>
  <si>
    <t>EKO3807976.1</t>
  </si>
  <si>
    <t>WP_025520000.1</t>
  </si>
  <si>
    <t>Hyphomonas oceanitis</t>
  </si>
  <si>
    <t>WP_335612525.1</t>
  </si>
  <si>
    <t>Rhizobium sp. ICMP 5592</t>
  </si>
  <si>
    <t>WP_153365615.1</t>
  </si>
  <si>
    <t>ELB2157604.1</t>
  </si>
  <si>
    <t>MCF9158313.1</t>
  </si>
  <si>
    <t>WP_140312152.1</t>
  </si>
  <si>
    <t>Sphingopyxis sp.</t>
  </si>
  <si>
    <t>WP_324070581.1</t>
  </si>
  <si>
    <t>Photobacterium kishitanii</t>
  </si>
  <si>
    <t>WP_107289414.1</t>
  </si>
  <si>
    <t>MBS0377139.1</t>
  </si>
  <si>
    <t>Vibrio chagasii</t>
  </si>
  <si>
    <t>CAH6845690.1</t>
  </si>
  <si>
    <t>Novosphingobium sp. KN65.2</t>
  </si>
  <si>
    <t>WP_054947168.1</t>
  </si>
  <si>
    <t>MCF9471220.1</t>
  </si>
  <si>
    <t>Osedax symbiont Rs2</t>
  </si>
  <si>
    <t>EPJ44487.1</t>
  </si>
  <si>
    <t>MBQ69395.1</t>
  </si>
  <si>
    <t>Shewanella sp. KX20019</t>
  </si>
  <si>
    <t>WP_202288044.1</t>
  </si>
  <si>
    <t>Novosphingobium sp. 9</t>
  </si>
  <si>
    <t>WP_260926708.1</t>
  </si>
  <si>
    <t>WP_140202120.1</t>
  </si>
  <si>
    <t>Stutzerimonas nitrititolerans</t>
  </si>
  <si>
    <t>WP_312141309.1</t>
  </si>
  <si>
    <t>Vibrio lentus</t>
  </si>
  <si>
    <t>WP_102361795.1</t>
  </si>
  <si>
    <t>EGR1996166.1</t>
  </si>
  <si>
    <t>WP_123326320.1</t>
  </si>
  <si>
    <t>WP_238952002.1</t>
  </si>
  <si>
    <t>WP_161716058.1</t>
  </si>
  <si>
    <t>Brevundimonas sp.</t>
  </si>
  <si>
    <t>MBA4001397.1</t>
  </si>
  <si>
    <t>CAK3344663.1</t>
  </si>
  <si>
    <t>Vibrio sp. TMPB1044</t>
  </si>
  <si>
    <t>WP_285953661.1</t>
  </si>
  <si>
    <t>WP_213663066.1</t>
  </si>
  <si>
    <t>WP_292107477.1</t>
  </si>
  <si>
    <t>WP_170910104.1</t>
  </si>
  <si>
    <t>NQU52320.1</t>
  </si>
  <si>
    <t>Candidatus Aceula lacicola</t>
  </si>
  <si>
    <t>MDP8263851.1</t>
  </si>
  <si>
    <t>Colwellia sp.</t>
  </si>
  <si>
    <t>MCP4985133.1</t>
  </si>
  <si>
    <t>Ferrimonas marina</t>
  </si>
  <si>
    <t>WP_143165792.1</t>
  </si>
  <si>
    <t>SHI15033.1</t>
  </si>
  <si>
    <t>Pseudoxanthomonas sp. PXM04</t>
  </si>
  <si>
    <t>WP_192197461.1</t>
  </si>
  <si>
    <t>Oryzomonas sagensis</t>
  </si>
  <si>
    <t>WP_151157676.1</t>
  </si>
  <si>
    <t>uncultured Desulfobacterium sp.</t>
  </si>
  <si>
    <t>CBX28063.1</t>
  </si>
  <si>
    <t>Pseudoalteromonas sp. Bsw20308</t>
  </si>
  <si>
    <t>WP_007376062.1</t>
  </si>
  <si>
    <t>Desulfobacula sp.</t>
  </si>
  <si>
    <t>WP_291462140.1</t>
  </si>
  <si>
    <t>Pseudoalteromonas sp. JB197</t>
  </si>
  <si>
    <t>WP_086993202.1</t>
  </si>
  <si>
    <t>WP_265572606.1</t>
  </si>
  <si>
    <t>WP_073514066.1</t>
  </si>
  <si>
    <t>ELB2967108.1</t>
  </si>
  <si>
    <t>WP_349957640.1</t>
  </si>
  <si>
    <t>EGQ9152973.1</t>
  </si>
  <si>
    <t>Xanthomonas</t>
  </si>
  <si>
    <t>WP_039815875.1</t>
  </si>
  <si>
    <t>uncultured Gammaproteobacteria bacterium</t>
  </si>
  <si>
    <t>VVH64955.1</t>
  </si>
  <si>
    <t>VVH55662.1</t>
  </si>
  <si>
    <t>bacterium endosymbiont of Bathymodiolus sp. 5 South</t>
  </si>
  <si>
    <t>SSC08306.1</t>
  </si>
  <si>
    <t>WP_130247475.1</t>
  </si>
  <si>
    <t>WP_139699490.1</t>
  </si>
  <si>
    <t>Colwellia sp. 75C3</t>
  </si>
  <si>
    <t>WP_101226862.1</t>
  </si>
  <si>
    <t>WP_102485116.1</t>
  </si>
  <si>
    <t>WP_102502372.1</t>
  </si>
  <si>
    <t>HAS8384597.1</t>
  </si>
  <si>
    <t>Xanthomonas cannabis</t>
  </si>
  <si>
    <t>WP_166744153.1</t>
  </si>
  <si>
    <t>EJG0866341.1</t>
  </si>
  <si>
    <t>Novosphingobium sp.</t>
  </si>
  <si>
    <t>MBA4160494.1</t>
  </si>
  <si>
    <t>WP_130273589.1</t>
  </si>
  <si>
    <t>Planctomycetaceae bacterium</t>
  </si>
  <si>
    <t>MCE5341783.1</t>
  </si>
  <si>
    <t>Lysobacter soli</t>
  </si>
  <si>
    <t>WP_115842630.1</t>
  </si>
  <si>
    <t>WP_280556956.1</t>
  </si>
  <si>
    <t>WP_094766469.1</t>
  </si>
  <si>
    <t>Endozoicomonas ascidiicola</t>
  </si>
  <si>
    <t>WP_067522814.1</t>
  </si>
  <si>
    <t>MCH8260152.1</t>
  </si>
  <si>
    <t>MBS3918507.1</t>
  </si>
  <si>
    <t>MBE3884713.1</t>
  </si>
  <si>
    <t>WP_140205991.1</t>
  </si>
  <si>
    <t>Pandoraea sp. ISTKB</t>
  </si>
  <si>
    <t>ODP33055.1</t>
  </si>
  <si>
    <t>HAS6323074.1</t>
  </si>
  <si>
    <t>WP_139133230.1</t>
  </si>
  <si>
    <t>WP_102510943.1</t>
  </si>
  <si>
    <t>CAC9552079.1</t>
  </si>
  <si>
    <t>Xanthomonas citri</t>
  </si>
  <si>
    <t>WP_089111569.1</t>
  </si>
  <si>
    <t>Magnetococcales bacterium</t>
  </si>
  <si>
    <t>MBF0293688.1</t>
  </si>
  <si>
    <t>HEY0862125.1</t>
  </si>
  <si>
    <t>Pseudoxanthomonas sp. 3HH-4</t>
  </si>
  <si>
    <t>WP_142126128.1</t>
  </si>
  <si>
    <t>MBC2737470.1</t>
  </si>
  <si>
    <t>Desulfobacteraceae bacterium 4572_130</t>
  </si>
  <si>
    <t>OQY01893.1</t>
  </si>
  <si>
    <t>EHH0685068.1</t>
  </si>
  <si>
    <t>EIU7824647.1</t>
  </si>
  <si>
    <t>Vibrio kanaloae</t>
  </si>
  <si>
    <t>WP_137007348.1</t>
  </si>
  <si>
    <t>WP_048662321.1</t>
  </si>
  <si>
    <t>Gallaecimonas kandeliae</t>
  </si>
  <si>
    <t>WP_301494737.1</t>
  </si>
  <si>
    <t>WP_108196709.1</t>
  </si>
  <si>
    <t>WP_102257506.1</t>
  </si>
  <si>
    <t>WP_017085054.1</t>
  </si>
  <si>
    <t>Campylobacteraceae bacterium</t>
  </si>
  <si>
    <t>NQY22972.1</t>
  </si>
  <si>
    <t>EJO3996592.1</t>
  </si>
  <si>
    <t>Sulfurimonas sp.</t>
  </si>
  <si>
    <t>HIC43849.1</t>
  </si>
  <si>
    <t>Vibrio sp. 10N.222.47.A9</t>
  </si>
  <si>
    <t>WP_076646368.1</t>
  </si>
  <si>
    <t>EGQ9613154.1</t>
  </si>
  <si>
    <t>WP_076008720.1</t>
  </si>
  <si>
    <t>WP_142546919.1</t>
  </si>
  <si>
    <t>HDZ9207790.1</t>
  </si>
  <si>
    <t>WP_225469331.1</t>
  </si>
  <si>
    <t>WP_065870746.1</t>
  </si>
  <si>
    <t>Thiotrichales bacterium 19X7-9</t>
  </si>
  <si>
    <t>MCF6777637.1</t>
  </si>
  <si>
    <t>MCK4869949.1</t>
  </si>
  <si>
    <t>WP_095429906.1</t>
  </si>
  <si>
    <t>WP_130270209.1</t>
  </si>
  <si>
    <t>unclassified Aliivibrio</t>
  </si>
  <si>
    <t>WP_274445510.1</t>
  </si>
  <si>
    <t>WP_274882979.1</t>
  </si>
  <si>
    <t>WP_276398024.1</t>
  </si>
  <si>
    <t>WP_149145052.1</t>
  </si>
  <si>
    <t>EKF9989419.1</t>
  </si>
  <si>
    <t>WP_267746251.1</t>
  </si>
  <si>
    <t>MDA1001516.1</t>
  </si>
  <si>
    <t>uncultured Vibrio sp.</t>
  </si>
  <si>
    <t>Agarivorans sp. 1_MG-2023</t>
  </si>
  <si>
    <t>Acinetobacter vivianii</t>
  </si>
  <si>
    <t>Agarivorans litoreus</t>
  </si>
  <si>
    <t>Aeromonas hydrophila</t>
  </si>
  <si>
    <t>Plesiomonas shigelloides</t>
  </si>
  <si>
    <t>Halopseudomonas aestusnigri</t>
  </si>
  <si>
    <t>Vibrio sp. AND4</t>
  </si>
  <si>
    <t>Methylomonas sp. ZR1</t>
  </si>
  <si>
    <t>Pseudomonas otitidis</t>
  </si>
  <si>
    <t>Vibrio owensii</t>
  </si>
  <si>
    <t>Motiliproteus sp. MSK22-1</t>
  </si>
  <si>
    <t>Aeromonas veronii</t>
  </si>
  <si>
    <t>Shewanella algae</t>
  </si>
  <si>
    <t>Pseudoalteromonas piscicida</t>
  </si>
  <si>
    <t>Photobacterium sp. CCB-ST2H9</t>
  </si>
  <si>
    <t>Thiomicrorhabdus cannonii</t>
  </si>
  <si>
    <t>unclassified Aeromonas</t>
  </si>
  <si>
    <t>Pseudomonas benzenivorans</t>
  </si>
  <si>
    <t>Shewanella loihica</t>
  </si>
  <si>
    <t>Shewanella frigidimarina</t>
  </si>
  <si>
    <t>Shewanella insulae</t>
  </si>
  <si>
    <t>uncultured Tolumonas sp.</t>
  </si>
  <si>
    <t>Pseudomonas sp. HMWF032</t>
  </si>
  <si>
    <t>Halomonas sp.</t>
  </si>
  <si>
    <t>Photobacterium damselae</t>
  </si>
  <si>
    <t>unclassified Shewanella</t>
  </si>
  <si>
    <t>Marinobacter daepoensis</t>
  </si>
  <si>
    <t>Aeromonas salmonicida subsp. salmonicida A449</t>
  </si>
  <si>
    <t>Methylomonas sp. WSC-7</t>
  </si>
  <si>
    <t>Tolumonas auensis</t>
  </si>
  <si>
    <t>Aeromonas salmonicida subsp. salmonicida</t>
  </si>
  <si>
    <t>Aeromonas salmonicida subsp. salmonicida 01-B526</t>
  </si>
  <si>
    <t>Aeromonas caviae</t>
  </si>
  <si>
    <t>Zobellella denitrificans</t>
  </si>
  <si>
    <t>Shewanella sp. M16</t>
  </si>
  <si>
    <t>Aeromonas salmonicida</t>
  </si>
  <si>
    <t>Oceanimonas doudoroffii</t>
  </si>
  <si>
    <t>Vibrio diabolicus</t>
  </si>
  <si>
    <t>Desulfobulbus sp.</t>
  </si>
  <si>
    <t>Spongiibacter marinus</t>
  </si>
  <si>
    <t>Neptuniibacter sp.</t>
  </si>
  <si>
    <t>Pseudaeromonas paramecii</t>
  </si>
  <si>
    <t>Aeromonas enteropelogenes</t>
  </si>
  <si>
    <t>Pseudoalteromonas piratica</t>
  </si>
  <si>
    <t>Pseudomonas viridiflava ICMP 13104</t>
  </si>
  <si>
    <t>Shewanella sp. MBTL60-007</t>
  </si>
  <si>
    <t>Pseudoalteromonas rubra</t>
  </si>
  <si>
    <t>Vibrio floridensis</t>
  </si>
  <si>
    <t>Methylophaga thiooxydans</t>
  </si>
  <si>
    <t>Desulfobacula toluolica</t>
  </si>
  <si>
    <t>Marinobacter sp. BGYM27</t>
  </si>
  <si>
    <t>Comamonas thiooxydans</t>
  </si>
  <si>
    <t>Pseudomonas saudiphocaensis</t>
  </si>
  <si>
    <t>Aeromonas sobria</t>
  </si>
  <si>
    <t>Parashewanella curva</t>
  </si>
  <si>
    <t>Stutzerimonas degradans</t>
  </si>
  <si>
    <t>Agaribacter marinus</t>
  </si>
  <si>
    <t>Pseudomonas sp. AA27</t>
  </si>
  <si>
    <t>Comamonas sp. PE63</t>
  </si>
  <si>
    <t>Pseudomonas sp. V104_10</t>
  </si>
  <si>
    <t>Pseudomonas glycinae</t>
  </si>
  <si>
    <t>Stutzerimonas balearica</t>
  </si>
  <si>
    <t>Pseudomonas sp. R2-60-08W</t>
  </si>
  <si>
    <t>Pseudomonas</t>
  </si>
  <si>
    <t>Shewanella</t>
  </si>
  <si>
    <t>Pseudomonas fildesensis</t>
  </si>
  <si>
    <t>Pseudomonas paraveronii</t>
  </si>
  <si>
    <t>Vibrio parahaemolyticus 1911C</t>
  </si>
  <si>
    <t>Cycloclasticus sp. 46_83_sub15_T18</t>
  </si>
  <si>
    <t>Pseudomonas linyingensis</t>
  </si>
  <si>
    <t>Pseudomonas sp. KU26590</t>
  </si>
  <si>
    <t>Thalassotalea loyana</t>
  </si>
  <si>
    <t>Pseudomonas reactans</t>
  </si>
  <si>
    <t>Pseudomonas sp. PvP007</t>
  </si>
  <si>
    <t>Pseudomonas sp. 21LCFQ02</t>
  </si>
  <si>
    <t>Hydrogenophaga sp.</t>
  </si>
  <si>
    <t>Pseudomonas amygdali</t>
  </si>
  <si>
    <t>Pseudomonas tohonis</t>
  </si>
  <si>
    <t>Pseudomonas khazarica</t>
  </si>
  <si>
    <t>Vibrio parahaemolyticus O4:K55 str. NY3547</t>
  </si>
  <si>
    <t>Vibrio stylophorae</t>
  </si>
  <si>
    <t>Halomonas sp. CKK8</t>
  </si>
  <si>
    <t>Pseudomonas sp. zfem005</t>
  </si>
  <si>
    <t>Pseudomonas sp. MOB-449</t>
  </si>
  <si>
    <t>Oceanimonas sp. MB9</t>
  </si>
  <si>
    <t>Pseudomonas capsici</t>
  </si>
  <si>
    <t>Gallaecimonas pentaromativorans</t>
  </si>
  <si>
    <t>Marinobacterium mangrovicola</t>
  </si>
  <si>
    <t>Vibrio parahaemolyticus M0605</t>
  </si>
  <si>
    <t>Pseudomonas sp. SXM-1</t>
  </si>
  <si>
    <t>Acinetobacter sp. RIT698</t>
  </si>
  <si>
    <t>unclassified Acinetobacter</t>
  </si>
  <si>
    <t>Acinetobacter amyesii</t>
  </si>
  <si>
    <t>Oxalobacteraceae bacterium</t>
  </si>
  <si>
    <t>Vibrio tubiashii</t>
  </si>
  <si>
    <t>Acinetobacter sp. YH12145</t>
  </si>
  <si>
    <t>Idiomarinaceae bacterium</t>
  </si>
  <si>
    <t>Vibrio toranzoniae</t>
  </si>
  <si>
    <t>Pseudomonas sp. USHLN015</t>
  </si>
  <si>
    <t>Acinetobacter colistiniresistens</t>
  </si>
  <si>
    <t>Acinetobacter bereziniae</t>
  </si>
  <si>
    <t>Vibrio gigantis</t>
  </si>
  <si>
    <t>Acinetobacter sp. ANC 3832</t>
  </si>
  <si>
    <t>Acinetobacter ursingii</t>
  </si>
  <si>
    <t>Pseudomonas sp. WS 5019</t>
  </si>
  <si>
    <t>Alcanivorax sp. HI0003</t>
  </si>
  <si>
    <t>Pseudomonas sp. CC6-YY-74</t>
  </si>
  <si>
    <t>Jeongeupia sp. HS-3</t>
  </si>
  <si>
    <t>Pseudomonas sp. RIT411</t>
  </si>
  <si>
    <t>Pseudomonas sp. PDM19</t>
  </si>
  <si>
    <t>Aeromonas</t>
  </si>
  <si>
    <t>Azonexus sp.</t>
  </si>
  <si>
    <t>Acc. Len</t>
  </si>
  <si>
    <t>Pseudomonas chlororaphis</t>
  </si>
  <si>
    <t>Pseudomonas brassicacearum</t>
  </si>
  <si>
    <t>Pseudomonas simiae</t>
  </si>
  <si>
    <t>Pseudomonas sp. PDM09</t>
  </si>
  <si>
    <t>Xanthomonas campestris</t>
  </si>
  <si>
    <t>Xanthomonas arboricola</t>
  </si>
  <si>
    <t>Pseudomonas koreensis</t>
  </si>
  <si>
    <t>Pseudomonas sp. Ps21-P2</t>
  </si>
  <si>
    <t>Pseudomonas graminis</t>
  </si>
  <si>
    <t>Pseudomonas viridiflava</t>
  </si>
  <si>
    <t>Stenotrophomonas</t>
  </si>
  <si>
    <t>Stenotrophomonas sp.</t>
  </si>
  <si>
    <t>Pseudomonas syringae group genomosp. 3</t>
  </si>
  <si>
    <t>Pseudomonas syringae group</t>
  </si>
  <si>
    <t>Pseudomonas amygdali pv. morsprunorum</t>
  </si>
  <si>
    <t>Desulfobulbaceae bacterium</t>
  </si>
  <si>
    <t>VP1796</t>
  </si>
  <si>
    <t>&gt;WP_005477844.1 hypothetical protein [Vibrio parahaemolyticus]</t>
  </si>
  <si>
    <t>MNLPKKELVVYNKARNFLLANTPDEVTDEILDSYLSLPEPSYKCLSINELYKRLLFSAQNANMKTGVIGGSIGGVEKLSSVLFDFDPEQTFLRYQGNAEKLLDEIVLNLKPKGKIRRTPRSLWPKYCETIISASEFLRQFSDSQEFFEWAESFHRDKKSLAALPMLIDAEVQGVGFPLACDFLKELGFTNYGKPDVHIIEIFEASGLVAKGATNYQILKAISRIADSTGFSSYNVDKLFWLIGSGYFYNHPGIGNKGRVGKMKEAFITSLESENA</t>
  </si>
  <si>
    <t>VP1853</t>
  </si>
  <si>
    <t>VP1851</t>
  </si>
  <si>
    <t>Calditrichota bacterium</t>
  </si>
  <si>
    <t>Candidatus Thiothrix anitrata</t>
  </si>
  <si>
    <t>Alcaligenes faecalis</t>
  </si>
  <si>
    <t>Sulfurimonas sp. GWF2_37_8</t>
  </si>
  <si>
    <t>Paraburkholderia ferrariae</t>
  </si>
  <si>
    <t>Methylovulum miyakonense</t>
  </si>
  <si>
    <t>Burkholderia stagnalis</t>
  </si>
  <si>
    <t>Microbulbifer thermotolerans</t>
  </si>
  <si>
    <t>Alteromonas lipolytica</t>
  </si>
  <si>
    <t>Desulfovibrio desulfuricans</t>
  </si>
  <si>
    <t>Pontiella sulfatireligans</t>
  </si>
  <si>
    <t>Blastocatellia bacterium</t>
  </si>
  <si>
    <t>delta proteobacterium ML8_D</t>
  </si>
  <si>
    <t>Syntrophales bacterium LBB04</t>
  </si>
  <si>
    <t>Methanothrix sp.</t>
  </si>
  <si>
    <t>Methanosaeta sp. PtaU1.Bin112</t>
  </si>
  <si>
    <t>Methanosarcinaceae archaeon</t>
  </si>
  <si>
    <t>Methanothrix soehngenii</t>
  </si>
  <si>
    <t>Fibrobacter sp.</t>
  </si>
  <si>
    <t>Candidatus Desulfaltia sp.</t>
  </si>
  <si>
    <t>Thermodesulfobacteriota bacterium</t>
  </si>
  <si>
    <t>Sedimentisphaerales bacterium</t>
  </si>
  <si>
    <t>Rubrobacter sp.</t>
  </si>
  <si>
    <t>Candidatus Nealsonbacteria bacterium</t>
  </si>
  <si>
    <t>unclassified Methylomonas</t>
  </si>
  <si>
    <t>Rubrivivax sp.</t>
  </si>
  <si>
    <t>Ottowia sp.</t>
  </si>
  <si>
    <t>Chloroflexia bacterium</t>
  </si>
  <si>
    <t>Rubrobacteraceae bacterium</t>
  </si>
  <si>
    <t>Actinomycetota bacterium</t>
  </si>
  <si>
    <t>Psychroserpens burtonensis</t>
  </si>
  <si>
    <t>Lentisphaerota bacterium</t>
  </si>
  <si>
    <t>Terriglobia bacterium</t>
  </si>
  <si>
    <t>Desulfobacteraceae bacterium 4572_187</t>
  </si>
  <si>
    <t>Marinifilum fragile</t>
  </si>
  <si>
    <t>Luteibaculum oceani</t>
  </si>
  <si>
    <t>Flavobacterium fluviale</t>
  </si>
  <si>
    <t>Phycisphaerae bacterium</t>
  </si>
  <si>
    <t>Autumnicola patrickiae</t>
  </si>
  <si>
    <t>Gillisia sp. JM1</t>
  </si>
  <si>
    <t>Flavobacterium cellulosilyticum</t>
  </si>
  <si>
    <t>Flavobacterium saccharophilum</t>
  </si>
  <si>
    <t>Wielerella bovis</t>
  </si>
  <si>
    <t>Flavobacterium sp. XN-5</t>
  </si>
  <si>
    <t>Hydrogenimonas cancrithermarum</t>
  </si>
  <si>
    <t>Pseudomonas syringae pv. actinidiae</t>
  </si>
  <si>
    <t>Halopseudomonas</t>
  </si>
  <si>
    <t>Syntrophus sp. GWC2_56_31</t>
  </si>
  <si>
    <t>Colwellia sp. PAMC 21821</t>
  </si>
  <si>
    <t>Pseudomonas sp. FeN3W</t>
  </si>
  <si>
    <t>Photobacterium angustum</t>
  </si>
  <si>
    <t>Candidatus Nanoarchaeia archaeon</t>
  </si>
  <si>
    <t>Dongia rigui</t>
  </si>
  <si>
    <t>Nitrososphaera sp.</t>
  </si>
  <si>
    <t>Candidatus Bathyarchaeota archaeon</t>
  </si>
  <si>
    <t>Methanobacterium sp.</t>
  </si>
  <si>
    <t>Cyclobacteriaceae bacterium</t>
  </si>
  <si>
    <t>Saprospiraceae bacterium</t>
  </si>
  <si>
    <t>Pseudomonas sp. B21-028</t>
  </si>
  <si>
    <t>Dehalococcoidia bacterium</t>
  </si>
  <si>
    <t>Candidatus Atribacteria bacterium</t>
  </si>
  <si>
    <t>Clostridium ljungdahlii</t>
  </si>
  <si>
    <t>Niveibacterium sp. SC-1</t>
  </si>
  <si>
    <t>Candidatus Altiarchaeales archaeon ex4484_43</t>
  </si>
  <si>
    <t>archaeon GW2011_AR13</t>
  </si>
  <si>
    <t>Sulfurimonas autotrophica</t>
  </si>
  <si>
    <t>Methanosarcinales archaeon</t>
  </si>
  <si>
    <t>Methyloprofundus sp.</t>
  </si>
  <si>
    <t>Candidatus Argoarchaeum ethanivorans</t>
  </si>
  <si>
    <t>Candidatus Gracilibacteria bacterium</t>
  </si>
  <si>
    <t>Lachnospiraceae bacterium NE2001</t>
  </si>
  <si>
    <t>Limnobacter sp.</t>
  </si>
  <si>
    <t>Candidatus Brocadia sp. WS118</t>
  </si>
  <si>
    <t>Variovorax paradoxus</t>
  </si>
  <si>
    <t>Parcubacteria group bacterium GW2011_GWA2_47_16</t>
  </si>
  <si>
    <t>Olavius sp. associated proteobacterium Delta 1</t>
  </si>
  <si>
    <t>Candidatus Falkowbacteria bacterium</t>
  </si>
  <si>
    <t>Euryarchaeota archaeon</t>
  </si>
  <si>
    <t>Desulfatibacillum alkenivorans</t>
  </si>
  <si>
    <t>Shumkonia mesophila</t>
  </si>
  <si>
    <t>Methanosarcina mazei</t>
  </si>
  <si>
    <t>Ruminococcus bromii</t>
  </si>
  <si>
    <t>Butyrivibrio sp. X503</t>
  </si>
  <si>
    <t>Pelolinea sp.</t>
  </si>
  <si>
    <t>Candidatus Gugararchaeum adminiculabundum</t>
  </si>
  <si>
    <t>Desulfobacterales bacterium</t>
  </si>
  <si>
    <t>Peptococcaceae bacterium</t>
  </si>
  <si>
    <t>Acutalibacteraceae bacterium</t>
  </si>
  <si>
    <t>Candidatus Niyogibacteria bacterium</t>
  </si>
  <si>
    <t>Clostridium sp. OF09-36</t>
  </si>
  <si>
    <t>Candidatus Firestonebacteria bacterium RIFOXYD2_FULL_39_29</t>
  </si>
  <si>
    <t>Acidaminococcaceae bacterium</t>
  </si>
  <si>
    <t>Butyrivibrio sp. AC2005</t>
  </si>
  <si>
    <t>Parasutterella secunda</t>
  </si>
  <si>
    <t>Pseudobutyrivibrio ruminis</t>
  </si>
  <si>
    <t>Rhodobacter sp. SGA-6-6</t>
  </si>
  <si>
    <t>uncultured Butyrivibrio sp.</t>
  </si>
  <si>
    <t>Fibrobacter sp. UWCM</t>
  </si>
  <si>
    <t>Azospirillum sp.</t>
  </si>
  <si>
    <t>Collinsella intestinalis</t>
  </si>
  <si>
    <t>Fibrobacter sp. UBA4297</t>
  </si>
  <si>
    <t>Fibrobacter sp. UWB2</t>
  </si>
  <si>
    <t>Tenericutes bacterium ADurb.BinA124</t>
  </si>
  <si>
    <t>Ruminococcus sp. XPD3002</t>
  </si>
  <si>
    <t>Candidatus Lokiarchaeia archaeon</t>
  </si>
  <si>
    <t>Ruminococcus flavefaciens</t>
  </si>
  <si>
    <t>uncultured Ruminococcus sp.</t>
  </si>
  <si>
    <t>Ruminococcus</t>
  </si>
  <si>
    <t>Aggregatilineales bacterium</t>
  </si>
  <si>
    <t>Saezia sanguinis</t>
  </si>
  <si>
    <t>Ruminococcus albus</t>
  </si>
  <si>
    <t>Acholeplasmataceae bacterium</t>
  </si>
  <si>
    <t>Prolixibacteraceae bacterium</t>
  </si>
  <si>
    <t>Fastidiosipila sp.</t>
  </si>
  <si>
    <t>Desulfuromonas sp. KJ2020</t>
  </si>
  <si>
    <t>Firmicutes bacterium ADurb.BinA205</t>
  </si>
  <si>
    <t>Phototrophicales bacterium</t>
  </si>
  <si>
    <t>Thermophilibacter provencensis</t>
  </si>
  <si>
    <t>Candidatus Odinarchaeota archaeon</t>
  </si>
  <si>
    <t>Candidatus Baldrarchaeota archaeon</t>
  </si>
  <si>
    <t>Pseudidiomarina terrestris</t>
  </si>
  <si>
    <t>Acetobacter fallax</t>
  </si>
  <si>
    <t>Pseudidiomarina insulisalsae</t>
  </si>
  <si>
    <t>Geomobilimonas luticola</t>
  </si>
  <si>
    <t>Candidatus Aenigmarchaeota archaeon ex4484_52</t>
  </si>
  <si>
    <t>Ruminococcus sp. NK3A76</t>
  </si>
  <si>
    <t>Desulfatitalea tepidiphila</t>
  </si>
  <si>
    <t>Eubacterium uniforme</t>
  </si>
  <si>
    <t>uncultured Eubacterium sp.</t>
  </si>
  <si>
    <t>Candidatus Aenigmatarchaeota archaeon</t>
  </si>
  <si>
    <t>Spirochaetaceae bacterium</t>
  </si>
  <si>
    <t>WP_257878370.1</t>
  </si>
  <si>
    <t>WP_005477844.1</t>
  </si>
  <si>
    <t>ARC19842.1</t>
  </si>
  <si>
    <t>HCE2123047.1</t>
  </si>
  <si>
    <t>WP_029802999.1</t>
  </si>
  <si>
    <t>WP_069505144.1</t>
  </si>
  <si>
    <t>TOA10977.1</t>
  </si>
  <si>
    <t>WP_229651713.1</t>
  </si>
  <si>
    <t>WP_180911986.1</t>
  </si>
  <si>
    <t>TOP65625.1</t>
  </si>
  <si>
    <t>MCF9158099.1</t>
  </si>
  <si>
    <t>EJL6633776.1</t>
  </si>
  <si>
    <t>EGQ9892862.1</t>
  </si>
  <si>
    <t>&gt;WP_005483174.1 MULTISPECIES: EcsC family protein [Vibrio harveyi group]</t>
  </si>
  <si>
    <t>MSQELTENKIMQALDWAYDKAINGVAGLDSAQELALSYMKESSDPISQANSLIRWQNTKAGTSGFLTGLGGLITMPVTLPANITSVMYVQIRMIAAIAHMGGHDLKDDRVKAMVYACLTGNAAKDILKDIGIVVGRKLTENAIKSISGKTITKINQAVGFRLLTKFGEKGAINLGKAIPLVGGIVGATFDSVTTNTIGNMARDTFIALPEFA</t>
  </si>
  <si>
    <t>Acidovorax sp. HDW3</t>
  </si>
  <si>
    <t>Perlucidibaca piscinae</t>
  </si>
  <si>
    <t>Alishewanella agri</t>
  </si>
  <si>
    <t>Pseudomonas sp. 8Z</t>
  </si>
  <si>
    <t>unclassified Methylophilus</t>
  </si>
  <si>
    <t>Azotobacter chroococcum</t>
  </si>
  <si>
    <t>Azotobacter chroococcum subsp. isscasi</t>
  </si>
  <si>
    <t>Halopseudomonas sp.</t>
  </si>
  <si>
    <t>Endozoicomonas sp. 4G</t>
  </si>
  <si>
    <t>Aeromonas genomosp. paramedia</t>
  </si>
  <si>
    <t>Duganella sp. 1224</t>
  </si>
  <si>
    <t>Pseudoalteromonas sp. SR41-4</t>
  </si>
  <si>
    <t>Thermomonas mangrovi</t>
  </si>
  <si>
    <t>Photobacterium toruni</t>
  </si>
  <si>
    <t>Duganella aquatilis</t>
  </si>
  <si>
    <t>Halomonas sp. Ps84H-12</t>
  </si>
  <si>
    <t>Pseudoalteromonas arctica</t>
  </si>
  <si>
    <t>Pseudoalteromonas</t>
  </si>
  <si>
    <t>Paenalcaligenes faecalis</t>
  </si>
  <si>
    <t>Pseudoalteromonadaceae bacterium</t>
  </si>
  <si>
    <t>Pseudoalteromonas sp. HM-SA03</t>
  </si>
  <si>
    <t>Telluria sp.</t>
  </si>
  <si>
    <t>Alcaligenaceae bacterium</t>
  </si>
  <si>
    <t>Acinetobacter gerneri</t>
  </si>
  <si>
    <t>Pseudoalteromonas sp. SG44-17</t>
  </si>
  <si>
    <t>Methylococcales bacterium</t>
  </si>
  <si>
    <t>Acinetobacter sp. XS-4</t>
  </si>
  <si>
    <t>Acinetobacter sp. Leaf130</t>
  </si>
  <si>
    <t>Acinetobacter sp. 11367</t>
  </si>
  <si>
    <t>Acinetobacter calcoaceticus/baumannii complex</t>
  </si>
  <si>
    <t>Luteimonas sp.</t>
  </si>
  <si>
    <t>Acinetobacter wuhouensis</t>
  </si>
  <si>
    <t>Pseudoalteromonas sp. 1CM17D</t>
  </si>
  <si>
    <t>Photobacterium damselae subsp. damselae</t>
  </si>
  <si>
    <t>Acinetobacter parvus</t>
  </si>
  <si>
    <t>Acinetobacter lactucae</t>
  </si>
  <si>
    <t>Massilia sp.</t>
  </si>
  <si>
    <t>Agitococcus sp.</t>
  </si>
  <si>
    <t>Acinetobacter defluvii</t>
  </si>
  <si>
    <t>Tenacibaculum maritimum</t>
  </si>
  <si>
    <t>Massilia sp. IC2-278</t>
  </si>
  <si>
    <t>Acinetobacter modestus</t>
  </si>
  <si>
    <t>Carboxylicivirga sp.</t>
  </si>
  <si>
    <t>Cellulophaga sp. 20_2_10</t>
  </si>
  <si>
    <t>Paraburkholderia agricolaris</t>
  </si>
  <si>
    <t>Pseudomonas trivialis</t>
  </si>
  <si>
    <t>Pectobacterium carotovorum subsp. carotovorum</t>
  </si>
  <si>
    <t>Enterobacter ludwigii</t>
  </si>
  <si>
    <t>Aeromonas sanarellii</t>
  </si>
  <si>
    <t>Pseudoduganella rivuli</t>
  </si>
  <si>
    <t>Crenobacter caeni</t>
  </si>
  <si>
    <t>Gillisia sp. Hel_I_29</t>
  </si>
  <si>
    <t>Pseudomonas sp. Sample_11</t>
  </si>
  <si>
    <t>SAR324 cluster bacterium</t>
  </si>
  <si>
    <t>Yersinia enterocolitica</t>
  </si>
  <si>
    <t>Citrobacter amalonaticus</t>
  </si>
  <si>
    <t>Enterobacterales</t>
  </si>
  <si>
    <t>Citrobacter sp. Cpo071</t>
  </si>
  <si>
    <t>Enterobacter asburiae</t>
  </si>
  <si>
    <t>Enterobacter bugandensis</t>
  </si>
  <si>
    <t>Pectobacterium brasiliense</t>
  </si>
  <si>
    <t>Pseudomonas arsenicoxydans</t>
  </si>
  <si>
    <t>unclassified Caballeronia</t>
  </si>
  <si>
    <t>Klebsiella aerogenes</t>
  </si>
  <si>
    <t>Arcobacter sp.</t>
  </si>
  <si>
    <t>Tolumonas lignilytica</t>
  </si>
  <si>
    <t>Pectobacterium</t>
  </si>
  <si>
    <t>Brenneria sp. g21c3</t>
  </si>
  <si>
    <t>unclassified Janthinobacterium</t>
  </si>
  <si>
    <t>Pseudomonas moraviensis</t>
  </si>
  <si>
    <t>Pseudomonas sp. FW305-3-2-15-E-TSA4</t>
  </si>
  <si>
    <t>Pseudomonas amygdali pv. mori str. 301020</t>
  </si>
  <si>
    <t>Pectobacterium colocasium</t>
  </si>
  <si>
    <t>Pseudomonas sp. PICF6</t>
  </si>
  <si>
    <t>Pseudomonas sp. QC2</t>
  </si>
  <si>
    <t>Pseudomonas sp. FP1742</t>
  </si>
  <si>
    <t>Neobacillus drentensis</t>
  </si>
  <si>
    <t>Pseudomonas sp. 382</t>
  </si>
  <si>
    <t>unclassified Sphingomonas</t>
  </si>
  <si>
    <t>Pseudomonas nunensis</t>
  </si>
  <si>
    <t>Pseudomonas sp. GM84</t>
  </si>
  <si>
    <t>Desulfosporosinus sp. BRH_c37</t>
  </si>
  <si>
    <t>Sulfurovaceae bacterium</t>
  </si>
  <si>
    <t>Bacteroidetes bacterium HGW-Bacteroidetes-3</t>
  </si>
  <si>
    <t>Flavobacterium sp. CECT 9288</t>
  </si>
  <si>
    <t>Burkholderia lata</t>
  </si>
  <si>
    <t>Budvicia aquatica</t>
  </si>
  <si>
    <t>Pandoraea sp. PE-S2R-1</t>
  </si>
  <si>
    <t>unclassified Enterobacter</t>
  </si>
  <si>
    <t>Christiangramia portivictoriae</t>
  </si>
  <si>
    <t>Pseudomonas fragi</t>
  </si>
  <si>
    <t>Pseudomonas luteola</t>
  </si>
  <si>
    <t>Desulfosporosinus youngiae</t>
  </si>
  <si>
    <t>Burkholderia contaminans</t>
  </si>
  <si>
    <t>Flammeovirga sp. SubArs3</t>
  </si>
  <si>
    <t>Robbsia betulipollinis</t>
  </si>
  <si>
    <t>Azospirillum melinis</t>
  </si>
  <si>
    <t>Campylobacterales bacterium</t>
  </si>
  <si>
    <t>Brevibacillus brevis</t>
  </si>
  <si>
    <t>Pseudomonas syringae pv. syringae B728a</t>
  </si>
  <si>
    <t>Pseudomonas syringae UMAF0158</t>
  </si>
  <si>
    <t>Pseudomonas parasichuanensis</t>
  </si>
  <si>
    <t>Allochromatium vinosum</t>
  </si>
  <si>
    <t>Variovorax paradoxus EPS</t>
  </si>
  <si>
    <t>Chania multitudinisentens</t>
  </si>
  <si>
    <t>Achromobacter animicus</t>
  </si>
  <si>
    <t>Burkholderia pyrrocinia</t>
  </si>
  <si>
    <t>Flammeovirga yaeyamensis</t>
  </si>
  <si>
    <t>Serratia marcescens</t>
  </si>
  <si>
    <t>Campylobacterota bacterium</t>
  </si>
  <si>
    <t>Burkholderia sp.</t>
  </si>
  <si>
    <t>Acinetobacter cumulans</t>
  </si>
  <si>
    <t>Serratia sp. ASV30</t>
  </si>
  <si>
    <t>Flammeovirga sp. MY04</t>
  </si>
  <si>
    <t>Paenibacillus polymyxa</t>
  </si>
  <si>
    <t>Enterobacterales bacterium 8AC</t>
  </si>
  <si>
    <t>Flavobacterium sp. IB48</t>
  </si>
  <si>
    <t>Sutcliffiella horikoshii</t>
  </si>
  <si>
    <t>Alcaligenes</t>
  </si>
  <si>
    <t>Atlantibacter hermannii</t>
  </si>
  <si>
    <t>Acinetobacter sp. 256-1</t>
  </si>
  <si>
    <t>Pseudomonas sp. CHM02</t>
  </si>
  <si>
    <t>Pseudomonas asuensis</t>
  </si>
  <si>
    <t>Pseudomonas sp. SID14000</t>
  </si>
  <si>
    <t>Myxococcota bacterium</t>
  </si>
  <si>
    <t>Edaphovirga cremea</t>
  </si>
  <si>
    <t>Alcaligenes phenolicus</t>
  </si>
  <si>
    <t>Flavobacterium sp. SLB02</t>
  </si>
  <si>
    <t>Pseudomonas protegens</t>
  </si>
  <si>
    <t>Pseudomonas sp. ABAC61</t>
  </si>
  <si>
    <t>Pseudomonas sp. 15A4</t>
  </si>
  <si>
    <t>Alcaligenes faecalis subsp. faecalis</t>
  </si>
  <si>
    <t>Serratia proteamaculans</t>
  </si>
  <si>
    <t>Sutcliffiella cohnii</t>
  </si>
  <si>
    <t>Herbaspirillum aquaticum</t>
  </si>
  <si>
    <t>Pantoea ananatis</t>
  </si>
  <si>
    <t>Pantoea sp. S61</t>
  </si>
  <si>
    <t>Serratia liquefaciens</t>
  </si>
  <si>
    <t>Dyella sp.</t>
  </si>
  <si>
    <t>Vibrio breoganii</t>
  </si>
  <si>
    <t>Bacillus sp. JJ1122</t>
  </si>
  <si>
    <t>Paenibacillus sp. ATY16</t>
  </si>
  <si>
    <t>Cytobacillus firmus</t>
  </si>
  <si>
    <t>Bacillus sp. MRMR6</t>
  </si>
  <si>
    <t>Metabacillus indicus</t>
  </si>
  <si>
    <t>Pseudescherichia vulneris</t>
  </si>
  <si>
    <t>Pantoea leporis</t>
  </si>
  <si>
    <t>Enterobacter sp. ENT03</t>
  </si>
  <si>
    <t>Rahnella inusitata</t>
  </si>
  <si>
    <t>Allochromatium tepidum</t>
  </si>
  <si>
    <t>unclassified Sulfurimonas</t>
  </si>
  <si>
    <t>Leclercia sp.</t>
  </si>
  <si>
    <t>Cytobacillus</t>
  </si>
  <si>
    <t>Bacillus sp. JJ1764</t>
  </si>
  <si>
    <t>Cytobacillus sp. FSL W8-0315</t>
  </si>
  <si>
    <t>Paenibacillus cremeus</t>
  </si>
  <si>
    <t>Pradoshia sp. D12</t>
  </si>
  <si>
    <t>Bacillus sp. RO2</t>
  </si>
  <si>
    <t>Pectobacterium polaris</t>
  </si>
  <si>
    <t>Bacillus tianshenii</t>
  </si>
  <si>
    <t>Pantoea</t>
  </si>
  <si>
    <t>Rahnella sikkimica</t>
  </si>
  <si>
    <t>Serratia</t>
  </si>
  <si>
    <t>Raoultella terrigena</t>
  </si>
  <si>
    <t>Bacillus sp. BHET2</t>
  </si>
  <si>
    <t>Mesobacillus selenatarsenatis</t>
  </si>
  <si>
    <t>Neobacillus rhizosphaerae</t>
  </si>
  <si>
    <t>Pantoea agglomerans</t>
  </si>
  <si>
    <t>Enterobacter</t>
  </si>
  <si>
    <t>Niallia sp. Man26</t>
  </si>
  <si>
    <t>Rosenbergiella nectarea</t>
  </si>
  <si>
    <t>Pluralibacter gergoviae</t>
  </si>
  <si>
    <t>Pseudomonas cichorii</t>
  </si>
  <si>
    <t>Pantoea stewartii</t>
  </si>
  <si>
    <t>unclassified Gilliamella</t>
  </si>
  <si>
    <t>Terribacillus saccharophilus</t>
  </si>
  <si>
    <t>Fredinandcohnia onubensis</t>
  </si>
  <si>
    <t>Dickeya dadantii</t>
  </si>
  <si>
    <t>Pantoea brenneri</t>
  </si>
  <si>
    <t>Phytobacter diazotrophicus</t>
  </si>
  <si>
    <t>Metabacillus litoralis</t>
  </si>
  <si>
    <t>Bacillaceae</t>
  </si>
  <si>
    <t>Nonlabens dokdonensis</t>
  </si>
  <si>
    <t>Pantoea sp. 18059</t>
  </si>
  <si>
    <t>Neobacillus vireti</t>
  </si>
  <si>
    <t>unclassified Stenotrophomonas</t>
  </si>
  <si>
    <t>Stenotrophomonas sp. CFBP 13725</t>
  </si>
  <si>
    <t>Salmonella enterica subsp. enterica serovar Anatum</t>
  </si>
  <si>
    <t>Salmonella enterica subsp. enterica serovar Senftenberg</t>
  </si>
  <si>
    <t>Citrobacter sp. Cpo100</t>
  </si>
  <si>
    <t>Mesobacillus zeae</t>
  </si>
  <si>
    <t>Bacillus sp. FJAT-27986</t>
  </si>
  <si>
    <t>Ramlibacter sp.</t>
  </si>
  <si>
    <t>Neobacillus bataviensis</t>
  </si>
  <si>
    <t>Pectobacterium carotovorum</t>
  </si>
  <si>
    <t>Pectobacterium zantedeschiae</t>
  </si>
  <si>
    <t>Stenotrophomonas rhizophila</t>
  </si>
  <si>
    <t>Pantoea sp. CCBC3-3-1</t>
  </si>
  <si>
    <t>Paenibacillus sp. BSR1-1</t>
  </si>
  <si>
    <t>Bacillus sp. MMSF_3328</t>
  </si>
  <si>
    <t>Dickeya chrysanthemi</t>
  </si>
  <si>
    <t>Dickeya sp. ws52</t>
  </si>
  <si>
    <t>Citrobacter sp. Cy082</t>
  </si>
  <si>
    <t>Vreelandella massiliensis</t>
  </si>
  <si>
    <t>Bacillus infantis</t>
  </si>
  <si>
    <t>Neobacillus sp. CF12</t>
  </si>
  <si>
    <t>Stenotrophomonas sp. S39</t>
  </si>
  <si>
    <t>Paenibacillus phyllosphaerae</t>
  </si>
  <si>
    <t>Geobacter sp.</t>
  </si>
  <si>
    <t>Rossellomorea aquimaris</t>
  </si>
  <si>
    <t>Stenotrophomonas sp. ZAC14D1_NAIMI4_6</t>
  </si>
  <si>
    <t>Robertmurraya kyonggiensis</t>
  </si>
  <si>
    <t>Bacteroides caecimuris</t>
  </si>
  <si>
    <t>Smithellaceae bacterium</t>
  </si>
  <si>
    <t>unclassified Pasteurella</t>
  </si>
  <si>
    <t>Pectobacterium peruviense</t>
  </si>
  <si>
    <t>Stenotrophomonas sp. GD03819</t>
  </si>
  <si>
    <t>Bacillus sp. FJAT-45066</t>
  </si>
  <si>
    <t>Bacillus sp. JJ1566</t>
  </si>
  <si>
    <t>Jeotgalibacillus aurantiacus</t>
  </si>
  <si>
    <t>Halomonas sp. HG01</t>
  </si>
  <si>
    <t>Bacillus cereus group sp. BfR-BA-01424</t>
  </si>
  <si>
    <t>Neobacillus niacini</t>
  </si>
  <si>
    <t>Dickeya fangzhongdai</t>
  </si>
  <si>
    <t>Bacteroidetes bacterium HGW-Bacteroidetes-11</t>
  </si>
  <si>
    <t>Halomonas getboli</t>
  </si>
  <si>
    <t>Halanaerobium saccharolyticum</t>
  </si>
  <si>
    <t>Bacteroidetes bacterium HGW-Bacteroidetes-9</t>
  </si>
  <si>
    <t>Bacillaceae bacterium</t>
  </si>
  <si>
    <t>Bacillus cereus group sp. BfR-BA-01495</t>
  </si>
  <si>
    <t>Bacillus luti</t>
  </si>
  <si>
    <t>Bacillus cereus AH820</t>
  </si>
  <si>
    <t>unclassified Erwinia</t>
  </si>
  <si>
    <t>Bacillus sp. JJ1562</t>
  </si>
  <si>
    <t>Paenibacillus piri</t>
  </si>
  <si>
    <t>Xanthomonas sp. LMG 12459</t>
  </si>
  <si>
    <t>Bacillus sp. ISL-4</t>
  </si>
  <si>
    <t>Sutcliffiella halmapala</t>
  </si>
  <si>
    <t>Snodgrassella sp.</t>
  </si>
  <si>
    <t>Pantoea anthophila</t>
  </si>
  <si>
    <t>Buttiauxella massiliensis</t>
  </si>
  <si>
    <t>Bacillus sp. mrc49</t>
  </si>
  <si>
    <t>Peribacillus deserti</t>
  </si>
  <si>
    <t>Paenibacillus sp. FSL H8-0537</t>
  </si>
  <si>
    <t>Paenibacillus</t>
  </si>
  <si>
    <t>Lentimicrobium sp.</t>
  </si>
  <si>
    <t>&gt;WP_005483178.1 TIGR02391 family protein [Vibrio parahaemolyticus]</t>
  </si>
  <si>
    <t>MAAIKNLDFSIIESICKILGNTETGFTGTEIGKLLYESGIEDIDSANTKWKRLNSALANKQSIDGCSNNILAFLQNAINPARHYDNLEWFNDTRYHLNQVLSFAGFNIGENGKIGTVTKTNTISEAAARAYKLKDQLVSRNVHPDVLKYCKEELVVDNYFHAVFEATKSVADKIRNKTGLTSDGSVLVDEAFSFKHIPHLALNSLVTESEKSEQKGFMNLLKGLFGTFRNTTAHAPKITWSIEEIDALDILSMVSLVHRRLDKATQAKMIYESKI</t>
  </si>
  <si>
    <t>Photobacterium sp. DA100</t>
  </si>
  <si>
    <t>Vibrio mediterranei</t>
  </si>
  <si>
    <t>BD1-7 clade bacterium</t>
  </si>
  <si>
    <t>Shewanella halifaxensis</t>
  </si>
  <si>
    <t>Shewanella marinintestina</t>
  </si>
  <si>
    <t>Vibrio sp. HENC-03</t>
  </si>
  <si>
    <t>Shewanella xiamenensis</t>
  </si>
  <si>
    <t>Vibrio salinus</t>
  </si>
  <si>
    <t>Vibrio metoecus</t>
  </si>
  <si>
    <t>Shewanella algicola</t>
  </si>
  <si>
    <t>Neptunomonas</t>
  </si>
  <si>
    <t>Vibrio cincinnatiensis</t>
  </si>
  <si>
    <t>Candidatus Kentron sp. LFY</t>
  </si>
  <si>
    <t>Halarcobacter anaerophilus</t>
  </si>
  <si>
    <t>Providencia stuartii</t>
  </si>
  <si>
    <t>Thalassotalea euphylliae</t>
  </si>
  <si>
    <t>Providencia sp. PROV174</t>
  </si>
  <si>
    <t>Hydrogenovibrio thermophilus</t>
  </si>
  <si>
    <t>Grimontia hollisae</t>
  </si>
  <si>
    <t>Vibrio sp. CK2-1</t>
  </si>
  <si>
    <t>Candidatus Aminicenantes bacterium</t>
  </si>
  <si>
    <t>Limnohabitans sp. Jir61</t>
  </si>
  <si>
    <t>Shewanella denitrificans</t>
  </si>
  <si>
    <t>Rhodoferax sp.</t>
  </si>
  <si>
    <t>Acinetobacter courvalinii</t>
  </si>
  <si>
    <t>Acinetobacter sp. ANC 4633</t>
  </si>
  <si>
    <t>Shewanella sp. NIFS-20-20</t>
  </si>
  <si>
    <t>Edwardsiella tarda</t>
  </si>
  <si>
    <t>Candidatus Parabeggiatoa sp.</t>
  </si>
  <si>
    <t>Acinetobacter venetianus</t>
  </si>
  <si>
    <t>Acinetobacter sp. Z1</t>
  </si>
  <si>
    <t>Aeromonas finlandensis</t>
  </si>
  <si>
    <t>Acinetobacter schindleri</t>
  </si>
  <si>
    <t>Acinetobacter junii</t>
  </si>
  <si>
    <t>Acinetobacter faecalis</t>
  </si>
  <si>
    <t>Acinetobacter sp. COS3</t>
  </si>
  <si>
    <t>Acinetobacter sp. IRS14</t>
  </si>
  <si>
    <t>Acinetobacter guerrae</t>
  </si>
  <si>
    <t>Acinetobacter terrestris</t>
  </si>
  <si>
    <t>Acinetobacter sp. WCHA39</t>
  </si>
  <si>
    <t>Acinetobacter sp. 809848</t>
  </si>
  <si>
    <t>Acinetobacter sp. Ac_5812</t>
  </si>
  <si>
    <t>Acinetobacter sp. YH16052</t>
  </si>
  <si>
    <t>Acinetobacter chinensis</t>
  </si>
  <si>
    <t>Acinetobacter sp. 11520</t>
  </si>
  <si>
    <t>Nitrosomonas sp.</t>
  </si>
  <si>
    <t>Acinetobacter kookii</t>
  </si>
  <si>
    <t>Acinetobacter sp. BHS4</t>
  </si>
  <si>
    <t>Acinetobacter sp. WU_MDCI_Abxb74</t>
  </si>
  <si>
    <t>Acinetobacter sp. ANC 4177</t>
  </si>
  <si>
    <t>Acinetobacter entericus</t>
  </si>
  <si>
    <t>Acinetobacter sp. CIP 64.7</t>
  </si>
  <si>
    <t>Oceanospirillum multiglobuliferum</t>
  </si>
  <si>
    <t>Acinetobacter sp. YH12233</t>
  </si>
  <si>
    <t>Acinetobacter sp. YH12108</t>
  </si>
  <si>
    <t>Acinetobacter sp. ANC 7201</t>
  </si>
  <si>
    <t>Syntrophomonadaceae bacterium</t>
  </si>
  <si>
    <t>Phaeodactylibacter sp.</t>
  </si>
  <si>
    <t>Polaribacter sp. SA4-10</t>
  </si>
  <si>
    <t>Acidobacteria bacterium AH-259-L09</t>
  </si>
  <si>
    <t>Thermodesulfatator atlanticus</t>
  </si>
  <si>
    <t>Anaerolineae bacterium CG17_big_fil_post_rev_8_21_14_2_50_57_27</t>
  </si>
  <si>
    <t>Granulicella rosea</t>
  </si>
  <si>
    <t>Candidatus Thorarchaeota archaeon</t>
  </si>
  <si>
    <t>Flavobacterium limnosediminis</t>
  </si>
  <si>
    <t>Marinifilaceae bacterium</t>
  </si>
  <si>
    <t>Bellilinea sp.</t>
  </si>
  <si>
    <t>Chloroflexaceae bacterium</t>
  </si>
  <si>
    <t>Marinilabiliales bacterium</t>
  </si>
  <si>
    <t>Thermoflexales bacterium</t>
  </si>
  <si>
    <t>Candidatus Jettenia caeni</t>
  </si>
  <si>
    <t>Thauera aromatica</t>
  </si>
  <si>
    <t>Levilinea saccharolytica</t>
  </si>
  <si>
    <t>Dyadobacter sp. SG02</t>
  </si>
  <si>
    <t>Paludibaculum sp.</t>
  </si>
  <si>
    <t>Halomonas sp. PA5</t>
  </si>
  <si>
    <t>Shewanella sp. ANA-3</t>
  </si>
  <si>
    <t>Flavobacterium hiemivividum</t>
  </si>
  <si>
    <t>Pseudomonas sp. 5Ae-yellow</t>
  </si>
  <si>
    <t>Burkholderia multivorans</t>
  </si>
  <si>
    <t>Pseudomonadota</t>
  </si>
  <si>
    <t>Gammaproteobacteria</t>
  </si>
  <si>
    <t>Thalassospira lucentensis</t>
  </si>
  <si>
    <t>Lysobacter chinensis</t>
  </si>
  <si>
    <t>Burkholderia vietnamiensis</t>
  </si>
  <si>
    <t>Paraburkholderia silvatlantica</t>
  </si>
  <si>
    <t>Pseudomonas sp. RA_35y_Pfl2_P32</t>
  </si>
  <si>
    <t>Paraburkholderia</t>
  </si>
  <si>
    <t>Burkholderia pseudomallei</t>
  </si>
  <si>
    <t>Paraburkholderia gardini</t>
  </si>
  <si>
    <t>Rugamonas rubra</t>
  </si>
  <si>
    <t>uncultured Duganella sp.</t>
  </si>
  <si>
    <t>unclassified Acidovorax</t>
  </si>
  <si>
    <t>Limnochorda pilosa</t>
  </si>
  <si>
    <t>Desulfamplus sp.</t>
  </si>
  <si>
    <t>Pectobacterium aroidearum</t>
  </si>
  <si>
    <t>Thauera chlorobenzoica</t>
  </si>
  <si>
    <t>Zoogloea oryzae</t>
  </si>
  <si>
    <t>Stenotrophomonas sp. 14-69-23</t>
  </si>
  <si>
    <t>Sphingomonadaceae bacterium</t>
  </si>
  <si>
    <t>Luteimonas sp. XNQY3</t>
  </si>
  <si>
    <t>Paraburkholderia hayleyella</t>
  </si>
  <si>
    <t>Citrobacter farmeri</t>
  </si>
  <si>
    <t>Burkholderia cepacia</t>
  </si>
  <si>
    <t>Acidovorax sp.</t>
  </si>
  <si>
    <t>Uliginosibacterium sp.</t>
  </si>
  <si>
    <t>Paraburkholderia tropica</t>
  </si>
  <si>
    <t>Pectobacterium actinidiae</t>
  </si>
  <si>
    <t>Gelidibacter sp. F2691</t>
  </si>
  <si>
    <t>Burkholderiales bacterium 64-34</t>
  </si>
  <si>
    <t>Thiomonas</t>
  </si>
  <si>
    <t>Ralstonia pseudosolanacearum</t>
  </si>
  <si>
    <t>Pseudomonadaceae</t>
  </si>
  <si>
    <t>Acidovorax</t>
  </si>
  <si>
    <t>Comamonadaceae</t>
  </si>
  <si>
    <t>Acidovorax sp. YS12</t>
  </si>
  <si>
    <t>Alcanivorax sp. 24</t>
  </si>
  <si>
    <t>Comamonas sp.</t>
  </si>
  <si>
    <t>unclassified Thiobacillus</t>
  </si>
  <si>
    <t>Delftia tsuruhatensis</t>
  </si>
  <si>
    <t>Burkholderiales</t>
  </si>
  <si>
    <t>Burkholderia sp. BCC1988</t>
  </si>
  <si>
    <t>Dyella sp. M7H15-1</t>
  </si>
  <si>
    <t>Caballeronia ptereochthonis</t>
  </si>
  <si>
    <t>Burkholderia sp. RF4-BP95</t>
  </si>
  <si>
    <t>Betaproteobacteria bacterium</t>
  </si>
  <si>
    <t>Azoarcus sp. DN11</t>
  </si>
  <si>
    <t>Parazoarcus communis</t>
  </si>
  <si>
    <t>Stenotrophomonas sp. UBA7606</t>
  </si>
  <si>
    <t>Aromatoleum toluolicum</t>
  </si>
  <si>
    <t>Burkholderia orbicola</t>
  </si>
  <si>
    <t>Pandoraea iniqua</t>
  </si>
  <si>
    <t>Indibacter alkaliphilus</t>
  </si>
  <si>
    <t>Burkholderia sp. Ac-20344</t>
  </si>
  <si>
    <t>Candidatus Macondimonas sp.</t>
  </si>
  <si>
    <t>Vogesella indigofera</t>
  </si>
  <si>
    <t>Klebsiella michiganensis</t>
  </si>
  <si>
    <t>Klebsiella quasivariicola</t>
  </si>
  <si>
    <t>Candidatus Contendobacter sp.</t>
  </si>
  <si>
    <t>Pseudomonas oleovorans</t>
  </si>
  <si>
    <t>Laribacter hongkongensis</t>
  </si>
  <si>
    <t>Rhodocyclus gracilis</t>
  </si>
  <si>
    <t>Ottowia sp. oral taxon 894</t>
  </si>
  <si>
    <t>Cupriavidus metallidurans</t>
  </si>
  <si>
    <t>Pigmentiphaga litoralis</t>
  </si>
  <si>
    <t>Pseudomonas sp. PS02288</t>
  </si>
  <si>
    <t>Acidovorax benzenivorans</t>
  </si>
  <si>
    <t>Acidovorax sp. NCPPB 4044</t>
  </si>
  <si>
    <t>Lysobacterales bacterium</t>
  </si>
  <si>
    <t>Citrobacter sp. Cf079</t>
  </si>
  <si>
    <t>Sulfuriferula plumbiphila</t>
  </si>
  <si>
    <t>Alicycliphilus denitrificans</t>
  </si>
  <si>
    <t>Desulfobacterota bacterium AH_259_B03_O07</t>
  </si>
  <si>
    <t>Phycisphaerales bacterium</t>
  </si>
  <si>
    <t>Dryocola boscaweniae</t>
  </si>
  <si>
    <t>unclassified Variovorax</t>
  </si>
  <si>
    <t>Klebsiella sp. MPUS7</t>
  </si>
  <si>
    <t>Yersiniaceae</t>
  </si>
  <si>
    <t>Serratia nevei</t>
  </si>
  <si>
    <t>Xanthomonas theicola</t>
  </si>
  <si>
    <t>Achromobacter sp. NFACC18-2</t>
  </si>
  <si>
    <t>Elusimicrobia bacterium RIFCSPLOWO2_12_FULL_59_9</t>
  </si>
  <si>
    <t>Enterobacter hormaechei subsp. xiangfangensis</t>
  </si>
  <si>
    <t>Rheinheimera mesophila</t>
  </si>
  <si>
    <t>Citrobacter sp. Cpo061</t>
  </si>
  <si>
    <t>Shewanella decolorationis</t>
  </si>
  <si>
    <t>WP_005483178.1</t>
  </si>
  <si>
    <t>WP_049875404.1</t>
  </si>
  <si>
    <t>MCF9480495.1</t>
  </si>
  <si>
    <t>WP_161716090.1</t>
  </si>
  <si>
    <t>WP_229650752.1</t>
  </si>
  <si>
    <t>WP_021454732.1</t>
  </si>
  <si>
    <t>WP_281946651.1</t>
  </si>
  <si>
    <t>WP_281515901.1</t>
  </si>
  <si>
    <t>WP_069539491.1</t>
  </si>
  <si>
    <t>WP_140069008.1</t>
  </si>
  <si>
    <t>WP_268809508.1</t>
  </si>
  <si>
    <t>MDG2669424.1</t>
  </si>
  <si>
    <t>MBE3775332.1</t>
  </si>
  <si>
    <t>HCG8575943.1</t>
  </si>
  <si>
    <t>EGQ8118076.1</t>
  </si>
  <si>
    <t>WP_281029029.1</t>
  </si>
  <si>
    <t>WP_171394323.1</t>
  </si>
  <si>
    <t>WP_303517064.1</t>
  </si>
  <si>
    <t>WP_102327510.1</t>
  </si>
  <si>
    <t>WP_094501645.1</t>
  </si>
  <si>
    <t>WP_133415919.1</t>
  </si>
  <si>
    <t>WP_114805990.1</t>
  </si>
  <si>
    <t>WP_108192308.1</t>
  </si>
  <si>
    <t>WP_171327699.1</t>
  </si>
  <si>
    <t>WP_233942832.1</t>
  </si>
  <si>
    <t>WP_342199944.1</t>
  </si>
  <si>
    <t>CAA0094908.1</t>
  </si>
  <si>
    <t>WP_299788413.1</t>
  </si>
  <si>
    <t>WP_108944940.1</t>
  </si>
  <si>
    <t>RLB58840.1</t>
  </si>
  <si>
    <t>WP_248999665.1</t>
  </si>
  <si>
    <t>ELA8137715.1</t>
  </si>
  <si>
    <t>EKM27728.1</t>
  </si>
  <si>
    <t>EKA7366051.1</t>
  </si>
  <si>
    <t>HCE3309664.1</t>
  </si>
  <si>
    <t>WP_256966120.1</t>
  </si>
  <si>
    <t>WP_032801948.1</t>
  </si>
  <si>
    <t>MBY8220682.1</t>
  </si>
  <si>
    <t>WP_258487603.1</t>
  </si>
  <si>
    <t>WP_113629467.1</t>
  </si>
  <si>
    <t>WP_224021276.1</t>
  </si>
  <si>
    <t>WP_242423960.1</t>
  </si>
  <si>
    <t>WP_080537791.1</t>
  </si>
  <si>
    <t>CAH6810997.1</t>
  </si>
  <si>
    <t>EJI1281193.1</t>
  </si>
  <si>
    <t>WP_232768874.1</t>
  </si>
  <si>
    <t>WP_055034332.1</t>
  </si>
  <si>
    <t>EJL6492901.1</t>
  </si>
  <si>
    <t>WP_282111248.1</t>
  </si>
  <si>
    <t>WP_290034391.1</t>
  </si>
  <si>
    <t>WP_158116636.1</t>
  </si>
  <si>
    <t>WP_095459691.1</t>
  </si>
  <si>
    <t>WP_332420348.1</t>
  </si>
  <si>
    <t>WP_305838768.1</t>
  </si>
  <si>
    <t>VFK24570.1</t>
  </si>
  <si>
    <t>WP_044415286.1</t>
  </si>
  <si>
    <t>WP_243033117.1</t>
  </si>
  <si>
    <t>CAK2775518.1</t>
  </si>
  <si>
    <t>WP_045600529.1</t>
  </si>
  <si>
    <t>WP_274004096.1</t>
  </si>
  <si>
    <t>WP_163885495.1</t>
  </si>
  <si>
    <t>WP_260663959.1</t>
  </si>
  <si>
    <t>WP_195569289.1</t>
  </si>
  <si>
    <t>WP_132968513.1</t>
  </si>
  <si>
    <t>WP_123295121.1</t>
  </si>
  <si>
    <t>EGQ9815621.1</t>
  </si>
  <si>
    <t>WP_272573190.1</t>
  </si>
  <si>
    <t>WP_116002321.1</t>
  </si>
  <si>
    <t>WP_140221588.1</t>
  </si>
  <si>
    <t>HAS6741204.1</t>
  </si>
  <si>
    <t>WP_140099219.1</t>
  </si>
  <si>
    <t>WP_188047578.1</t>
  </si>
  <si>
    <t>WP_185891407.1</t>
  </si>
  <si>
    <t>WP_210445628.1</t>
  </si>
  <si>
    <t>CAK2775380.1</t>
  </si>
  <si>
    <t>CAH7053374.1</t>
  </si>
  <si>
    <t>WP_272664771.1</t>
  </si>
  <si>
    <t>CAK2444691.1</t>
  </si>
  <si>
    <t>WP_128384130.1</t>
  </si>
  <si>
    <t>WP_275872713.1</t>
  </si>
  <si>
    <t>WP_237296340.1</t>
  </si>
  <si>
    <t>NIM17035.1</t>
  </si>
  <si>
    <t>NOX36716.1</t>
  </si>
  <si>
    <t>WP_299937171.1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</si>
</sst>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u/>
      <sz val="12"/>
      <color theme="1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ptos Narrow"/>
      <scheme val="minor"/>
    </font>
    <font>
      <b/>
      <sz val="12"/>
      <color rgb="FF000000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Aptos Narrow"/>
      <family val="2"/>
      <scheme val="minor"/>
    </font>
    <font>
      <b/>
      <sz val="14"/>
      <color rgb="FF000000"/>
      <name val="Arial"/>
      <family val="2"/>
    </font>
    <font>
      <b/>
      <sz val="14"/>
      <color rgb="FF000000"/>
      <name val="-webkit-standard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9" fontId="5" fillId="0" borderId="0" xfId="0" applyNumberFormat="1" applyFont="1" applyAlignment="1">
      <alignment horizontal="center"/>
    </xf>
    <xf numFmtId="11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9" fontId="6" fillId="0" borderId="0" xfId="0" applyNumberFormat="1" applyFont="1" applyAlignment="1">
      <alignment horizontal="center"/>
    </xf>
    <xf numFmtId="1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1" applyFont="1"/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5" fillId="0" borderId="0" xfId="1" applyFont="1" applyAlignment="1"/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ncbi.nlm.nih.gov/protein/WP_123295121.1?report=genbank&amp;log$=prottop&amp;blast_rank=162&amp;RID=92EWBNK7013" TargetMode="External"/><Relationship Id="rId21" Type="http://schemas.openxmlformats.org/officeDocument/2006/relationships/hyperlink" Target="https://www.ncbi.nlm.nih.gov/protein/MCF9158313.1?report=genbank&amp;log$=prottop&amp;blast_rank=47&amp;RID=8XPKNVYR013" TargetMode="External"/><Relationship Id="rId42" Type="http://schemas.openxmlformats.org/officeDocument/2006/relationships/hyperlink" Target="https://www.ncbi.nlm.nih.gov/protein/WP_130248722.1?report=genbank&amp;log$=prottop&amp;blast_rank=35&amp;RID=8XPKNVYR013" TargetMode="External"/><Relationship Id="rId63" Type="http://schemas.openxmlformats.org/officeDocument/2006/relationships/hyperlink" Target="https://www.ncbi.nlm.nih.gov/protein/WP_268809508.1?report=genbank&amp;log$=prottop&amp;blast_rank=16&amp;RID=92EWBNK7013" TargetMode="External"/><Relationship Id="rId84" Type="http://schemas.openxmlformats.org/officeDocument/2006/relationships/hyperlink" Target="https://www.ncbi.nlm.nih.gov/protein/ELA8137715.1?report=genbank&amp;log$=prottop&amp;blast_rank=110&amp;RID=92EWBNK7013" TargetMode="External"/><Relationship Id="rId16" Type="http://schemas.openxmlformats.org/officeDocument/2006/relationships/hyperlink" Target="https://www.ncbi.nlm.nih.gov/protein/WP_204157856.1?report=genbank&amp;log$=prottop&amp;blast_rank=16&amp;RID=8XPKNVYR013" TargetMode="External"/><Relationship Id="rId107" Type="http://schemas.openxmlformats.org/officeDocument/2006/relationships/hyperlink" Target="https://www.ncbi.nlm.nih.gov/protein/VFK24570.1?report=genbank&amp;log$=prottop&amp;blast_rank=51&amp;RID=92EWBNK7013" TargetMode="External"/><Relationship Id="rId11" Type="http://schemas.openxmlformats.org/officeDocument/2006/relationships/hyperlink" Target="https://www.ncbi.nlm.nih.gov/protein/MCF9158099.1?report=genbank&amp;log$=prottop&amp;blast_rank=76&amp;RID=92DR1CFD013" TargetMode="External"/><Relationship Id="rId32" Type="http://schemas.openxmlformats.org/officeDocument/2006/relationships/hyperlink" Target="https://www.ncbi.nlm.nih.gov/protein/HAS8570121.1?report=genbank&amp;log$=prottop&amp;blast_rank=27&amp;RID=8XPKNVYR013" TargetMode="External"/><Relationship Id="rId37" Type="http://schemas.openxmlformats.org/officeDocument/2006/relationships/hyperlink" Target="https://www.ncbi.nlm.nih.gov/protein/HCH1532214.1?report=genbank&amp;log$=prottop&amp;blast_rank=34&amp;RID=8XPKNVYR013" TargetMode="External"/><Relationship Id="rId53" Type="http://schemas.openxmlformats.org/officeDocument/2006/relationships/hyperlink" Target="https://www.ncbi.nlm.nih.gov/protein/WP_005483178.1?report=genbank&amp;log$=prottop&amp;blast_rank=7&amp;RID=92EWBNK7013" TargetMode="External"/><Relationship Id="rId58" Type="http://schemas.openxmlformats.org/officeDocument/2006/relationships/hyperlink" Target="https://www.ncbi.nlm.nih.gov/protein/WP_021454732.1?report=genbank&amp;log$=prottop&amp;blast_rank=15&amp;RID=92EWBNK7013" TargetMode="External"/><Relationship Id="rId74" Type="http://schemas.openxmlformats.org/officeDocument/2006/relationships/hyperlink" Target="https://www.ncbi.nlm.nih.gov/protein/WP_114805990.1?report=genbank&amp;log$=prottop&amp;blast_rank=14&amp;RID=92EWBNK7013" TargetMode="External"/><Relationship Id="rId79" Type="http://schemas.openxmlformats.org/officeDocument/2006/relationships/hyperlink" Target="https://www.ncbi.nlm.nih.gov/protein/CAA0094908.1?report=genbank&amp;log$=prottop&amp;blast_rank=30&amp;RID=92EWBNK7013" TargetMode="External"/><Relationship Id="rId102" Type="http://schemas.openxmlformats.org/officeDocument/2006/relationships/hyperlink" Target="https://www.ncbi.nlm.nih.gov/protein/WP_290034391.1?report=genbank&amp;log$=prottop&amp;blast_rank=140&amp;RID=92EWBNK7013" TargetMode="External"/><Relationship Id="rId123" Type="http://schemas.openxmlformats.org/officeDocument/2006/relationships/hyperlink" Target="https://www.ncbi.nlm.nih.gov/protein/WP_140099219.1?report=genbank&amp;log$=prottop&amp;blast_rank=48&amp;RID=92EWBNK7013" TargetMode="External"/><Relationship Id="rId128" Type="http://schemas.openxmlformats.org/officeDocument/2006/relationships/hyperlink" Target="https://www.ncbi.nlm.nih.gov/protein/CAH7053374.1?report=genbank&amp;log$=prottop&amp;blast_rank=52&amp;RID=92EWBNK7013" TargetMode="External"/><Relationship Id="rId5" Type="http://schemas.openxmlformats.org/officeDocument/2006/relationships/hyperlink" Target="https://www.ncbi.nlm.nih.gov/protein/WP_029802999.1?report=genbank&amp;log$=prottop&amp;blast_rank=49&amp;RID=92DR1CFD013" TargetMode="External"/><Relationship Id="rId90" Type="http://schemas.openxmlformats.org/officeDocument/2006/relationships/hyperlink" Target="https://www.ncbi.nlm.nih.gov/protein/MBY8220682.1?report=genbank&amp;log$=prottop&amp;blast_rank=139&amp;RID=92EWBNK7013" TargetMode="External"/><Relationship Id="rId95" Type="http://schemas.openxmlformats.org/officeDocument/2006/relationships/hyperlink" Target="https://www.ncbi.nlm.nih.gov/protein/WP_080537791.1?report=genbank&amp;log$=prottop&amp;blast_rank=116&amp;RID=92EWBNK7013" TargetMode="External"/><Relationship Id="rId22" Type="http://schemas.openxmlformats.org/officeDocument/2006/relationships/hyperlink" Target="https://www.ncbi.nlm.nih.gov/protein/MCF9471220.1?report=genbank&amp;log$=prottop&amp;blast_rank=54&amp;RID=8XPKNVYR013" TargetMode="External"/><Relationship Id="rId27" Type="http://schemas.openxmlformats.org/officeDocument/2006/relationships/hyperlink" Target="https://www.ncbi.nlm.nih.gov/protein/EJG0866341.1?report=genbank&amp;log$=prottop&amp;blast_rank=99&amp;RID=8XPKNVYR013" TargetMode="External"/><Relationship Id="rId43" Type="http://schemas.openxmlformats.org/officeDocument/2006/relationships/hyperlink" Target="https://www.ncbi.nlm.nih.gov/protein/ELA7884001.1?report=genbank&amp;log$=prottop&amp;blast_rank=11&amp;RID=8XPKNVYR013" TargetMode="External"/><Relationship Id="rId48" Type="http://schemas.openxmlformats.org/officeDocument/2006/relationships/hyperlink" Target="https://www.ncbi.nlm.nih.gov/protein/WP_107289414.1?report=genbank&amp;log$=prottop&amp;blast_rank=50&amp;RID=8XPKNVYR013" TargetMode="External"/><Relationship Id="rId64" Type="http://schemas.openxmlformats.org/officeDocument/2006/relationships/hyperlink" Target="https://www.ncbi.nlm.nih.gov/protein/MDG2669424.1?report=genbank&amp;log$=prottop&amp;blast_rank=19&amp;RID=92EWBNK7013" TargetMode="External"/><Relationship Id="rId69" Type="http://schemas.openxmlformats.org/officeDocument/2006/relationships/hyperlink" Target="https://www.ncbi.nlm.nih.gov/protein/WP_171394323.1?report=genbank&amp;log$=prottop&amp;blast_rank=20&amp;RID=92EWBNK7013" TargetMode="External"/><Relationship Id="rId113" Type="http://schemas.openxmlformats.org/officeDocument/2006/relationships/hyperlink" Target="https://www.ncbi.nlm.nih.gov/protein/WP_163885495.1?report=genbank&amp;log$=prottop&amp;blast_rank=75&amp;RID=92EWBNK7013" TargetMode="External"/><Relationship Id="rId118" Type="http://schemas.openxmlformats.org/officeDocument/2006/relationships/hyperlink" Target="https://www.ncbi.nlm.nih.gov/protein/EGQ9815621.1?report=genbank&amp;log$=prottop&amp;blast_rank=34&amp;RID=92EWBNK7013" TargetMode="External"/><Relationship Id="rId134" Type="http://schemas.openxmlformats.org/officeDocument/2006/relationships/hyperlink" Target="https://www.ncbi.nlm.nih.gov/protein/NIM17035.1?report=genbank&amp;log$=prottop&amp;blast_rank=143&amp;RID=92EWBNK7013" TargetMode="External"/><Relationship Id="rId80" Type="http://schemas.openxmlformats.org/officeDocument/2006/relationships/hyperlink" Target="https://www.ncbi.nlm.nih.gov/protein/WP_299788413.1?report=genbank&amp;log$=prottop&amp;blast_rank=47&amp;RID=92EWBNK7013" TargetMode="External"/><Relationship Id="rId85" Type="http://schemas.openxmlformats.org/officeDocument/2006/relationships/hyperlink" Target="https://www.ncbi.nlm.nih.gov/protein/EKM27728.1?report=genbank&amp;log$=prottop&amp;blast_rank=113&amp;RID=92EWBNK7013" TargetMode="External"/><Relationship Id="rId12" Type="http://schemas.openxmlformats.org/officeDocument/2006/relationships/hyperlink" Target="https://www.ncbi.nlm.nih.gov/protein/EJL6633776.1?report=genbank&amp;log$=prottop&amp;blast_rank=12&amp;RID=92DR1CFD013" TargetMode="External"/><Relationship Id="rId17" Type="http://schemas.openxmlformats.org/officeDocument/2006/relationships/hyperlink" Target="https://www.ncbi.nlm.nih.gov/protein/WP_267423107.1?report=genbank&amp;log$=prottop&amp;blast_rank=18&amp;RID=8XPKNVYR013" TargetMode="External"/><Relationship Id="rId33" Type="http://schemas.openxmlformats.org/officeDocument/2006/relationships/hyperlink" Target="https://www.ncbi.nlm.nih.gov/protein/WP_274018949.1?report=genbank&amp;log$=prottop&amp;blast_rank=28&amp;RID=8XPKNVYR013" TargetMode="External"/><Relationship Id="rId38" Type="http://schemas.openxmlformats.org/officeDocument/2006/relationships/hyperlink" Target="https://www.ncbi.nlm.nih.gov/protein/ELJ9746604.1?report=genbank&amp;log$=prottop&amp;blast_rank=32&amp;RID=8XPKNVYR013" TargetMode="External"/><Relationship Id="rId59" Type="http://schemas.openxmlformats.org/officeDocument/2006/relationships/hyperlink" Target="https://www.ncbi.nlm.nih.gov/protein/WP_281946651.1?report=genbank&amp;log$=prottop&amp;blast_rank=21&amp;RID=92EWBNK7013" TargetMode="External"/><Relationship Id="rId103" Type="http://schemas.openxmlformats.org/officeDocument/2006/relationships/hyperlink" Target="https://www.ncbi.nlm.nih.gov/protein/WP_158116636.1?report=genbank&amp;log$=prottop&amp;blast_rank=27&amp;RID=92EWBNK7013" TargetMode="External"/><Relationship Id="rId108" Type="http://schemas.openxmlformats.org/officeDocument/2006/relationships/hyperlink" Target="https://www.ncbi.nlm.nih.gov/protein/WP_044415286.1?report=genbank&amp;log$=prottop&amp;blast_rank=94&amp;RID=92EWBNK7013" TargetMode="External"/><Relationship Id="rId124" Type="http://schemas.openxmlformats.org/officeDocument/2006/relationships/hyperlink" Target="https://www.ncbi.nlm.nih.gov/protein/WP_188047578.1?report=genbank&amp;log$=prottop&amp;blast_rank=49&amp;RID=92EWBNK7013" TargetMode="External"/><Relationship Id="rId129" Type="http://schemas.openxmlformats.org/officeDocument/2006/relationships/hyperlink" Target="https://www.ncbi.nlm.nih.gov/protein/WP_272664771.1?report=genbank&amp;log$=prottop&amp;blast_rank=76&amp;RID=92EWBNK7013" TargetMode="External"/><Relationship Id="rId54" Type="http://schemas.openxmlformats.org/officeDocument/2006/relationships/hyperlink" Target="https://www.ncbi.nlm.nih.gov/protein/WP_049875404.1?report=genbank&amp;log$=prottop&amp;blast_rank=8&amp;RID=92EWBNK7013" TargetMode="External"/><Relationship Id="rId70" Type="http://schemas.openxmlformats.org/officeDocument/2006/relationships/hyperlink" Target="https://www.ncbi.nlm.nih.gov/protein/WP_303517064.1?report=genbank&amp;log$=prottop&amp;blast_rank=22&amp;RID=92EWBNK7013" TargetMode="External"/><Relationship Id="rId75" Type="http://schemas.openxmlformats.org/officeDocument/2006/relationships/hyperlink" Target="https://www.ncbi.nlm.nih.gov/protein/WP_108192308.1?report=genbank&amp;log$=prottop&amp;blast_rank=3&amp;RID=92EWBNK7013" TargetMode="External"/><Relationship Id="rId91" Type="http://schemas.openxmlformats.org/officeDocument/2006/relationships/hyperlink" Target="https://www.ncbi.nlm.nih.gov/protein/WP_258487603.1?report=genbank&amp;log$=prottop&amp;blast_rank=147&amp;RID=92EWBNK7013" TargetMode="External"/><Relationship Id="rId96" Type="http://schemas.openxmlformats.org/officeDocument/2006/relationships/hyperlink" Target="https://www.ncbi.nlm.nih.gov/protein/CAH6810997.1?report=genbank&amp;log$=prottop&amp;blast_rank=120&amp;RID=92EWBNK7013" TargetMode="External"/><Relationship Id="rId1" Type="http://schemas.openxmlformats.org/officeDocument/2006/relationships/hyperlink" Target="https://www.ncbi.nlm.nih.gov/protein/WP_257878370.1?report=genbank&amp;log$=prottop&amp;blast_rank=3&amp;RID=92DR1CFD013" TargetMode="External"/><Relationship Id="rId6" Type="http://schemas.openxmlformats.org/officeDocument/2006/relationships/hyperlink" Target="https://www.ncbi.nlm.nih.gov/protein/WP_069505144.1?report=genbank&amp;log$=prottop&amp;blast_rank=7&amp;RID=92DR1CFD013" TargetMode="External"/><Relationship Id="rId23" Type="http://schemas.openxmlformats.org/officeDocument/2006/relationships/hyperlink" Target="https://www.ncbi.nlm.nih.gov/protein/EGR1996166.1?report=genbank&amp;log$=prottop&amp;blast_rank=62&amp;RID=8XPKNVYR013" TargetMode="External"/><Relationship Id="rId28" Type="http://schemas.openxmlformats.org/officeDocument/2006/relationships/hyperlink" Target="https://www.ncbi.nlm.nih.gov/protein/WP_140205991.1?report=genbank&amp;log$=prottop&amp;blast_rank=110&amp;RID=8XPKNVYR013" TargetMode="External"/><Relationship Id="rId49" Type="http://schemas.openxmlformats.org/officeDocument/2006/relationships/hyperlink" Target="https://www.ncbi.nlm.nih.gov/protein/WP_285953661.1?report=genbank&amp;log$=prottop&amp;blast_rank=68&amp;RID=8XPKNVYR013" TargetMode="External"/><Relationship Id="rId114" Type="http://schemas.openxmlformats.org/officeDocument/2006/relationships/hyperlink" Target="https://www.ncbi.nlm.nih.gov/protein/WP_260663959.1?report=genbank&amp;log$=prottop&amp;blast_rank=79&amp;RID=92EWBNK7013" TargetMode="External"/><Relationship Id="rId119" Type="http://schemas.openxmlformats.org/officeDocument/2006/relationships/hyperlink" Target="https://www.ncbi.nlm.nih.gov/protein/WP_272573190.1?report=genbank&amp;log$=prottop&amp;blast_rank=90&amp;RID=92EWBNK7013" TargetMode="External"/><Relationship Id="rId44" Type="http://schemas.openxmlformats.org/officeDocument/2006/relationships/hyperlink" Target="https://www.ncbi.nlm.nih.gov/protein/WP_098415759.1?report=genbank&amp;log$=prottop&amp;blast_rank=26&amp;RID=8XPKNVYR013" TargetMode="External"/><Relationship Id="rId60" Type="http://schemas.openxmlformats.org/officeDocument/2006/relationships/hyperlink" Target="https://www.ncbi.nlm.nih.gov/protein/WP_281515901.1?report=genbank&amp;log$=prottop&amp;blast_rank=5&amp;RID=92EWBNK7013" TargetMode="External"/><Relationship Id="rId65" Type="http://schemas.openxmlformats.org/officeDocument/2006/relationships/hyperlink" Target="https://www.ncbi.nlm.nih.gov/protein/MBE3775332.1?report=genbank&amp;log$=prottop&amp;blast_rank=1&amp;RID=92EWBNK7013" TargetMode="External"/><Relationship Id="rId81" Type="http://schemas.openxmlformats.org/officeDocument/2006/relationships/hyperlink" Target="https://www.ncbi.nlm.nih.gov/protein/WP_108944940.1?report=genbank&amp;log$=prottop&amp;blast_rank=68&amp;RID=92EWBNK7013" TargetMode="External"/><Relationship Id="rId86" Type="http://schemas.openxmlformats.org/officeDocument/2006/relationships/hyperlink" Target="https://www.ncbi.nlm.nih.gov/protein/EKA7366051.1?report=genbank&amp;log$=prottop&amp;blast_rank=114&amp;RID=92EWBNK7013" TargetMode="External"/><Relationship Id="rId130" Type="http://schemas.openxmlformats.org/officeDocument/2006/relationships/hyperlink" Target="https://www.ncbi.nlm.nih.gov/protein/CAK2444691.1?report=genbank&amp;log$=prottop&amp;blast_rank=132&amp;RID=92EWBNK7013" TargetMode="External"/><Relationship Id="rId135" Type="http://schemas.openxmlformats.org/officeDocument/2006/relationships/hyperlink" Target="https://www.ncbi.nlm.nih.gov/protein/NOX36716.1?report=genbank&amp;log$=prottop&amp;blast_rank=11&amp;RID=92EWBNK7013" TargetMode="External"/><Relationship Id="rId13" Type="http://schemas.openxmlformats.org/officeDocument/2006/relationships/hyperlink" Target="https://www.ncbi.nlm.nih.gov/protein/EGQ9892862.1?report=genbank&amp;log$=prottop&amp;blast_rank=13&amp;RID=92DR1CFD013" TargetMode="External"/><Relationship Id="rId18" Type="http://schemas.openxmlformats.org/officeDocument/2006/relationships/hyperlink" Target="https://www.ncbi.nlm.nih.gov/protein/WP_069500530.1?report=genbank&amp;log$=prottop&amp;blast_rank=20&amp;RID=8XPKNVYR013" TargetMode="External"/><Relationship Id="rId39" Type="http://schemas.openxmlformats.org/officeDocument/2006/relationships/hyperlink" Target="https://www.ncbi.nlm.nih.gov/protein/WP_140312152.1?report=genbank&amp;log$=prottop&amp;blast_rank=48&amp;RID=8XPKNVYR013" TargetMode="External"/><Relationship Id="rId109" Type="http://schemas.openxmlformats.org/officeDocument/2006/relationships/hyperlink" Target="https://www.ncbi.nlm.nih.gov/protein/WP_243033117.1?report=genbank&amp;log$=prottop&amp;blast_rank=29&amp;RID=92EWBNK7013" TargetMode="External"/><Relationship Id="rId34" Type="http://schemas.openxmlformats.org/officeDocument/2006/relationships/hyperlink" Target="https://www.ncbi.nlm.nih.gov/protein/ELB2157604.1?report=genbank&amp;log$=prottop&amp;blast_rank=46&amp;RID=8XPKNVYR013" TargetMode="External"/><Relationship Id="rId50" Type="http://schemas.openxmlformats.org/officeDocument/2006/relationships/hyperlink" Target="https://www.ncbi.nlm.nih.gov/protein/WP_102361795.1?report=genbank&amp;log$=prottop&amp;blast_rank=61&amp;RID=8XPKNVYR013" TargetMode="External"/><Relationship Id="rId55" Type="http://schemas.openxmlformats.org/officeDocument/2006/relationships/hyperlink" Target="https://www.ncbi.nlm.nih.gov/protein/MCF9480495.1?report=genbank&amp;log$=prottop&amp;blast_rank=104&amp;RID=92EWBNK7013" TargetMode="External"/><Relationship Id="rId76" Type="http://schemas.openxmlformats.org/officeDocument/2006/relationships/hyperlink" Target="https://www.ncbi.nlm.nih.gov/protein/WP_171327699.1?report=genbank&amp;log$=prottop&amp;blast_rank=9&amp;RID=92EWBNK7013" TargetMode="External"/><Relationship Id="rId97" Type="http://schemas.openxmlformats.org/officeDocument/2006/relationships/hyperlink" Target="https://www.ncbi.nlm.nih.gov/protein/EJI1281193.1?report=genbank&amp;log$=prottop&amp;blast_rank=122&amp;RID=92EWBNK7013" TargetMode="External"/><Relationship Id="rId104" Type="http://schemas.openxmlformats.org/officeDocument/2006/relationships/hyperlink" Target="https://www.ncbi.nlm.nih.gov/protein/WP_095459691.1?report=genbank&amp;log$=prottop&amp;blast_rank=39&amp;RID=92EWBNK7013" TargetMode="External"/><Relationship Id="rId120" Type="http://schemas.openxmlformats.org/officeDocument/2006/relationships/hyperlink" Target="https://www.ncbi.nlm.nih.gov/protein/WP_116002321.1?report=genbank&amp;log$=prottop&amp;blast_rank=102&amp;RID=92EWBNK7013" TargetMode="External"/><Relationship Id="rId125" Type="http://schemas.openxmlformats.org/officeDocument/2006/relationships/hyperlink" Target="https://www.ncbi.nlm.nih.gov/protein/WP_185891407.1?report=genbank&amp;log$=prottop&amp;blast_rank=50&amp;RID=92EWBNK7013" TargetMode="External"/><Relationship Id="rId7" Type="http://schemas.openxmlformats.org/officeDocument/2006/relationships/hyperlink" Target="https://www.ncbi.nlm.nih.gov/protein/TOA10977.1?report=genbank&amp;log$=prottop&amp;blast_rank=8&amp;RID=92DR1CFD013" TargetMode="External"/><Relationship Id="rId71" Type="http://schemas.openxmlformats.org/officeDocument/2006/relationships/hyperlink" Target="https://www.ncbi.nlm.nih.gov/protein/WP_102327510.1?report=genbank&amp;log$=prottop&amp;blast_rank=24&amp;RID=92EWBNK7013" TargetMode="External"/><Relationship Id="rId92" Type="http://schemas.openxmlformats.org/officeDocument/2006/relationships/hyperlink" Target="https://www.ncbi.nlm.nih.gov/protein/WP_113629467.1?report=genbank&amp;log$=prottop&amp;blast_rank=26&amp;RID=92EWBNK7013" TargetMode="External"/><Relationship Id="rId2" Type="http://schemas.openxmlformats.org/officeDocument/2006/relationships/hyperlink" Target="https://www.ncbi.nlm.nih.gov/protein/WP_005477844.1?report=genbank&amp;log$=prottop&amp;blast_rank=4&amp;RID=92DR1CFD013" TargetMode="External"/><Relationship Id="rId29" Type="http://schemas.openxmlformats.org/officeDocument/2006/relationships/hyperlink" Target="https://www.ncbi.nlm.nih.gov/protein/EJC6794069.1?report=genbank&amp;log$=prottop&amp;blast_rank=19&amp;RID=8XPKNVYR013" TargetMode="External"/><Relationship Id="rId24" Type="http://schemas.openxmlformats.org/officeDocument/2006/relationships/hyperlink" Target="https://www.ncbi.nlm.nih.gov/protein/WP_161716058.1?report=genbank&amp;log$=prottop&amp;blast_rank=65&amp;RID=8XPKNVYR013" TargetMode="External"/><Relationship Id="rId40" Type="http://schemas.openxmlformats.org/officeDocument/2006/relationships/hyperlink" Target="https://www.ncbi.nlm.nih.gov/protein/MCU8238805.1?report=genbank&amp;log$=prottop&amp;blast_rank=21&amp;RID=8XPKNVYR013" TargetMode="External"/><Relationship Id="rId45" Type="http://schemas.openxmlformats.org/officeDocument/2006/relationships/hyperlink" Target="https://www.ncbi.nlm.nih.gov/protein/WP_225458394.1?report=genbank&amp;log$=prottop&amp;blast_rank=30&amp;RID=8XPKNVYR013" TargetMode="External"/><Relationship Id="rId66" Type="http://schemas.openxmlformats.org/officeDocument/2006/relationships/hyperlink" Target="https://www.ncbi.nlm.nih.gov/protein/HCG8575943.1?report=genbank&amp;log$=prottop&amp;blast_rank=10&amp;RID=92EWBNK7013" TargetMode="External"/><Relationship Id="rId87" Type="http://schemas.openxmlformats.org/officeDocument/2006/relationships/hyperlink" Target="https://www.ncbi.nlm.nih.gov/protein/HCE3309664.1?report=genbank&amp;log$=prottop&amp;blast_rank=118&amp;RID=92EWBNK7013" TargetMode="External"/><Relationship Id="rId110" Type="http://schemas.openxmlformats.org/officeDocument/2006/relationships/hyperlink" Target="https://www.ncbi.nlm.nih.gov/protein/CAK2775518.1?report=genbank&amp;log$=prottop&amp;blast_rank=121&amp;RID=92EWBNK7013" TargetMode="External"/><Relationship Id="rId115" Type="http://schemas.openxmlformats.org/officeDocument/2006/relationships/hyperlink" Target="https://www.ncbi.nlm.nih.gov/protein/WP_195569289.1?report=genbank&amp;log$=prottop&amp;blast_rank=89&amp;RID=92EWBNK7013" TargetMode="External"/><Relationship Id="rId131" Type="http://schemas.openxmlformats.org/officeDocument/2006/relationships/hyperlink" Target="https://www.ncbi.nlm.nih.gov/protein/WP_128384130.1?report=genbank&amp;log$=prottop&amp;blast_rank=23&amp;RID=92EWBNK7013" TargetMode="External"/><Relationship Id="rId136" Type="http://schemas.openxmlformats.org/officeDocument/2006/relationships/hyperlink" Target="https://www.ncbi.nlm.nih.gov/protein/WP_299937171.1?report=genbank&amp;log$=prottop&amp;blast_rank=207&amp;RID=92EWBNK7013" TargetMode="External"/><Relationship Id="rId61" Type="http://schemas.openxmlformats.org/officeDocument/2006/relationships/hyperlink" Target="https://www.ncbi.nlm.nih.gov/protein/WP_069539491.1?report=genbank&amp;log$=prottop&amp;blast_rank=2&amp;RID=92EWBNK7013" TargetMode="External"/><Relationship Id="rId82" Type="http://schemas.openxmlformats.org/officeDocument/2006/relationships/hyperlink" Target="https://www.ncbi.nlm.nih.gov/protein/RLB58840.1?report=genbank&amp;log$=prottop&amp;blast_rank=74&amp;RID=92EWBNK7013" TargetMode="External"/><Relationship Id="rId19" Type="http://schemas.openxmlformats.org/officeDocument/2006/relationships/hyperlink" Target="https://www.ncbi.nlm.nih.gov/protein/WP_005483286.1?report=genbank&amp;log$=prottop&amp;blast_rank=24&amp;RID=8XPKNVYR013" TargetMode="External"/><Relationship Id="rId14" Type="http://schemas.openxmlformats.org/officeDocument/2006/relationships/hyperlink" Target="https://www.ncbi.nlm.nih.gov/protein/WP_203479114.1?report=genbank&amp;log$=prottop&amp;blast_rank=14&amp;RID=8XPKNVYR013" TargetMode="External"/><Relationship Id="rId30" Type="http://schemas.openxmlformats.org/officeDocument/2006/relationships/hyperlink" Target="https://www.ncbi.nlm.nih.gov/protein/MCF9512906.1?report=genbank&amp;log$=prottop&amp;blast_rank=38&amp;RID=8XPKNVYR013" TargetMode="External"/><Relationship Id="rId35" Type="http://schemas.openxmlformats.org/officeDocument/2006/relationships/hyperlink" Target="https://www.ncbi.nlm.nih.gov/protein/MDE1222734.1?report=genbank&amp;log$=prottop&amp;blast_rank=12&amp;RID=8XPKNVYR013" TargetMode="External"/><Relationship Id="rId56" Type="http://schemas.openxmlformats.org/officeDocument/2006/relationships/hyperlink" Target="https://www.ncbi.nlm.nih.gov/protein/WP_161716090.1?report=genbank&amp;log$=prottop&amp;blast_rank=456&amp;RID=92EWBNK7013" TargetMode="External"/><Relationship Id="rId77" Type="http://schemas.openxmlformats.org/officeDocument/2006/relationships/hyperlink" Target="https://www.ncbi.nlm.nih.gov/protein/WP_233942832.1?report=genbank&amp;log$=prottop&amp;blast_rank=12&amp;RID=92EWBNK7013" TargetMode="External"/><Relationship Id="rId100" Type="http://schemas.openxmlformats.org/officeDocument/2006/relationships/hyperlink" Target="https://www.ncbi.nlm.nih.gov/protein/EJL6492901.1?report=genbank&amp;log$=prottop&amp;blast_rank=38&amp;RID=92EWBNK7013" TargetMode="External"/><Relationship Id="rId105" Type="http://schemas.openxmlformats.org/officeDocument/2006/relationships/hyperlink" Target="https://www.ncbi.nlm.nih.gov/protein/WP_332420348.1?report=genbank&amp;log$=prottop&amp;blast_rank=44&amp;RID=92EWBNK7013" TargetMode="External"/><Relationship Id="rId126" Type="http://schemas.openxmlformats.org/officeDocument/2006/relationships/hyperlink" Target="https://www.ncbi.nlm.nih.gov/protein/WP_210445628.1?report=genbank&amp;log$=prottop&amp;blast_rank=93&amp;RID=92EWBNK7013" TargetMode="External"/><Relationship Id="rId8" Type="http://schemas.openxmlformats.org/officeDocument/2006/relationships/hyperlink" Target="https://www.ncbi.nlm.nih.gov/protein/WP_229651713.1?report=genbank&amp;log$=prottop&amp;blast_rank=58&amp;RID=92DR1CFD013" TargetMode="External"/><Relationship Id="rId51" Type="http://schemas.openxmlformats.org/officeDocument/2006/relationships/hyperlink" Target="https://www.ncbi.nlm.nih.gov/protein/WP_123326320.1?report=genbank&amp;log$=prottop&amp;blast_rank=63&amp;RID=8XPKNVYR013" TargetMode="External"/><Relationship Id="rId72" Type="http://schemas.openxmlformats.org/officeDocument/2006/relationships/hyperlink" Target="https://www.ncbi.nlm.nih.gov/protein/WP_094501645.1?report=genbank&amp;log$=prottop&amp;blast_rank=6&amp;RID=92EWBNK7013" TargetMode="External"/><Relationship Id="rId93" Type="http://schemas.openxmlformats.org/officeDocument/2006/relationships/hyperlink" Target="https://www.ncbi.nlm.nih.gov/protein/WP_224021276.1?report=genbank&amp;log$=prottop&amp;blast_rank=35&amp;RID=92EWBNK7013" TargetMode="External"/><Relationship Id="rId98" Type="http://schemas.openxmlformats.org/officeDocument/2006/relationships/hyperlink" Target="https://www.ncbi.nlm.nih.gov/protein/WP_232768874.1?report=genbank&amp;log$=prottop&amp;blast_rank=146&amp;RID=92EWBNK7013" TargetMode="External"/><Relationship Id="rId121" Type="http://schemas.openxmlformats.org/officeDocument/2006/relationships/hyperlink" Target="https://www.ncbi.nlm.nih.gov/protein/WP_140221588.1?report=genbank&amp;log$=prottop&amp;blast_rank=42&amp;RID=92EWBNK7013" TargetMode="External"/><Relationship Id="rId3" Type="http://schemas.openxmlformats.org/officeDocument/2006/relationships/hyperlink" Target="https://www.ncbi.nlm.nih.gov/protein/ARC19842.1?report=genbank&amp;log$=prottop&amp;blast_rank=5&amp;RID=92DR1CFD013" TargetMode="External"/><Relationship Id="rId25" Type="http://schemas.openxmlformats.org/officeDocument/2006/relationships/hyperlink" Target="https://www.ncbi.nlm.nih.gov/protein/WP_265572606.1?report=genbank&amp;log$=prottop&amp;blast_rank=83&amp;RID=8XPKNVYR013" TargetMode="External"/><Relationship Id="rId46" Type="http://schemas.openxmlformats.org/officeDocument/2006/relationships/hyperlink" Target="https://www.ncbi.nlm.nih.gov/protein/WP_248376158.1?report=genbank&amp;log$=prottop&amp;blast_rank=39&amp;RID=8XPKNVYR013" TargetMode="External"/><Relationship Id="rId67" Type="http://schemas.openxmlformats.org/officeDocument/2006/relationships/hyperlink" Target="https://www.ncbi.nlm.nih.gov/protein/EGQ8118076.1?report=genbank&amp;log$=prottop&amp;blast_rank=18&amp;RID=92EWBNK7013" TargetMode="External"/><Relationship Id="rId116" Type="http://schemas.openxmlformats.org/officeDocument/2006/relationships/hyperlink" Target="https://www.ncbi.nlm.nih.gov/protein/WP_132968513.1?report=genbank&amp;log$=prottop&amp;blast_rank=80&amp;RID=92EWBNK7013" TargetMode="External"/><Relationship Id="rId20" Type="http://schemas.openxmlformats.org/officeDocument/2006/relationships/hyperlink" Target="https://www.ncbi.nlm.nih.gov/protein/WP_025520000.1?report=genbank&amp;log$=prottop&amp;blast_rank=43&amp;RID=8XPKNVYR013" TargetMode="External"/><Relationship Id="rId41" Type="http://schemas.openxmlformats.org/officeDocument/2006/relationships/hyperlink" Target="https://www.ncbi.nlm.nih.gov/protein/WP_021707493.1?report=genbank&amp;log$=prottop&amp;blast_rank=23&amp;RID=8XPKNVYR013" TargetMode="External"/><Relationship Id="rId62" Type="http://schemas.openxmlformats.org/officeDocument/2006/relationships/hyperlink" Target="https://www.ncbi.nlm.nih.gov/protein/WP_140069008.1?report=genbank&amp;log$=prottop&amp;blast_rank=4&amp;RID=92EWBNK7013" TargetMode="External"/><Relationship Id="rId83" Type="http://schemas.openxmlformats.org/officeDocument/2006/relationships/hyperlink" Target="https://www.ncbi.nlm.nih.gov/protein/WP_248999665.1?report=genbank&amp;log$=prottop&amp;blast_rank=63&amp;RID=92EWBNK7013" TargetMode="External"/><Relationship Id="rId88" Type="http://schemas.openxmlformats.org/officeDocument/2006/relationships/hyperlink" Target="https://www.ncbi.nlm.nih.gov/protein/WP_256966120.1?report=genbank&amp;log$=prottop&amp;blast_rank=123&amp;RID=92EWBNK7013" TargetMode="External"/><Relationship Id="rId111" Type="http://schemas.openxmlformats.org/officeDocument/2006/relationships/hyperlink" Target="https://www.ncbi.nlm.nih.gov/protein/WP_045600529.1?report=genbank&amp;log$=prottop&amp;blast_rank=25&amp;RID=92EWBNK7013" TargetMode="External"/><Relationship Id="rId132" Type="http://schemas.openxmlformats.org/officeDocument/2006/relationships/hyperlink" Target="https://www.ncbi.nlm.nih.gov/protein/WP_275872713.1?report=genbank&amp;log$=prottop&amp;blast_rank=83&amp;RID=92EWBNK7013" TargetMode="External"/><Relationship Id="rId15" Type="http://schemas.openxmlformats.org/officeDocument/2006/relationships/hyperlink" Target="https://www.ncbi.nlm.nih.gov/protein/WP_203513435.1?report=genbank&amp;log$=prottop&amp;blast_rank=15&amp;RID=8XPKNVYR013" TargetMode="External"/><Relationship Id="rId36" Type="http://schemas.openxmlformats.org/officeDocument/2006/relationships/hyperlink" Target="https://www.ncbi.nlm.nih.gov/protein/ELB2962496.1?report=genbank&amp;log$=prottop&amp;blast_rank=33&amp;RID=8XPKNVYR013" TargetMode="External"/><Relationship Id="rId57" Type="http://schemas.openxmlformats.org/officeDocument/2006/relationships/hyperlink" Target="https://www.ncbi.nlm.nih.gov/protein/WP_229650752.1?report=genbank&amp;log$=prottop&amp;blast_rank=490&amp;RID=92EWBNK7013" TargetMode="External"/><Relationship Id="rId106" Type="http://schemas.openxmlformats.org/officeDocument/2006/relationships/hyperlink" Target="https://www.ncbi.nlm.nih.gov/protein/WP_305838768.1?report=genbank&amp;log$=prottop&amp;blast_rank=87&amp;RID=92EWBNK7013" TargetMode="External"/><Relationship Id="rId127" Type="http://schemas.openxmlformats.org/officeDocument/2006/relationships/hyperlink" Target="https://www.ncbi.nlm.nih.gov/protein/CAK2775380.1?report=genbank&amp;log$=prottop&amp;blast_rank=105&amp;RID=92EWBNK7013" TargetMode="External"/><Relationship Id="rId10" Type="http://schemas.openxmlformats.org/officeDocument/2006/relationships/hyperlink" Target="https://www.ncbi.nlm.nih.gov/protein/TOP65625.1?report=genbank&amp;log$=prottop&amp;blast_rank=10&amp;RID=92DR1CFD013" TargetMode="External"/><Relationship Id="rId31" Type="http://schemas.openxmlformats.org/officeDocument/2006/relationships/hyperlink" Target="https://www.ncbi.nlm.nih.gov/protein/WP_061035840.1?report=genbank&amp;log$=prottop&amp;blast_rank=22&amp;RID=8XPKNVYR013" TargetMode="External"/><Relationship Id="rId52" Type="http://schemas.openxmlformats.org/officeDocument/2006/relationships/hyperlink" Target="https://www.ncbi.nlm.nih.gov/protein/CAK3344663.1?report=genbank&amp;log$=prottop&amp;blast_rank=67&amp;RID=8XPKNVYR013" TargetMode="External"/><Relationship Id="rId73" Type="http://schemas.openxmlformats.org/officeDocument/2006/relationships/hyperlink" Target="https://www.ncbi.nlm.nih.gov/protein/WP_133415919.1?report=genbank&amp;log$=prottop&amp;blast_rank=13&amp;RID=92EWBNK7013" TargetMode="External"/><Relationship Id="rId78" Type="http://schemas.openxmlformats.org/officeDocument/2006/relationships/hyperlink" Target="https://www.ncbi.nlm.nih.gov/protein/WP_342199944.1?report=genbank&amp;log$=prottop&amp;blast_rank=37&amp;RID=92EWBNK7013" TargetMode="External"/><Relationship Id="rId94" Type="http://schemas.openxmlformats.org/officeDocument/2006/relationships/hyperlink" Target="https://www.ncbi.nlm.nih.gov/protein/WP_242423960.1?report=genbank&amp;log$=prottop&amp;blast_rank=108&amp;RID=92EWBNK7013" TargetMode="External"/><Relationship Id="rId99" Type="http://schemas.openxmlformats.org/officeDocument/2006/relationships/hyperlink" Target="https://www.ncbi.nlm.nih.gov/protein/WP_055034332.1?report=genbank&amp;log$=prottop&amp;blast_rank=33&amp;RID=92EWBNK7013" TargetMode="External"/><Relationship Id="rId101" Type="http://schemas.openxmlformats.org/officeDocument/2006/relationships/hyperlink" Target="https://www.ncbi.nlm.nih.gov/protein/WP_282111248.1?report=genbank&amp;log$=prottop&amp;blast_rank=45&amp;RID=92EWBNK7013" TargetMode="External"/><Relationship Id="rId122" Type="http://schemas.openxmlformats.org/officeDocument/2006/relationships/hyperlink" Target="https://www.ncbi.nlm.nih.gov/protein/HAS6741204.1?report=genbank&amp;log$=prottop&amp;blast_rank=46&amp;RID=92EWBNK7013" TargetMode="External"/><Relationship Id="rId4" Type="http://schemas.openxmlformats.org/officeDocument/2006/relationships/hyperlink" Target="https://www.ncbi.nlm.nih.gov/protein/HCE2123047.1?report=genbank&amp;log$=prottop&amp;blast_rank=16&amp;RID=92DR1CFD013" TargetMode="External"/><Relationship Id="rId9" Type="http://schemas.openxmlformats.org/officeDocument/2006/relationships/hyperlink" Target="https://www.ncbi.nlm.nih.gov/protein/WP_180911986.1?report=genbank&amp;log$=prottop&amp;blast_rank=9&amp;RID=92DR1CFD013" TargetMode="External"/><Relationship Id="rId26" Type="http://schemas.openxmlformats.org/officeDocument/2006/relationships/hyperlink" Target="https://www.ncbi.nlm.nih.gov/protein/WP_073514066.1?report=genbank&amp;log$=prottop&amp;blast_rank=84&amp;RID=8XPKNVYR013" TargetMode="External"/><Relationship Id="rId47" Type="http://schemas.openxmlformats.org/officeDocument/2006/relationships/hyperlink" Target="https://www.ncbi.nlm.nih.gov/protein/EKO3807976.1?report=genbank&amp;log$=prottop&amp;blast_rank=42&amp;RID=8XPKNVYR013" TargetMode="External"/><Relationship Id="rId68" Type="http://schemas.openxmlformats.org/officeDocument/2006/relationships/hyperlink" Target="https://www.ncbi.nlm.nih.gov/protein/WP_281029029.1?report=genbank&amp;log$=prottop&amp;blast_rank=17&amp;RID=92EWBNK7013" TargetMode="External"/><Relationship Id="rId89" Type="http://schemas.openxmlformats.org/officeDocument/2006/relationships/hyperlink" Target="https://www.ncbi.nlm.nih.gov/protein/WP_032801948.1?report=genbank&amp;log$=prottop&amp;blast_rank=127&amp;RID=92EWBNK7013" TargetMode="External"/><Relationship Id="rId112" Type="http://schemas.openxmlformats.org/officeDocument/2006/relationships/hyperlink" Target="https://www.ncbi.nlm.nih.gov/protein/WP_274004096.1?report=genbank&amp;log$=prottop&amp;blast_rank=40&amp;RID=92EWBNK7013" TargetMode="External"/><Relationship Id="rId133" Type="http://schemas.openxmlformats.org/officeDocument/2006/relationships/hyperlink" Target="https://www.ncbi.nlm.nih.gov/protein/WP_237296340.1?report=genbank&amp;log$=prottop&amp;blast_rank=176&amp;RID=92EWBNK7013" TargetMode="External"/></Relationships>
</file>

<file path=xl/worksheets/_rels/sheet8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ncbi.nlm.nih.gov/protein/MBF0293688.1?report=genbank&amp;log$=prottop&amp;blast_rank=117&amp;RID=8XPKNVYR013" TargetMode="External"/><Relationship Id="rId21" Type="http://schemas.openxmlformats.org/officeDocument/2006/relationships/hyperlink" Target="https://www.ncbi.nlm.nih.gov/protein/MCU8238805.1?report=genbank&amp;log$=prottop&amp;blast_rank=21&amp;RID=8XPKNVYR013" TargetMode="External"/><Relationship Id="rId42" Type="http://schemas.openxmlformats.org/officeDocument/2006/relationships/hyperlink" Target="https://www.ncbi.nlm.nih.gov/protein/EKO3807976.1?report=genbank&amp;log$=prottop&amp;blast_rank=42&amp;RID=8XPKNVYR013" TargetMode="External"/><Relationship Id="rId63" Type="http://schemas.openxmlformats.org/officeDocument/2006/relationships/hyperlink" Target="https://www.ncbi.nlm.nih.gov/protein/WP_123326320.1?report=genbank&amp;log$=prottop&amp;blast_rank=63&amp;RID=8XPKNVYR013" TargetMode="External"/><Relationship Id="rId84" Type="http://schemas.openxmlformats.org/officeDocument/2006/relationships/hyperlink" Target="https://www.ncbi.nlm.nih.gov/protein/WP_073514066.1?report=genbank&amp;log$=prottop&amp;blast_rank=84&amp;RID=8XPKNVYR013" TargetMode="External"/><Relationship Id="rId138" Type="http://schemas.openxmlformats.org/officeDocument/2006/relationships/hyperlink" Target="https://www.ncbi.nlm.nih.gov/protein/WP_225469331.1?report=genbank&amp;log$=prottop&amp;blast_rank=138&amp;RID=8XPKNVYR013" TargetMode="External"/><Relationship Id="rId107" Type="http://schemas.openxmlformats.org/officeDocument/2006/relationships/hyperlink" Target="https://www.ncbi.nlm.nih.gov/protein/MCH8260152.1?report=genbank&amp;log$=prottop&amp;blast_rank=107&amp;RID=8XPKNVYR013" TargetMode="External"/><Relationship Id="rId11" Type="http://schemas.openxmlformats.org/officeDocument/2006/relationships/hyperlink" Target="https://www.ncbi.nlm.nih.gov/protein/ELA7884001.1?report=genbank&amp;log$=prottop&amp;blast_rank=11&amp;RID=8XPKNVYR013" TargetMode="External"/><Relationship Id="rId32" Type="http://schemas.openxmlformats.org/officeDocument/2006/relationships/hyperlink" Target="https://www.ncbi.nlm.nih.gov/protein/ELJ9746604.1?report=genbank&amp;log$=prottop&amp;blast_rank=32&amp;RID=8XPKNVYR013" TargetMode="External"/><Relationship Id="rId53" Type="http://schemas.openxmlformats.org/officeDocument/2006/relationships/hyperlink" Target="https://www.ncbi.nlm.nih.gov/protein/WP_054947168.1?report=genbank&amp;log$=prottop&amp;blast_rank=53&amp;RID=8XPKNVYR013" TargetMode="External"/><Relationship Id="rId74" Type="http://schemas.openxmlformats.org/officeDocument/2006/relationships/hyperlink" Target="https://www.ncbi.nlm.nih.gov/protein/MCP4985133.1?report=genbank&amp;log$=prottop&amp;blast_rank=74&amp;RID=8XPKNVYR013" TargetMode="External"/><Relationship Id="rId128" Type="http://schemas.openxmlformats.org/officeDocument/2006/relationships/hyperlink" Target="https://www.ncbi.nlm.nih.gov/protein/WP_102257506.1?report=genbank&amp;log$=prottop&amp;blast_rank=128&amp;RID=8XPKNVYR013" TargetMode="External"/><Relationship Id="rId149" Type="http://schemas.openxmlformats.org/officeDocument/2006/relationships/hyperlink" Target="https://www.ncbi.nlm.nih.gov/protein/WP_267746251.1?report=genbank&amp;log$=prottop&amp;blast_rank=149&amp;RID=8XPKNVYR013" TargetMode="External"/><Relationship Id="rId5" Type="http://schemas.openxmlformats.org/officeDocument/2006/relationships/hyperlink" Target="https://www.ncbi.nlm.nih.gov/protein/MEQ1663024.1?report=genbank&amp;log$=prottop&amp;blast_rank=5&amp;RID=8XPKNVYR013" TargetMode="External"/><Relationship Id="rId95" Type="http://schemas.openxmlformats.org/officeDocument/2006/relationships/hyperlink" Target="https://www.ncbi.nlm.nih.gov/protein/WP_102485116.1?report=genbank&amp;log$=prottop&amp;blast_rank=95&amp;RID=8XPKNVYR013" TargetMode="External"/><Relationship Id="rId22" Type="http://schemas.openxmlformats.org/officeDocument/2006/relationships/hyperlink" Target="https://www.ncbi.nlm.nih.gov/protein/WP_061035840.1?report=genbank&amp;log$=prottop&amp;blast_rank=22&amp;RID=8XPKNVYR013" TargetMode="External"/><Relationship Id="rId27" Type="http://schemas.openxmlformats.org/officeDocument/2006/relationships/hyperlink" Target="https://www.ncbi.nlm.nih.gov/protein/HAS8570121.1?report=genbank&amp;log$=prottop&amp;blast_rank=27&amp;RID=8XPKNVYR013" TargetMode="External"/><Relationship Id="rId43" Type="http://schemas.openxmlformats.org/officeDocument/2006/relationships/hyperlink" Target="https://www.ncbi.nlm.nih.gov/protein/WP_025520000.1?report=genbank&amp;log$=prottop&amp;blast_rank=43&amp;RID=8XPKNVYR013" TargetMode="External"/><Relationship Id="rId48" Type="http://schemas.openxmlformats.org/officeDocument/2006/relationships/hyperlink" Target="https://www.ncbi.nlm.nih.gov/protein/WP_140312152.1?report=genbank&amp;log$=prottop&amp;blast_rank=48&amp;RID=8XPKNVYR013" TargetMode="External"/><Relationship Id="rId64" Type="http://schemas.openxmlformats.org/officeDocument/2006/relationships/hyperlink" Target="https://www.ncbi.nlm.nih.gov/protein/WP_238952002.1?report=genbank&amp;log$=prottop&amp;blast_rank=64&amp;RID=8XPKNVYR013" TargetMode="External"/><Relationship Id="rId69" Type="http://schemas.openxmlformats.org/officeDocument/2006/relationships/hyperlink" Target="https://www.ncbi.nlm.nih.gov/protein/WP_213663066.1?report=genbank&amp;log$=prottop&amp;blast_rank=69&amp;RID=8XPKNVYR013" TargetMode="External"/><Relationship Id="rId113" Type="http://schemas.openxmlformats.org/officeDocument/2006/relationships/hyperlink" Target="https://www.ncbi.nlm.nih.gov/protein/WP_139133230.1?report=genbank&amp;log$=prottop&amp;blast_rank=113&amp;RID=8XPKNVYR013" TargetMode="External"/><Relationship Id="rId118" Type="http://schemas.openxmlformats.org/officeDocument/2006/relationships/hyperlink" Target="https://www.ncbi.nlm.nih.gov/protein/HEY0862125.1?report=genbank&amp;log$=prottop&amp;blast_rank=118&amp;RID=8XPKNVYR013" TargetMode="External"/><Relationship Id="rId134" Type="http://schemas.openxmlformats.org/officeDocument/2006/relationships/hyperlink" Target="https://www.ncbi.nlm.nih.gov/protein/EGQ9613154.1?report=genbank&amp;log$=prottop&amp;blast_rank=134&amp;RID=8XPKNVYR013" TargetMode="External"/><Relationship Id="rId139" Type="http://schemas.openxmlformats.org/officeDocument/2006/relationships/hyperlink" Target="https://www.ncbi.nlm.nih.gov/protein/WP_065870746.1?report=genbank&amp;log$=prottop&amp;blast_rank=139&amp;RID=8XPKNVYR013" TargetMode="External"/><Relationship Id="rId80" Type="http://schemas.openxmlformats.org/officeDocument/2006/relationships/hyperlink" Target="https://www.ncbi.nlm.nih.gov/protein/WP_007376062.1?report=genbank&amp;log$=prottop&amp;blast_rank=80&amp;RID=8XPKNVYR013" TargetMode="External"/><Relationship Id="rId85" Type="http://schemas.openxmlformats.org/officeDocument/2006/relationships/hyperlink" Target="https://www.ncbi.nlm.nih.gov/protein/ELB2967108.1?report=genbank&amp;log$=prottop&amp;blast_rank=85&amp;RID=8XPKNVYR013" TargetMode="External"/><Relationship Id="rId150" Type="http://schemas.openxmlformats.org/officeDocument/2006/relationships/hyperlink" Target="https://www.ncbi.nlm.nih.gov/protein/MDA1001516.1?report=genbank&amp;log$=prottop&amp;blast_rank=150&amp;RID=8XPKNVYR013" TargetMode="External"/><Relationship Id="rId12" Type="http://schemas.openxmlformats.org/officeDocument/2006/relationships/hyperlink" Target="https://www.ncbi.nlm.nih.gov/protein/MDE1222734.1?report=genbank&amp;log$=prottop&amp;blast_rank=12&amp;RID=8XPKNVYR013" TargetMode="External"/><Relationship Id="rId17" Type="http://schemas.openxmlformats.org/officeDocument/2006/relationships/hyperlink" Target="https://www.ncbi.nlm.nih.gov/protein/MCW8933435.1?report=genbank&amp;log$=prottop&amp;blast_rank=17&amp;RID=8XPKNVYR013" TargetMode="External"/><Relationship Id="rId33" Type="http://schemas.openxmlformats.org/officeDocument/2006/relationships/hyperlink" Target="https://www.ncbi.nlm.nih.gov/protein/ELB2962496.1?report=genbank&amp;log$=prottop&amp;blast_rank=33&amp;RID=8XPKNVYR013" TargetMode="External"/><Relationship Id="rId38" Type="http://schemas.openxmlformats.org/officeDocument/2006/relationships/hyperlink" Target="https://www.ncbi.nlm.nih.gov/protein/MCF9512906.1?report=genbank&amp;log$=prottop&amp;blast_rank=38&amp;RID=8XPKNVYR013" TargetMode="External"/><Relationship Id="rId59" Type="http://schemas.openxmlformats.org/officeDocument/2006/relationships/hyperlink" Target="https://www.ncbi.nlm.nih.gov/protein/WP_140202120.1?report=genbank&amp;log$=prottop&amp;blast_rank=59&amp;RID=8XPKNVYR013" TargetMode="External"/><Relationship Id="rId103" Type="http://schemas.openxmlformats.org/officeDocument/2006/relationships/hyperlink" Target="https://www.ncbi.nlm.nih.gov/protein/WP_115842630.1?report=genbank&amp;log$=prottop&amp;blast_rank=103&amp;RID=8XPKNVYR013" TargetMode="External"/><Relationship Id="rId108" Type="http://schemas.openxmlformats.org/officeDocument/2006/relationships/hyperlink" Target="https://www.ncbi.nlm.nih.gov/protein/MBS3918507.1?report=genbank&amp;log$=prottop&amp;blast_rank=108&amp;RID=8XPKNVYR013" TargetMode="External"/><Relationship Id="rId124" Type="http://schemas.openxmlformats.org/officeDocument/2006/relationships/hyperlink" Target="https://www.ncbi.nlm.nih.gov/protein/WP_137007348.1?report=genbank&amp;log$=prottop&amp;blast_rank=124&amp;RID=8XPKNVYR013" TargetMode="External"/><Relationship Id="rId129" Type="http://schemas.openxmlformats.org/officeDocument/2006/relationships/hyperlink" Target="https://www.ncbi.nlm.nih.gov/protein/WP_017085054.1?report=genbank&amp;log$=prottop&amp;blast_rank=129&amp;RID=8XPKNVYR013" TargetMode="External"/><Relationship Id="rId54" Type="http://schemas.openxmlformats.org/officeDocument/2006/relationships/hyperlink" Target="https://www.ncbi.nlm.nih.gov/protein/MCF9471220.1?report=genbank&amp;log$=prottop&amp;blast_rank=54&amp;RID=8XPKNVYR013" TargetMode="External"/><Relationship Id="rId70" Type="http://schemas.openxmlformats.org/officeDocument/2006/relationships/hyperlink" Target="https://www.ncbi.nlm.nih.gov/protein/WP_292107477.1?report=genbank&amp;log$=prottop&amp;blast_rank=70&amp;RID=8XPKNVYR013" TargetMode="External"/><Relationship Id="rId75" Type="http://schemas.openxmlformats.org/officeDocument/2006/relationships/hyperlink" Target="https://www.ncbi.nlm.nih.gov/protein/WP_143165792.1?report=genbank&amp;log$=prottop&amp;blast_rank=75&amp;RID=8XPKNVYR013" TargetMode="External"/><Relationship Id="rId91" Type="http://schemas.openxmlformats.org/officeDocument/2006/relationships/hyperlink" Target="https://www.ncbi.nlm.nih.gov/protein/SSC08306.1?report=genbank&amp;log$=prottop&amp;blast_rank=91&amp;RID=8XPKNVYR013" TargetMode="External"/><Relationship Id="rId96" Type="http://schemas.openxmlformats.org/officeDocument/2006/relationships/hyperlink" Target="https://www.ncbi.nlm.nih.gov/protein/WP_102502372.1?report=genbank&amp;log$=prottop&amp;blast_rank=96&amp;RID=8XPKNVYR013" TargetMode="External"/><Relationship Id="rId140" Type="http://schemas.openxmlformats.org/officeDocument/2006/relationships/hyperlink" Target="https://www.ncbi.nlm.nih.gov/protein/MCF6777637.1?report=genbank&amp;log$=prottop&amp;blast_rank=140&amp;RID=8XPKNVYR013" TargetMode="External"/><Relationship Id="rId145" Type="http://schemas.openxmlformats.org/officeDocument/2006/relationships/hyperlink" Target="https://www.ncbi.nlm.nih.gov/protein/WP_274882979.1?report=genbank&amp;log$=prottop&amp;blast_rank=145&amp;RID=8XPKNVYR013" TargetMode="External"/><Relationship Id="rId1" Type="http://schemas.openxmlformats.org/officeDocument/2006/relationships/hyperlink" Target="https://www.ncbi.nlm.nih.gov/protein/WP_341644339.1?report=genbank&amp;log$=prottop&amp;blast_rank=1&amp;RID=8XPKNVYR013" TargetMode="External"/><Relationship Id="rId6" Type="http://schemas.openxmlformats.org/officeDocument/2006/relationships/hyperlink" Target="https://www.ncbi.nlm.nih.gov/protein/WP_185925140.1?report=genbank&amp;log$=prottop&amp;blast_rank=6&amp;RID=8XPKNVYR013" TargetMode="External"/><Relationship Id="rId23" Type="http://schemas.openxmlformats.org/officeDocument/2006/relationships/hyperlink" Target="https://www.ncbi.nlm.nih.gov/protein/WP_021707493.1?report=genbank&amp;log$=prottop&amp;blast_rank=23&amp;RID=8XPKNVYR013" TargetMode="External"/><Relationship Id="rId28" Type="http://schemas.openxmlformats.org/officeDocument/2006/relationships/hyperlink" Target="https://www.ncbi.nlm.nih.gov/protein/WP_274018949.1?report=genbank&amp;log$=prottop&amp;blast_rank=28&amp;RID=8XPKNVYR013" TargetMode="External"/><Relationship Id="rId49" Type="http://schemas.openxmlformats.org/officeDocument/2006/relationships/hyperlink" Target="https://www.ncbi.nlm.nih.gov/protein/WP_324070581.1?report=genbank&amp;log$=prottop&amp;blast_rank=49&amp;RID=8XPKNVYR013" TargetMode="External"/><Relationship Id="rId114" Type="http://schemas.openxmlformats.org/officeDocument/2006/relationships/hyperlink" Target="https://www.ncbi.nlm.nih.gov/protein/WP_102510943.1?report=genbank&amp;log$=prottop&amp;blast_rank=114&amp;RID=8XPKNVYR013" TargetMode="External"/><Relationship Id="rId119" Type="http://schemas.openxmlformats.org/officeDocument/2006/relationships/hyperlink" Target="https://www.ncbi.nlm.nih.gov/protein/WP_142126128.1?report=genbank&amp;log$=prottop&amp;blast_rank=119&amp;RID=8XPKNVYR013" TargetMode="External"/><Relationship Id="rId44" Type="http://schemas.openxmlformats.org/officeDocument/2006/relationships/hyperlink" Target="https://www.ncbi.nlm.nih.gov/protein/WP_335612525.1?report=genbank&amp;log$=prottop&amp;blast_rank=44&amp;RID=8XPKNVYR013" TargetMode="External"/><Relationship Id="rId60" Type="http://schemas.openxmlformats.org/officeDocument/2006/relationships/hyperlink" Target="https://www.ncbi.nlm.nih.gov/protein/WP_312141309.1?report=genbank&amp;log$=prottop&amp;blast_rank=60&amp;RID=8XPKNVYR013" TargetMode="External"/><Relationship Id="rId65" Type="http://schemas.openxmlformats.org/officeDocument/2006/relationships/hyperlink" Target="https://www.ncbi.nlm.nih.gov/protein/WP_161716058.1?report=genbank&amp;log$=prottop&amp;blast_rank=65&amp;RID=8XPKNVYR013" TargetMode="External"/><Relationship Id="rId81" Type="http://schemas.openxmlformats.org/officeDocument/2006/relationships/hyperlink" Target="https://www.ncbi.nlm.nih.gov/protein/WP_291462140.1?report=genbank&amp;log$=prottop&amp;blast_rank=81&amp;RID=8XPKNVYR013" TargetMode="External"/><Relationship Id="rId86" Type="http://schemas.openxmlformats.org/officeDocument/2006/relationships/hyperlink" Target="https://www.ncbi.nlm.nih.gov/protein/WP_349957640.1?report=genbank&amp;log$=prottop&amp;blast_rank=86&amp;RID=8XPKNVYR013" TargetMode="External"/><Relationship Id="rId130" Type="http://schemas.openxmlformats.org/officeDocument/2006/relationships/hyperlink" Target="https://www.ncbi.nlm.nih.gov/protein/NQY22972.1?report=genbank&amp;log$=prottop&amp;blast_rank=130&amp;RID=8XPKNVYR013" TargetMode="External"/><Relationship Id="rId135" Type="http://schemas.openxmlformats.org/officeDocument/2006/relationships/hyperlink" Target="https://www.ncbi.nlm.nih.gov/protein/WP_076008720.1?report=genbank&amp;log$=prottop&amp;blast_rank=135&amp;RID=8XPKNVYR013" TargetMode="External"/><Relationship Id="rId13" Type="http://schemas.openxmlformats.org/officeDocument/2006/relationships/hyperlink" Target="https://www.ncbi.nlm.nih.gov/protein/WP_139111065.1?report=genbank&amp;log$=prottop&amp;blast_rank=13&amp;RID=8XPKNVYR013" TargetMode="External"/><Relationship Id="rId18" Type="http://schemas.openxmlformats.org/officeDocument/2006/relationships/hyperlink" Target="https://www.ncbi.nlm.nih.gov/protein/WP_267423107.1?report=genbank&amp;log$=prottop&amp;blast_rank=18&amp;RID=8XPKNVYR013" TargetMode="External"/><Relationship Id="rId39" Type="http://schemas.openxmlformats.org/officeDocument/2006/relationships/hyperlink" Target="https://www.ncbi.nlm.nih.gov/protein/WP_248376158.1?report=genbank&amp;log$=prottop&amp;blast_rank=39&amp;RID=8XPKNVYR013" TargetMode="External"/><Relationship Id="rId109" Type="http://schemas.openxmlformats.org/officeDocument/2006/relationships/hyperlink" Target="https://www.ncbi.nlm.nih.gov/protein/MBE3884713.1?report=genbank&amp;log$=prottop&amp;blast_rank=109&amp;RID=8XPKNVYR013" TargetMode="External"/><Relationship Id="rId34" Type="http://schemas.openxmlformats.org/officeDocument/2006/relationships/hyperlink" Target="https://www.ncbi.nlm.nih.gov/protein/HCH1532214.1?report=genbank&amp;log$=prottop&amp;blast_rank=34&amp;RID=8XPKNVYR013" TargetMode="External"/><Relationship Id="rId50" Type="http://schemas.openxmlformats.org/officeDocument/2006/relationships/hyperlink" Target="https://www.ncbi.nlm.nih.gov/protein/WP_107289414.1?report=genbank&amp;log$=prottop&amp;blast_rank=50&amp;RID=8XPKNVYR013" TargetMode="External"/><Relationship Id="rId55" Type="http://schemas.openxmlformats.org/officeDocument/2006/relationships/hyperlink" Target="https://www.ncbi.nlm.nih.gov/protein/EPJ44487.1?report=genbank&amp;log$=prottop&amp;blast_rank=55&amp;RID=8XPKNVYR013" TargetMode="External"/><Relationship Id="rId76" Type="http://schemas.openxmlformats.org/officeDocument/2006/relationships/hyperlink" Target="https://www.ncbi.nlm.nih.gov/protein/SHI15033.1?report=genbank&amp;log$=prottop&amp;blast_rank=76&amp;RID=8XPKNVYR013" TargetMode="External"/><Relationship Id="rId97" Type="http://schemas.openxmlformats.org/officeDocument/2006/relationships/hyperlink" Target="https://www.ncbi.nlm.nih.gov/protein/HAS8384597.1?report=genbank&amp;log$=prottop&amp;blast_rank=97&amp;RID=8XPKNVYR013" TargetMode="External"/><Relationship Id="rId104" Type="http://schemas.openxmlformats.org/officeDocument/2006/relationships/hyperlink" Target="https://www.ncbi.nlm.nih.gov/protein/WP_280556956.1?report=genbank&amp;log$=prottop&amp;blast_rank=104&amp;RID=8XPKNVYR013" TargetMode="External"/><Relationship Id="rId120" Type="http://schemas.openxmlformats.org/officeDocument/2006/relationships/hyperlink" Target="https://www.ncbi.nlm.nih.gov/protein/MBC2737470.1?report=genbank&amp;log$=prottop&amp;blast_rank=120&amp;RID=8XPKNVYR013" TargetMode="External"/><Relationship Id="rId125" Type="http://schemas.openxmlformats.org/officeDocument/2006/relationships/hyperlink" Target="https://www.ncbi.nlm.nih.gov/protein/WP_048662321.1?report=genbank&amp;log$=prottop&amp;blast_rank=125&amp;RID=8XPKNVYR013" TargetMode="External"/><Relationship Id="rId141" Type="http://schemas.openxmlformats.org/officeDocument/2006/relationships/hyperlink" Target="https://www.ncbi.nlm.nih.gov/protein/MCK4869949.1?report=genbank&amp;log$=prottop&amp;blast_rank=141&amp;RID=8XPKNVYR013" TargetMode="External"/><Relationship Id="rId146" Type="http://schemas.openxmlformats.org/officeDocument/2006/relationships/hyperlink" Target="https://www.ncbi.nlm.nih.gov/protein/WP_276398024.1?report=genbank&amp;log$=prottop&amp;blast_rank=146&amp;RID=8XPKNVYR013" TargetMode="External"/><Relationship Id="rId7" Type="http://schemas.openxmlformats.org/officeDocument/2006/relationships/hyperlink" Target="https://www.ncbi.nlm.nih.gov/protein/WP_130532104.1?report=genbank&amp;log$=prottop&amp;blast_rank=7&amp;RID=8XPKNVYR013" TargetMode="External"/><Relationship Id="rId71" Type="http://schemas.openxmlformats.org/officeDocument/2006/relationships/hyperlink" Target="https://www.ncbi.nlm.nih.gov/protein/WP_170910104.1?report=genbank&amp;log$=prottop&amp;blast_rank=71&amp;RID=8XPKNVYR013" TargetMode="External"/><Relationship Id="rId92" Type="http://schemas.openxmlformats.org/officeDocument/2006/relationships/hyperlink" Target="https://www.ncbi.nlm.nih.gov/protein/WP_130247475.1?report=genbank&amp;log$=prottop&amp;blast_rank=92&amp;RID=8XPKNVYR013" TargetMode="External"/><Relationship Id="rId2" Type="http://schemas.openxmlformats.org/officeDocument/2006/relationships/hyperlink" Target="https://www.ncbi.nlm.nih.gov/protein/WP_334179968.1?report=genbank&amp;log$=prottop&amp;blast_rank=2&amp;RID=8XPKNVYR013" TargetMode="External"/><Relationship Id="rId29" Type="http://schemas.openxmlformats.org/officeDocument/2006/relationships/hyperlink" Target="https://www.ncbi.nlm.nih.gov/protein/WP_312489773.1?report=genbank&amp;log$=prottop&amp;blast_rank=29&amp;RID=8XPKNVYR013" TargetMode="External"/><Relationship Id="rId24" Type="http://schemas.openxmlformats.org/officeDocument/2006/relationships/hyperlink" Target="https://www.ncbi.nlm.nih.gov/protein/WP_005483286.1?report=genbank&amp;log$=prottop&amp;blast_rank=24&amp;RID=8XPKNVYR013" TargetMode="External"/><Relationship Id="rId40" Type="http://schemas.openxmlformats.org/officeDocument/2006/relationships/hyperlink" Target="https://www.ncbi.nlm.nih.gov/protein/NOT89697.1?report=genbank&amp;log$=prottop&amp;blast_rank=40&amp;RID=8XPKNVYR013" TargetMode="External"/><Relationship Id="rId45" Type="http://schemas.openxmlformats.org/officeDocument/2006/relationships/hyperlink" Target="https://www.ncbi.nlm.nih.gov/protein/WP_153365615.1?report=genbank&amp;log$=prottop&amp;blast_rank=45&amp;RID=8XPKNVYR013" TargetMode="External"/><Relationship Id="rId66" Type="http://schemas.openxmlformats.org/officeDocument/2006/relationships/hyperlink" Target="https://www.ncbi.nlm.nih.gov/protein/MBA4001397.1?report=genbank&amp;log$=prottop&amp;blast_rank=66&amp;RID=8XPKNVYR013" TargetMode="External"/><Relationship Id="rId87" Type="http://schemas.openxmlformats.org/officeDocument/2006/relationships/hyperlink" Target="https://www.ncbi.nlm.nih.gov/protein/EGQ9152973.1?report=genbank&amp;log$=prottop&amp;blast_rank=87&amp;RID=8XPKNVYR013" TargetMode="External"/><Relationship Id="rId110" Type="http://schemas.openxmlformats.org/officeDocument/2006/relationships/hyperlink" Target="https://www.ncbi.nlm.nih.gov/protein/WP_140205991.1?report=genbank&amp;log$=prottop&amp;blast_rank=110&amp;RID=8XPKNVYR013" TargetMode="External"/><Relationship Id="rId115" Type="http://schemas.openxmlformats.org/officeDocument/2006/relationships/hyperlink" Target="https://www.ncbi.nlm.nih.gov/protein/CAC9552079.1?report=genbank&amp;log$=prottop&amp;blast_rank=115&amp;RID=8XPKNVYR013" TargetMode="External"/><Relationship Id="rId131" Type="http://schemas.openxmlformats.org/officeDocument/2006/relationships/hyperlink" Target="https://www.ncbi.nlm.nih.gov/protein/EJO3996592.1?report=genbank&amp;log$=prottop&amp;blast_rank=131&amp;RID=8XPKNVYR013" TargetMode="External"/><Relationship Id="rId136" Type="http://schemas.openxmlformats.org/officeDocument/2006/relationships/hyperlink" Target="https://www.ncbi.nlm.nih.gov/protein/WP_142546919.1?report=genbank&amp;log$=prottop&amp;blast_rank=136&amp;RID=8XPKNVYR013" TargetMode="External"/><Relationship Id="rId61" Type="http://schemas.openxmlformats.org/officeDocument/2006/relationships/hyperlink" Target="https://www.ncbi.nlm.nih.gov/protein/WP_102361795.1?report=genbank&amp;log$=prottop&amp;blast_rank=61&amp;RID=8XPKNVYR013" TargetMode="External"/><Relationship Id="rId82" Type="http://schemas.openxmlformats.org/officeDocument/2006/relationships/hyperlink" Target="https://www.ncbi.nlm.nih.gov/protein/WP_086993202.1?report=genbank&amp;log$=prottop&amp;blast_rank=82&amp;RID=8XPKNVYR013" TargetMode="External"/><Relationship Id="rId19" Type="http://schemas.openxmlformats.org/officeDocument/2006/relationships/hyperlink" Target="https://www.ncbi.nlm.nih.gov/protein/EJC6794069.1?report=genbank&amp;log$=prottop&amp;blast_rank=19&amp;RID=8XPKNVYR013" TargetMode="External"/><Relationship Id="rId14" Type="http://schemas.openxmlformats.org/officeDocument/2006/relationships/hyperlink" Target="https://www.ncbi.nlm.nih.gov/protein/WP_203479114.1?report=genbank&amp;log$=prottop&amp;blast_rank=14&amp;RID=8XPKNVYR013" TargetMode="External"/><Relationship Id="rId30" Type="http://schemas.openxmlformats.org/officeDocument/2006/relationships/hyperlink" Target="https://www.ncbi.nlm.nih.gov/protein/WP_225458394.1?report=genbank&amp;log$=prottop&amp;blast_rank=30&amp;RID=8XPKNVYR013" TargetMode="External"/><Relationship Id="rId35" Type="http://schemas.openxmlformats.org/officeDocument/2006/relationships/hyperlink" Target="https://www.ncbi.nlm.nih.gov/protein/WP_130248722.1?report=genbank&amp;log$=prottop&amp;blast_rank=35&amp;RID=8XPKNVYR013" TargetMode="External"/><Relationship Id="rId56" Type="http://schemas.openxmlformats.org/officeDocument/2006/relationships/hyperlink" Target="https://www.ncbi.nlm.nih.gov/protein/MBQ69395.1?report=genbank&amp;log$=prottop&amp;blast_rank=56&amp;RID=8XPKNVYR013" TargetMode="External"/><Relationship Id="rId77" Type="http://schemas.openxmlformats.org/officeDocument/2006/relationships/hyperlink" Target="https://www.ncbi.nlm.nih.gov/protein/WP_192197461.1?report=genbank&amp;log$=prottop&amp;blast_rank=77&amp;RID=8XPKNVYR013" TargetMode="External"/><Relationship Id="rId100" Type="http://schemas.openxmlformats.org/officeDocument/2006/relationships/hyperlink" Target="https://www.ncbi.nlm.nih.gov/protein/MBA4160494.1?report=genbank&amp;log$=prottop&amp;blast_rank=100&amp;RID=8XPKNVYR013" TargetMode="External"/><Relationship Id="rId105" Type="http://schemas.openxmlformats.org/officeDocument/2006/relationships/hyperlink" Target="https://www.ncbi.nlm.nih.gov/protein/WP_094766469.1?report=genbank&amp;log$=prottop&amp;blast_rank=105&amp;RID=8XPKNVYR013" TargetMode="External"/><Relationship Id="rId126" Type="http://schemas.openxmlformats.org/officeDocument/2006/relationships/hyperlink" Target="https://www.ncbi.nlm.nih.gov/protein/WP_301494737.1?report=genbank&amp;log$=prottop&amp;blast_rank=126&amp;RID=8XPKNVYR013" TargetMode="External"/><Relationship Id="rId147" Type="http://schemas.openxmlformats.org/officeDocument/2006/relationships/hyperlink" Target="https://www.ncbi.nlm.nih.gov/protein/WP_149145052.1?report=genbank&amp;log$=prottop&amp;blast_rank=147&amp;RID=8XPKNVYR013" TargetMode="External"/><Relationship Id="rId8" Type="http://schemas.openxmlformats.org/officeDocument/2006/relationships/hyperlink" Target="https://www.ncbi.nlm.nih.gov/protein/WP_273181265.1?report=genbank&amp;log$=prottop&amp;blast_rank=8&amp;RID=8XPKNVYR013" TargetMode="External"/><Relationship Id="rId51" Type="http://schemas.openxmlformats.org/officeDocument/2006/relationships/hyperlink" Target="https://www.ncbi.nlm.nih.gov/protein/MBS0377139.1?report=genbank&amp;log$=prottop&amp;blast_rank=51&amp;RID=8XPKNVYR013" TargetMode="External"/><Relationship Id="rId72" Type="http://schemas.openxmlformats.org/officeDocument/2006/relationships/hyperlink" Target="https://www.ncbi.nlm.nih.gov/protein/NQU52320.1?report=genbank&amp;log$=prottop&amp;blast_rank=72&amp;RID=8XPKNVYR013" TargetMode="External"/><Relationship Id="rId93" Type="http://schemas.openxmlformats.org/officeDocument/2006/relationships/hyperlink" Target="https://www.ncbi.nlm.nih.gov/protein/WP_139699490.1?report=genbank&amp;log$=prottop&amp;blast_rank=93&amp;RID=8XPKNVYR013" TargetMode="External"/><Relationship Id="rId98" Type="http://schemas.openxmlformats.org/officeDocument/2006/relationships/hyperlink" Target="https://www.ncbi.nlm.nih.gov/protein/WP_166744153.1?report=genbank&amp;log$=prottop&amp;blast_rank=98&amp;RID=8XPKNVYR013" TargetMode="External"/><Relationship Id="rId121" Type="http://schemas.openxmlformats.org/officeDocument/2006/relationships/hyperlink" Target="https://www.ncbi.nlm.nih.gov/protein/OQY01893.1?report=genbank&amp;log$=prottop&amp;blast_rank=121&amp;RID=8XPKNVYR013" TargetMode="External"/><Relationship Id="rId142" Type="http://schemas.openxmlformats.org/officeDocument/2006/relationships/hyperlink" Target="https://www.ncbi.nlm.nih.gov/protein/WP_095429906.1?report=genbank&amp;log$=prottop&amp;blast_rank=142&amp;RID=8XPKNVYR013" TargetMode="External"/><Relationship Id="rId3" Type="http://schemas.openxmlformats.org/officeDocument/2006/relationships/hyperlink" Target="https://www.ncbi.nlm.nih.gov/protein/WP_213361031.1?report=genbank&amp;log$=prottop&amp;blast_rank=3&amp;RID=8XPKNVYR013" TargetMode="External"/><Relationship Id="rId25" Type="http://schemas.openxmlformats.org/officeDocument/2006/relationships/hyperlink" Target="https://www.ncbi.nlm.nih.gov/protein/WP_186159961.1?report=genbank&amp;log$=prottop&amp;blast_rank=25&amp;RID=8XPKNVYR013" TargetMode="External"/><Relationship Id="rId46" Type="http://schemas.openxmlformats.org/officeDocument/2006/relationships/hyperlink" Target="https://www.ncbi.nlm.nih.gov/protein/ELB2157604.1?report=genbank&amp;log$=prottop&amp;blast_rank=46&amp;RID=8XPKNVYR013" TargetMode="External"/><Relationship Id="rId67" Type="http://schemas.openxmlformats.org/officeDocument/2006/relationships/hyperlink" Target="https://www.ncbi.nlm.nih.gov/protein/CAK3344663.1?report=genbank&amp;log$=prottop&amp;blast_rank=67&amp;RID=8XPKNVYR013" TargetMode="External"/><Relationship Id="rId116" Type="http://schemas.openxmlformats.org/officeDocument/2006/relationships/hyperlink" Target="https://www.ncbi.nlm.nih.gov/protein/WP_089111569.1?report=genbank&amp;log$=prottop&amp;blast_rank=116&amp;RID=8XPKNVYR013" TargetMode="External"/><Relationship Id="rId137" Type="http://schemas.openxmlformats.org/officeDocument/2006/relationships/hyperlink" Target="https://www.ncbi.nlm.nih.gov/protein/HDZ9207790.1?report=genbank&amp;log$=prottop&amp;blast_rank=137&amp;RID=8XPKNVYR013" TargetMode="External"/><Relationship Id="rId20" Type="http://schemas.openxmlformats.org/officeDocument/2006/relationships/hyperlink" Target="https://www.ncbi.nlm.nih.gov/protein/WP_069500530.1?report=genbank&amp;log$=prottop&amp;blast_rank=20&amp;RID=8XPKNVYR013" TargetMode="External"/><Relationship Id="rId41" Type="http://schemas.openxmlformats.org/officeDocument/2006/relationships/hyperlink" Target="https://www.ncbi.nlm.nih.gov/protein/WP_342959045.1?report=genbank&amp;log$=prottop&amp;blast_rank=41&amp;RID=8XPKNVYR013" TargetMode="External"/><Relationship Id="rId62" Type="http://schemas.openxmlformats.org/officeDocument/2006/relationships/hyperlink" Target="https://www.ncbi.nlm.nih.gov/protein/EGR1996166.1?report=genbank&amp;log$=prottop&amp;blast_rank=62&amp;RID=8XPKNVYR013" TargetMode="External"/><Relationship Id="rId83" Type="http://schemas.openxmlformats.org/officeDocument/2006/relationships/hyperlink" Target="https://www.ncbi.nlm.nih.gov/protein/WP_265572606.1?report=genbank&amp;log$=prottop&amp;blast_rank=83&amp;RID=8XPKNVYR013" TargetMode="External"/><Relationship Id="rId88" Type="http://schemas.openxmlformats.org/officeDocument/2006/relationships/hyperlink" Target="https://www.ncbi.nlm.nih.gov/protein/WP_039815875.1?report=genbank&amp;log$=prottop&amp;blast_rank=88&amp;RID=8XPKNVYR013" TargetMode="External"/><Relationship Id="rId111" Type="http://schemas.openxmlformats.org/officeDocument/2006/relationships/hyperlink" Target="https://www.ncbi.nlm.nih.gov/protein/ODP33055.1?report=genbank&amp;log$=prottop&amp;blast_rank=111&amp;RID=8XPKNVYR013" TargetMode="External"/><Relationship Id="rId132" Type="http://schemas.openxmlformats.org/officeDocument/2006/relationships/hyperlink" Target="https://www.ncbi.nlm.nih.gov/protein/HIC43849.1?report=genbank&amp;log$=prottop&amp;blast_rank=132&amp;RID=8XPKNVYR013" TargetMode="External"/><Relationship Id="rId15" Type="http://schemas.openxmlformats.org/officeDocument/2006/relationships/hyperlink" Target="https://www.ncbi.nlm.nih.gov/protein/WP_203513435.1?report=genbank&amp;log$=prottop&amp;blast_rank=15&amp;RID=8XPKNVYR013" TargetMode="External"/><Relationship Id="rId36" Type="http://schemas.openxmlformats.org/officeDocument/2006/relationships/hyperlink" Target="https://www.ncbi.nlm.nih.gov/protein/WP_277666475.1?report=genbank&amp;log$=prottop&amp;blast_rank=36&amp;RID=8XPKNVYR013" TargetMode="External"/><Relationship Id="rId57" Type="http://schemas.openxmlformats.org/officeDocument/2006/relationships/hyperlink" Target="https://www.ncbi.nlm.nih.gov/protein/WP_202288044.1?report=genbank&amp;log$=prottop&amp;blast_rank=57&amp;RID=8XPKNVYR013" TargetMode="External"/><Relationship Id="rId106" Type="http://schemas.openxmlformats.org/officeDocument/2006/relationships/hyperlink" Target="https://www.ncbi.nlm.nih.gov/protein/WP_067522814.1?report=genbank&amp;log$=prottop&amp;blast_rank=106&amp;RID=8XPKNVYR013" TargetMode="External"/><Relationship Id="rId127" Type="http://schemas.openxmlformats.org/officeDocument/2006/relationships/hyperlink" Target="https://www.ncbi.nlm.nih.gov/protein/WP_108196709.1?report=genbank&amp;log$=prottop&amp;blast_rank=127&amp;RID=8XPKNVYR013" TargetMode="External"/><Relationship Id="rId10" Type="http://schemas.openxmlformats.org/officeDocument/2006/relationships/hyperlink" Target="https://www.ncbi.nlm.nih.gov/protein/WP_139315599.1?report=genbank&amp;log$=prottop&amp;blast_rank=10&amp;RID=8XPKNVYR013" TargetMode="External"/><Relationship Id="rId31" Type="http://schemas.openxmlformats.org/officeDocument/2006/relationships/hyperlink" Target="https://www.ncbi.nlm.nih.gov/protein/WP_183950660.1?report=genbank&amp;log$=prottop&amp;blast_rank=31&amp;RID=8XPKNVYR013" TargetMode="External"/><Relationship Id="rId52" Type="http://schemas.openxmlformats.org/officeDocument/2006/relationships/hyperlink" Target="https://www.ncbi.nlm.nih.gov/protein/CAH6845690.1?report=genbank&amp;log$=prottop&amp;blast_rank=52&amp;RID=8XPKNVYR013" TargetMode="External"/><Relationship Id="rId73" Type="http://schemas.openxmlformats.org/officeDocument/2006/relationships/hyperlink" Target="https://www.ncbi.nlm.nih.gov/protein/MDP8263851.1?report=genbank&amp;log$=prottop&amp;blast_rank=73&amp;RID=8XPKNVYR013" TargetMode="External"/><Relationship Id="rId78" Type="http://schemas.openxmlformats.org/officeDocument/2006/relationships/hyperlink" Target="https://www.ncbi.nlm.nih.gov/protein/WP_151157676.1?report=genbank&amp;log$=prottop&amp;blast_rank=78&amp;RID=8XPKNVYR013" TargetMode="External"/><Relationship Id="rId94" Type="http://schemas.openxmlformats.org/officeDocument/2006/relationships/hyperlink" Target="https://www.ncbi.nlm.nih.gov/protein/WP_101226862.1?report=genbank&amp;log$=prottop&amp;blast_rank=94&amp;RID=8XPKNVYR013" TargetMode="External"/><Relationship Id="rId99" Type="http://schemas.openxmlformats.org/officeDocument/2006/relationships/hyperlink" Target="https://www.ncbi.nlm.nih.gov/protein/EJG0866341.1?report=genbank&amp;log$=prottop&amp;blast_rank=99&amp;RID=8XPKNVYR013" TargetMode="External"/><Relationship Id="rId101" Type="http://schemas.openxmlformats.org/officeDocument/2006/relationships/hyperlink" Target="https://www.ncbi.nlm.nih.gov/protein/WP_130273589.1?report=genbank&amp;log$=prottop&amp;blast_rank=101&amp;RID=8XPKNVYR013" TargetMode="External"/><Relationship Id="rId122" Type="http://schemas.openxmlformats.org/officeDocument/2006/relationships/hyperlink" Target="https://www.ncbi.nlm.nih.gov/protein/EHH0685068.1?report=genbank&amp;log$=prottop&amp;blast_rank=122&amp;RID=8XPKNVYR013" TargetMode="External"/><Relationship Id="rId143" Type="http://schemas.openxmlformats.org/officeDocument/2006/relationships/hyperlink" Target="https://www.ncbi.nlm.nih.gov/protein/WP_130270209.1?report=genbank&amp;log$=prottop&amp;blast_rank=143&amp;RID=8XPKNVYR013" TargetMode="External"/><Relationship Id="rId148" Type="http://schemas.openxmlformats.org/officeDocument/2006/relationships/hyperlink" Target="https://www.ncbi.nlm.nih.gov/protein/EKF9989419.1?report=genbank&amp;log$=prottop&amp;blast_rank=148&amp;RID=8XPKNVYR013" TargetMode="External"/><Relationship Id="rId4" Type="http://schemas.openxmlformats.org/officeDocument/2006/relationships/hyperlink" Target="https://www.ncbi.nlm.nih.gov/protein/WP_153946359.1?report=genbank&amp;log$=prottop&amp;blast_rank=4&amp;RID=8XPKNVYR013" TargetMode="External"/><Relationship Id="rId9" Type="http://schemas.openxmlformats.org/officeDocument/2006/relationships/hyperlink" Target="https://www.ncbi.nlm.nih.gov/protein/WP_292758205.1?report=genbank&amp;log$=prottop&amp;blast_rank=9&amp;RID=8XPKNVYR013" TargetMode="External"/><Relationship Id="rId26" Type="http://schemas.openxmlformats.org/officeDocument/2006/relationships/hyperlink" Target="https://www.ncbi.nlm.nih.gov/protein/WP_098415759.1?report=genbank&amp;log$=prottop&amp;blast_rank=26&amp;RID=8XPKNVYR013" TargetMode="External"/><Relationship Id="rId47" Type="http://schemas.openxmlformats.org/officeDocument/2006/relationships/hyperlink" Target="https://www.ncbi.nlm.nih.gov/protein/MCF9158313.1?report=genbank&amp;log$=prottop&amp;blast_rank=47&amp;RID=8XPKNVYR013" TargetMode="External"/><Relationship Id="rId68" Type="http://schemas.openxmlformats.org/officeDocument/2006/relationships/hyperlink" Target="https://www.ncbi.nlm.nih.gov/protein/WP_285953661.1?report=genbank&amp;log$=prottop&amp;blast_rank=68&amp;RID=8XPKNVYR013" TargetMode="External"/><Relationship Id="rId89" Type="http://schemas.openxmlformats.org/officeDocument/2006/relationships/hyperlink" Target="https://www.ncbi.nlm.nih.gov/protein/VVH64955.1?report=genbank&amp;log$=prottop&amp;blast_rank=89&amp;RID=8XPKNVYR013" TargetMode="External"/><Relationship Id="rId112" Type="http://schemas.openxmlformats.org/officeDocument/2006/relationships/hyperlink" Target="https://www.ncbi.nlm.nih.gov/protein/HAS6323074.1?report=genbank&amp;log$=prottop&amp;blast_rank=112&amp;RID=8XPKNVYR013" TargetMode="External"/><Relationship Id="rId133" Type="http://schemas.openxmlformats.org/officeDocument/2006/relationships/hyperlink" Target="https://www.ncbi.nlm.nih.gov/protein/WP_076646368.1?report=genbank&amp;log$=prottop&amp;blast_rank=133&amp;RID=8XPKNVYR013" TargetMode="External"/><Relationship Id="rId16" Type="http://schemas.openxmlformats.org/officeDocument/2006/relationships/hyperlink" Target="https://www.ncbi.nlm.nih.gov/protein/WP_204157856.1?report=genbank&amp;log$=prottop&amp;blast_rank=16&amp;RID=8XPKNVYR013" TargetMode="External"/><Relationship Id="rId37" Type="http://schemas.openxmlformats.org/officeDocument/2006/relationships/hyperlink" Target="https://www.ncbi.nlm.nih.gov/protein/WP_223995380.1?report=genbank&amp;log$=prottop&amp;blast_rank=37&amp;RID=8XPKNVYR013" TargetMode="External"/><Relationship Id="rId58" Type="http://schemas.openxmlformats.org/officeDocument/2006/relationships/hyperlink" Target="https://www.ncbi.nlm.nih.gov/protein/WP_260926708.1?report=genbank&amp;log$=prottop&amp;blast_rank=58&amp;RID=8XPKNVYR013" TargetMode="External"/><Relationship Id="rId79" Type="http://schemas.openxmlformats.org/officeDocument/2006/relationships/hyperlink" Target="https://www.ncbi.nlm.nih.gov/protein/CBX28063.1?report=genbank&amp;log$=prottop&amp;blast_rank=79&amp;RID=8XPKNVYR013" TargetMode="External"/><Relationship Id="rId102" Type="http://schemas.openxmlformats.org/officeDocument/2006/relationships/hyperlink" Target="https://www.ncbi.nlm.nih.gov/protein/MCE5341783.1?report=genbank&amp;log$=prottop&amp;blast_rank=102&amp;RID=8XPKNVYR013" TargetMode="External"/><Relationship Id="rId123" Type="http://schemas.openxmlformats.org/officeDocument/2006/relationships/hyperlink" Target="https://www.ncbi.nlm.nih.gov/protein/EIU7824647.1?report=genbank&amp;log$=prottop&amp;blast_rank=123&amp;RID=8XPKNVYR013" TargetMode="External"/><Relationship Id="rId144" Type="http://schemas.openxmlformats.org/officeDocument/2006/relationships/hyperlink" Target="https://www.ncbi.nlm.nih.gov/protein/WP_274445510.1?report=genbank&amp;log$=prottop&amp;blast_rank=144&amp;RID=8XPKNVYR013" TargetMode="External"/><Relationship Id="rId90" Type="http://schemas.openxmlformats.org/officeDocument/2006/relationships/hyperlink" Target="https://www.ncbi.nlm.nih.gov/protein/VVH55662.1?report=genbank&amp;log$=prottop&amp;blast_rank=90&amp;RID=8XPKNVYR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172E-E632-C749-8D4C-FDBC1E4044CE}">
  <dimension ref="A2:H474"/>
  <sheetViews>
    <sheetView tabSelected="1" workbookViewId="0">
      <selection activeCell="C37" sqref="C37"/>
    </sheetView>
  </sheetViews>
  <sheetFormatPr baseColWidth="10" defaultRowHeight="16"/>
  <cols>
    <col min="1" max="4" width="30.83203125" customWidth="1"/>
    <col min="5" max="5" width="30.83203125" style="4" customWidth="1"/>
    <col min="6" max="9" width="30.83203125" customWidth="1"/>
  </cols>
  <sheetData>
    <row r="2" spans="1:7" s="35" customFormat="1" ht="19">
      <c r="A2" s="29" t="s">
        <v>10</v>
      </c>
      <c r="B2" s="34" t="s">
        <v>11</v>
      </c>
      <c r="C2" s="34" t="s">
        <v>12</v>
      </c>
      <c r="D2" s="34" t="s">
        <v>13</v>
      </c>
      <c r="E2" s="26" t="s">
        <v>14</v>
      </c>
      <c r="G2" s="29"/>
    </row>
    <row r="3" spans="1:7">
      <c r="A3" s="15"/>
      <c r="B3" s="16"/>
      <c r="C3" s="16"/>
      <c r="D3" s="16"/>
      <c r="E3" s="7"/>
      <c r="G3" s="15"/>
    </row>
    <row r="4" spans="1:7">
      <c r="A4" s="2" t="s">
        <v>1084</v>
      </c>
      <c r="B4" s="16"/>
      <c r="C4" s="16"/>
      <c r="D4" s="16"/>
      <c r="E4" s="7"/>
      <c r="G4" s="15"/>
    </row>
    <row r="5" spans="1:7">
      <c r="A5" s="6" t="s">
        <v>15</v>
      </c>
      <c r="B5" s="17">
        <v>1</v>
      </c>
      <c r="C5" s="18">
        <v>5.9999999999999997E-141</v>
      </c>
      <c r="D5" s="19">
        <v>100</v>
      </c>
      <c r="E5" s="25" t="s">
        <v>1220</v>
      </c>
      <c r="G5" s="6"/>
    </row>
    <row r="6" spans="1:7">
      <c r="A6" s="6" t="s">
        <v>15</v>
      </c>
      <c r="B6" s="17">
        <v>1</v>
      </c>
      <c r="C6" s="18">
        <v>9.9999999999999998E-141</v>
      </c>
      <c r="D6" s="19">
        <v>100</v>
      </c>
      <c r="E6" s="25" t="s">
        <v>1221</v>
      </c>
      <c r="G6" s="6"/>
    </row>
    <row r="7" spans="1:7">
      <c r="A7" s="6" t="s">
        <v>15</v>
      </c>
      <c r="B7" s="17">
        <v>1</v>
      </c>
      <c r="C7" s="18">
        <v>2E-140</v>
      </c>
      <c r="D7" s="19">
        <v>100</v>
      </c>
      <c r="E7" s="25" t="s">
        <v>1222</v>
      </c>
      <c r="G7" s="6"/>
    </row>
    <row r="8" spans="1:7">
      <c r="A8" s="6" t="s">
        <v>15</v>
      </c>
      <c r="B8" s="17">
        <v>0.98</v>
      </c>
      <c r="C8" s="18">
        <v>7E-139</v>
      </c>
      <c r="D8" s="19">
        <v>100</v>
      </c>
      <c r="E8" s="25" t="s">
        <v>1223</v>
      </c>
      <c r="G8" s="6"/>
    </row>
    <row r="9" spans="1:7">
      <c r="A9" s="6" t="s">
        <v>15</v>
      </c>
      <c r="B9" s="17">
        <v>0.9</v>
      </c>
      <c r="C9" s="18">
        <v>1.9999999999999999E-126</v>
      </c>
      <c r="D9" s="19">
        <v>100</v>
      </c>
      <c r="E9" s="25" t="s">
        <v>1224</v>
      </c>
      <c r="G9" s="6"/>
    </row>
    <row r="10" spans="1:7">
      <c r="A10" s="6" t="s">
        <v>15</v>
      </c>
      <c r="B10" s="17">
        <v>1</v>
      </c>
      <c r="C10" s="18">
        <v>3.9999999999999999E-140</v>
      </c>
      <c r="D10" s="19">
        <v>99.64</v>
      </c>
      <c r="E10" s="25" t="s">
        <v>1225</v>
      </c>
      <c r="G10" s="6"/>
    </row>
    <row r="11" spans="1:7">
      <c r="A11" s="6" t="s">
        <v>15</v>
      </c>
      <c r="B11" s="17">
        <v>1</v>
      </c>
      <c r="C11" s="18">
        <v>5.0000000000000001E-140</v>
      </c>
      <c r="D11" s="19">
        <v>99.64</v>
      </c>
      <c r="E11" s="25" t="s">
        <v>1226</v>
      </c>
      <c r="G11" s="6"/>
    </row>
    <row r="12" spans="1:7">
      <c r="A12" s="6" t="s">
        <v>15</v>
      </c>
      <c r="B12" s="17">
        <v>0.89</v>
      </c>
      <c r="C12" s="18">
        <v>6E-124</v>
      </c>
      <c r="D12" s="19">
        <v>99.6</v>
      </c>
      <c r="E12" s="25" t="s">
        <v>1227</v>
      </c>
      <c r="G12" s="6"/>
    </row>
    <row r="13" spans="1:7">
      <c r="A13" s="6" t="s">
        <v>15</v>
      </c>
      <c r="B13" s="17">
        <v>1</v>
      </c>
      <c r="C13" s="18">
        <v>5.0000000000000001E-140</v>
      </c>
      <c r="D13" s="19">
        <v>99.27</v>
      </c>
      <c r="E13" s="25" t="s">
        <v>1228</v>
      </c>
      <c r="G13" s="6"/>
    </row>
    <row r="14" spans="1:7">
      <c r="A14" s="6" t="s">
        <v>15</v>
      </c>
      <c r="B14" s="17">
        <v>1</v>
      </c>
      <c r="C14" s="18">
        <v>6.0000000000000004E-140</v>
      </c>
      <c r="D14" s="19">
        <v>99.27</v>
      </c>
      <c r="E14" s="25" t="s">
        <v>1229</v>
      </c>
      <c r="G14" s="6"/>
    </row>
    <row r="15" spans="1:7">
      <c r="A15" s="6" t="s">
        <v>15</v>
      </c>
      <c r="B15" s="17">
        <v>0.85</v>
      </c>
      <c r="C15" s="18">
        <v>1E-117</v>
      </c>
      <c r="D15" s="19">
        <v>99.15</v>
      </c>
      <c r="E15" s="25" t="s">
        <v>1230</v>
      </c>
      <c r="G15" s="6"/>
    </row>
    <row r="16" spans="1:7">
      <c r="A16" s="6" t="s">
        <v>237</v>
      </c>
      <c r="B16" s="17">
        <v>1</v>
      </c>
      <c r="C16" s="18">
        <v>2.0000000000000001E-139</v>
      </c>
      <c r="D16" s="19">
        <v>97.09</v>
      </c>
      <c r="E16" s="25" t="s">
        <v>1231</v>
      </c>
      <c r="G16" s="6"/>
    </row>
    <row r="17" spans="1:7">
      <c r="A17" s="6" t="s">
        <v>237</v>
      </c>
      <c r="B17" s="17">
        <v>1</v>
      </c>
      <c r="C17" s="18">
        <v>2.0000000000000001E-139</v>
      </c>
      <c r="D17" s="19">
        <v>97.09</v>
      </c>
      <c r="E17" s="25" t="s">
        <v>1232</v>
      </c>
      <c r="G17" s="6"/>
    </row>
    <row r="18" spans="1:7">
      <c r="A18" s="6"/>
      <c r="B18" s="17"/>
      <c r="C18" s="18"/>
      <c r="D18" s="19"/>
      <c r="E18" s="25"/>
      <c r="G18" s="6"/>
    </row>
    <row r="20" spans="1:7">
      <c r="A20" s="22" t="s">
        <v>5</v>
      </c>
    </row>
    <row r="21" spans="1:7">
      <c r="A21" s="11" t="s">
        <v>15</v>
      </c>
      <c r="B21" s="9">
        <v>1</v>
      </c>
      <c r="C21" s="10">
        <v>8.0000000000000003E-56</v>
      </c>
      <c r="D21" s="5">
        <v>100</v>
      </c>
      <c r="E21" s="4" t="str">
        <f>HYPERLINK("https://www.ncbi.nlm.nih.gov/protein/ARC19819.1?report=genbank&amp;log$=prottop&amp;blast_rank=1&amp;RID=8XR20NMX013","ARC19819.1")</f>
        <v>ARC19819.1</v>
      </c>
    </row>
    <row r="22" spans="1:7">
      <c r="A22" s="11" t="s">
        <v>15</v>
      </c>
      <c r="B22" s="9">
        <v>0.97</v>
      </c>
      <c r="C22" s="10">
        <v>5E-53</v>
      </c>
      <c r="D22" s="5">
        <v>100</v>
      </c>
      <c r="E22" s="4" t="str">
        <f>HYPERLINK("https://www.ncbi.nlm.nih.gov/protein/WP_229651164.1?report=genbank&amp;log$=prottop&amp;blast_rank=4&amp;RID=8XR20NMX013","WP_229651164.1")</f>
        <v>WP_229651164.1</v>
      </c>
    </row>
    <row r="23" spans="1:7">
      <c r="A23" s="11" t="s">
        <v>15</v>
      </c>
      <c r="B23" s="9">
        <v>0.89</v>
      </c>
      <c r="C23" s="10">
        <v>2.0000000000000002E-43</v>
      </c>
      <c r="D23" s="5">
        <v>100</v>
      </c>
      <c r="E23" s="4" t="str">
        <f>HYPERLINK("https://www.ncbi.nlm.nih.gov/protein/WP_024699215.1?report=genbank&amp;log$=prottop&amp;blast_rank=9&amp;RID=8XR20NMX013","WP_024699215.1")</f>
        <v>WP_024699215.1</v>
      </c>
    </row>
    <row r="24" spans="1:7">
      <c r="A24" s="11" t="s">
        <v>15</v>
      </c>
      <c r="B24" s="9">
        <v>0.86</v>
      </c>
      <c r="C24" s="10">
        <v>7.0000000000000003E-40</v>
      </c>
      <c r="D24" s="5">
        <v>100</v>
      </c>
      <c r="E24" s="4" t="str">
        <f>HYPERLINK("https://www.ncbi.nlm.nih.gov/protein/MCF9531577.1?report=genbank&amp;log$=prottop&amp;blast_rank=32&amp;RID=8XR20NMX013","MCF9531577.1")</f>
        <v>MCF9531577.1</v>
      </c>
    </row>
    <row r="25" spans="1:7">
      <c r="A25" s="11" t="s">
        <v>15</v>
      </c>
      <c r="B25" s="9">
        <v>1</v>
      </c>
      <c r="C25" s="10">
        <v>9.9999999999999999E-56</v>
      </c>
      <c r="D25" s="5">
        <v>99.39</v>
      </c>
      <c r="E25" s="4" t="str">
        <f>HYPERLINK("https://www.ncbi.nlm.nih.gov/protein/MBM5323077.1?report=genbank&amp;log$=prottop&amp;blast_rank=2&amp;RID=8XR20NMX013","MBM5323077.1")</f>
        <v>MBM5323077.1</v>
      </c>
    </row>
    <row r="26" spans="1:7">
      <c r="A26" s="11" t="s">
        <v>15</v>
      </c>
      <c r="B26" s="9">
        <v>1</v>
      </c>
      <c r="C26" s="10">
        <v>2.0000000000000001E-54</v>
      </c>
      <c r="D26" s="5">
        <v>99.39</v>
      </c>
      <c r="E26" s="4" t="str">
        <f>HYPERLINK("https://www.ncbi.nlm.nih.gov/protein/HCH3309029.1?report=genbank&amp;log$=prottop&amp;blast_rank=3&amp;RID=8XR20NMX013","HCH3309029.1")</f>
        <v>HCH3309029.1</v>
      </c>
    </row>
    <row r="27" spans="1:7">
      <c r="A27" s="11" t="s">
        <v>15</v>
      </c>
      <c r="B27" s="9">
        <v>0.89</v>
      </c>
      <c r="C27" s="10">
        <v>1.0000000000000001E-43</v>
      </c>
      <c r="D27" s="5">
        <v>99.32</v>
      </c>
      <c r="E27" s="4" t="str">
        <f>HYPERLINK("https://www.ncbi.nlm.nih.gov/protein/WP_053321335.1?report=genbank&amp;log$=prottop&amp;blast_rank=8&amp;RID=8XR20NMX013","WP_053321335.1")</f>
        <v>WP_053321335.1</v>
      </c>
    </row>
    <row r="28" spans="1:7">
      <c r="A28" s="11" t="s">
        <v>954</v>
      </c>
      <c r="B28" s="9">
        <v>0.89</v>
      </c>
      <c r="C28" s="10">
        <v>2.0000000000000002E-43</v>
      </c>
      <c r="D28" s="5">
        <v>98.65</v>
      </c>
      <c r="E28" s="4" t="str">
        <f>HYPERLINK("https://www.ncbi.nlm.nih.gov/protein/WP_319554030.1?report=genbank&amp;log$=prottop&amp;blast_rank=10&amp;RID=8XR20NMX013","WP_319554030.1")</f>
        <v>WP_319554030.1</v>
      </c>
    </row>
    <row r="29" spans="1:7">
      <c r="A29" s="11" t="s">
        <v>15</v>
      </c>
      <c r="B29" s="9">
        <v>0.98</v>
      </c>
      <c r="C29" s="10">
        <v>1E-51</v>
      </c>
      <c r="D29" s="5">
        <v>97.53</v>
      </c>
      <c r="E29" s="4" t="str">
        <f>HYPERLINK("https://www.ncbi.nlm.nih.gov/protein/EGU9028681.1?report=genbank&amp;log$=prottop&amp;blast_rank=5&amp;RID=8XR20NMX013","EGU9028681.1")</f>
        <v>EGU9028681.1</v>
      </c>
    </row>
    <row r="30" spans="1:7">
      <c r="A30" s="11" t="s">
        <v>15</v>
      </c>
      <c r="B30" s="9">
        <v>0.98</v>
      </c>
      <c r="C30" s="10">
        <v>6E-51</v>
      </c>
      <c r="D30" s="5">
        <v>97.53</v>
      </c>
      <c r="E30" s="4" t="str">
        <f>HYPERLINK("https://www.ncbi.nlm.nih.gov/protein/WP_257972158.1?report=genbank&amp;log$=prottop&amp;blast_rank=6&amp;RID=8XR20NMX013","WP_257972158.1")</f>
        <v>WP_257972158.1</v>
      </c>
    </row>
    <row r="31" spans="1:7">
      <c r="A31" s="11" t="s">
        <v>15</v>
      </c>
      <c r="B31" s="9">
        <v>0.98</v>
      </c>
      <c r="C31" s="10">
        <v>8.9999999999999995E-51</v>
      </c>
      <c r="D31" s="5">
        <v>97.53</v>
      </c>
      <c r="E31" s="4" t="str">
        <f>HYPERLINK("https://www.ncbi.nlm.nih.gov/protein/TOI28022.1?report=genbank&amp;log$=prottop&amp;blast_rank=7&amp;RID=8XR20NMX013","TOI28022.1")</f>
        <v>TOI28022.1</v>
      </c>
    </row>
    <row r="32" spans="1:7">
      <c r="A32" s="11" t="s">
        <v>715</v>
      </c>
      <c r="B32" s="9">
        <v>0.89</v>
      </c>
      <c r="C32" s="10">
        <v>4.0000000000000003E-43</v>
      </c>
      <c r="D32" s="5">
        <v>97.3</v>
      </c>
      <c r="E32" s="4" t="str">
        <f>HYPERLINK("https://www.ncbi.nlm.nih.gov/protein/WP_255959590.1?report=genbank&amp;log$=prottop&amp;blast_rank=13&amp;RID=8XR20NMX013","WP_255959590.1")</f>
        <v>WP_255959590.1</v>
      </c>
    </row>
    <row r="33" spans="1:5">
      <c r="A33" s="11" t="s">
        <v>15</v>
      </c>
      <c r="B33" s="9">
        <v>0.89</v>
      </c>
      <c r="C33" s="10">
        <v>2.0000000000000002E-43</v>
      </c>
      <c r="D33" s="5">
        <v>95.95</v>
      </c>
      <c r="E33" s="4" t="str">
        <f>HYPERLINK("https://www.ncbi.nlm.nih.gov/protein/MBE4731063.1?report=genbank&amp;log$=prottop&amp;blast_rank=11&amp;RID=8XR20NMX013","MBE4731063.1")</f>
        <v>MBE4731063.1</v>
      </c>
    </row>
    <row r="34" spans="1:5">
      <c r="A34" s="11" t="s">
        <v>15</v>
      </c>
      <c r="B34" s="9">
        <v>0.89</v>
      </c>
      <c r="C34" s="10">
        <v>2.0000000000000002E-43</v>
      </c>
      <c r="D34" s="5">
        <v>95.27</v>
      </c>
      <c r="E34" s="4" t="str">
        <f>HYPERLINK("https://www.ncbi.nlm.nih.gov/protein/MDF4805207.1?report=genbank&amp;log$=prottop&amp;blast_rank=12&amp;RID=8XR20NMX013","MDF4805207.1")</f>
        <v>MDF4805207.1</v>
      </c>
    </row>
    <row r="35" spans="1:5">
      <c r="A35" s="11" t="s">
        <v>956</v>
      </c>
      <c r="B35" s="9">
        <v>0.88</v>
      </c>
      <c r="C35" s="10">
        <v>4.0000000000000002E-42</v>
      </c>
      <c r="D35" s="5">
        <v>73.97</v>
      </c>
      <c r="E35" s="4" t="str">
        <f>HYPERLINK("https://www.ncbi.nlm.nih.gov/protein/WP_325780608.1?report=genbank&amp;log$=prottop&amp;blast_rank=15&amp;RID=8XR20NMX013","WP_325780608.1")</f>
        <v>WP_325780608.1</v>
      </c>
    </row>
    <row r="36" spans="1:5">
      <c r="A36" s="11" t="s">
        <v>961</v>
      </c>
      <c r="B36" s="9">
        <v>0.89</v>
      </c>
      <c r="C36" s="10">
        <v>6.0000000000000004E-40</v>
      </c>
      <c r="D36" s="5">
        <v>73.650000000000006</v>
      </c>
      <c r="E36" s="4" t="str">
        <f>HYPERLINK("https://www.ncbi.nlm.nih.gov/protein/WP_009842434.1?report=genbank&amp;log$=prottop&amp;blast_rank=30&amp;RID=8XR20NMX013","WP_009842434.1")</f>
        <v>WP_009842434.1</v>
      </c>
    </row>
    <row r="37" spans="1:5">
      <c r="A37" s="23"/>
    </row>
    <row r="38" spans="1:5">
      <c r="A38" s="23"/>
    </row>
    <row r="39" spans="1:5">
      <c r="A39" s="12" t="s">
        <v>2</v>
      </c>
    </row>
    <row r="40" spans="1:5">
      <c r="A40" s="11" t="s">
        <v>15</v>
      </c>
      <c r="B40" s="9">
        <v>1</v>
      </c>
      <c r="C40" s="10">
        <v>2.0000000000000001E-166</v>
      </c>
      <c r="D40" s="5">
        <v>100</v>
      </c>
      <c r="E40" s="4" t="str">
        <f>HYPERLINK("https://www.ncbi.nlm.nih.gov/protein/WP_237666972.1?report=genbank&amp;log$=prottop&amp;blast_rank=1&amp;RID=8XKC7BRC016","WP_237666972.1")</f>
        <v>WP_237666972.1</v>
      </c>
    </row>
    <row r="41" spans="1:5">
      <c r="A41" s="11" t="s">
        <v>15</v>
      </c>
      <c r="B41" s="9">
        <v>1</v>
      </c>
      <c r="C41" s="10">
        <v>3.0000000000000003E-166</v>
      </c>
      <c r="D41" s="5">
        <v>100</v>
      </c>
      <c r="E41" s="4" t="str">
        <f>HYPERLINK("https://www.ncbi.nlm.nih.gov/protein/WP_240496064.1?report=genbank&amp;log$=prottop&amp;blast_rank=2&amp;RID=8XKC7BRC016","WP_240496064.1")</f>
        <v>WP_240496064.1</v>
      </c>
    </row>
    <row r="42" spans="1:5">
      <c r="A42" s="11" t="s">
        <v>15</v>
      </c>
      <c r="B42" s="9">
        <v>1</v>
      </c>
      <c r="C42" s="10">
        <v>8.0000000000000003E-166</v>
      </c>
      <c r="D42" s="5">
        <v>100</v>
      </c>
      <c r="E42" s="4" t="str">
        <f>HYPERLINK("https://www.ncbi.nlm.nih.gov/protein/WP_254424604.1?report=genbank&amp;log$=prottop&amp;blast_rank=3&amp;RID=8XKC7BRC016","WP_254424604.1")</f>
        <v>WP_254424604.1</v>
      </c>
    </row>
    <row r="43" spans="1:5">
      <c r="A43" s="11" t="s">
        <v>15</v>
      </c>
      <c r="B43" s="9">
        <v>1</v>
      </c>
      <c r="C43" s="10">
        <v>2E-165</v>
      </c>
      <c r="D43" s="5">
        <v>100</v>
      </c>
      <c r="E43" s="4" t="str">
        <f>HYPERLINK("https://www.ncbi.nlm.nih.gov/protein/WP_005483289.1?report=genbank&amp;log$=prottop&amp;blast_rank=4&amp;RID=8XKC7BRC016","WP_005483289.1")</f>
        <v>WP_005483289.1</v>
      </c>
    </row>
    <row r="44" spans="1:5">
      <c r="A44" s="11" t="s">
        <v>15</v>
      </c>
      <c r="B44" s="9">
        <v>0.99</v>
      </c>
      <c r="C44" s="10">
        <v>1.9999999999999999E-164</v>
      </c>
      <c r="D44" s="5">
        <v>100</v>
      </c>
      <c r="E44" s="4" t="str">
        <f>HYPERLINK("https://www.ncbi.nlm.nih.gov/protein/WP_025581421.1?report=genbank&amp;log$=prottop&amp;blast_rank=8&amp;RID=8XKC7BRC016","WP_025581421.1")</f>
        <v>WP_025581421.1</v>
      </c>
    </row>
    <row r="45" spans="1:5">
      <c r="A45" s="11" t="s">
        <v>15</v>
      </c>
      <c r="B45" s="9">
        <v>0.99</v>
      </c>
      <c r="C45" s="10">
        <v>9.9999999999999992E-164</v>
      </c>
      <c r="D45" s="5">
        <v>100</v>
      </c>
      <c r="E45" s="4" t="str">
        <f>HYPERLINK("https://www.ncbi.nlm.nih.gov/protein/WP_238774868.1?report=genbank&amp;log$=prottop&amp;blast_rank=10&amp;RID=8XKC7BRC016","WP_238774868.1")</f>
        <v>WP_238774868.1</v>
      </c>
    </row>
    <row r="46" spans="1:5">
      <c r="A46" s="11" t="s">
        <v>15</v>
      </c>
      <c r="B46" s="9">
        <v>0.99</v>
      </c>
      <c r="C46" s="10">
        <v>9.9999999999999995E-163</v>
      </c>
      <c r="D46" s="5">
        <v>100</v>
      </c>
      <c r="E46" s="4" t="str">
        <f>HYPERLINK("https://www.ncbi.nlm.nih.gov/protein/MCG6528883.1?report=genbank&amp;log$=prottop&amp;blast_rank=12&amp;RID=8XKC7BRC016","MCG6528883.1")</f>
        <v>MCG6528883.1</v>
      </c>
    </row>
    <row r="47" spans="1:5">
      <c r="A47" s="11" t="s">
        <v>15</v>
      </c>
      <c r="B47" s="9">
        <v>0.98</v>
      </c>
      <c r="C47" s="10">
        <v>3.9999999999999998E-162</v>
      </c>
      <c r="D47" s="5">
        <v>100</v>
      </c>
      <c r="E47" s="4" t="str">
        <f>HYPERLINK("https://www.ncbi.nlm.nih.gov/protein/MCG6523385.1?report=genbank&amp;log$=prottop&amp;blast_rank=14&amp;RID=8XKC7BRC016","MCG6523385.1")</f>
        <v>MCG6523385.1</v>
      </c>
    </row>
    <row r="48" spans="1:5">
      <c r="A48" s="11" t="s">
        <v>15</v>
      </c>
      <c r="B48" s="9">
        <v>0.98</v>
      </c>
      <c r="C48" s="10">
        <v>2.9999999999999999E-161</v>
      </c>
      <c r="D48" s="5">
        <v>100</v>
      </c>
      <c r="E48" s="4" t="str">
        <f>HYPERLINK("https://www.ncbi.nlm.nih.gov/protein/WP_348617021.1?report=genbank&amp;log$=prottop&amp;blast_rank=15&amp;RID=8XKC7BRC016","WP_348617021.1")</f>
        <v>WP_348617021.1</v>
      </c>
    </row>
    <row r="49" spans="1:5">
      <c r="A49" s="11" t="s">
        <v>15</v>
      </c>
      <c r="B49" s="9">
        <v>0.98</v>
      </c>
      <c r="C49" s="10">
        <v>7.0000000000000004E-161</v>
      </c>
      <c r="D49" s="5">
        <v>100</v>
      </c>
      <c r="E49" s="4" t="str">
        <f>HYPERLINK("https://www.ncbi.nlm.nih.gov/protein/WP_238819355.1?report=genbank&amp;log$=prottop&amp;blast_rank=17&amp;RID=8XKC7BRC016","WP_238819355.1")</f>
        <v>WP_238819355.1</v>
      </c>
    </row>
    <row r="50" spans="1:5">
      <c r="A50" s="11" t="s">
        <v>15</v>
      </c>
      <c r="B50" s="9">
        <v>0.97</v>
      </c>
      <c r="C50" s="10">
        <v>2.0000000000000001E-156</v>
      </c>
      <c r="D50" s="5">
        <v>100</v>
      </c>
      <c r="E50" s="4" t="str">
        <f>HYPERLINK("https://www.ncbi.nlm.nih.gov/protein/WP_031828544.1?report=genbank&amp;log$=prottop&amp;blast_rank=20&amp;RID=8XKC7BRC016","WP_031828544.1")</f>
        <v>WP_031828544.1</v>
      </c>
    </row>
    <row r="51" spans="1:5">
      <c r="A51" s="11" t="s">
        <v>15</v>
      </c>
      <c r="B51" s="9">
        <v>0.95</v>
      </c>
      <c r="C51" s="10">
        <v>2.0000000000000001E-152</v>
      </c>
      <c r="D51" s="5">
        <v>100</v>
      </c>
      <c r="E51" s="4" t="str">
        <f>HYPERLINK("https://www.ncbi.nlm.nih.gov/protein/WP_024699216.1?report=genbank&amp;log$=prottop&amp;blast_rank=25&amp;RID=8XKC7BRC016","WP_024699216.1")</f>
        <v>WP_024699216.1</v>
      </c>
    </row>
    <row r="52" spans="1:5">
      <c r="A52" s="11" t="s">
        <v>15</v>
      </c>
      <c r="B52" s="9">
        <v>0.95</v>
      </c>
      <c r="C52" s="10">
        <v>9.9999999999999994E-152</v>
      </c>
      <c r="D52" s="5">
        <v>100</v>
      </c>
      <c r="E52" s="4" t="str">
        <f>HYPERLINK("https://www.ncbi.nlm.nih.gov/protein/EGR2823148.1?report=genbank&amp;log$=prottop&amp;blast_rank=27&amp;RID=8XKC7BRC016","EGR2823148.1")</f>
        <v>EGR2823148.1</v>
      </c>
    </row>
    <row r="53" spans="1:5">
      <c r="A53" s="11" t="s">
        <v>15</v>
      </c>
      <c r="B53" s="9">
        <v>0.93</v>
      </c>
      <c r="C53" s="10">
        <v>8.9999999999999996E-149</v>
      </c>
      <c r="D53" s="5">
        <v>100</v>
      </c>
      <c r="E53" s="4" t="str">
        <f>HYPERLINK("https://www.ncbi.nlm.nih.gov/protein/WP_073514062.1?report=genbank&amp;log$=prottop&amp;blast_rank=32&amp;RID=8XKC7BRC016","WP_073514062.1")</f>
        <v>WP_073514062.1</v>
      </c>
    </row>
    <row r="54" spans="1:5">
      <c r="A54" s="11" t="s">
        <v>15</v>
      </c>
      <c r="B54" s="9">
        <v>0.93</v>
      </c>
      <c r="C54" s="10">
        <v>1.9999999999999999E-148</v>
      </c>
      <c r="D54" s="5">
        <v>100</v>
      </c>
      <c r="E54" s="4" t="str">
        <f>HYPERLINK("https://www.ncbi.nlm.nih.gov/protein/WP_079749463.1?report=genbank&amp;log$=prottop&amp;blast_rank=35&amp;RID=8XKC7BRC016","WP_079749463.1")</f>
        <v>WP_079749463.1</v>
      </c>
    </row>
    <row r="55" spans="1:5">
      <c r="A55" s="11" t="s">
        <v>15</v>
      </c>
      <c r="B55" s="9">
        <v>0.92</v>
      </c>
      <c r="C55" s="10">
        <v>9.9999999999999991E-146</v>
      </c>
      <c r="D55" s="5">
        <v>100</v>
      </c>
      <c r="E55" s="4" t="str">
        <f>HYPERLINK("https://www.ncbi.nlm.nih.gov/protein/WP_228767721.1?report=genbank&amp;log$=prottop&amp;blast_rank=38&amp;RID=8XKC7BRC016","WP_228767721.1")</f>
        <v>WP_228767721.1</v>
      </c>
    </row>
    <row r="56" spans="1:5">
      <c r="A56" s="11" t="s">
        <v>15</v>
      </c>
      <c r="B56" s="9">
        <v>0.89</v>
      </c>
      <c r="C56" s="10">
        <v>2.9999999999999999E-143</v>
      </c>
      <c r="D56" s="5">
        <v>100</v>
      </c>
      <c r="E56" s="4" t="str">
        <f>HYPERLINK("https://www.ncbi.nlm.nih.gov/protein/EGR1995982.1?report=genbank&amp;log$=prottop&amp;blast_rank=39&amp;RID=8XKC7BRC016","EGR1995982.1")</f>
        <v>EGR1995982.1</v>
      </c>
    </row>
    <row r="57" spans="1:5">
      <c r="A57" s="11" t="s">
        <v>15</v>
      </c>
      <c r="B57" s="9">
        <v>0.88</v>
      </c>
      <c r="C57" s="10">
        <v>6.0000000000000002E-142</v>
      </c>
      <c r="D57" s="5">
        <v>100</v>
      </c>
      <c r="E57" s="4" t="str">
        <f>HYPERLINK("https://www.ncbi.nlm.nih.gov/protein/EGR1221347.1?report=genbank&amp;log$=prottop&amp;blast_rank=40&amp;RID=8XKC7BRC016","EGR1221347.1")</f>
        <v>EGR1221347.1</v>
      </c>
    </row>
    <row r="58" spans="1:5">
      <c r="A58" s="11" t="s">
        <v>15</v>
      </c>
      <c r="B58" s="9">
        <v>0.87</v>
      </c>
      <c r="C58" s="10">
        <v>9.9999999999999998E-141</v>
      </c>
      <c r="D58" s="5">
        <v>100</v>
      </c>
      <c r="E58" s="4" t="str">
        <f>HYPERLINK("https://www.ncbi.nlm.nih.gov/protein/EGR2151722.1?report=genbank&amp;log$=prottop&amp;blast_rank=41&amp;RID=8XKC7BRC016","EGR2151722.1")</f>
        <v>EGR2151722.1</v>
      </c>
    </row>
    <row r="59" spans="1:5">
      <c r="A59" s="11" t="s">
        <v>15</v>
      </c>
      <c r="B59" s="9">
        <v>0.85</v>
      </c>
      <c r="C59" s="10">
        <v>3.0000000000000002E-133</v>
      </c>
      <c r="D59" s="5">
        <v>100</v>
      </c>
      <c r="E59" s="4" t="str">
        <f>HYPERLINK("https://www.ncbi.nlm.nih.gov/protein/EGR3097098.1?report=genbank&amp;log$=prottop&amp;blast_rank=42&amp;RID=8XKC7BRC016","EGR3097098.1")</f>
        <v>EGR3097098.1</v>
      </c>
    </row>
    <row r="60" spans="1:5">
      <c r="A60" s="11" t="s">
        <v>15</v>
      </c>
      <c r="B60" s="9">
        <v>1</v>
      </c>
      <c r="C60" s="10">
        <v>2.9999999999999998E-165</v>
      </c>
      <c r="D60" s="5">
        <v>99.74</v>
      </c>
      <c r="E60" s="4" t="str">
        <f>HYPERLINK("https://www.ncbi.nlm.nih.gov/protein/MCF9698638.1?report=genbank&amp;log$=prottop&amp;blast_rank=5&amp;RID=8XKC7BRC016","MCF9698638.1")</f>
        <v>MCF9698638.1</v>
      </c>
    </row>
    <row r="61" spans="1:5">
      <c r="A61" s="11" t="s">
        <v>15</v>
      </c>
      <c r="B61" s="9">
        <v>1</v>
      </c>
      <c r="C61" s="10">
        <v>2.9999999999999998E-165</v>
      </c>
      <c r="D61" s="5">
        <v>99.74</v>
      </c>
      <c r="E61" s="4" t="str">
        <f>HYPERLINK("https://www.ncbi.nlm.nih.gov/protein/MCF9512993.1?report=genbank&amp;log$=prottop&amp;blast_rank=6&amp;RID=8XKC7BRC016","MCF9512993.1")</f>
        <v>MCF9512993.1</v>
      </c>
    </row>
    <row r="62" spans="1:5">
      <c r="A62" s="11" t="s">
        <v>15</v>
      </c>
      <c r="B62" s="9">
        <v>1</v>
      </c>
      <c r="C62" s="10">
        <v>9.9999999999999996E-165</v>
      </c>
      <c r="D62" s="5">
        <v>99.74</v>
      </c>
      <c r="E62" s="4" t="str">
        <f>HYPERLINK("https://www.ncbi.nlm.nih.gov/protein/TNY63656.1?report=genbank&amp;log$=prottop&amp;blast_rank=7&amp;RID=8XKC7BRC016","TNY63656.1")</f>
        <v>TNY63656.1</v>
      </c>
    </row>
    <row r="63" spans="1:5">
      <c r="A63" s="11" t="s">
        <v>15</v>
      </c>
      <c r="B63" s="9">
        <v>0.98</v>
      </c>
      <c r="C63" s="10">
        <v>7E-159</v>
      </c>
      <c r="D63" s="5">
        <v>99.74</v>
      </c>
      <c r="E63" s="4" t="str">
        <f>HYPERLINK("https://www.ncbi.nlm.nih.gov/protein/WP_025621206.1?report=genbank&amp;log$=prottop&amp;blast_rank=18&amp;RID=8XKC7BRC016","WP_025621206.1")</f>
        <v>WP_025621206.1</v>
      </c>
    </row>
    <row r="64" spans="1:5">
      <c r="A64" s="11" t="s">
        <v>15</v>
      </c>
      <c r="B64" s="9">
        <v>0.95</v>
      </c>
      <c r="C64" s="10">
        <v>4.9999999999999997E-152</v>
      </c>
      <c r="D64" s="5">
        <v>99.73</v>
      </c>
      <c r="E64" s="4" t="str">
        <f>HYPERLINK("https://www.ncbi.nlm.nih.gov/protein/HCH2269868.1?report=genbank&amp;log$=prottop&amp;blast_rank=26&amp;RID=8XKC7BRC016","HCH2269868.1")</f>
        <v>HCH2269868.1</v>
      </c>
    </row>
    <row r="65" spans="1:5">
      <c r="A65" s="11" t="s">
        <v>15</v>
      </c>
      <c r="B65" s="9">
        <v>0.94</v>
      </c>
      <c r="C65" s="10">
        <v>4.9999999999999999E-150</v>
      </c>
      <c r="D65" s="5">
        <v>99.73</v>
      </c>
      <c r="E65" s="4" t="str">
        <f>HYPERLINK("https://www.ncbi.nlm.nih.gov/protein/OAR07415.1?report=genbank&amp;log$=prottop&amp;blast_rank=29&amp;RID=8XKC7BRC016","OAR07415.1")</f>
        <v>OAR07415.1</v>
      </c>
    </row>
    <row r="66" spans="1:5">
      <c r="A66" s="11" t="s">
        <v>16</v>
      </c>
      <c r="B66" s="9">
        <v>0.93</v>
      </c>
      <c r="C66" s="10">
        <v>9.9999999999999994E-149</v>
      </c>
      <c r="D66" s="5">
        <v>99.73</v>
      </c>
      <c r="E66" s="4" t="str">
        <f>HYPERLINK("https://www.ncbi.nlm.nih.gov/protein/WP_216358466.1?report=genbank&amp;log$=prottop&amp;blast_rank=33&amp;RID=8XKC7BRC016","WP_216358466.1")</f>
        <v>WP_216358466.1</v>
      </c>
    </row>
    <row r="67" spans="1:5">
      <c r="A67" s="11" t="s">
        <v>15</v>
      </c>
      <c r="B67" s="9">
        <v>0.93</v>
      </c>
      <c r="C67" s="10">
        <v>9.9999999999999997E-148</v>
      </c>
      <c r="D67" s="5">
        <v>99.73</v>
      </c>
      <c r="E67" s="4" t="str">
        <f>HYPERLINK("https://www.ncbi.nlm.nih.gov/protein/WP_229626566.1?report=genbank&amp;log$=prottop&amp;blast_rank=37&amp;RID=8XKC7BRC016","WP_229626566.1")</f>
        <v>WP_229626566.1</v>
      </c>
    </row>
    <row r="68" spans="1:5">
      <c r="A68" s="11" t="s">
        <v>15</v>
      </c>
      <c r="B68" s="9">
        <v>1</v>
      </c>
      <c r="C68" s="10">
        <v>1.9999999999999998E-163</v>
      </c>
      <c r="D68" s="5">
        <v>99.49</v>
      </c>
      <c r="E68" s="4" t="str">
        <f>HYPERLINK("https://www.ncbi.nlm.nih.gov/protein/ODY78700.1?report=genbank&amp;log$=prottop&amp;blast_rank=11&amp;RID=8XKC7BRC016","ODY78700.1")</f>
        <v>ODY78700.1</v>
      </c>
    </row>
    <row r="69" spans="1:5">
      <c r="A69" s="11" t="s">
        <v>15</v>
      </c>
      <c r="B69" s="9">
        <v>0.99</v>
      </c>
      <c r="C69" s="10">
        <v>3.9999999999999998E-162</v>
      </c>
      <c r="D69" s="5">
        <v>99.48</v>
      </c>
      <c r="E69" s="4" t="str">
        <f>HYPERLINK("https://www.ncbi.nlm.nih.gov/protein/WP_080254898.1?report=genbank&amp;log$=prottop&amp;blast_rank=13&amp;RID=8XKC7BRC016","WP_080254898.1")</f>
        <v>WP_080254898.1</v>
      </c>
    </row>
    <row r="70" spans="1:5">
      <c r="A70" s="11" t="s">
        <v>15</v>
      </c>
      <c r="B70" s="9">
        <v>0.98</v>
      </c>
      <c r="C70" s="10">
        <v>3E-158</v>
      </c>
      <c r="D70" s="5">
        <v>99.48</v>
      </c>
      <c r="E70" s="4" t="str">
        <f>HYPERLINK("https://www.ncbi.nlm.nih.gov/protein/WP_229630294.1?report=genbank&amp;log$=prottop&amp;blast_rank=19&amp;RID=8XKC7BRC016","WP_229630294.1")</f>
        <v>WP_229630294.1</v>
      </c>
    </row>
    <row r="71" spans="1:5">
      <c r="A71" s="11" t="s">
        <v>15</v>
      </c>
      <c r="B71" s="9">
        <v>0.96</v>
      </c>
      <c r="C71" s="10">
        <v>2.0000000000000001E-152</v>
      </c>
      <c r="D71" s="5">
        <v>99.47</v>
      </c>
      <c r="E71" s="4" t="str">
        <f>HYPERLINK("https://www.ncbi.nlm.nih.gov/protein/WP_029842335.1?report=genbank&amp;log$=prottop&amp;blast_rank=24&amp;RID=8XKC7BRC016","WP_029842335.1")</f>
        <v>WP_029842335.1</v>
      </c>
    </row>
    <row r="72" spans="1:5">
      <c r="A72" s="11" t="s">
        <v>15</v>
      </c>
      <c r="B72" s="9">
        <v>1</v>
      </c>
      <c r="C72" s="10">
        <v>3.9999999999999998E-164</v>
      </c>
      <c r="D72" s="5">
        <v>99.23</v>
      </c>
      <c r="E72" s="4" t="str">
        <f>HYPERLINK("https://www.ncbi.nlm.nih.gov/protein/ODY32778.1?report=genbank&amp;log$=prottop&amp;blast_rank=9&amp;RID=8XKC7BRC016","ODY32778.1")</f>
        <v>ODY32778.1</v>
      </c>
    </row>
    <row r="73" spans="1:5">
      <c r="A73" s="11" t="s">
        <v>15</v>
      </c>
      <c r="B73" s="9">
        <v>1</v>
      </c>
      <c r="C73" s="10">
        <v>8.0000000000000003E-156</v>
      </c>
      <c r="D73" s="5">
        <v>98.47</v>
      </c>
      <c r="E73" s="4" t="str">
        <f>HYPERLINK("https://www.ncbi.nlm.nih.gov/protein/TNY89451.1?report=genbank&amp;log$=prottop&amp;blast_rank=22&amp;RID=8XKC7BRC016","TNY89451.1")</f>
        <v>TNY89451.1</v>
      </c>
    </row>
    <row r="74" spans="1:5">
      <c r="A74" s="11" t="s">
        <v>15</v>
      </c>
      <c r="B74" s="9">
        <v>1</v>
      </c>
      <c r="C74" s="10">
        <v>5.9999999999999998E-161</v>
      </c>
      <c r="D74" s="5">
        <v>98.46</v>
      </c>
      <c r="E74" s="4" t="str">
        <f>HYPERLINK("https://www.ncbi.nlm.nih.gov/protein/OXE34399.1?report=genbank&amp;log$=prottop&amp;blast_rank=16&amp;RID=8XKC7BRC016","OXE34399.1")</f>
        <v>OXE34399.1</v>
      </c>
    </row>
    <row r="75" spans="1:5">
      <c r="A75" s="11" t="s">
        <v>15</v>
      </c>
      <c r="B75" s="9">
        <v>0.98</v>
      </c>
      <c r="C75" s="10">
        <v>2E-149</v>
      </c>
      <c r="D75" s="5">
        <v>98.18</v>
      </c>
      <c r="E75" s="4" t="str">
        <f>HYPERLINK("https://www.ncbi.nlm.nih.gov/protein/WP_257878368.1?report=genbank&amp;log$=prottop&amp;blast_rank=30&amp;RID=8XKC7BRC016","WP_257878368.1")</f>
        <v>WP_257878368.1</v>
      </c>
    </row>
    <row r="76" spans="1:5">
      <c r="A76" s="11" t="s">
        <v>17</v>
      </c>
      <c r="B76" s="9">
        <v>0.93</v>
      </c>
      <c r="C76" s="10">
        <v>1.9999999999999999E-148</v>
      </c>
      <c r="D76" s="5">
        <v>98.08</v>
      </c>
      <c r="E76" s="4" t="str">
        <f>HYPERLINK("https://www.ncbi.nlm.nih.gov/protein/WP_253815860.1?report=genbank&amp;log$=prottop&amp;blast_rank=34&amp;RID=8XKC7BRC016","WP_253815860.1")</f>
        <v>WP_253815860.1</v>
      </c>
    </row>
    <row r="77" spans="1:5">
      <c r="A77" s="11" t="s">
        <v>17</v>
      </c>
      <c r="B77" s="9">
        <v>0.93</v>
      </c>
      <c r="C77" s="10">
        <v>9.0000000000000003E-148</v>
      </c>
      <c r="D77" s="5">
        <v>97.8</v>
      </c>
      <c r="E77" s="4" t="str">
        <f>HYPERLINK("https://www.ncbi.nlm.nih.gov/protein/WP_230851768.1?report=genbank&amp;log$=prottop&amp;blast_rank=36&amp;RID=8XKC7BRC016","WP_230851768.1")</f>
        <v>WP_230851768.1</v>
      </c>
    </row>
    <row r="78" spans="1:5">
      <c r="A78" s="11" t="s">
        <v>15</v>
      </c>
      <c r="B78" s="9">
        <v>0.93</v>
      </c>
      <c r="C78" s="10">
        <v>1.0000000000000001E-152</v>
      </c>
      <c r="D78" s="5">
        <v>97.53</v>
      </c>
      <c r="E78" s="4" t="str">
        <f>HYPERLINK("https://www.ncbi.nlm.nih.gov/protein/WP_229651294.1?report=genbank&amp;log$=prottop&amp;blast_rank=23&amp;RID=8XKC7BRC016","WP_229651294.1")</f>
        <v>WP_229651294.1</v>
      </c>
    </row>
    <row r="79" spans="1:5">
      <c r="A79" s="11" t="s">
        <v>15</v>
      </c>
      <c r="B79" s="9">
        <v>0.99</v>
      </c>
      <c r="C79" s="10">
        <v>2E-150</v>
      </c>
      <c r="D79" s="5">
        <v>97.17</v>
      </c>
      <c r="E79" s="4" t="str">
        <f>HYPERLINK("https://www.ncbi.nlm.nih.gov/protein/MBE3973780.1?report=genbank&amp;log$=prottop&amp;blast_rank=28&amp;RID=8XKC7BRC016","MBE3973780.1")</f>
        <v>MBE3973780.1</v>
      </c>
    </row>
    <row r="80" spans="1:5">
      <c r="A80" s="11" t="s">
        <v>15</v>
      </c>
      <c r="B80" s="9">
        <v>1</v>
      </c>
      <c r="C80" s="10">
        <v>6.9999999999999999E-156</v>
      </c>
      <c r="D80" s="5">
        <v>96.4</v>
      </c>
      <c r="E80" s="4" t="str">
        <f>HYPERLINK("https://www.ncbi.nlm.nih.gov/protein/MCF9910767.1?report=genbank&amp;log$=prottop&amp;blast_rank=21&amp;RID=8XKC7BRC016","MCF9910767.1")</f>
        <v>MCF9910767.1</v>
      </c>
    </row>
    <row r="81" spans="1:5">
      <c r="A81" s="11" t="s">
        <v>15</v>
      </c>
      <c r="B81" s="9">
        <v>0.98</v>
      </c>
      <c r="C81" s="10">
        <v>2E-149</v>
      </c>
      <c r="D81" s="5">
        <v>96.07</v>
      </c>
      <c r="E81" s="4" t="str">
        <f>HYPERLINK("https://www.ncbi.nlm.nih.gov/protein/WP_337748904.1?report=genbank&amp;log$=prottop&amp;blast_rank=31&amp;RID=8XKC7BRC016","WP_337748904.1")</f>
        <v>WP_337748904.1</v>
      </c>
    </row>
    <row r="82" spans="1:5">
      <c r="A82" s="11"/>
      <c r="B82" s="9"/>
      <c r="C82" s="10"/>
      <c r="D82" s="5"/>
    </row>
    <row r="83" spans="1:5">
      <c r="A83" s="23"/>
    </row>
    <row r="84" spans="1:5">
      <c r="A84" s="12" t="s">
        <v>7</v>
      </c>
    </row>
    <row r="85" spans="1:5" s="4" customFormat="1">
      <c r="A85" s="11" t="s">
        <v>15</v>
      </c>
      <c r="B85" s="9">
        <v>1</v>
      </c>
      <c r="C85" s="10">
        <v>9E-157</v>
      </c>
      <c r="D85" s="5">
        <v>100</v>
      </c>
      <c r="E85" s="4" t="str">
        <f>HYPERLINK("https://www.ncbi.nlm.nih.gov/protein/WP_005464673.1?report=genbank&amp;log$=prottop&amp;blast_rank=5&amp;RID=8XM7PST5016","WP_005464673.1")</f>
        <v>WP_005464673.1</v>
      </c>
    </row>
    <row r="86" spans="1:5" s="4" customFormat="1">
      <c r="A86" s="11" t="s">
        <v>15</v>
      </c>
      <c r="B86" s="9">
        <v>0.94</v>
      </c>
      <c r="C86" s="10">
        <v>1.9999999999999999E-147</v>
      </c>
      <c r="D86" s="5">
        <v>100</v>
      </c>
      <c r="E86" s="4" t="str">
        <f>HYPERLINK("https://www.ncbi.nlm.nih.gov/protein/WP_073514060.1?report=genbank&amp;log$=prottop&amp;blast_rank=34&amp;RID=8XM7PST5016","WP_073514060.1")</f>
        <v>WP_073514060.1</v>
      </c>
    </row>
    <row r="87" spans="1:5" s="4" customFormat="1">
      <c r="A87" s="11" t="s">
        <v>42</v>
      </c>
      <c r="B87" s="9">
        <v>1</v>
      </c>
      <c r="C87" s="10">
        <v>6E-157</v>
      </c>
      <c r="D87" s="5">
        <v>99.63</v>
      </c>
      <c r="E87" s="4" t="str">
        <f>HYPERLINK("https://www.ncbi.nlm.nih.gov/protein/WP_053809172.1?report=genbank&amp;log$=prottop&amp;blast_rank=3&amp;RID=8XM7PST5016","WP_053809172.1")</f>
        <v>WP_053809172.1</v>
      </c>
    </row>
    <row r="88" spans="1:5" s="4" customFormat="1">
      <c r="A88" s="11" t="s">
        <v>15</v>
      </c>
      <c r="B88" s="9">
        <v>1</v>
      </c>
      <c r="C88" s="10">
        <v>3.0000000000000002E-156</v>
      </c>
      <c r="D88" s="5">
        <v>99.63</v>
      </c>
      <c r="E88" s="4" t="str">
        <f>HYPERLINK("https://www.ncbi.nlm.nih.gov/protein/EGR3396127.1?report=genbank&amp;log$=prottop&amp;blast_rank=12&amp;RID=8XM7PST5016","EGR3396127.1")</f>
        <v>EGR3396127.1</v>
      </c>
    </row>
    <row r="89" spans="1:5" s="4" customFormat="1">
      <c r="A89" s="11" t="s">
        <v>15</v>
      </c>
      <c r="B89" s="9">
        <v>1</v>
      </c>
      <c r="C89" s="10">
        <v>1E-155</v>
      </c>
      <c r="D89" s="5">
        <v>99.63</v>
      </c>
      <c r="E89" s="4" t="str">
        <f>HYPERLINK("https://www.ncbi.nlm.nih.gov/protein/WP_265572534.1?report=genbank&amp;log$=prottop&amp;blast_rank=18&amp;RID=8XM7PST5016","WP_265572534.1")</f>
        <v>WP_265572534.1</v>
      </c>
    </row>
    <row r="90" spans="1:5" s="4" customFormat="1">
      <c r="A90" s="11" t="s">
        <v>15</v>
      </c>
      <c r="B90" s="9">
        <v>1</v>
      </c>
      <c r="C90" s="10">
        <v>2E-155</v>
      </c>
      <c r="D90" s="5">
        <v>99.63</v>
      </c>
      <c r="E90" s="4" t="str">
        <f>HYPERLINK("https://www.ncbi.nlm.nih.gov/protein/HAS6620344.1?report=genbank&amp;log$=prottop&amp;blast_rank=21&amp;RID=8XM7PST5016","HAS6620344.1")</f>
        <v>HAS6620344.1</v>
      </c>
    </row>
    <row r="91" spans="1:5" s="4" customFormat="1">
      <c r="A91" s="11" t="s">
        <v>44</v>
      </c>
      <c r="B91" s="9">
        <v>1</v>
      </c>
      <c r="C91" s="10">
        <v>2.0000000000000001E-156</v>
      </c>
      <c r="D91" s="5">
        <v>99.27</v>
      </c>
      <c r="E91" s="4" t="str">
        <f>HYPERLINK("https://www.ncbi.nlm.nih.gov/protein/CAH8189747.1?report=genbank&amp;log$=prottop&amp;blast_rank=8&amp;RID=8XM7PST5016","CAH8189747.1")</f>
        <v>CAH8189747.1</v>
      </c>
    </row>
    <row r="92" spans="1:5" s="4" customFormat="1">
      <c r="A92" s="11" t="s">
        <v>15</v>
      </c>
      <c r="B92" s="9">
        <v>1</v>
      </c>
      <c r="C92" s="10">
        <v>2.0000000000000001E-156</v>
      </c>
      <c r="D92" s="5">
        <v>99.27</v>
      </c>
      <c r="E92" s="4" t="str">
        <f>HYPERLINK("https://www.ncbi.nlm.nih.gov/protein/WP_353515317.1?report=genbank&amp;log$=prottop&amp;blast_rank=9&amp;RID=8XM7PST5016","WP_353515317.1")</f>
        <v>WP_353515317.1</v>
      </c>
    </row>
    <row r="93" spans="1:5" s="4" customFormat="1">
      <c r="A93" s="11" t="s">
        <v>18</v>
      </c>
      <c r="B93" s="9">
        <v>1</v>
      </c>
      <c r="C93" s="10">
        <v>2.0000000000000001E-156</v>
      </c>
      <c r="D93" s="5">
        <v>99.27</v>
      </c>
      <c r="E93" s="4" t="str">
        <f>HYPERLINK("https://www.ncbi.nlm.nih.gov/protein/ELR8704666.1?report=genbank&amp;log$=prottop&amp;blast_rank=10&amp;RID=8XM7PST5016","ELR8704666.1")</f>
        <v>ELR8704666.1</v>
      </c>
    </row>
    <row r="94" spans="1:5" s="4" customFormat="1">
      <c r="A94" s="11" t="s">
        <v>45</v>
      </c>
      <c r="B94" s="9">
        <v>1</v>
      </c>
      <c r="C94" s="10">
        <v>3.0000000000000002E-156</v>
      </c>
      <c r="D94" s="5">
        <v>99.27</v>
      </c>
      <c r="E94" s="4" t="str">
        <f>HYPERLINK("https://www.ncbi.nlm.nih.gov/protein/WP_237285524.1?report=genbank&amp;log$=prottop&amp;blast_rank=11&amp;RID=8XM7PST5016","WP_237285524.1")</f>
        <v>WP_237285524.1</v>
      </c>
    </row>
    <row r="95" spans="1:5" s="4" customFormat="1">
      <c r="A95" s="11" t="s">
        <v>15</v>
      </c>
      <c r="B95" s="9">
        <v>1</v>
      </c>
      <c r="C95" s="10">
        <v>3.9999999999999999E-154</v>
      </c>
      <c r="D95" s="5">
        <v>99.27</v>
      </c>
      <c r="E95" s="4" t="str">
        <f>HYPERLINK("https://www.ncbi.nlm.nih.gov/protein/WP_058966885.1?report=genbank&amp;log$=prottop&amp;blast_rank=28&amp;RID=8XM7PST5016","WP_058966885.1")</f>
        <v>WP_058966885.1</v>
      </c>
    </row>
    <row r="96" spans="1:5" s="4" customFormat="1">
      <c r="A96" s="11" t="s">
        <v>114</v>
      </c>
      <c r="B96" s="9">
        <v>0.82</v>
      </c>
      <c r="C96" s="10">
        <v>6.0000000000000001E-122</v>
      </c>
      <c r="D96" s="5">
        <v>99.11</v>
      </c>
      <c r="E96" s="4" t="str">
        <f>HYPERLINK("https://www.ncbi.nlm.nih.gov/protein/WP_258106043.1?report=genbank&amp;log$=prottop&amp;blast_rank=97&amp;RID=8XM7PST5016","WP_258106043.1")</f>
        <v>WP_258106043.1</v>
      </c>
    </row>
    <row r="97" spans="1:5" s="4" customFormat="1">
      <c r="A97" s="11" t="s">
        <v>41</v>
      </c>
      <c r="B97" s="9">
        <v>1</v>
      </c>
      <c r="C97" s="10">
        <v>9.9999999999999997E-155</v>
      </c>
      <c r="D97" s="5">
        <v>98.91</v>
      </c>
      <c r="E97" s="4" t="str">
        <f>HYPERLINK("https://www.ncbi.nlm.nih.gov/protein/WP_199450651.1?report=genbank&amp;log$=prottop&amp;blast_rank=26&amp;RID=8XM7PST5016","WP_199450651.1")</f>
        <v>WP_199450651.1</v>
      </c>
    </row>
    <row r="98" spans="1:5" s="4" customFormat="1">
      <c r="A98" s="11" t="s">
        <v>41</v>
      </c>
      <c r="B98" s="9">
        <v>1</v>
      </c>
      <c r="C98" s="10">
        <v>9E-157</v>
      </c>
      <c r="D98" s="5">
        <v>98.9</v>
      </c>
      <c r="E98" s="4" t="str">
        <f>HYPERLINK("https://www.ncbi.nlm.nih.gov/protein/ELI0637506.1?report=genbank&amp;log$=prottop&amp;blast_rank=6&amp;RID=8XM7PST5016","ELI0637506.1")</f>
        <v>ELI0637506.1</v>
      </c>
    </row>
    <row r="99" spans="1:5" s="4" customFormat="1">
      <c r="A99" s="11" t="s">
        <v>46</v>
      </c>
      <c r="B99" s="9">
        <v>1</v>
      </c>
      <c r="C99" s="10">
        <v>6.0000000000000005E-156</v>
      </c>
      <c r="D99" s="5">
        <v>98.9</v>
      </c>
      <c r="E99" s="4" t="str">
        <f>HYPERLINK("https://www.ncbi.nlm.nih.gov/protein/WP_217555859.1?report=genbank&amp;log$=prottop&amp;blast_rank=16&amp;RID=8XM7PST5016","WP_217555859.1")</f>
        <v>WP_217555859.1</v>
      </c>
    </row>
    <row r="100" spans="1:5" s="4" customFormat="1">
      <c r="A100" s="11" t="s">
        <v>15</v>
      </c>
      <c r="B100" s="9">
        <v>1</v>
      </c>
      <c r="C100" s="10">
        <v>2E-155</v>
      </c>
      <c r="D100" s="5">
        <v>98.55</v>
      </c>
      <c r="E100" s="4" t="str">
        <f>HYPERLINK("https://www.ncbi.nlm.nih.gov/protein/WP_140100996.1?report=genbank&amp;log$=prottop&amp;blast_rank=20&amp;RID=8XM7PST5016","WP_140100996.1")</f>
        <v>WP_140100996.1</v>
      </c>
    </row>
    <row r="101" spans="1:5" s="4" customFormat="1">
      <c r="A101" s="11" t="s">
        <v>41</v>
      </c>
      <c r="B101" s="9">
        <v>1</v>
      </c>
      <c r="C101" s="10">
        <v>3.9999999999999998E-157</v>
      </c>
      <c r="D101" s="5">
        <v>98.53</v>
      </c>
      <c r="E101" s="4" t="str">
        <f>HYPERLINK("https://www.ncbi.nlm.nih.gov/protein/WP_050939673.1?report=genbank&amp;log$=prottop&amp;blast_rank=2&amp;RID=8XM7PST5016","WP_050939673.1")</f>
        <v>WP_050939673.1</v>
      </c>
    </row>
    <row r="102" spans="1:5" s="4" customFormat="1">
      <c r="A102" s="11" t="s">
        <v>43</v>
      </c>
      <c r="B102" s="9">
        <v>1</v>
      </c>
      <c r="C102" s="10">
        <v>5.0000000000000001E-156</v>
      </c>
      <c r="D102" s="5">
        <v>98.53</v>
      </c>
      <c r="E102" s="4" t="str">
        <f>HYPERLINK("https://www.ncbi.nlm.nih.gov/protein/WP_225474311.1?report=genbank&amp;log$=prottop&amp;blast_rank=13&amp;RID=8XM7PST5016","WP_225474311.1")</f>
        <v>WP_225474311.1</v>
      </c>
    </row>
    <row r="103" spans="1:5" s="4" customFormat="1">
      <c r="A103" s="11" t="s">
        <v>42</v>
      </c>
      <c r="B103" s="9">
        <v>1</v>
      </c>
      <c r="C103" s="10">
        <v>5.0000000000000001E-156</v>
      </c>
      <c r="D103" s="5">
        <v>98.53</v>
      </c>
      <c r="E103" s="4" t="str">
        <f>HYPERLINK("https://www.ncbi.nlm.nih.gov/protein/WP_045373287.1?report=genbank&amp;log$=prottop&amp;blast_rank=14&amp;RID=8XM7PST5016","WP_045373287.1")</f>
        <v>WP_045373287.1</v>
      </c>
    </row>
    <row r="104" spans="1:5" s="4" customFormat="1">
      <c r="A104" s="11" t="s">
        <v>41</v>
      </c>
      <c r="B104" s="9">
        <v>1</v>
      </c>
      <c r="C104" s="10">
        <v>5.0000000000000001E-156</v>
      </c>
      <c r="D104" s="5">
        <v>98.53</v>
      </c>
      <c r="E104" s="4" t="str">
        <f>HYPERLINK("https://www.ncbi.nlm.nih.gov/protein/WP_289881249.1?report=genbank&amp;log$=prottop&amp;blast_rank=15&amp;RID=8XM7PST5016","WP_289881249.1")</f>
        <v>WP_289881249.1</v>
      </c>
    </row>
    <row r="105" spans="1:5" s="4" customFormat="1">
      <c r="A105" s="11" t="s">
        <v>18</v>
      </c>
      <c r="B105" s="9">
        <v>1</v>
      </c>
      <c r="C105" s="10">
        <v>1.9999999999999999E-157</v>
      </c>
      <c r="D105" s="5">
        <v>98.17</v>
      </c>
      <c r="E105" s="4" t="str">
        <f>HYPERLINK("https://www.ncbi.nlm.nih.gov/protein/EJV9424523.1?report=genbank&amp;log$=prottop&amp;blast_rank=1&amp;RID=8XM7PST5016","EJV9424523.1")</f>
        <v>EJV9424523.1</v>
      </c>
    </row>
    <row r="106" spans="1:5" s="4" customFormat="1">
      <c r="A106" s="11" t="s">
        <v>15</v>
      </c>
      <c r="B106" s="9">
        <v>1</v>
      </c>
      <c r="C106" s="10">
        <v>6E-157</v>
      </c>
      <c r="D106" s="5">
        <v>98.17</v>
      </c>
      <c r="E106" s="4" t="str">
        <f>HYPERLINK("https://www.ncbi.nlm.nih.gov/protein/TBT82642.1?report=genbank&amp;log$=prottop&amp;blast_rank=4&amp;RID=8XM7PST5016","TBT82642.1")</f>
        <v>TBT82642.1</v>
      </c>
    </row>
    <row r="107" spans="1:5" s="4" customFormat="1">
      <c r="A107" s="11" t="s">
        <v>43</v>
      </c>
      <c r="B107" s="9">
        <v>1</v>
      </c>
      <c r="C107" s="10">
        <v>2.0000000000000001E-156</v>
      </c>
      <c r="D107" s="5">
        <v>97.8</v>
      </c>
      <c r="E107" s="4" t="str">
        <f>HYPERLINK("https://www.ncbi.nlm.nih.gov/protein/WP_258653338.1?report=genbank&amp;log$=prottop&amp;blast_rank=7&amp;RID=8XM7PST5016","WP_258653338.1")</f>
        <v>WP_258653338.1</v>
      </c>
    </row>
    <row r="108" spans="1:5" s="4" customFormat="1">
      <c r="A108" s="11" t="s">
        <v>47</v>
      </c>
      <c r="B108" s="9">
        <v>1</v>
      </c>
      <c r="C108" s="10">
        <v>8.0000000000000003E-156</v>
      </c>
      <c r="D108" s="5">
        <v>97.8</v>
      </c>
      <c r="E108" s="4" t="str">
        <f>HYPERLINK("https://www.ncbi.nlm.nih.gov/protein/WP_221069396.1?report=genbank&amp;log$=prottop&amp;blast_rank=17&amp;RID=8XM7PST5016","WP_221069396.1")</f>
        <v>WP_221069396.1</v>
      </c>
    </row>
    <row r="109" spans="1:5" s="4" customFormat="1">
      <c r="A109" s="11" t="s">
        <v>44</v>
      </c>
      <c r="B109" s="9">
        <v>1</v>
      </c>
      <c r="C109" s="10">
        <v>1E-155</v>
      </c>
      <c r="D109" s="5">
        <v>97.44</v>
      </c>
      <c r="E109" s="4" t="str">
        <f>HYPERLINK("https://www.ncbi.nlm.nih.gov/protein/WP_274682313.1?report=genbank&amp;log$=prottop&amp;blast_rank=19&amp;RID=8XM7PST5016","WP_274682313.1")</f>
        <v>WP_274682313.1</v>
      </c>
    </row>
    <row r="110" spans="1:5" s="4" customFormat="1">
      <c r="A110" s="11" t="s">
        <v>49</v>
      </c>
      <c r="B110" s="9">
        <v>1</v>
      </c>
      <c r="C110" s="10">
        <v>9.9999999999999997E-155</v>
      </c>
      <c r="D110" s="5">
        <v>97.44</v>
      </c>
      <c r="E110" s="4" t="str">
        <f>HYPERLINK("https://www.ncbi.nlm.nih.gov/protein/WP_045401135.1?report=genbank&amp;log$=prottop&amp;blast_rank=25&amp;RID=8XM7PST5016","WP_045401135.1")</f>
        <v>WP_045401135.1</v>
      </c>
    </row>
    <row r="111" spans="1:5" s="4" customFormat="1">
      <c r="A111" s="11" t="s">
        <v>15</v>
      </c>
      <c r="B111" s="9">
        <v>1</v>
      </c>
      <c r="C111" s="10">
        <v>2.9999999999999998E-155</v>
      </c>
      <c r="D111" s="5">
        <v>97.07</v>
      </c>
      <c r="E111" s="4" t="str">
        <f>HYPERLINK("https://www.ncbi.nlm.nih.gov/protein/WP_025502220.1?report=genbank&amp;log$=prottop&amp;blast_rank=22&amp;RID=8XM7PST5016","WP_025502220.1")</f>
        <v>WP_025502220.1</v>
      </c>
    </row>
    <row r="112" spans="1:5" s="4" customFormat="1">
      <c r="A112" s="11" t="s">
        <v>15</v>
      </c>
      <c r="B112" s="9">
        <v>1</v>
      </c>
      <c r="C112" s="10">
        <v>4.0000000000000001E-155</v>
      </c>
      <c r="D112" s="5">
        <v>96.7</v>
      </c>
      <c r="E112" s="4" t="str">
        <f>HYPERLINK("https://www.ncbi.nlm.nih.gov/protein/WP_273981228.1?report=genbank&amp;log$=prottop&amp;blast_rank=23&amp;RID=8XM7PST5016","WP_273981228.1")</f>
        <v>WP_273981228.1</v>
      </c>
    </row>
    <row r="113" spans="1:5" s="4" customFormat="1">
      <c r="A113" s="11" t="s">
        <v>48</v>
      </c>
      <c r="B113" s="9">
        <v>1</v>
      </c>
      <c r="C113" s="10">
        <v>5.9999999999999997E-155</v>
      </c>
      <c r="D113" s="5">
        <v>96.7</v>
      </c>
      <c r="E113" s="4" t="str">
        <f>HYPERLINK("https://www.ncbi.nlm.nih.gov/protein/WP_050052998.1?report=genbank&amp;log$=prottop&amp;blast_rank=24&amp;RID=8XM7PST5016","WP_050052998.1")</f>
        <v>WP_050052998.1</v>
      </c>
    </row>
    <row r="114" spans="1:5" s="4" customFormat="1">
      <c r="A114" s="11" t="s">
        <v>15</v>
      </c>
      <c r="B114" s="9">
        <v>1</v>
      </c>
      <c r="C114" s="10">
        <v>2.0000000000000001E-153</v>
      </c>
      <c r="D114" s="5">
        <v>96.7</v>
      </c>
      <c r="E114" s="4" t="str">
        <f>HYPERLINK("https://www.ncbi.nlm.nih.gov/protein/WP_274012239.1?report=genbank&amp;log$=prottop&amp;blast_rank=31&amp;RID=8XM7PST5016","WP_274012239.1")</f>
        <v>WP_274012239.1</v>
      </c>
    </row>
    <row r="115" spans="1:5" s="4" customFormat="1">
      <c r="A115" s="11" t="s">
        <v>50</v>
      </c>
      <c r="B115" s="9">
        <v>1</v>
      </c>
      <c r="C115" s="10">
        <v>1.9999999999999999E-154</v>
      </c>
      <c r="D115" s="5">
        <v>95.97</v>
      </c>
      <c r="E115" s="4" t="str">
        <f>HYPERLINK("https://www.ncbi.nlm.nih.gov/protein/WP_152896036.1?report=genbank&amp;log$=prottop&amp;blast_rank=27&amp;RID=8XM7PST5016","WP_152896036.1")</f>
        <v>WP_152896036.1</v>
      </c>
    </row>
    <row r="116" spans="1:5" s="4" customFormat="1">
      <c r="A116" s="11" t="s">
        <v>53</v>
      </c>
      <c r="B116" s="9">
        <v>0.99</v>
      </c>
      <c r="C116" s="10">
        <v>9.9999999999999994E-152</v>
      </c>
      <c r="D116" s="5">
        <v>92.65</v>
      </c>
      <c r="E116" s="4" t="str">
        <f>HYPERLINK("https://www.ncbi.nlm.nih.gov/protein/WP_146493436.1?report=genbank&amp;log$=prottop&amp;blast_rank=33&amp;RID=8XM7PST5016","WP_146493436.1")</f>
        <v>WP_146493436.1</v>
      </c>
    </row>
    <row r="117" spans="1:5" s="4" customFormat="1">
      <c r="A117" s="11" t="s">
        <v>17</v>
      </c>
      <c r="B117" s="9">
        <v>0.99</v>
      </c>
      <c r="C117" s="10">
        <v>3.9999999999999999E-154</v>
      </c>
      <c r="D117" s="5">
        <v>91.18</v>
      </c>
      <c r="E117" s="4" t="str">
        <f>HYPERLINK("https://www.ncbi.nlm.nih.gov/protein/WP_213865843.1?report=genbank&amp;log$=prottop&amp;blast_rank=29&amp;RID=8XM7PST5016","WP_213865843.1")</f>
        <v>WP_213865843.1</v>
      </c>
    </row>
    <row r="118" spans="1:5" s="4" customFormat="1">
      <c r="A118" s="11" t="s">
        <v>52</v>
      </c>
      <c r="B118" s="9">
        <v>1</v>
      </c>
      <c r="C118" s="10">
        <v>9E-153</v>
      </c>
      <c r="D118" s="5">
        <v>90.48</v>
      </c>
      <c r="E118" s="4" t="str">
        <f>HYPERLINK("https://www.ncbi.nlm.nih.gov/protein/WP_160658487.1?report=genbank&amp;log$=prottop&amp;blast_rank=32&amp;RID=8XM7PST5016","WP_160658487.1")</f>
        <v>WP_160658487.1</v>
      </c>
    </row>
    <row r="119" spans="1:5" s="4" customFormat="1">
      <c r="A119" s="11" t="s">
        <v>51</v>
      </c>
      <c r="B119" s="9">
        <v>1</v>
      </c>
      <c r="C119" s="10">
        <v>7.9999999999999998E-154</v>
      </c>
      <c r="D119" s="5">
        <v>89.74</v>
      </c>
      <c r="E119" s="4" t="str">
        <f>HYPERLINK("https://www.ncbi.nlm.nih.gov/protein/WP_168835063.1?report=genbank&amp;log$=prottop&amp;blast_rank=30&amp;RID=8XM7PST5016","WP_168835063.1")</f>
        <v>WP_168835063.1</v>
      </c>
    </row>
    <row r="120" spans="1:5" s="4" customFormat="1">
      <c r="A120" s="11" t="s">
        <v>56</v>
      </c>
      <c r="B120" s="9">
        <v>0.98</v>
      </c>
      <c r="C120" s="10">
        <v>2.0000000000000001E-146</v>
      </c>
      <c r="D120" s="5">
        <v>73.33</v>
      </c>
      <c r="E120" s="4" t="str">
        <f>HYPERLINK("https://www.ncbi.nlm.nih.gov/protein/WP_133415930.1?report=genbank&amp;log$=prottop&amp;blast_rank=37&amp;RID=8XM7PST5016","WP_133415930.1")</f>
        <v>WP_133415930.1</v>
      </c>
    </row>
    <row r="121" spans="1:5" s="4" customFormat="1">
      <c r="A121" s="11" t="s">
        <v>54</v>
      </c>
      <c r="B121" s="9">
        <v>0.99</v>
      </c>
      <c r="C121" s="10">
        <v>5.0000000000000001E-147</v>
      </c>
      <c r="D121" s="5">
        <v>73.06</v>
      </c>
      <c r="E121" s="4" t="str">
        <f>HYPERLINK("https://www.ncbi.nlm.nih.gov/protein/WP_151656533.1?report=genbank&amp;log$=prottop&amp;blast_rank=35&amp;RID=8XM7PST5016","WP_151656533.1")</f>
        <v>WP_151656533.1</v>
      </c>
    </row>
    <row r="122" spans="1:5" s="4" customFormat="1">
      <c r="A122" s="11" t="s">
        <v>55</v>
      </c>
      <c r="B122" s="9">
        <v>0.99</v>
      </c>
      <c r="C122" s="10">
        <v>2.0000000000000001E-146</v>
      </c>
      <c r="D122" s="5">
        <v>72.69</v>
      </c>
      <c r="E122" s="4" t="str">
        <f>HYPERLINK("https://www.ncbi.nlm.nih.gov/protein/WP_130049385.1?report=genbank&amp;log$=prottop&amp;blast_rank=36&amp;RID=8XM7PST5016","WP_130049385.1")</f>
        <v>WP_130049385.1</v>
      </c>
    </row>
    <row r="123" spans="1:5" s="4" customFormat="1">
      <c r="A123" s="11" t="s">
        <v>57</v>
      </c>
      <c r="B123" s="9">
        <v>0.99</v>
      </c>
      <c r="C123" s="10">
        <v>3.9999999999999998E-144</v>
      </c>
      <c r="D123" s="5">
        <v>72.69</v>
      </c>
      <c r="E123" s="4" t="str">
        <f>HYPERLINK("https://www.ncbi.nlm.nih.gov/protein/WP_152652602.1?report=genbank&amp;log$=prottop&amp;blast_rank=38&amp;RID=8XM7PST5016","WP_152652602.1")</f>
        <v>WP_152652602.1</v>
      </c>
    </row>
    <row r="124" spans="1:5" s="4" customFormat="1">
      <c r="A124" s="11" t="s">
        <v>58</v>
      </c>
      <c r="B124" s="9">
        <v>0.97</v>
      </c>
      <c r="C124" s="10">
        <v>2.9999999999999999E-143</v>
      </c>
      <c r="D124" s="5">
        <v>72.56</v>
      </c>
      <c r="E124" s="4" t="str">
        <f>HYPERLINK("https://www.ncbi.nlm.nih.gov/protein/WP_279143770.1?report=genbank&amp;log$=prottop&amp;blast_rank=39&amp;RID=8XM7PST5016","WP_279143770.1")</f>
        <v>WP_279143770.1</v>
      </c>
    </row>
    <row r="125" spans="1:5" s="4" customFormat="1">
      <c r="A125" s="11" t="s">
        <v>58</v>
      </c>
      <c r="B125" s="9">
        <v>0.97</v>
      </c>
      <c r="C125" s="10">
        <v>2.0000000000000001E-141</v>
      </c>
      <c r="D125" s="5">
        <v>72.180000000000007</v>
      </c>
      <c r="E125" s="4" t="str">
        <f>HYPERLINK("https://www.ncbi.nlm.nih.gov/protein/WP_232572739.1?report=genbank&amp;log$=prottop&amp;blast_rank=41&amp;RID=8XM7PST5016","WP_232572739.1")</f>
        <v>WP_232572739.1</v>
      </c>
    </row>
    <row r="126" spans="1:5">
      <c r="A126" s="23"/>
    </row>
    <row r="127" spans="1:5">
      <c r="A127" s="23"/>
    </row>
    <row r="128" spans="1:5">
      <c r="A128" s="12" t="s">
        <v>39</v>
      </c>
    </row>
    <row r="129" spans="1:5" s="4" customFormat="1">
      <c r="A129" s="11" t="s">
        <v>15</v>
      </c>
      <c r="B129" s="9">
        <v>1</v>
      </c>
      <c r="C129" s="10">
        <v>4.9999999999999997E-113</v>
      </c>
      <c r="D129" s="5">
        <v>100</v>
      </c>
      <c r="E129" s="4" t="str">
        <f>HYPERLINK("https://www.ncbi.nlm.nih.gov/protein/ARC19797.1?report=genbank&amp;log$=prottop&amp;blast_rank=1&amp;RID=8XN3MCU5013","ARC19797.1")</f>
        <v>ARC19797.1</v>
      </c>
    </row>
    <row r="130" spans="1:5" s="4" customFormat="1">
      <c r="A130" s="11" t="s">
        <v>15</v>
      </c>
      <c r="B130" s="9">
        <v>0.97</v>
      </c>
      <c r="C130" s="10">
        <v>7.0000000000000001E-111</v>
      </c>
      <c r="D130" s="5">
        <v>100</v>
      </c>
      <c r="E130" s="4" t="str">
        <f>HYPERLINK("https://www.ncbi.nlm.nih.gov/protein/WP_024699234.1?report=genbank&amp;log$=prottop&amp;blast_rank=5&amp;RID=8XN3MCU5013","WP_024699234.1")</f>
        <v>WP_024699234.1</v>
      </c>
    </row>
    <row r="131" spans="1:5" s="4" customFormat="1">
      <c r="A131" s="11" t="s">
        <v>15</v>
      </c>
      <c r="B131" s="9">
        <v>0.92</v>
      </c>
      <c r="C131" s="10">
        <v>7.0000000000000003E-103</v>
      </c>
      <c r="D131" s="5">
        <v>100</v>
      </c>
      <c r="E131" s="4" t="str">
        <f>HYPERLINK("https://www.ncbi.nlm.nih.gov/protein/EGR2794209.1?report=genbank&amp;log$=prottop&amp;blast_rank=32&amp;RID=8XN3MCU5013","EGR2794209.1")</f>
        <v>EGR2794209.1</v>
      </c>
    </row>
    <row r="132" spans="1:5" s="4" customFormat="1">
      <c r="A132" s="11" t="s">
        <v>15</v>
      </c>
      <c r="B132" s="9">
        <v>0.9</v>
      </c>
      <c r="C132" s="10">
        <v>4.0000000000000002E-101</v>
      </c>
      <c r="D132" s="5">
        <v>100</v>
      </c>
      <c r="E132" s="4" t="str">
        <f>HYPERLINK("https://www.ncbi.nlm.nih.gov/protein/HCE2642234.1?report=genbank&amp;log$=prottop&amp;blast_rank=36&amp;RID=8XN3MCU5013","HCE2642234.1")</f>
        <v>HCE2642234.1</v>
      </c>
    </row>
    <row r="133" spans="1:5" s="4" customFormat="1">
      <c r="A133" s="11" t="s">
        <v>15</v>
      </c>
      <c r="B133" s="9">
        <v>0.88</v>
      </c>
      <c r="C133" s="10">
        <v>9.0000000000000002E-100</v>
      </c>
      <c r="D133" s="5">
        <v>100</v>
      </c>
      <c r="E133" s="4" t="str">
        <f>HYPERLINK("https://www.ncbi.nlm.nih.gov/protein/EGR3047878.1?report=genbank&amp;log$=prottop&amp;blast_rank=38&amp;RID=8XN3MCU5013","EGR3047878.1")</f>
        <v>EGR3047878.1</v>
      </c>
    </row>
    <row r="134" spans="1:5" s="4" customFormat="1">
      <c r="A134" s="11" t="s">
        <v>15</v>
      </c>
      <c r="B134" s="9">
        <v>0.85</v>
      </c>
      <c r="C134" s="10">
        <v>4.9999999999999999E-96</v>
      </c>
      <c r="D134" s="5">
        <v>100</v>
      </c>
      <c r="E134" s="4" t="str">
        <f>HYPERLINK("https://www.ncbi.nlm.nih.gov/protein/WP_204262495.1?report=genbank&amp;log$=prottop&amp;blast_rank=55&amp;RID=8XN3MCU5013","WP_204262495.1")</f>
        <v>WP_204262495.1</v>
      </c>
    </row>
    <row r="135" spans="1:5" s="4" customFormat="1">
      <c r="A135" s="11" t="s">
        <v>15</v>
      </c>
      <c r="B135" s="9">
        <v>0.8</v>
      </c>
      <c r="C135" s="10">
        <v>6.0000000000000003E-87</v>
      </c>
      <c r="D135" s="5">
        <v>100</v>
      </c>
      <c r="E135" s="4" t="str">
        <f>HYPERLINK("https://www.ncbi.nlm.nih.gov/protein/MBM4910203.1?report=genbank&amp;log$=prottop&amp;blast_rank=154&amp;RID=8XN3MCU5013","MBM4910203.1")</f>
        <v>MBM4910203.1</v>
      </c>
    </row>
    <row r="136" spans="1:5" s="4" customFormat="1">
      <c r="A136" s="11" t="s">
        <v>15</v>
      </c>
      <c r="B136" s="9">
        <v>1</v>
      </c>
      <c r="C136" s="10">
        <v>4.9999999999999997E-113</v>
      </c>
      <c r="D136" s="5">
        <v>99.43</v>
      </c>
      <c r="E136" s="4" t="str">
        <f>HYPERLINK("https://www.ncbi.nlm.nih.gov/protein/WP_219604983.1?report=genbank&amp;log$=prottop&amp;blast_rank=2&amp;RID=8XN3MCU5013","WP_219604983.1")</f>
        <v>WP_219604983.1</v>
      </c>
    </row>
    <row r="137" spans="1:5" s="4" customFormat="1">
      <c r="A137" s="11" t="s">
        <v>15</v>
      </c>
      <c r="B137" s="9">
        <v>1</v>
      </c>
      <c r="C137" s="10">
        <v>7.0000000000000006E-113</v>
      </c>
      <c r="D137" s="5">
        <v>99.43</v>
      </c>
      <c r="E137" s="4" t="str">
        <f>HYPERLINK("https://www.ncbi.nlm.nih.gov/protein/EGQ9368106.1?report=genbank&amp;log$=prottop&amp;blast_rank=3&amp;RID=8XN3MCU5013","EGQ9368106.1")</f>
        <v>EGQ9368106.1</v>
      </c>
    </row>
    <row r="138" spans="1:5" s="4" customFormat="1">
      <c r="A138" s="11" t="s">
        <v>15</v>
      </c>
      <c r="B138" s="9">
        <v>1</v>
      </c>
      <c r="C138" s="10">
        <v>1.9999999999999999E-112</v>
      </c>
      <c r="D138" s="5">
        <v>99.43</v>
      </c>
      <c r="E138" s="4" t="str">
        <f>HYPERLINK("https://www.ncbi.nlm.nih.gov/protein/HAS6887627.1?report=genbank&amp;log$=prottop&amp;blast_rank=4&amp;RID=8XN3MCU5013","HAS6887627.1")</f>
        <v>HAS6887627.1</v>
      </c>
    </row>
    <row r="139" spans="1:5" s="4" customFormat="1">
      <c r="A139" s="11" t="s">
        <v>15</v>
      </c>
      <c r="B139" s="9">
        <v>0.97</v>
      </c>
      <c r="C139" s="10">
        <v>1.0000000000000001E-110</v>
      </c>
      <c r="D139" s="5">
        <v>99.41</v>
      </c>
      <c r="E139" s="4" t="str">
        <f>HYPERLINK("https://www.ncbi.nlm.nih.gov/protein/EHK3081895.1?report=genbank&amp;log$=prottop&amp;blast_rank=6&amp;RID=8XN3MCU5013","EHK3081895.1")</f>
        <v>EHK3081895.1</v>
      </c>
    </row>
    <row r="140" spans="1:5" s="4" customFormat="1">
      <c r="A140" s="11" t="s">
        <v>42</v>
      </c>
      <c r="B140" s="9">
        <v>0.97</v>
      </c>
      <c r="C140" s="10">
        <v>5E-110</v>
      </c>
      <c r="D140" s="5">
        <v>97.06</v>
      </c>
      <c r="E140" s="4" t="str">
        <f>HYPERLINK("https://www.ncbi.nlm.nih.gov/protein/WP_229628069.1?report=genbank&amp;log$=prottop&amp;blast_rank=9&amp;RID=8XN3MCU5013","WP_229628069.1")</f>
        <v>WP_229628069.1</v>
      </c>
    </row>
    <row r="141" spans="1:5" s="4" customFormat="1">
      <c r="A141" s="11" t="s">
        <v>15</v>
      </c>
      <c r="B141" s="9">
        <v>0.97</v>
      </c>
      <c r="C141" s="10">
        <v>2E-109</v>
      </c>
      <c r="D141" s="5">
        <v>96.47</v>
      </c>
      <c r="E141" s="4" t="str">
        <f>HYPERLINK("https://www.ncbi.nlm.nih.gov/protein/EGQ8115116.1?report=genbank&amp;log$=prottop&amp;blast_rank=11&amp;RID=8XN3MCU5013","EGQ8115116.1")</f>
        <v>EGQ8115116.1</v>
      </c>
    </row>
    <row r="142" spans="1:5" s="4" customFormat="1">
      <c r="A142" s="11" t="s">
        <v>238</v>
      </c>
      <c r="B142" s="9">
        <v>0.97</v>
      </c>
      <c r="C142" s="10">
        <v>4E-109</v>
      </c>
      <c r="D142" s="5">
        <v>96.47</v>
      </c>
      <c r="E142" s="4" t="str">
        <f>HYPERLINK("https://www.ncbi.nlm.nih.gov/protein/WP_258472214.1?report=genbank&amp;log$=prottop&amp;blast_rank=12&amp;RID=8XN3MCU5013","WP_258472214.1")</f>
        <v>WP_258472214.1</v>
      </c>
    </row>
    <row r="143" spans="1:5" s="4" customFormat="1">
      <c r="A143" s="11" t="s">
        <v>46</v>
      </c>
      <c r="B143" s="9">
        <v>0.97</v>
      </c>
      <c r="C143" s="10">
        <v>1E-108</v>
      </c>
      <c r="D143" s="5">
        <v>95.88</v>
      </c>
      <c r="E143" s="4" t="str">
        <f>HYPERLINK("https://www.ncbi.nlm.nih.gov/protein/EKO3929386.1?report=genbank&amp;log$=prottop&amp;blast_rank=15&amp;RID=8XN3MCU5013","EKO3929386.1")</f>
        <v>EKO3929386.1</v>
      </c>
    </row>
    <row r="144" spans="1:5" s="4" customFormat="1">
      <c r="A144" s="11" t="s">
        <v>237</v>
      </c>
      <c r="B144" s="9">
        <v>1</v>
      </c>
      <c r="C144" s="10">
        <v>1.0000000000000001E-110</v>
      </c>
      <c r="D144" s="5">
        <v>94.86</v>
      </c>
      <c r="E144" s="4" t="str">
        <f>HYPERLINK("https://www.ncbi.nlm.nih.gov/protein/EGR2027059.1?report=genbank&amp;log$=prottop&amp;blast_rank=7&amp;RID=8XN3MCU5013","EGR2027059.1")</f>
        <v>EGR2027059.1</v>
      </c>
    </row>
    <row r="145" spans="1:7" s="4" customFormat="1">
      <c r="A145" s="11" t="s">
        <v>43</v>
      </c>
      <c r="B145" s="9">
        <v>0.97</v>
      </c>
      <c r="C145" s="10">
        <v>1E-108</v>
      </c>
      <c r="D145" s="5">
        <v>94.71</v>
      </c>
      <c r="E145" s="4" t="str">
        <f>HYPERLINK("https://www.ncbi.nlm.nih.gov/protein/WP_165399759.1?report=genbank&amp;log$=prottop&amp;blast_rank=16&amp;RID=8XN3MCU5013","WP_165399759.1")</f>
        <v>WP_165399759.1</v>
      </c>
    </row>
    <row r="146" spans="1:7" s="4" customFormat="1">
      <c r="A146" s="11" t="s">
        <v>237</v>
      </c>
      <c r="B146" s="9">
        <v>0.97</v>
      </c>
      <c r="C146" s="10">
        <v>2E-109</v>
      </c>
      <c r="D146" s="5">
        <v>94.12</v>
      </c>
      <c r="E146" s="4" t="str">
        <f>HYPERLINK("https://www.ncbi.nlm.nih.gov/protein/HEJ2459246.1?report=genbank&amp;log$=prottop&amp;blast_rank=10&amp;RID=8XN3MCU5013","HEJ2459246.1")</f>
        <v>HEJ2459246.1</v>
      </c>
    </row>
    <row r="147" spans="1:7" s="4" customFormat="1">
      <c r="A147" s="11" t="s">
        <v>240</v>
      </c>
      <c r="B147" s="9">
        <v>0.97</v>
      </c>
      <c r="C147" s="10">
        <v>2E-107</v>
      </c>
      <c r="D147" s="5">
        <v>94.12</v>
      </c>
      <c r="E147" s="4" t="str">
        <f>HYPERLINK("https://www.ncbi.nlm.nih.gov/protein/WP_171934523.1?report=genbank&amp;log$=prottop&amp;blast_rank=21&amp;RID=8XN3MCU5013","WP_171934523.1")</f>
        <v>WP_171934523.1</v>
      </c>
    </row>
    <row r="148" spans="1:7" s="4" customFormat="1">
      <c r="A148" s="11" t="s">
        <v>18</v>
      </c>
      <c r="B148" s="9">
        <v>0.97</v>
      </c>
      <c r="C148" s="10">
        <v>9.0000000000000002E-109</v>
      </c>
      <c r="D148" s="5">
        <v>75.290000000000006</v>
      </c>
      <c r="E148" s="4" t="str">
        <f>HYPERLINK("https://www.ncbi.nlm.nih.gov/protein/WP_225480389.1?report=genbank&amp;log$=prottop&amp;blast_rank=14&amp;RID=8XN3MCU5013","WP_225480389.1")</f>
        <v>WP_225480389.1</v>
      </c>
    </row>
    <row r="149" spans="1:7" s="4" customFormat="1">
      <c r="A149" s="11" t="s">
        <v>239</v>
      </c>
      <c r="B149" s="9">
        <v>0.97</v>
      </c>
      <c r="C149" s="10">
        <v>1E-108</v>
      </c>
      <c r="D149" s="5">
        <v>75.290000000000006</v>
      </c>
      <c r="E149" s="4" t="str">
        <f>HYPERLINK("https://www.ncbi.nlm.nih.gov/protein/WP_243328412.1?report=genbank&amp;log$=prottop&amp;blast_rank=17&amp;RID=8XN3MCU5013","WP_243328412.1")</f>
        <v>WP_243328412.1</v>
      </c>
      <c r="G149" s="4" t="s">
        <v>6</v>
      </c>
    </row>
    <row r="150" spans="1:7" s="4" customFormat="1">
      <c r="A150" s="11" t="s">
        <v>42</v>
      </c>
      <c r="B150" s="9">
        <v>0.97</v>
      </c>
      <c r="C150" s="10">
        <v>2E-107</v>
      </c>
      <c r="D150" s="5">
        <v>75.290000000000006</v>
      </c>
      <c r="E150" s="4" t="str">
        <f>HYPERLINK("https://www.ncbi.nlm.nih.gov/protein/WP_239593856.1?report=genbank&amp;log$=prottop&amp;blast_rank=20&amp;RID=8XN3MCU5013","WP_239593856.1")</f>
        <v>WP_239593856.1</v>
      </c>
    </row>
    <row r="151" spans="1:7" s="4" customFormat="1">
      <c r="A151" s="11" t="s">
        <v>241</v>
      </c>
      <c r="B151" s="9">
        <v>0.97</v>
      </c>
      <c r="C151" s="10">
        <v>1.9999999999999999E-106</v>
      </c>
      <c r="D151" s="5">
        <v>74.709999999999994</v>
      </c>
      <c r="E151" s="4" t="str">
        <f>HYPERLINK("https://www.ncbi.nlm.nih.gov/protein/WP_269598335.1?report=genbank&amp;log$=prottop&amp;blast_rank=25&amp;RID=8XN3MCU5013","WP_269598335.1")</f>
        <v>WP_269598335.1</v>
      </c>
    </row>
    <row r="152" spans="1:7" s="4" customFormat="1">
      <c r="A152" s="11" t="s">
        <v>18</v>
      </c>
      <c r="B152" s="9">
        <v>0.99</v>
      </c>
      <c r="C152" s="10">
        <v>2.0000000000000001E-110</v>
      </c>
      <c r="D152" s="5">
        <v>74.14</v>
      </c>
      <c r="E152" s="4" t="str">
        <f>HYPERLINK("https://www.ncbi.nlm.nih.gov/protein/EKZ9203384.1?report=genbank&amp;log$=prottop&amp;blast_rank=8&amp;RID=8XN3MCU5013","EKZ9203384.1")</f>
        <v>EKZ9203384.1</v>
      </c>
      <c r="G152" s="4" t="s">
        <v>6</v>
      </c>
    </row>
    <row r="153" spans="1:7" s="4" customFormat="1">
      <c r="A153" s="11" t="s">
        <v>15</v>
      </c>
      <c r="B153" s="9">
        <v>0.97</v>
      </c>
      <c r="C153" s="10">
        <v>5.9999999999999999E-108</v>
      </c>
      <c r="D153" s="5">
        <v>71.760000000000005</v>
      </c>
      <c r="E153" s="4" t="str">
        <f>HYPERLINK("https://www.ncbi.nlm.nih.gov/protein/WP_267369063.1?report=genbank&amp;log$=prottop&amp;blast_rank=19&amp;RID=8XN3MCU5013","WP_267369063.1")</f>
        <v>WP_267369063.1</v>
      </c>
    </row>
    <row r="154" spans="1:7" s="4" customFormat="1">
      <c r="A154" s="11" t="s">
        <v>15</v>
      </c>
      <c r="B154" s="9">
        <v>0.97</v>
      </c>
      <c r="C154" s="10">
        <v>9.0000000000000002E-109</v>
      </c>
      <c r="D154" s="5">
        <v>71.180000000000007</v>
      </c>
      <c r="E154" s="4" t="str">
        <f>HYPERLINK("https://www.ncbi.nlm.nih.gov/protein/MBM4869353.1?report=genbank&amp;log$=prottop&amp;blast_rank=13&amp;RID=8XN3MCU5013","MBM4869353.1")</f>
        <v>MBM4869353.1</v>
      </c>
    </row>
    <row r="155" spans="1:7" s="4" customFormat="1">
      <c r="A155" s="11" t="s">
        <v>15</v>
      </c>
      <c r="B155" s="9">
        <v>0.97</v>
      </c>
      <c r="C155" s="10">
        <v>6.9999999999999997E-107</v>
      </c>
      <c r="D155" s="5">
        <v>71.180000000000007</v>
      </c>
      <c r="E155" s="4" t="str">
        <f>HYPERLINK("https://www.ncbi.nlm.nih.gov/protein/WP_229625258.1?report=genbank&amp;log$=prottop&amp;blast_rank=24&amp;RID=8XN3MCU5013","WP_229625258.1")</f>
        <v>WP_229625258.1</v>
      </c>
    </row>
    <row r="156" spans="1:7" s="4" customFormat="1">
      <c r="A156" s="11" t="s">
        <v>242</v>
      </c>
      <c r="B156" s="9">
        <v>0.97</v>
      </c>
      <c r="C156" s="10">
        <v>1.9999999999999999E-105</v>
      </c>
      <c r="D156" s="5">
        <v>70</v>
      </c>
      <c r="E156" s="4" t="str">
        <f>HYPERLINK("https://www.ncbi.nlm.nih.gov/protein/WP_305368808.1?report=genbank&amp;log$=prottop&amp;blast_rank=26&amp;RID=8XN3MCU5013","WP_305368808.1")</f>
        <v>WP_305368808.1</v>
      </c>
    </row>
    <row r="157" spans="1:7" s="4" customFormat="1">
      <c r="A157" s="11" t="s">
        <v>238</v>
      </c>
      <c r="B157" s="9">
        <v>0.97</v>
      </c>
      <c r="C157" s="10">
        <v>3.9999999999999999E-105</v>
      </c>
      <c r="D157" s="5">
        <v>70</v>
      </c>
      <c r="E157" s="4" t="str">
        <f>HYPERLINK("https://www.ncbi.nlm.nih.gov/protein/WP_258452035.1?report=genbank&amp;log$=prottop&amp;blast_rank=27&amp;RID=8XN3MCU5013","WP_258452035.1")</f>
        <v>WP_258452035.1</v>
      </c>
    </row>
    <row r="158" spans="1:7" s="4" customFormat="1">
      <c r="A158" s="11" t="s">
        <v>15</v>
      </c>
      <c r="B158" s="9">
        <v>0.97</v>
      </c>
      <c r="C158" s="10">
        <v>7E-105</v>
      </c>
      <c r="D158" s="5">
        <v>70</v>
      </c>
      <c r="E158" s="4" t="str">
        <f>HYPERLINK("https://www.ncbi.nlm.nih.gov/protein/WP_348255968.1?report=genbank&amp;log$=prottop&amp;blast_rank=28&amp;RID=8XN3MCU5013","WP_348255968.1")</f>
        <v>WP_348255968.1</v>
      </c>
    </row>
    <row r="159" spans="1:7" s="4" customFormat="1">
      <c r="A159" s="11" t="s">
        <v>15</v>
      </c>
      <c r="B159" s="9">
        <v>0.97</v>
      </c>
      <c r="C159" s="10">
        <v>1.9999999999999999E-104</v>
      </c>
      <c r="D159" s="5">
        <v>70</v>
      </c>
      <c r="E159" s="4" t="str">
        <f>HYPERLINK("https://www.ncbi.nlm.nih.gov/protein/WP_180710284.1?report=genbank&amp;log$=prottop&amp;blast_rank=29&amp;RID=8XN3MCU5013","WP_180710284.1")</f>
        <v>WP_180710284.1</v>
      </c>
    </row>
    <row r="160" spans="1:7">
      <c r="A160" s="23"/>
    </row>
    <row r="161" spans="1:5">
      <c r="A161" s="23"/>
    </row>
    <row r="162" spans="1:5">
      <c r="A162" s="22">
        <v>1840</v>
      </c>
    </row>
    <row r="163" spans="1:5" s="4" customFormat="1">
      <c r="A163" s="11" t="s">
        <v>15</v>
      </c>
      <c r="B163" s="9">
        <v>1</v>
      </c>
      <c r="C163" s="10">
        <v>2.9999999999999999E-121</v>
      </c>
      <c r="D163" s="5">
        <v>100</v>
      </c>
      <c r="E163" s="4" t="str">
        <f>HYPERLINK("https://www.ncbi.nlm.nih.gov/protein/WP_229652597.1?report=genbank&amp;log$=prottop&amp;blast_rank=141&amp;RID=8XNW7U47013","WP_229652597.1")</f>
        <v>WP_229652597.1</v>
      </c>
    </row>
    <row r="164" spans="1:5" s="4" customFormat="1">
      <c r="A164" s="11" t="s">
        <v>43</v>
      </c>
      <c r="B164" s="9">
        <v>1</v>
      </c>
      <c r="C164" s="10">
        <v>9.9999999999999998E-121</v>
      </c>
      <c r="D164" s="5">
        <v>100</v>
      </c>
      <c r="E164" s="4" t="str">
        <f>HYPERLINK("https://www.ncbi.nlm.nih.gov/protein/WP_011105965.1?report=genbank&amp;log$=prottop&amp;blast_rank=148&amp;RID=8XNW7U47013","WP_011105965.1")</f>
        <v>WP_011105965.1</v>
      </c>
    </row>
    <row r="165" spans="1:5" s="4" customFormat="1">
      <c r="A165" s="11" t="s">
        <v>238</v>
      </c>
      <c r="B165" s="9">
        <v>1</v>
      </c>
      <c r="C165" s="10">
        <v>3.9999999999999999E-120</v>
      </c>
      <c r="D165" s="5">
        <v>99.5</v>
      </c>
      <c r="E165" s="4" t="str">
        <f>HYPERLINK("https://www.ncbi.nlm.nih.gov/protein/EGQ8020009.1?report=genbank&amp;log$=prottop&amp;blast_rank=161&amp;RID=8XNW7U47013","EGQ8020009.1")</f>
        <v>EGQ8020009.1</v>
      </c>
    </row>
    <row r="166" spans="1:5" s="4" customFormat="1">
      <c r="A166" s="11" t="s">
        <v>15</v>
      </c>
      <c r="B166" s="9">
        <v>1</v>
      </c>
      <c r="C166" s="10">
        <v>3.0000000000000002E-119</v>
      </c>
      <c r="D166" s="5">
        <v>99.5</v>
      </c>
      <c r="E166" s="4" t="str">
        <f>HYPERLINK("https://www.ncbi.nlm.nih.gov/protein/EGU9031304.1?report=genbank&amp;log$=prottop&amp;blast_rank=176&amp;RID=8XNW7U47013","EGU9031304.1")</f>
        <v>EGU9031304.1</v>
      </c>
    </row>
    <row r="167" spans="1:5" s="4" customFormat="1">
      <c r="A167" s="11" t="s">
        <v>15</v>
      </c>
      <c r="B167" s="9">
        <v>1</v>
      </c>
      <c r="C167" s="10">
        <v>9.9999999999999999E-119</v>
      </c>
      <c r="D167" s="5">
        <v>99.5</v>
      </c>
      <c r="E167" s="4" t="str">
        <f>HYPERLINK("https://www.ncbi.nlm.nih.gov/protein/TOL18210.1?report=genbank&amp;log$=prottop&amp;blast_rank=187&amp;RID=8XNW7U47013","TOL18210.1")</f>
        <v>TOL18210.1</v>
      </c>
    </row>
    <row r="168" spans="1:5" s="4" customFormat="1">
      <c r="A168" s="11" t="s">
        <v>15</v>
      </c>
      <c r="B168" s="9">
        <v>0.97</v>
      </c>
      <c r="C168" s="10">
        <v>2.0000000000000001E-117</v>
      </c>
      <c r="D168" s="5">
        <v>99.48</v>
      </c>
      <c r="E168" s="4" t="str">
        <f>HYPERLINK("https://www.ncbi.nlm.nih.gov/protein/WP_021483869.1?report=genbank&amp;log$=prottop&amp;blast_rank=210&amp;RID=8XNW7U47013","WP_021483869.1")</f>
        <v>WP_021483869.1</v>
      </c>
    </row>
    <row r="169" spans="1:5" s="4" customFormat="1">
      <c r="A169" s="11" t="s">
        <v>43</v>
      </c>
      <c r="B169" s="9">
        <v>0.96</v>
      </c>
      <c r="C169" s="10">
        <v>5E-117</v>
      </c>
      <c r="D169" s="5">
        <v>99.48</v>
      </c>
      <c r="E169" s="4" t="str">
        <f>HYPERLINK("https://www.ncbi.nlm.nih.gov/protein/WP_005483293.1?report=genbank&amp;log$=prottop&amp;blast_rank=219&amp;RID=8XNW7U47013","WP_005483293.1")</f>
        <v>WP_005483293.1</v>
      </c>
    </row>
    <row r="170" spans="1:5" s="4" customFormat="1">
      <c r="A170" s="11" t="s">
        <v>15</v>
      </c>
      <c r="B170" s="9">
        <v>0.91</v>
      </c>
      <c r="C170" s="10">
        <v>8.0000000000000004E-110</v>
      </c>
      <c r="D170" s="5">
        <v>99.45</v>
      </c>
      <c r="E170" s="4" t="str">
        <f>HYPERLINK("https://www.ncbi.nlm.nih.gov/protein/WP_025580670.1?report=genbank&amp;log$=prottop&amp;blast_rank=335&amp;RID=8XNW7U47013","WP_025580670.1")</f>
        <v>WP_025580670.1</v>
      </c>
    </row>
    <row r="171" spans="1:5" s="4" customFormat="1">
      <c r="A171" s="11" t="s">
        <v>15</v>
      </c>
      <c r="B171" s="9">
        <v>0.89</v>
      </c>
      <c r="C171" s="10">
        <v>9.0000000000000002E-109</v>
      </c>
      <c r="D171" s="5">
        <v>99.44</v>
      </c>
      <c r="E171" s="4" t="str">
        <f>HYPERLINK("https://www.ncbi.nlm.nih.gov/protein/WP_237666895.1?report=genbank&amp;log$=prottop&amp;blast_rank=360&amp;RID=8XNW7U47013","WP_237666895.1")</f>
        <v>WP_237666895.1</v>
      </c>
    </row>
    <row r="172" spans="1:5" s="4" customFormat="1">
      <c r="A172" s="11" t="s">
        <v>238</v>
      </c>
      <c r="B172" s="9">
        <v>0.96</v>
      </c>
      <c r="C172" s="10">
        <v>2E-116</v>
      </c>
      <c r="D172" s="5">
        <v>98.96</v>
      </c>
      <c r="E172" s="4" t="str">
        <f>HYPERLINK("https://www.ncbi.nlm.nih.gov/protein/WP_213892045.1?report=genbank&amp;log$=prottop&amp;blast_rank=226&amp;RID=8XNW7U47013","WP_213892045.1")</f>
        <v>WP_213892045.1</v>
      </c>
    </row>
    <row r="173" spans="1:5" s="4" customFormat="1">
      <c r="A173" s="11" t="s">
        <v>15</v>
      </c>
      <c r="B173" s="9">
        <v>0.96</v>
      </c>
      <c r="C173" s="10">
        <v>6.0000000000000005E-116</v>
      </c>
      <c r="D173" s="5">
        <v>98.96</v>
      </c>
      <c r="E173" s="4" t="str">
        <f>HYPERLINK("https://www.ncbi.nlm.nih.gov/protein/HCH3821794.1?report=genbank&amp;log$=prottop&amp;blast_rank=233&amp;RID=8XNW7U47013","HCH3821794.1")</f>
        <v>HCH3821794.1</v>
      </c>
    </row>
    <row r="174" spans="1:5" s="4" customFormat="1">
      <c r="A174" s="11" t="s">
        <v>15</v>
      </c>
      <c r="B174" s="9">
        <v>0.96</v>
      </c>
      <c r="C174" s="10">
        <v>8E-116</v>
      </c>
      <c r="D174" s="5">
        <v>98.96</v>
      </c>
      <c r="E174" s="4" t="str">
        <f>HYPERLINK("https://www.ncbi.nlm.nih.gov/protein/HCE2860375.1?report=genbank&amp;log$=prottop&amp;blast_rank=234&amp;RID=8XNW7U47013","HCE2860375.1")</f>
        <v>HCE2860375.1</v>
      </c>
    </row>
    <row r="175" spans="1:5" s="4" customFormat="1">
      <c r="A175" s="11" t="s">
        <v>15</v>
      </c>
      <c r="B175" s="9">
        <v>0.96</v>
      </c>
      <c r="C175" s="10">
        <v>1.0000000000000001E-115</v>
      </c>
      <c r="D175" s="5">
        <v>98.96</v>
      </c>
      <c r="E175" s="4" t="str">
        <f>HYPERLINK("https://www.ncbi.nlm.nih.gov/protein/EIO4610136.1?report=genbank&amp;log$=prottop&amp;blast_rank=243&amp;RID=8XNW7U47013","EIO4610136.1")</f>
        <v>EIO4610136.1</v>
      </c>
    </row>
    <row r="176" spans="1:5" s="4" customFormat="1">
      <c r="A176" s="11" t="s">
        <v>15</v>
      </c>
      <c r="B176" s="9">
        <v>0.96</v>
      </c>
      <c r="C176" s="10">
        <v>7.0000000000000004E-115</v>
      </c>
      <c r="D176" s="5">
        <v>98.96</v>
      </c>
      <c r="E176" s="4" t="str">
        <f>HYPERLINK("https://www.ncbi.nlm.nih.gov/protein/WP_219585896.1?report=genbank&amp;log$=prottop&amp;blast_rank=251&amp;RID=8XNW7U47013","WP_219585896.1")</f>
        <v>WP_219585896.1</v>
      </c>
    </row>
    <row r="177" spans="1:7" s="4" customFormat="1">
      <c r="A177" s="11" t="s">
        <v>588</v>
      </c>
      <c r="B177" s="9">
        <v>1</v>
      </c>
      <c r="C177" s="10">
        <v>7.9999999999999998E-120</v>
      </c>
      <c r="D177" s="5">
        <v>98.49</v>
      </c>
      <c r="E177" s="4" t="str">
        <f>HYPERLINK("https://www.ncbi.nlm.nih.gov/protein/KIN12088.1?report=genbank&amp;log$=prottop&amp;blast_rank=164&amp;RID=8XNW7U47013","KIN12088.1")</f>
        <v>KIN12088.1</v>
      </c>
    </row>
    <row r="178" spans="1:7" s="4" customFormat="1">
      <c r="A178" s="11" t="s">
        <v>588</v>
      </c>
      <c r="B178" s="9">
        <v>0.96</v>
      </c>
      <c r="C178" s="10">
        <v>4E-116</v>
      </c>
      <c r="D178" s="5">
        <v>97.93</v>
      </c>
      <c r="E178" s="4" t="str">
        <f>HYPERLINK("https://www.ncbi.nlm.nih.gov/protein/WP_209419664.1?report=genbank&amp;log$=prottop&amp;blast_rank=229&amp;RID=8XNW7U47013","WP_209419664.1")</f>
        <v>WP_209419664.1</v>
      </c>
    </row>
    <row r="179" spans="1:7" s="4" customFormat="1">
      <c r="A179" s="11" t="s">
        <v>240</v>
      </c>
      <c r="B179" s="9">
        <v>0.96</v>
      </c>
      <c r="C179" s="10">
        <v>1.0000000000000001E-115</v>
      </c>
      <c r="D179" s="5">
        <v>96.89</v>
      </c>
      <c r="E179" s="4" t="str">
        <f>HYPERLINK("https://www.ncbi.nlm.nih.gov/protein/EKO3466503.1?report=genbank&amp;log$=prottop&amp;blast_rank=241&amp;RID=8XNW7U47013","EKO3466503.1")</f>
        <v>EKO3466503.1</v>
      </c>
    </row>
    <row r="180" spans="1:7" s="4" customFormat="1">
      <c r="A180" s="11" t="s">
        <v>715</v>
      </c>
      <c r="B180" s="9">
        <v>0.84</v>
      </c>
      <c r="C180" s="10">
        <v>9.9999999999999993E-103</v>
      </c>
      <c r="D180" s="5">
        <v>96.43</v>
      </c>
      <c r="E180" s="4" t="str">
        <f>HYPERLINK("https://www.ncbi.nlm.nih.gov/protein/WP_045403633.1?report=genbank&amp;log$=prottop&amp;blast_rank=432&amp;RID=8XNW7U47013","WP_045403633.1")</f>
        <v>WP_045403633.1</v>
      </c>
    </row>
    <row r="181" spans="1:7" s="4" customFormat="1">
      <c r="A181" s="11" t="s">
        <v>18</v>
      </c>
      <c r="B181" s="9">
        <v>0.98</v>
      </c>
      <c r="C181" s="10">
        <v>3.0000000000000001E-120</v>
      </c>
      <c r="D181" s="5">
        <v>95.94</v>
      </c>
      <c r="E181" s="4" t="str">
        <f>HYPERLINK("https://www.ncbi.nlm.nih.gov/protein/RZR20395.1?report=genbank&amp;log$=prottop&amp;blast_rank=159&amp;RID=8XNW7U47013","RZR20395.1")</f>
        <v>RZR20395.1</v>
      </c>
    </row>
    <row r="182" spans="1:7" s="4" customFormat="1">
      <c r="A182" s="11" t="s">
        <v>43</v>
      </c>
      <c r="B182" s="9">
        <v>0.96</v>
      </c>
      <c r="C182" s="10">
        <v>4.0000000000000001E-117</v>
      </c>
      <c r="D182" s="5">
        <v>95.34</v>
      </c>
      <c r="E182" s="4" t="str">
        <f>HYPERLINK("https://www.ncbi.nlm.nih.gov/protein/WP_165387079.1?report=genbank&amp;log$=prottop&amp;blast_rank=217&amp;RID=8XNW7U47013","WP_165387079.1")</f>
        <v>WP_165387079.1</v>
      </c>
    </row>
    <row r="183" spans="1:7" s="4" customFormat="1">
      <c r="A183" s="11" t="s">
        <v>238</v>
      </c>
      <c r="B183" s="9">
        <v>0.87</v>
      </c>
      <c r="C183" s="10">
        <v>9.9999999999999993E-103</v>
      </c>
      <c r="D183" s="5">
        <v>94.29</v>
      </c>
      <c r="E183" s="4" t="str">
        <f>HYPERLINK("https://www.ncbi.nlm.nih.gov/protein/WP_213869246.1?report=genbank&amp;log$=prottop&amp;blast_rank=431&amp;RID=8XNW7U47013","WP_213869246.1")</f>
        <v>WP_213869246.1</v>
      </c>
    </row>
    <row r="184" spans="1:7" s="4" customFormat="1">
      <c r="A184" s="11" t="s">
        <v>15</v>
      </c>
      <c r="B184" s="9">
        <v>0.96</v>
      </c>
      <c r="C184" s="10">
        <v>6.0000000000000002E-111</v>
      </c>
      <c r="D184" s="5">
        <v>86.53</v>
      </c>
      <c r="E184" s="4" t="str">
        <f>HYPERLINK("https://www.ncbi.nlm.nih.gov/protein/WP_254662637.1?report=genbank&amp;log$=prottop&amp;blast_rank=315&amp;RID=8XNW7U47013","WP_254662637.1")</f>
        <v>WP_254662637.1</v>
      </c>
    </row>
    <row r="185" spans="1:7" s="4" customFormat="1">
      <c r="A185" s="11" t="s">
        <v>242</v>
      </c>
      <c r="B185" s="9">
        <v>0.96</v>
      </c>
      <c r="C185" s="10">
        <v>4.9999999999999997E-113</v>
      </c>
      <c r="D185" s="5">
        <v>84.97</v>
      </c>
      <c r="E185" s="4" t="str">
        <f>HYPERLINK("https://www.ncbi.nlm.nih.gov/protein/WP_318469952.1?report=genbank&amp;log$=prottop&amp;blast_rank=282&amp;RID=8XNW7U47013","WP_318469952.1")</f>
        <v>WP_318469952.1</v>
      </c>
    </row>
    <row r="186" spans="1:7" s="4" customFormat="1">
      <c r="A186" s="11" t="s">
        <v>242</v>
      </c>
      <c r="B186" s="9">
        <v>0.96</v>
      </c>
      <c r="C186" s="10">
        <v>6.0000000000000002E-113</v>
      </c>
      <c r="D186" s="5">
        <v>84.46</v>
      </c>
      <c r="E186" s="4" t="str">
        <f>HYPERLINK("https://www.ncbi.nlm.nih.gov/protein/WP_060988606.1?report=genbank&amp;log$=prottop&amp;blast_rank=285&amp;RID=8XNW7U47013","WP_060988606.1")</f>
        <v>WP_060988606.1</v>
      </c>
    </row>
    <row r="187" spans="1:7" s="4" customFormat="1">
      <c r="A187" s="11" t="s">
        <v>242</v>
      </c>
      <c r="B187" s="9">
        <v>0.96</v>
      </c>
      <c r="C187" s="10">
        <v>9.9999999999999995E-113</v>
      </c>
      <c r="D187" s="5">
        <v>84.46</v>
      </c>
      <c r="E187" s="4" t="str">
        <f>HYPERLINK("https://www.ncbi.nlm.nih.gov/protein/WP_318463959.1?report=genbank&amp;log$=prottop&amp;blast_rank=288&amp;RID=8XNW7U47013","WP_318463959.1")</f>
        <v>WP_318463959.1</v>
      </c>
    </row>
    <row r="188" spans="1:7">
      <c r="A188" s="23"/>
    </row>
    <row r="189" spans="1:7">
      <c r="A189" s="23"/>
    </row>
    <row r="190" spans="1:7">
      <c r="A190" s="12" t="s">
        <v>741</v>
      </c>
    </row>
    <row r="191" spans="1:7">
      <c r="A191" s="24" t="s">
        <v>15</v>
      </c>
      <c r="B191" s="17">
        <v>1</v>
      </c>
      <c r="C191" s="18">
        <v>9.0000000000000004E-95</v>
      </c>
      <c r="D191" s="19">
        <v>100</v>
      </c>
      <c r="E191" s="25" t="s">
        <v>766</v>
      </c>
      <c r="F191" s="3"/>
      <c r="G191" s="3"/>
    </row>
    <row r="192" spans="1:7">
      <c r="A192" s="24" t="s">
        <v>15</v>
      </c>
      <c r="B192" s="17">
        <v>1</v>
      </c>
      <c r="C192" s="18">
        <v>9.0000000000000004E-95</v>
      </c>
      <c r="D192" s="19">
        <v>100</v>
      </c>
      <c r="E192" s="25" t="s">
        <v>767</v>
      </c>
      <c r="F192" s="3"/>
      <c r="G192" s="3"/>
    </row>
    <row r="193" spans="1:7">
      <c r="A193" s="24" t="s">
        <v>15</v>
      </c>
      <c r="B193" s="17">
        <v>1</v>
      </c>
      <c r="C193" s="18">
        <v>9.9999999999999996E-95</v>
      </c>
      <c r="D193" s="19">
        <v>100</v>
      </c>
      <c r="E193" s="25" t="s">
        <v>768</v>
      </c>
      <c r="F193" s="3"/>
      <c r="G193" s="3"/>
    </row>
    <row r="194" spans="1:7">
      <c r="A194" s="24" t="s">
        <v>15</v>
      </c>
      <c r="B194" s="17">
        <v>1</v>
      </c>
      <c r="C194" s="18">
        <v>3.9999999999999998E-94</v>
      </c>
      <c r="D194" s="19">
        <v>100</v>
      </c>
      <c r="E194" s="25" t="s">
        <v>770</v>
      </c>
      <c r="F194" s="3"/>
      <c r="G194" s="3"/>
    </row>
    <row r="195" spans="1:7">
      <c r="A195" s="24" t="s">
        <v>15</v>
      </c>
      <c r="B195" s="17">
        <v>1</v>
      </c>
      <c r="C195" s="18">
        <v>3.9999999999999998E-94</v>
      </c>
      <c r="D195" s="19">
        <v>100</v>
      </c>
      <c r="E195" s="25" t="s">
        <v>772</v>
      </c>
      <c r="F195" s="3"/>
      <c r="G195" s="3"/>
    </row>
    <row r="196" spans="1:7">
      <c r="A196" s="24" t="s">
        <v>43</v>
      </c>
      <c r="B196" s="17">
        <v>1</v>
      </c>
      <c r="C196" s="18">
        <v>4.9999999999999995E-94</v>
      </c>
      <c r="D196" s="19">
        <v>100</v>
      </c>
      <c r="E196" s="25" t="s">
        <v>777</v>
      </c>
      <c r="F196" s="3"/>
      <c r="G196" s="3"/>
    </row>
    <row r="197" spans="1:7">
      <c r="A197" s="24" t="s">
        <v>15</v>
      </c>
      <c r="B197" s="17">
        <v>0.99</v>
      </c>
      <c r="C197" s="18">
        <v>2E-92</v>
      </c>
      <c r="D197" s="19">
        <v>100</v>
      </c>
      <c r="E197" s="25" t="s">
        <v>803</v>
      </c>
      <c r="F197" s="3"/>
      <c r="G197" s="3"/>
    </row>
    <row r="198" spans="1:7">
      <c r="A198" s="24" t="s">
        <v>15</v>
      </c>
      <c r="B198" s="17">
        <v>0.98</v>
      </c>
      <c r="C198" s="18">
        <v>5.0000000000000001E-92</v>
      </c>
      <c r="D198" s="19">
        <v>100</v>
      </c>
      <c r="E198" s="25" t="s">
        <v>809</v>
      </c>
      <c r="F198" s="3"/>
      <c r="G198" s="3"/>
    </row>
    <row r="199" spans="1:7">
      <c r="A199" s="24" t="s">
        <v>15</v>
      </c>
      <c r="B199" s="17">
        <v>0.97</v>
      </c>
      <c r="C199" s="18">
        <v>2E-90</v>
      </c>
      <c r="D199" s="19">
        <v>100</v>
      </c>
      <c r="E199" s="25" t="s">
        <v>820</v>
      </c>
      <c r="F199" s="3"/>
      <c r="G199" s="3"/>
    </row>
    <row r="200" spans="1:7">
      <c r="A200" s="24" t="s">
        <v>15</v>
      </c>
      <c r="B200" s="17">
        <v>0.95</v>
      </c>
      <c r="C200" s="18">
        <v>3.0000000000000002E-87</v>
      </c>
      <c r="D200" s="19">
        <v>100</v>
      </c>
      <c r="E200" s="25" t="s">
        <v>833</v>
      </c>
      <c r="F200" s="3"/>
      <c r="G200" s="3"/>
    </row>
    <row r="201" spans="1:7">
      <c r="A201" s="24" t="s">
        <v>15</v>
      </c>
      <c r="B201" s="17">
        <v>0.95</v>
      </c>
      <c r="C201" s="18">
        <v>1.0000000000000001E-86</v>
      </c>
      <c r="D201" s="19">
        <v>100</v>
      </c>
      <c r="E201" s="25" t="s">
        <v>836</v>
      </c>
      <c r="F201" s="3"/>
      <c r="G201" s="3"/>
    </row>
    <row r="202" spans="1:7">
      <c r="A202" s="24" t="s">
        <v>15</v>
      </c>
      <c r="B202" s="17">
        <v>0.88</v>
      </c>
      <c r="C202" s="18">
        <v>1.9999999999999999E-80</v>
      </c>
      <c r="D202" s="19">
        <v>100</v>
      </c>
      <c r="E202" s="25" t="s">
        <v>865</v>
      </c>
      <c r="F202" s="3"/>
      <c r="G202" s="3"/>
    </row>
    <row r="203" spans="1:7">
      <c r="A203" s="24" t="s">
        <v>15</v>
      </c>
      <c r="B203" s="17">
        <v>0.88</v>
      </c>
      <c r="C203" s="18">
        <v>1.9999999999999999E-80</v>
      </c>
      <c r="D203" s="19">
        <v>100</v>
      </c>
      <c r="E203" s="25" t="s">
        <v>866</v>
      </c>
      <c r="F203" s="3"/>
      <c r="G203" s="3"/>
    </row>
    <row r="204" spans="1:7">
      <c r="A204" s="24" t="s">
        <v>15</v>
      </c>
      <c r="B204" s="17">
        <v>0.82</v>
      </c>
      <c r="C204" s="18">
        <v>4.9999999999999998E-76</v>
      </c>
      <c r="D204" s="19">
        <v>100</v>
      </c>
      <c r="E204" s="25" t="s">
        <v>886</v>
      </c>
      <c r="F204" s="3"/>
      <c r="G204" s="3"/>
    </row>
    <row r="205" spans="1:7">
      <c r="A205" s="24" t="s">
        <v>15</v>
      </c>
      <c r="B205" s="17">
        <v>0.83</v>
      </c>
      <c r="C205" s="18">
        <v>9.9999999999999997E-73</v>
      </c>
      <c r="D205" s="19">
        <v>100</v>
      </c>
      <c r="E205" s="25" t="s">
        <v>901</v>
      </c>
      <c r="F205" s="3"/>
      <c r="G205" s="3"/>
    </row>
    <row r="206" spans="1:7">
      <c r="A206" s="24" t="s">
        <v>15</v>
      </c>
      <c r="B206" s="17">
        <v>1</v>
      </c>
      <c r="C206" s="18">
        <v>3.9999999999999998E-94</v>
      </c>
      <c r="D206" s="19">
        <v>99.55</v>
      </c>
      <c r="E206" s="25" t="s">
        <v>771</v>
      </c>
      <c r="F206" s="3"/>
      <c r="G206" s="3"/>
    </row>
    <row r="207" spans="1:7">
      <c r="A207" s="24" t="s">
        <v>15</v>
      </c>
      <c r="B207" s="17">
        <v>1</v>
      </c>
      <c r="C207" s="18">
        <v>3.0000000000000001E-93</v>
      </c>
      <c r="D207" s="19">
        <v>99.55</v>
      </c>
      <c r="E207" s="25" t="s">
        <v>796</v>
      </c>
      <c r="F207" s="3"/>
      <c r="G207" s="3"/>
    </row>
    <row r="208" spans="1:7">
      <c r="A208" s="24" t="s">
        <v>43</v>
      </c>
      <c r="B208" s="17">
        <v>1</v>
      </c>
      <c r="C208" s="18">
        <v>3.9999999999999998E-94</v>
      </c>
      <c r="D208" s="19">
        <v>99.11</v>
      </c>
      <c r="E208" s="25" t="s">
        <v>774</v>
      </c>
      <c r="F208" s="3"/>
      <c r="G208" s="3"/>
    </row>
    <row r="209" spans="1:7">
      <c r="A209" s="24" t="s">
        <v>18</v>
      </c>
      <c r="B209" s="17">
        <v>1</v>
      </c>
      <c r="C209" s="18">
        <v>6.0000000000000003E-94</v>
      </c>
      <c r="D209" s="19">
        <v>99.11</v>
      </c>
      <c r="E209" s="25" t="s">
        <v>781</v>
      </c>
      <c r="F209" s="3"/>
      <c r="G209" s="3"/>
    </row>
    <row r="210" spans="1:7">
      <c r="A210" s="24" t="s">
        <v>15</v>
      </c>
      <c r="B210" s="17">
        <v>1</v>
      </c>
      <c r="C210" s="18">
        <v>7.9999999999999996E-94</v>
      </c>
      <c r="D210" s="19">
        <v>99.11</v>
      </c>
      <c r="E210" s="25" t="s">
        <v>782</v>
      </c>
      <c r="F210" s="3"/>
      <c r="G210" s="3"/>
    </row>
    <row r="211" spans="1:7">
      <c r="A211" s="24" t="s">
        <v>15</v>
      </c>
      <c r="B211" s="17">
        <v>1</v>
      </c>
      <c r="C211" s="18">
        <v>4E-92</v>
      </c>
      <c r="D211" s="19">
        <v>98.67</v>
      </c>
      <c r="E211" s="25" t="s">
        <v>808</v>
      </c>
      <c r="F211" s="3"/>
      <c r="G211" s="3"/>
    </row>
    <row r="212" spans="1:7">
      <c r="A212" s="24" t="s">
        <v>44</v>
      </c>
      <c r="B212" s="17">
        <v>1</v>
      </c>
      <c r="C212" s="18">
        <v>4E-95</v>
      </c>
      <c r="D212" s="19">
        <v>98.66</v>
      </c>
      <c r="E212" s="25" t="s">
        <v>763</v>
      </c>
      <c r="F212" s="3"/>
      <c r="G212" s="3"/>
    </row>
    <row r="213" spans="1:7">
      <c r="A213" s="24" t="s">
        <v>15</v>
      </c>
      <c r="B213" s="17">
        <v>1</v>
      </c>
      <c r="C213" s="18">
        <v>1.9999999999999998E-93</v>
      </c>
      <c r="D213" s="19">
        <v>98.66</v>
      </c>
      <c r="E213" s="25" t="s">
        <v>789</v>
      </c>
      <c r="F213" s="3"/>
      <c r="G213" s="3"/>
    </row>
    <row r="214" spans="1:7">
      <c r="A214" s="24" t="s">
        <v>15</v>
      </c>
      <c r="B214" s="17">
        <v>1</v>
      </c>
      <c r="C214" s="18">
        <v>3.0000000000000001E-93</v>
      </c>
      <c r="D214" s="19">
        <v>98.66</v>
      </c>
      <c r="E214" s="25" t="s">
        <v>790</v>
      </c>
      <c r="F214" s="3"/>
      <c r="G214" s="3"/>
    </row>
    <row r="215" spans="1:7">
      <c r="A215" s="24" t="s">
        <v>15</v>
      </c>
      <c r="B215" s="17">
        <v>1</v>
      </c>
      <c r="C215" s="18">
        <v>1.9999999999999998E-93</v>
      </c>
      <c r="D215" s="19">
        <v>98.21</v>
      </c>
      <c r="E215" s="25" t="s">
        <v>788</v>
      </c>
      <c r="F215" s="3"/>
      <c r="G215" s="3"/>
    </row>
    <row r="216" spans="1:7">
      <c r="A216" s="24" t="s">
        <v>15</v>
      </c>
      <c r="B216" s="17">
        <v>1</v>
      </c>
      <c r="C216" s="18">
        <v>5.0000000000000001E-92</v>
      </c>
      <c r="D216" s="19">
        <v>98.21</v>
      </c>
      <c r="E216" s="25" t="s">
        <v>810</v>
      </c>
      <c r="F216" s="3"/>
      <c r="G216" s="3"/>
    </row>
    <row r="217" spans="1:7">
      <c r="A217" s="24" t="s">
        <v>18</v>
      </c>
      <c r="B217" s="17">
        <v>1</v>
      </c>
      <c r="C217" s="18">
        <v>3.9999999999999998E-94</v>
      </c>
      <c r="D217" s="19">
        <v>97.32</v>
      </c>
      <c r="E217" s="25" t="s">
        <v>773</v>
      </c>
      <c r="F217" s="3"/>
      <c r="G217" s="3"/>
    </row>
    <row r="218" spans="1:7">
      <c r="A218" s="24" t="s">
        <v>775</v>
      </c>
      <c r="B218" s="17">
        <v>1</v>
      </c>
      <c r="C218" s="18">
        <v>4.9999999999999995E-94</v>
      </c>
      <c r="D218" s="19">
        <v>97.32</v>
      </c>
      <c r="E218" s="25" t="s">
        <v>776</v>
      </c>
      <c r="F218" s="3"/>
      <c r="G218" s="3"/>
    </row>
    <row r="219" spans="1:7">
      <c r="A219" s="24" t="s">
        <v>18</v>
      </c>
      <c r="B219" s="17">
        <v>1</v>
      </c>
      <c r="C219" s="18">
        <v>3.0000000000000001E-93</v>
      </c>
      <c r="D219" s="19">
        <v>97.32</v>
      </c>
      <c r="E219" s="25" t="s">
        <v>791</v>
      </c>
      <c r="F219" s="3"/>
      <c r="G219" s="3"/>
    </row>
    <row r="220" spans="1:7">
      <c r="A220" s="24" t="s">
        <v>15</v>
      </c>
      <c r="B220" s="17">
        <v>1</v>
      </c>
      <c r="C220" s="18">
        <v>2E-95</v>
      </c>
      <c r="D220" s="19">
        <v>96.88</v>
      </c>
      <c r="E220" s="25" t="s">
        <v>762</v>
      </c>
      <c r="F220" s="3"/>
      <c r="G220" s="3"/>
    </row>
    <row r="221" spans="1:7">
      <c r="A221" s="24" t="s">
        <v>779</v>
      </c>
      <c r="B221" s="17">
        <v>1</v>
      </c>
      <c r="C221" s="18">
        <v>6.0000000000000003E-94</v>
      </c>
      <c r="D221" s="19">
        <v>96.88</v>
      </c>
      <c r="E221" s="25" t="s">
        <v>780</v>
      </c>
      <c r="F221" s="3"/>
      <c r="G221" s="3"/>
    </row>
    <row r="222" spans="1:7">
      <c r="A222" s="24" t="s">
        <v>18</v>
      </c>
      <c r="B222" s="17">
        <v>1</v>
      </c>
      <c r="C222" s="18">
        <v>9.999999999999999E-94</v>
      </c>
      <c r="D222" s="19">
        <v>96.43</v>
      </c>
      <c r="E222" s="25" t="s">
        <v>785</v>
      </c>
      <c r="F222" s="3"/>
      <c r="G222" s="3"/>
    </row>
    <row r="223" spans="1:7">
      <c r="A223" s="24" t="s">
        <v>53</v>
      </c>
      <c r="B223" s="17">
        <v>1</v>
      </c>
      <c r="C223" s="18">
        <v>3.0000000000000001E-93</v>
      </c>
      <c r="D223" s="19">
        <v>95.98</v>
      </c>
      <c r="E223" s="25" t="s">
        <v>797</v>
      </c>
      <c r="F223" s="3"/>
      <c r="G223" s="3"/>
    </row>
    <row r="224" spans="1:7">
      <c r="A224" s="24" t="s">
        <v>41</v>
      </c>
      <c r="B224" s="17">
        <v>1</v>
      </c>
      <c r="C224" s="18">
        <v>9.9999999999999999E-93</v>
      </c>
      <c r="D224" s="19">
        <v>92.41</v>
      </c>
      <c r="E224" s="25" t="s">
        <v>802</v>
      </c>
      <c r="F224" s="3"/>
      <c r="G224" s="3"/>
    </row>
    <row r="225" spans="1:8">
      <c r="A225" s="24" t="s">
        <v>813</v>
      </c>
      <c r="B225" s="17">
        <v>1</v>
      </c>
      <c r="C225" s="18">
        <v>9.9999999999999999E-91</v>
      </c>
      <c r="D225" s="19">
        <v>91.96</v>
      </c>
      <c r="E225" s="25" t="s">
        <v>814</v>
      </c>
      <c r="F225" s="3"/>
      <c r="G225" s="3"/>
    </row>
    <row r="226" spans="1:8">
      <c r="A226" s="24" t="s">
        <v>840</v>
      </c>
      <c r="B226" s="17">
        <v>0.99</v>
      </c>
      <c r="C226" s="18">
        <v>2.0000000000000002E-86</v>
      </c>
      <c r="D226" s="19">
        <v>79.73</v>
      </c>
      <c r="E226" s="25" t="s">
        <v>841</v>
      </c>
      <c r="F226" s="3"/>
      <c r="G226" s="3"/>
    </row>
    <row r="227" spans="1:8">
      <c r="A227" s="24" t="s">
        <v>831</v>
      </c>
      <c r="B227" s="17">
        <v>0.98</v>
      </c>
      <c r="C227" s="18">
        <v>2E-87</v>
      </c>
      <c r="D227" s="19">
        <v>77.83</v>
      </c>
      <c r="E227" s="25" t="s">
        <v>832</v>
      </c>
      <c r="F227" s="3"/>
      <c r="G227" s="3"/>
    </row>
    <row r="228" spans="1:8">
      <c r="A228" s="24" t="s">
        <v>17</v>
      </c>
      <c r="B228" s="17">
        <v>0.98</v>
      </c>
      <c r="C228" s="18">
        <v>6.0000000000000003E-87</v>
      </c>
      <c r="D228" s="19">
        <v>77.38</v>
      </c>
      <c r="E228" s="25" t="s">
        <v>834</v>
      </c>
      <c r="F228" s="3"/>
      <c r="G228" s="3"/>
    </row>
    <row r="229" spans="1:8">
      <c r="A229" s="24" t="s">
        <v>17</v>
      </c>
      <c r="B229" s="17">
        <v>0.98</v>
      </c>
      <c r="C229" s="18">
        <v>1.0000000000000001E-86</v>
      </c>
      <c r="D229" s="19">
        <v>76.92</v>
      </c>
      <c r="E229" s="25" t="s">
        <v>839</v>
      </c>
      <c r="F229" s="3"/>
      <c r="G229" s="3"/>
    </row>
    <row r="230" spans="1:8">
      <c r="A230" s="23"/>
    </row>
    <row r="232" spans="1:8">
      <c r="A232" s="2" t="s">
        <v>1088</v>
      </c>
    </row>
    <row r="233" spans="1:8">
      <c r="A233" s="4" t="s">
        <v>42</v>
      </c>
      <c r="B233" s="9">
        <v>1</v>
      </c>
      <c r="C233" s="10">
        <v>1.9999999999999999E-144</v>
      </c>
      <c r="D233" s="5">
        <v>100</v>
      </c>
      <c r="E233" s="4" t="str">
        <f>HYPERLINK("https://www.ncbi.nlm.nih.gov/protein/WP_005483174.1?report=genbank&amp;log$=prottop&amp;blast_rank=2&amp;RID=92EC6PSH016","WP_005483174.1")</f>
        <v>WP_005483174.1</v>
      </c>
      <c r="F233" s="4"/>
      <c r="G233" s="4"/>
      <c r="H233" s="4"/>
    </row>
    <row r="234" spans="1:8">
      <c r="A234" s="4" t="s">
        <v>15</v>
      </c>
      <c r="B234" s="9">
        <v>0.99</v>
      </c>
      <c r="C234" s="10">
        <v>1.9999999999999999E-143</v>
      </c>
      <c r="D234" s="5">
        <v>100</v>
      </c>
      <c r="E234" s="4" t="str">
        <f>HYPERLINK("https://www.ncbi.nlm.nih.gov/protein/ARC19782.1?report=genbank&amp;log$=prottop&amp;blast_rank=7&amp;RID=92EC6PSH016","ARC19782.1")</f>
        <v>ARC19782.1</v>
      </c>
      <c r="F234" s="4"/>
      <c r="G234" s="4"/>
      <c r="H234" s="4"/>
    </row>
    <row r="235" spans="1:8">
      <c r="A235" s="4" t="s">
        <v>15</v>
      </c>
      <c r="B235" s="9">
        <v>0.99</v>
      </c>
      <c r="C235" s="10">
        <v>3.9999999999999998E-143</v>
      </c>
      <c r="D235" s="5">
        <v>100</v>
      </c>
      <c r="E235" s="4" t="str">
        <f>HYPERLINK("https://www.ncbi.nlm.nih.gov/protein/EJG0697449.1?report=genbank&amp;log$=prottop&amp;blast_rank=13&amp;RID=92EC6PSH016","EJG0697449.1")</f>
        <v>EJG0697449.1</v>
      </c>
      <c r="F235" s="4"/>
      <c r="G235" s="4"/>
      <c r="H235" s="4"/>
    </row>
    <row r="236" spans="1:8">
      <c r="A236" s="4" t="s">
        <v>15</v>
      </c>
      <c r="B236" s="9">
        <v>0.97</v>
      </c>
      <c r="C236" s="10">
        <v>7.9999999999999999E-140</v>
      </c>
      <c r="D236" s="5">
        <v>100</v>
      </c>
      <c r="E236" s="4" t="str">
        <f>HYPERLINK("https://www.ncbi.nlm.nih.gov/protein/EGR3106822.1?report=genbank&amp;log$=prottop&amp;blast_rank=22&amp;RID=92EC6PSH016","EGR3106822.1")</f>
        <v>EGR3106822.1</v>
      </c>
      <c r="F236" s="4"/>
      <c r="G236" s="4"/>
      <c r="H236" s="4"/>
    </row>
    <row r="237" spans="1:8">
      <c r="A237" s="4" t="s">
        <v>15</v>
      </c>
      <c r="B237" s="9">
        <v>0.95</v>
      </c>
      <c r="C237" s="10">
        <v>4.0000000000000003E-138</v>
      </c>
      <c r="D237" s="5">
        <v>100</v>
      </c>
      <c r="E237" s="4" t="str">
        <f>HYPERLINK("https://www.ncbi.nlm.nih.gov/protein/WP_021451455.1?report=genbank&amp;log$=prottop&amp;blast_rank=26&amp;RID=92EC6PSH016","WP_021451455.1")</f>
        <v>WP_021451455.1</v>
      </c>
      <c r="F237" s="4"/>
      <c r="G237" s="4"/>
      <c r="H237" s="4"/>
    </row>
    <row r="238" spans="1:8">
      <c r="A238" s="4" t="s">
        <v>15</v>
      </c>
      <c r="B238" s="9">
        <v>1</v>
      </c>
      <c r="C238" s="10">
        <v>7.9999999999999996E-144</v>
      </c>
      <c r="D238" s="5">
        <v>99.53</v>
      </c>
      <c r="E238" s="4" t="str">
        <f>HYPERLINK("https://www.ncbi.nlm.nih.gov/protein/WP_268982884.1?report=genbank&amp;log$=prottop&amp;blast_rank=4&amp;RID=92EC6PSH016","WP_268982884.1")</f>
        <v>WP_268982884.1</v>
      </c>
      <c r="F238" s="4"/>
      <c r="G238" s="4"/>
      <c r="H238" s="4"/>
    </row>
    <row r="239" spans="1:8">
      <c r="A239" s="4" t="s">
        <v>43</v>
      </c>
      <c r="B239" s="9">
        <v>1</v>
      </c>
      <c r="C239" s="10">
        <v>8.9999999999999996E-144</v>
      </c>
      <c r="D239" s="5">
        <v>99.53</v>
      </c>
      <c r="E239" s="4" t="str">
        <f>HYPERLINK("https://www.ncbi.nlm.nih.gov/protein/WP_069513689.1?report=genbank&amp;log$=prottop&amp;blast_rank=5&amp;RID=92EC6PSH016","WP_069513689.1")</f>
        <v>WP_069513689.1</v>
      </c>
      <c r="F239" s="4"/>
      <c r="G239" s="4"/>
      <c r="H239" s="4"/>
    </row>
    <row r="240" spans="1:8">
      <c r="A240" s="4" t="s">
        <v>15</v>
      </c>
      <c r="B240" s="9">
        <v>1</v>
      </c>
      <c r="C240" s="10">
        <v>1.9999999999999999E-143</v>
      </c>
      <c r="D240" s="5">
        <v>99.53</v>
      </c>
      <c r="E240" s="4" t="str">
        <f>HYPERLINK("https://www.ncbi.nlm.nih.gov/protein/WP_258470517.1?report=genbank&amp;log$=prottop&amp;blast_rank=9&amp;RID=92EC6PSH016","WP_258470517.1")</f>
        <v>WP_258470517.1</v>
      </c>
      <c r="F240" s="4"/>
      <c r="G240" s="4"/>
      <c r="H240" s="4"/>
    </row>
    <row r="241" spans="1:8">
      <c r="A241" s="4" t="s">
        <v>15</v>
      </c>
      <c r="B241" s="9">
        <v>1</v>
      </c>
      <c r="C241" s="10">
        <v>2.9999999999999999E-143</v>
      </c>
      <c r="D241" s="5">
        <v>99.53</v>
      </c>
      <c r="E241" s="4" t="str">
        <f>HYPERLINK("https://www.ncbi.nlm.nih.gov/protein/MCF9591414.1?report=genbank&amp;log$=prottop&amp;blast_rank=11&amp;RID=92EC6PSH016","MCF9591414.1")</f>
        <v>MCF9591414.1</v>
      </c>
      <c r="F241" s="4"/>
      <c r="G241" s="4"/>
      <c r="H241" s="4"/>
    </row>
    <row r="242" spans="1:8">
      <c r="A242" s="4" t="s">
        <v>15</v>
      </c>
      <c r="B242" s="9">
        <v>1</v>
      </c>
      <c r="C242" s="10">
        <v>2.9999999999999999E-143</v>
      </c>
      <c r="D242" s="5">
        <v>99.53</v>
      </c>
      <c r="E242" s="4" t="str">
        <f>HYPERLINK("https://www.ncbi.nlm.nih.gov/protein/ELJ8813211.1?report=genbank&amp;log$=prottop&amp;blast_rank=12&amp;RID=92EC6PSH016","ELJ8813211.1")</f>
        <v>ELJ8813211.1</v>
      </c>
      <c r="F242" s="4"/>
      <c r="G242" s="4"/>
      <c r="H242" s="4"/>
    </row>
    <row r="243" spans="1:8">
      <c r="A243" s="4" t="s">
        <v>15</v>
      </c>
      <c r="B243" s="9">
        <v>0.99</v>
      </c>
      <c r="C243" s="10">
        <v>9E-143</v>
      </c>
      <c r="D243" s="5">
        <v>99.53</v>
      </c>
      <c r="E243" s="4" t="str">
        <f>HYPERLINK("https://www.ncbi.nlm.nih.gov/protein/AYO04187.1?report=genbank&amp;log$=prottop&amp;blast_rank=16&amp;RID=92EC6PSH016","AYO04187.1")</f>
        <v>AYO04187.1</v>
      </c>
      <c r="F243" s="4"/>
      <c r="G243" s="4"/>
      <c r="H243" s="4"/>
    </row>
    <row r="244" spans="1:8">
      <c r="A244" s="4" t="s">
        <v>15</v>
      </c>
      <c r="B244" s="9">
        <v>1</v>
      </c>
      <c r="C244" s="10">
        <v>6.9999999999999997E-144</v>
      </c>
      <c r="D244" s="5">
        <v>99.06</v>
      </c>
      <c r="E244" s="4" t="str">
        <f>HYPERLINK("https://www.ncbi.nlm.nih.gov/protein/WP_191786165.1?report=genbank&amp;log$=prottop&amp;blast_rank=3&amp;RID=92EC6PSH016","WP_191786165.1")</f>
        <v>WP_191786165.1</v>
      </c>
      <c r="F244" s="4"/>
      <c r="G244" s="4"/>
      <c r="H244" s="4"/>
    </row>
    <row r="245" spans="1:8">
      <c r="A245" s="4" t="s">
        <v>15</v>
      </c>
      <c r="B245" s="9">
        <v>0.99</v>
      </c>
      <c r="C245" s="10">
        <v>7.0000000000000001E-143</v>
      </c>
      <c r="D245" s="5">
        <v>99.05</v>
      </c>
      <c r="E245" s="4" t="str">
        <f>HYPERLINK("https://www.ncbi.nlm.nih.gov/protein/EGR2232563.1?report=genbank&amp;log$=prottop&amp;blast_rank=15&amp;RID=92EC6PSH016","EGR2232563.1")</f>
        <v>EGR2232563.1</v>
      </c>
      <c r="F245" s="4"/>
      <c r="G245" s="4"/>
      <c r="H245" s="4"/>
    </row>
    <row r="246" spans="1:8">
      <c r="A246" s="4" t="s">
        <v>15</v>
      </c>
      <c r="B246" s="9">
        <v>1</v>
      </c>
      <c r="C246" s="10">
        <v>5.0000000000000002E-136</v>
      </c>
      <c r="D246" s="5">
        <v>96.7</v>
      </c>
      <c r="E246" s="4" t="str">
        <f>HYPERLINK("https://www.ncbi.nlm.nih.gov/protein/HCE2212559.1?report=genbank&amp;log$=prottop&amp;blast_rank=37&amp;RID=92EC6PSH016","HCE2212559.1")</f>
        <v>HCE2212559.1</v>
      </c>
      <c r="F246" s="4"/>
      <c r="G246" s="4"/>
      <c r="H246" s="4"/>
    </row>
    <row r="247" spans="1:8">
      <c r="A247" s="4" t="s">
        <v>15</v>
      </c>
      <c r="B247" s="9">
        <v>0.99</v>
      </c>
      <c r="C247" s="10">
        <v>1.9999999999999999E-143</v>
      </c>
      <c r="D247" s="5">
        <v>96.68</v>
      </c>
      <c r="E247" s="4" t="str">
        <f>HYPERLINK("https://www.ncbi.nlm.nih.gov/protein/WP_257974879.1?report=genbank&amp;log$=prottop&amp;blast_rank=8&amp;RID=92EC6PSH016","WP_257974879.1")</f>
        <v>WP_257974879.1</v>
      </c>
      <c r="F247" s="4"/>
      <c r="G247" s="4"/>
      <c r="H247" s="4"/>
    </row>
    <row r="248" spans="1:8">
      <c r="A248" s="4" t="s">
        <v>15</v>
      </c>
      <c r="B248" s="9">
        <v>0.99</v>
      </c>
      <c r="C248" s="10">
        <v>5.0000000000000002E-143</v>
      </c>
      <c r="D248" s="5">
        <v>96.68</v>
      </c>
      <c r="E248" s="4" t="str">
        <f>HYPERLINK("https://www.ncbi.nlm.nih.gov/protein/TOM68757.1?report=genbank&amp;log$=prottop&amp;blast_rank=14&amp;RID=92EC6PSH016","TOM68757.1")</f>
        <v>TOM68757.1</v>
      </c>
      <c r="F248" s="4"/>
      <c r="G248" s="4"/>
      <c r="H248" s="4"/>
    </row>
    <row r="249" spans="1:8">
      <c r="A249" s="4" t="s">
        <v>18</v>
      </c>
      <c r="B249" s="9">
        <v>1</v>
      </c>
      <c r="C249" s="10">
        <v>8.9999999999999996E-144</v>
      </c>
      <c r="D249" s="5">
        <v>95.28</v>
      </c>
      <c r="E249" s="4" t="str">
        <f>HYPERLINK("https://www.ncbi.nlm.nih.gov/protein/WP_242617157.1?report=genbank&amp;log$=prottop&amp;blast_rank=6&amp;RID=92EC6PSH016","WP_242617157.1")</f>
        <v>WP_242617157.1</v>
      </c>
      <c r="F249" s="4"/>
      <c r="G249" s="4"/>
      <c r="H249" s="4"/>
    </row>
    <row r="250" spans="1:8">
      <c r="A250" s="4" t="s">
        <v>18</v>
      </c>
      <c r="B250" s="9">
        <v>0.99</v>
      </c>
      <c r="C250" s="10">
        <v>2.0000000000000001E-142</v>
      </c>
      <c r="D250" s="5">
        <v>95.26</v>
      </c>
      <c r="E250" s="4" t="str">
        <f>HYPERLINK("https://www.ncbi.nlm.nih.gov/protein/EJO2021613.1?report=genbank&amp;log$=prottop&amp;blast_rank=17&amp;RID=92EC6PSH016","EJO2021613.1")</f>
        <v>EJO2021613.1</v>
      </c>
      <c r="F250" s="4"/>
      <c r="G250" s="4"/>
      <c r="H250" s="4"/>
    </row>
    <row r="251" spans="1:8">
      <c r="A251" s="4" t="s">
        <v>18</v>
      </c>
      <c r="B251" s="9">
        <v>0.99</v>
      </c>
      <c r="C251" s="10">
        <v>2.0000000000000001E-142</v>
      </c>
      <c r="D251" s="5">
        <v>95.26</v>
      </c>
      <c r="E251" s="4" t="str">
        <f>HYPERLINK("https://www.ncbi.nlm.nih.gov/protein/EGR7978050.1?report=genbank&amp;log$=prottop&amp;blast_rank=18&amp;RID=92EC6PSH016","EGR7978050.1")</f>
        <v>EGR7978050.1</v>
      </c>
      <c r="F251" s="4"/>
      <c r="G251" s="4"/>
      <c r="H251" s="4"/>
    </row>
    <row r="252" spans="1:8">
      <c r="A252" s="4" t="s">
        <v>237</v>
      </c>
      <c r="B252" s="9">
        <v>1</v>
      </c>
      <c r="C252" s="10">
        <v>2E-140</v>
      </c>
      <c r="D252" s="5">
        <v>94.34</v>
      </c>
      <c r="E252" s="4" t="str">
        <f>HYPERLINK("https://www.ncbi.nlm.nih.gov/protein/GHW88168.1?report=genbank&amp;log$=prottop&amp;blast_rank=21&amp;RID=92EC6PSH016","GHW88168.1")</f>
        <v>GHW88168.1</v>
      </c>
      <c r="F252" s="4"/>
      <c r="G252" s="4"/>
      <c r="H252" s="4"/>
    </row>
    <row r="253" spans="1:8">
      <c r="A253" s="4" t="s">
        <v>237</v>
      </c>
      <c r="B253" s="9">
        <v>0.99</v>
      </c>
      <c r="C253" s="10">
        <v>2.0000000000000001E-138</v>
      </c>
      <c r="D253" s="5">
        <v>91.43</v>
      </c>
      <c r="E253" s="4" t="str">
        <f>HYPERLINK("https://www.ncbi.nlm.nih.gov/protein/EGQ9846150.1?report=genbank&amp;log$=prottop&amp;blast_rank=25&amp;RID=92EC6PSH016","EGQ9846150.1")</f>
        <v>EGQ9846150.1</v>
      </c>
      <c r="F253" s="4"/>
      <c r="G253" s="4"/>
      <c r="H253" s="4"/>
    </row>
    <row r="254" spans="1:8">
      <c r="A254" s="4" t="s">
        <v>237</v>
      </c>
      <c r="B254" s="9">
        <v>0.99</v>
      </c>
      <c r="C254" s="10">
        <v>4.0000000000000001E-139</v>
      </c>
      <c r="D254" s="5">
        <v>91</v>
      </c>
      <c r="E254" s="4" t="str">
        <f>HYPERLINK("https://www.ncbi.nlm.nih.gov/protein/WP_334504783.1?report=genbank&amp;log$=prottop&amp;blast_rank=23&amp;RID=92EC6PSH016","WP_334504783.1")</f>
        <v>WP_334504783.1</v>
      </c>
      <c r="F254" s="4"/>
      <c r="G254" s="4"/>
      <c r="H254" s="4"/>
    </row>
    <row r="255" spans="1:8">
      <c r="A255" s="4" t="s">
        <v>237</v>
      </c>
      <c r="B255" s="9">
        <v>0.99</v>
      </c>
      <c r="C255" s="10">
        <v>1.0000000000000001E-138</v>
      </c>
      <c r="D255" s="5">
        <v>91</v>
      </c>
      <c r="E255" s="4" t="str">
        <f>HYPERLINK("https://www.ncbi.nlm.nih.gov/protein/EJL6289739.1?report=genbank&amp;log$=prottop&amp;blast_rank=24&amp;RID=92EC6PSH016","EJL6289739.1")</f>
        <v>EJL6289739.1</v>
      </c>
      <c r="F255" s="4"/>
      <c r="G255" s="4"/>
      <c r="H255" s="4"/>
    </row>
    <row r="256" spans="1:8">
      <c r="A256" s="4" t="s">
        <v>237</v>
      </c>
      <c r="B256" s="9">
        <v>0.99</v>
      </c>
      <c r="C256" s="10">
        <v>4.0000000000000003E-138</v>
      </c>
      <c r="D256" s="5">
        <v>90.95</v>
      </c>
      <c r="E256" s="4" t="str">
        <f>HYPERLINK("https://www.ncbi.nlm.nih.gov/protein/EGR1041734.1?report=genbank&amp;log$=prottop&amp;blast_rank=27&amp;RID=92EC6PSH016","EGR1041734.1")</f>
        <v>EGR1041734.1</v>
      </c>
      <c r="F256" s="4"/>
      <c r="G256" s="4"/>
      <c r="H256" s="4"/>
    </row>
    <row r="257" spans="1:8">
      <c r="A257" s="4" t="s">
        <v>1235</v>
      </c>
      <c r="B257" s="9">
        <v>0.92</v>
      </c>
      <c r="C257" s="10">
        <v>9.9999999999999993E-130</v>
      </c>
      <c r="D257" s="5">
        <v>85.71</v>
      </c>
      <c r="E257" s="4" t="str">
        <f>HYPERLINK("https://www.ncbi.nlm.nih.gov/protein/WP_240919175.1?report=genbank&amp;log$=prottop&amp;blast_rank=104&amp;RID=92EC6PSH016","WP_240919175.1")</f>
        <v>WP_240919175.1</v>
      </c>
      <c r="F257" s="4"/>
      <c r="G257" s="4"/>
      <c r="H257" s="4"/>
    </row>
    <row r="258" spans="1:8">
      <c r="A258" s="4" t="s">
        <v>1235</v>
      </c>
      <c r="B258" s="9">
        <v>0.97</v>
      </c>
      <c r="C258" s="10">
        <v>8.9999999999999997E-135</v>
      </c>
      <c r="D258" s="5">
        <v>83.98</v>
      </c>
      <c r="E258" s="4" t="str">
        <f>HYPERLINK("https://www.ncbi.nlm.nih.gov/protein/QIL44056.1?report=genbank&amp;log$=prottop&amp;blast_rank=49&amp;RID=92EC6PSH016","QIL44056.1")</f>
        <v>QIL44056.1</v>
      </c>
      <c r="F258" s="4"/>
      <c r="G258" s="4"/>
      <c r="H258" s="4"/>
    </row>
    <row r="259" spans="1:8">
      <c r="A259" s="4" t="s">
        <v>1236</v>
      </c>
      <c r="B259" s="9">
        <v>0.97</v>
      </c>
      <c r="C259" s="10">
        <v>2.0000000000000001E-135</v>
      </c>
      <c r="D259" s="5">
        <v>83.57</v>
      </c>
      <c r="E259" s="4" t="str">
        <f>HYPERLINK("https://www.ncbi.nlm.nih.gov/protein/WP_022955956.1?report=genbank&amp;log$=prottop&amp;blast_rank=43&amp;RID=92EC6PSH016","WP_022955956.1")</f>
        <v>WP_022955956.1</v>
      </c>
      <c r="F259" s="4"/>
      <c r="G259" s="4"/>
      <c r="H259" s="4"/>
    </row>
    <row r="260" spans="1:8">
      <c r="A260" s="4" t="s">
        <v>323</v>
      </c>
      <c r="B260" s="9">
        <v>0.92</v>
      </c>
      <c r="C260" s="10">
        <v>3.9999999999999997E-129</v>
      </c>
      <c r="D260" s="5">
        <v>83.25</v>
      </c>
      <c r="E260" s="4" t="str">
        <f>HYPERLINK("https://www.ncbi.nlm.nih.gov/protein/WP_204303192.1?report=genbank&amp;log$=prottop&amp;blast_rank=121&amp;RID=92EC6PSH016","WP_204303192.1")</f>
        <v>WP_204303192.1</v>
      </c>
      <c r="F260" s="4"/>
      <c r="G260" s="4"/>
      <c r="H260" s="4"/>
    </row>
    <row r="261" spans="1:8">
      <c r="A261" s="4" t="s">
        <v>1237</v>
      </c>
      <c r="B261" s="9">
        <v>0.93</v>
      </c>
      <c r="C261" s="10">
        <v>8.0000000000000004E-128</v>
      </c>
      <c r="D261" s="5">
        <v>82.83</v>
      </c>
      <c r="E261" s="4" t="str">
        <f>HYPERLINK("https://www.ncbi.nlm.nih.gov/protein/MDD4864224.1?report=genbank&amp;log$=prottop&amp;blast_rank=158&amp;RID=92EC6PSH016","MDD4864224.1")</f>
        <v>MDD4864224.1</v>
      </c>
      <c r="F261" s="4"/>
      <c r="G261" s="4"/>
      <c r="H261" s="4"/>
    </row>
    <row r="262" spans="1:8">
      <c r="A262" s="4" t="s">
        <v>276</v>
      </c>
      <c r="B262" s="9">
        <v>0.92</v>
      </c>
      <c r="C262" s="10">
        <v>1.0000000000000001E-128</v>
      </c>
      <c r="D262" s="5">
        <v>82.65</v>
      </c>
      <c r="E262" s="4" t="str">
        <f>HYPERLINK("https://www.ncbi.nlm.nih.gov/protein/HCJ28162.1?report=genbank&amp;log$=prottop&amp;blast_rank=130&amp;RID=92EC6PSH016","HCJ28162.1")</f>
        <v>HCJ28162.1</v>
      </c>
      <c r="F262" s="4"/>
      <c r="G262" s="4"/>
      <c r="H262" s="4"/>
    </row>
    <row r="263" spans="1:8">
      <c r="A263" s="4" t="s">
        <v>1238</v>
      </c>
      <c r="B263" s="9">
        <v>1</v>
      </c>
      <c r="C263" s="10">
        <v>8.9999999999999995E-147</v>
      </c>
      <c r="D263" s="5">
        <v>82.55</v>
      </c>
      <c r="E263" s="4" t="str">
        <f>HYPERLINK("https://www.ncbi.nlm.nih.gov/protein/WP_256665871.1?report=genbank&amp;log$=prottop&amp;blast_rank=1&amp;RID=92EC6PSH016","WP_256665871.1")</f>
        <v>WP_256665871.1</v>
      </c>
      <c r="F263" s="4"/>
      <c r="G263" s="4"/>
      <c r="H263" s="4"/>
    </row>
    <row r="264" spans="1:8">
      <c r="A264" s="4" t="s">
        <v>1238</v>
      </c>
      <c r="B264" s="9">
        <v>1</v>
      </c>
      <c r="C264" s="10">
        <v>1.9999999999999999E-143</v>
      </c>
      <c r="D264" s="5">
        <v>82.55</v>
      </c>
      <c r="E264" s="4" t="str">
        <f>HYPERLINK("https://www.ncbi.nlm.nih.gov/protein/VXC98629.1?report=genbank&amp;log$=prottop&amp;blast_rank=10&amp;RID=92EC6PSH016","VXC98629.1")</f>
        <v>VXC98629.1</v>
      </c>
      <c r="F264" s="4"/>
      <c r="G264" s="4"/>
      <c r="H264" s="4"/>
    </row>
    <row r="265" spans="1:8">
      <c r="A265" s="4" t="s">
        <v>958</v>
      </c>
      <c r="B265" s="9">
        <v>0.98</v>
      </c>
      <c r="C265" s="10">
        <v>8E-136</v>
      </c>
      <c r="D265" s="5">
        <v>81.25</v>
      </c>
      <c r="E265" s="4" t="str">
        <f>HYPERLINK("https://www.ncbi.nlm.nih.gov/protein/ENC9555396.1?report=genbank&amp;log$=prottop&amp;blast_rank=41&amp;RID=92EC6PSH016","ENC9555396.1")</f>
        <v>ENC9555396.1</v>
      </c>
      <c r="F265" s="4"/>
      <c r="G265" s="4"/>
      <c r="H265" s="4"/>
    </row>
    <row r="266" spans="1:8">
      <c r="A266" s="4" t="s">
        <v>1239</v>
      </c>
      <c r="B266" s="9">
        <v>0.97</v>
      </c>
      <c r="C266" s="10">
        <v>5.9999999999999996E-137</v>
      </c>
      <c r="D266" s="5">
        <v>81.16</v>
      </c>
      <c r="E266" s="4" t="str">
        <f>HYPERLINK("https://www.ncbi.nlm.nih.gov/protein/WP_055828623.1?report=genbank&amp;log$=prottop&amp;blast_rank=29&amp;RID=92EC6PSH016","WP_055828623.1")</f>
        <v>WP_055828623.1</v>
      </c>
      <c r="F266" s="4"/>
      <c r="G266" s="4"/>
      <c r="H266" s="4"/>
    </row>
    <row r="267" spans="1:8">
      <c r="A267" s="4" t="s">
        <v>1240</v>
      </c>
      <c r="B267" s="9">
        <v>0.97</v>
      </c>
      <c r="C267" s="10">
        <v>2E-137</v>
      </c>
      <c r="D267" s="5">
        <v>81.069999999999993</v>
      </c>
      <c r="E267" s="4" t="str">
        <f>HYPERLINK("https://www.ncbi.nlm.nih.gov/protein/NHN78783.1?report=genbank&amp;log$=prottop&amp;blast_rank=28&amp;RID=92EC6PSH016","NHN78783.1")</f>
        <v>NHN78783.1</v>
      </c>
      <c r="F267" s="4"/>
      <c r="G267" s="4"/>
      <c r="H267" s="4"/>
    </row>
    <row r="268" spans="1:8">
      <c r="A268" s="4" t="s">
        <v>1008</v>
      </c>
      <c r="B268" s="9">
        <v>0.98</v>
      </c>
      <c r="C268" s="10">
        <v>2.0000000000000001E-135</v>
      </c>
      <c r="D268" s="5">
        <v>80.77</v>
      </c>
      <c r="E268" s="4" t="str">
        <f>HYPERLINK("https://www.ncbi.nlm.nih.gov/protein/WP_139426569.1?report=genbank&amp;log$=prottop&amp;blast_rank=44&amp;RID=92EC6PSH016","WP_139426569.1")</f>
        <v>WP_139426569.1</v>
      </c>
      <c r="F268" s="4"/>
      <c r="G268" s="4"/>
      <c r="H268" s="4"/>
    </row>
    <row r="269" spans="1:8">
      <c r="A269" s="4" t="s">
        <v>1241</v>
      </c>
      <c r="B269" s="9">
        <v>0.97</v>
      </c>
      <c r="C269" s="10">
        <v>1E-136</v>
      </c>
      <c r="D269" s="5">
        <v>80.58</v>
      </c>
      <c r="E269" s="4" t="str">
        <f>HYPERLINK("https://www.ncbi.nlm.nih.gov/protein/TBW06815.1?report=genbank&amp;log$=prottop&amp;blast_rank=31&amp;RID=92EC6PSH016","TBW06815.1")</f>
        <v>TBW06815.1</v>
      </c>
      <c r="F269" s="4"/>
      <c r="G269" s="4"/>
      <c r="H269" s="4"/>
    </row>
    <row r="270" spans="1:8">
      <c r="A270" s="4" t="s">
        <v>1242</v>
      </c>
      <c r="B270" s="9">
        <v>0.98</v>
      </c>
      <c r="C270" s="10">
        <v>2.0000000000000001E-134</v>
      </c>
      <c r="D270" s="5">
        <v>80.38</v>
      </c>
      <c r="E270" s="4" t="str">
        <f>HYPERLINK("https://www.ncbi.nlm.nih.gov/protein/WP_335611389.1?report=genbank&amp;log$=prottop&amp;blast_rank=51&amp;RID=92EC6PSH016","WP_335611389.1")</f>
        <v>WP_335611389.1</v>
      </c>
      <c r="F270" s="4"/>
      <c r="G270" s="4"/>
      <c r="H270" s="4"/>
    </row>
    <row r="271" spans="1:8">
      <c r="A271" s="4" t="s">
        <v>1243</v>
      </c>
      <c r="B271" s="9">
        <v>0.98</v>
      </c>
      <c r="C271" s="10">
        <v>7.9999999999999998E-137</v>
      </c>
      <c r="D271" s="5">
        <v>79.81</v>
      </c>
      <c r="E271" s="4" t="str">
        <f>HYPERLINK("https://www.ncbi.nlm.nih.gov/protein/WP_252180286.1?report=genbank&amp;log$=prottop&amp;blast_rank=30&amp;RID=92EC6PSH016","WP_252180286.1")</f>
        <v>WP_252180286.1</v>
      </c>
      <c r="F271" s="4"/>
      <c r="G271" s="4"/>
      <c r="H271" s="4"/>
    </row>
    <row r="272" spans="1:8">
      <c r="A272" s="4" t="s">
        <v>1244</v>
      </c>
      <c r="B272" s="9">
        <v>0.98</v>
      </c>
      <c r="C272" s="10">
        <v>5.0000000000000002E-135</v>
      </c>
      <c r="D272" s="5">
        <v>79.81</v>
      </c>
      <c r="E272" s="4" t="str">
        <f>HYPERLINK("https://www.ncbi.nlm.nih.gov/protein/WP_247626945.1?report=genbank&amp;log$=prottop&amp;blast_rank=46&amp;RID=92EC6PSH016","WP_247626945.1")</f>
        <v>WP_247626945.1</v>
      </c>
      <c r="F272" s="4"/>
      <c r="G272" s="4"/>
      <c r="H272" s="4"/>
    </row>
    <row r="273" spans="1:8">
      <c r="A273" s="4" t="s">
        <v>1245</v>
      </c>
      <c r="B273" s="9">
        <v>0.97</v>
      </c>
      <c r="C273" s="10">
        <v>4E-136</v>
      </c>
      <c r="D273" s="5">
        <v>79.61</v>
      </c>
      <c r="E273" s="4" t="str">
        <f>HYPERLINK("https://www.ncbi.nlm.nih.gov/protein/WP_179673012.1?report=genbank&amp;log$=prottop&amp;blast_rank=35&amp;RID=92EC6PSH016","WP_179673012.1")</f>
        <v>WP_179673012.1</v>
      </c>
      <c r="F273" s="4"/>
      <c r="G273" s="4"/>
      <c r="H273" s="4"/>
    </row>
    <row r="274" spans="1:8">
      <c r="A274" s="4" t="s">
        <v>1246</v>
      </c>
      <c r="B274" s="9">
        <v>0.93</v>
      </c>
      <c r="C274" s="10">
        <v>5.0000000000000001E-128</v>
      </c>
      <c r="D274" s="5">
        <v>79.290000000000006</v>
      </c>
      <c r="E274" s="4" t="str">
        <f>HYPERLINK("https://www.ncbi.nlm.nih.gov/protein/MBB1292381.1?report=genbank&amp;log$=prottop&amp;blast_rank=149&amp;RID=92EC6PSH016","MBB1292381.1")</f>
        <v>MBB1292381.1</v>
      </c>
      <c r="F274" s="4"/>
      <c r="G274" s="4"/>
      <c r="H274" s="4"/>
    </row>
    <row r="275" spans="1:8">
      <c r="A275" s="4" t="s">
        <v>1247</v>
      </c>
      <c r="B275" s="9">
        <v>0.99</v>
      </c>
      <c r="C275" s="10">
        <v>2.0000000000000001E-133</v>
      </c>
      <c r="D275" s="5">
        <v>79.150000000000006</v>
      </c>
      <c r="E275" s="4" t="str">
        <f>HYPERLINK("https://www.ncbi.nlm.nih.gov/protein/WP_271679068.1?report=genbank&amp;log$=prottop&amp;blast_rank=62&amp;RID=92EC6PSH016","WP_271679068.1")</f>
        <v>WP_271679068.1</v>
      </c>
      <c r="F275" s="4"/>
      <c r="G275" s="4"/>
      <c r="H275" s="4"/>
    </row>
    <row r="276" spans="1:8">
      <c r="A276" s="4" t="s">
        <v>1248</v>
      </c>
      <c r="B276" s="9">
        <v>0.99</v>
      </c>
      <c r="C276" s="10">
        <v>2E-131</v>
      </c>
      <c r="D276" s="5">
        <v>79.05</v>
      </c>
      <c r="E276" s="4" t="str">
        <f>HYPERLINK("https://www.ncbi.nlm.nih.gov/protein/MEC6833876.1?report=genbank&amp;log$=prottop&amp;blast_rank=83&amp;RID=92EC6PSH016","MEC6833876.1")</f>
        <v>MEC6833876.1</v>
      </c>
      <c r="F276" s="4"/>
      <c r="G276" s="4"/>
      <c r="H276" s="4"/>
    </row>
    <row r="277" spans="1:8">
      <c r="A277" s="4" t="s">
        <v>1065</v>
      </c>
      <c r="B277" s="9">
        <v>0.98</v>
      </c>
      <c r="C277" s="10">
        <v>2.0000000000000001E-134</v>
      </c>
      <c r="D277" s="5">
        <v>78.849999999999994</v>
      </c>
      <c r="E277" s="4" t="str">
        <f>HYPERLINK("https://www.ncbi.nlm.nih.gov/protein/WP_098968848.1?report=genbank&amp;log$=prottop&amp;blast_rank=52&amp;RID=92EC6PSH016","WP_098968848.1")</f>
        <v>WP_098968848.1</v>
      </c>
      <c r="F277" s="4"/>
      <c r="G277" s="4"/>
      <c r="H277" s="4"/>
    </row>
    <row r="278" spans="1:8">
      <c r="A278" s="4" t="s">
        <v>1249</v>
      </c>
      <c r="B278" s="9">
        <v>0.98</v>
      </c>
      <c r="C278" s="10">
        <v>8.9999999999999992E-124</v>
      </c>
      <c r="D278" s="5">
        <v>78.37</v>
      </c>
      <c r="E278" s="4" t="str">
        <f>HYPERLINK("https://www.ncbi.nlm.nih.gov/protein/WP_154358385.1?report=genbank&amp;log$=prottop&amp;blast_rank=336&amp;RID=92EC6PSH016","WP_154358385.1")</f>
        <v>WP_154358385.1</v>
      </c>
      <c r="F278" s="4"/>
      <c r="G278" s="4"/>
      <c r="H278" s="4"/>
    </row>
    <row r="279" spans="1:8">
      <c r="A279" s="4" t="s">
        <v>1250</v>
      </c>
      <c r="B279" s="9">
        <v>0.97</v>
      </c>
      <c r="C279" s="10">
        <v>1E-136</v>
      </c>
      <c r="D279" s="5">
        <v>78.260000000000005</v>
      </c>
      <c r="E279" s="4" t="str">
        <f>HYPERLINK("https://www.ncbi.nlm.nih.gov/protein/WP_058578217.1?report=genbank&amp;log$=prottop&amp;blast_rank=32&amp;RID=92EC6PSH016","WP_058578217.1")</f>
        <v>WP_058578217.1</v>
      </c>
      <c r="F279" s="4"/>
      <c r="G279" s="4"/>
      <c r="H279" s="4"/>
    </row>
    <row r="280" spans="1:8">
      <c r="A280" s="4" t="s">
        <v>1251</v>
      </c>
      <c r="B280" s="9">
        <v>0.98</v>
      </c>
      <c r="C280" s="10">
        <v>6.0000000000000002E-135</v>
      </c>
      <c r="D280" s="5">
        <v>77.88</v>
      </c>
      <c r="E280" s="4" t="str">
        <f>HYPERLINK("https://www.ncbi.nlm.nih.gov/protein/WP_169021235.1?report=genbank&amp;log$=prottop&amp;blast_rank=47&amp;RID=92EC6PSH016","WP_169021235.1")</f>
        <v>WP_169021235.1</v>
      </c>
      <c r="F280" s="4"/>
      <c r="G280" s="4"/>
      <c r="H280" s="4"/>
    </row>
    <row r="281" spans="1:8">
      <c r="A281" s="4" t="s">
        <v>1252</v>
      </c>
      <c r="B281" s="9">
        <v>0.98</v>
      </c>
      <c r="C281" s="10">
        <v>3.9999999999999999E-132</v>
      </c>
      <c r="D281" s="5">
        <v>77.88</v>
      </c>
      <c r="E281" s="4" t="str">
        <f>HYPERLINK("https://www.ncbi.nlm.nih.gov/protein/WP_220493046.1?report=genbank&amp;log$=prottop&amp;blast_rank=75&amp;RID=92EC6PSH016","WP_220493046.1")</f>
        <v>WP_220493046.1</v>
      </c>
      <c r="F281" s="4"/>
      <c r="G281" s="4"/>
      <c r="H281" s="4"/>
    </row>
    <row r="282" spans="1:8">
      <c r="A282" s="4" t="s">
        <v>968</v>
      </c>
      <c r="B282" s="9">
        <v>1</v>
      </c>
      <c r="C282" s="10">
        <v>4.0000000000000002E-142</v>
      </c>
      <c r="D282" s="5">
        <v>77.83</v>
      </c>
      <c r="E282" s="4" t="str">
        <f>HYPERLINK("https://www.ncbi.nlm.nih.gov/protein/WP_227387681.1?report=genbank&amp;log$=prottop&amp;blast_rank=19&amp;RID=92EC6PSH016","WP_227387681.1")</f>
        <v>WP_227387681.1</v>
      </c>
      <c r="F282" s="4"/>
      <c r="G282" s="4"/>
      <c r="H282" s="4"/>
    </row>
    <row r="283" spans="1:8">
      <c r="A283" s="4" t="s">
        <v>1253</v>
      </c>
      <c r="B283" s="9">
        <v>0.97</v>
      </c>
      <c r="C283" s="10">
        <v>2E-136</v>
      </c>
      <c r="D283" s="5">
        <v>77.78</v>
      </c>
      <c r="E283" s="4" t="str">
        <f>HYPERLINK("https://www.ncbi.nlm.nih.gov/protein/WP_269900803.1?report=genbank&amp;log$=prottop&amp;blast_rank=34&amp;RID=92EC6PSH016","WP_269900803.1")</f>
        <v>WP_269900803.1</v>
      </c>
      <c r="F283" s="4"/>
      <c r="G283" s="4"/>
      <c r="H283" s="4"/>
    </row>
    <row r="284" spans="1:8">
      <c r="A284" s="4" t="s">
        <v>1254</v>
      </c>
      <c r="B284" s="9">
        <v>0.93</v>
      </c>
      <c r="C284" s="10">
        <v>1E-125</v>
      </c>
      <c r="D284" s="5">
        <v>77.78</v>
      </c>
      <c r="E284" s="4" t="str">
        <f>HYPERLINK("https://www.ncbi.nlm.nih.gov/protein/MBU76302.1?report=genbank&amp;log$=prottop&amp;blast_rank=253&amp;RID=92EC6PSH016","MBU76302.1")</f>
        <v>MBU76302.1</v>
      </c>
      <c r="F284" s="4"/>
      <c r="G284" s="4"/>
      <c r="H284" s="4"/>
    </row>
    <row r="285" spans="1:8">
      <c r="A285" s="4" t="s">
        <v>1255</v>
      </c>
      <c r="B285" s="9">
        <v>0.99</v>
      </c>
      <c r="C285" s="10">
        <v>2.0000000000000001E-141</v>
      </c>
      <c r="D285" s="5">
        <v>77.73</v>
      </c>
      <c r="E285" s="4" t="str">
        <f>HYPERLINK("https://www.ncbi.nlm.nih.gov/protein/WP_095728432.1?report=genbank&amp;log$=prottop&amp;blast_rank=20&amp;RID=92EC6PSH016","WP_095728432.1")</f>
        <v>WP_095728432.1</v>
      </c>
      <c r="F285" s="4"/>
      <c r="G285" s="4"/>
      <c r="H285" s="4"/>
    </row>
    <row r="286" spans="1:8">
      <c r="A286" s="4" t="s">
        <v>1256</v>
      </c>
      <c r="B286" s="9">
        <v>0.92</v>
      </c>
      <c r="C286" s="10">
        <v>1.0000000000000001E-128</v>
      </c>
      <c r="D286" s="5">
        <v>77.55</v>
      </c>
      <c r="E286" s="4" t="str">
        <f>HYPERLINK("https://www.ncbi.nlm.nih.gov/protein/MET0983337.1?report=genbank&amp;log$=prottop&amp;blast_rank=132&amp;RID=92EC6PSH016","MET0983337.1")</f>
        <v>MET0983337.1</v>
      </c>
      <c r="F286" s="4"/>
      <c r="G286" s="4"/>
      <c r="H286" s="4"/>
    </row>
    <row r="287" spans="1:8">
      <c r="A287" s="4" t="s">
        <v>1257</v>
      </c>
      <c r="B287" s="9">
        <v>0.98</v>
      </c>
      <c r="C287" s="10">
        <v>8E-136</v>
      </c>
      <c r="D287" s="5">
        <v>77.400000000000006</v>
      </c>
      <c r="E287" s="4" t="str">
        <f>HYPERLINK("https://www.ncbi.nlm.nih.gov/protein/NLA52625.1?report=genbank&amp;log$=prottop&amp;blast_rank=42&amp;RID=92EC6PSH016","NLA52625.1")</f>
        <v>NLA52625.1</v>
      </c>
      <c r="F287" s="4"/>
      <c r="G287" s="4"/>
      <c r="H287" s="4"/>
    </row>
    <row r="288" spans="1:8">
      <c r="A288" s="4" t="s">
        <v>979</v>
      </c>
      <c r="B288" s="9">
        <v>0.98</v>
      </c>
      <c r="C288" s="10">
        <v>3.9999999999999999E-131</v>
      </c>
      <c r="D288" s="5">
        <v>77.400000000000006</v>
      </c>
      <c r="E288" s="4" t="str">
        <f>HYPERLINK("https://www.ncbi.nlm.nih.gov/protein/WP_188013789.1?report=genbank&amp;log$=prottop&amp;blast_rank=87&amp;RID=92EC6PSH016","WP_188013789.1")</f>
        <v>WP_188013789.1</v>
      </c>
      <c r="F288" s="4"/>
      <c r="G288" s="4"/>
      <c r="H288" s="4"/>
    </row>
    <row r="289" spans="1:8">
      <c r="A289" s="4" t="s">
        <v>967</v>
      </c>
      <c r="B289" s="9">
        <v>0.97</v>
      </c>
      <c r="C289" s="10">
        <v>7.0000000000000006E-136</v>
      </c>
      <c r="D289" s="5">
        <v>77.290000000000006</v>
      </c>
      <c r="E289" s="4" t="str">
        <f>HYPERLINK("https://www.ncbi.nlm.nih.gov/protein/WP_208157101.1?report=genbank&amp;log$=prottop&amp;blast_rank=40&amp;RID=92EC6PSH016","WP_208157101.1")</f>
        <v>WP_208157101.1</v>
      </c>
      <c r="F289" s="4"/>
      <c r="G289" s="4"/>
      <c r="H289" s="4"/>
    </row>
    <row r="290" spans="1:8">
      <c r="A290" s="4" t="s">
        <v>1018</v>
      </c>
      <c r="B290" s="9">
        <v>0.97</v>
      </c>
      <c r="C290" s="10">
        <v>7.9999999999999999E-131</v>
      </c>
      <c r="D290" s="5">
        <v>77.180000000000007</v>
      </c>
      <c r="E290" s="4" t="str">
        <f>HYPERLINK("https://www.ncbi.nlm.nih.gov/protein/WP_038443654.1?report=genbank&amp;log$=prottop&amp;blast_rank=90&amp;RID=92EC6PSH016","WP_038443654.1")</f>
        <v>WP_038443654.1</v>
      </c>
      <c r="F290" s="4"/>
      <c r="G290" s="4"/>
      <c r="H290" s="4"/>
    </row>
    <row r="291" spans="1:8">
      <c r="A291" s="4" t="s">
        <v>1258</v>
      </c>
      <c r="B291" s="9">
        <v>0.97</v>
      </c>
      <c r="C291" s="10">
        <v>1.0000000000000001E-130</v>
      </c>
      <c r="D291" s="5">
        <v>77.180000000000007</v>
      </c>
      <c r="E291" s="4" t="str">
        <f>HYPERLINK("https://www.ncbi.nlm.nih.gov/protein/WP_004867567.1?report=genbank&amp;log$=prottop&amp;blast_rank=93&amp;RID=92EC6PSH016","WP_004867567.1")</f>
        <v>WP_004867567.1</v>
      </c>
      <c r="F291" s="4"/>
      <c r="G291" s="4"/>
      <c r="H291" s="4"/>
    </row>
    <row r="292" spans="1:8">
      <c r="A292" s="4" t="s">
        <v>1259</v>
      </c>
      <c r="B292" s="9">
        <v>0.98</v>
      </c>
      <c r="C292" s="10">
        <v>4.9999999999999999E-132</v>
      </c>
      <c r="D292" s="5">
        <v>76.92</v>
      </c>
      <c r="E292" s="4" t="str">
        <f>HYPERLINK("https://www.ncbi.nlm.nih.gov/protein/WP_182760290.1?report=genbank&amp;log$=prottop&amp;blast_rank=77&amp;RID=92EC6PSH016","WP_182760290.1")</f>
        <v>WP_182760290.1</v>
      </c>
      <c r="F292" s="4"/>
      <c r="G292" s="4"/>
      <c r="H292" s="4"/>
    </row>
    <row r="293" spans="1:8">
      <c r="A293" s="4" t="s">
        <v>1260</v>
      </c>
      <c r="B293" s="9">
        <v>0.98</v>
      </c>
      <c r="C293" s="10">
        <v>2.0000000000000001E-134</v>
      </c>
      <c r="D293" s="5">
        <v>76.56</v>
      </c>
      <c r="E293" s="4" t="str">
        <f>HYPERLINK("https://www.ncbi.nlm.nih.gov/protein/MDQ7089733.1?report=genbank&amp;log$=prottop&amp;blast_rank=53&amp;RID=92EC6PSH016","MDQ7089733.1")</f>
        <v>MDQ7089733.1</v>
      </c>
      <c r="F293" s="4"/>
      <c r="G293" s="4"/>
      <c r="H293" s="4"/>
    </row>
    <row r="294" spans="1:8">
      <c r="A294" s="4" t="s">
        <v>128</v>
      </c>
      <c r="B294" s="9">
        <v>0.98</v>
      </c>
      <c r="C294" s="10">
        <v>4.0000000000000003E-133</v>
      </c>
      <c r="D294" s="5">
        <v>76.44</v>
      </c>
      <c r="E294" s="4" t="str">
        <f>HYPERLINK("https://www.ncbi.nlm.nih.gov/protein/WP_349774697.1?report=genbank&amp;log$=prottop&amp;blast_rank=64&amp;RID=92EC6PSH016","WP_349774697.1")</f>
        <v>WP_349774697.1</v>
      </c>
      <c r="F294" s="4"/>
      <c r="G294" s="4"/>
      <c r="H294" s="4"/>
    </row>
    <row r="295" spans="1:8">
      <c r="A295" s="4" t="s">
        <v>1261</v>
      </c>
      <c r="B295" s="9">
        <v>0.98</v>
      </c>
      <c r="C295" s="10">
        <v>4.0000000000000003E-133</v>
      </c>
      <c r="D295" s="5">
        <v>76.44</v>
      </c>
      <c r="E295" s="4" t="str">
        <f>HYPERLINK("https://www.ncbi.nlm.nih.gov/protein/WP_289781525.1?report=genbank&amp;log$=prottop&amp;blast_rank=66&amp;RID=92EC6PSH016","WP_289781525.1")</f>
        <v>WP_289781525.1</v>
      </c>
      <c r="F295" s="4"/>
      <c r="G295" s="4"/>
      <c r="H295" s="4"/>
    </row>
    <row r="296" spans="1:8">
      <c r="A296" s="4" t="s">
        <v>1261</v>
      </c>
      <c r="B296" s="9">
        <v>0.98</v>
      </c>
      <c r="C296" s="10">
        <v>2E-132</v>
      </c>
      <c r="D296" s="5">
        <v>76.44</v>
      </c>
      <c r="E296" s="4" t="str">
        <f>HYPERLINK("https://www.ncbi.nlm.nih.gov/protein/USP41027.1?report=genbank&amp;log$=prottop&amp;blast_rank=73&amp;RID=92EC6PSH016","USP41027.1")</f>
        <v>USP41027.1</v>
      </c>
      <c r="F296" s="4"/>
      <c r="G296" s="4"/>
      <c r="H296" s="4"/>
    </row>
    <row r="297" spans="1:8">
      <c r="A297" s="4" t="s">
        <v>978</v>
      </c>
      <c r="B297" s="9">
        <v>1</v>
      </c>
      <c r="C297" s="10">
        <v>6E-134</v>
      </c>
      <c r="D297" s="5">
        <v>76.42</v>
      </c>
      <c r="E297" s="4" t="str">
        <f>HYPERLINK("https://www.ncbi.nlm.nih.gov/protein/MAY73050.1?report=genbank&amp;log$=prottop&amp;blast_rank=57&amp;RID=92EC6PSH016","MAY73050.1")</f>
        <v>MAY73050.1</v>
      </c>
      <c r="F297" s="4"/>
      <c r="G297" s="4"/>
      <c r="H297" s="4"/>
    </row>
    <row r="298" spans="1:8">
      <c r="A298" s="4" t="s">
        <v>129</v>
      </c>
      <c r="B298" s="9">
        <v>0.97</v>
      </c>
      <c r="C298" s="10">
        <v>2E-136</v>
      </c>
      <c r="D298" s="5">
        <v>76.33</v>
      </c>
      <c r="E298" s="4" t="str">
        <f>HYPERLINK("https://www.ncbi.nlm.nih.gov/protein/EJB8493556.1?report=genbank&amp;log$=prottop&amp;blast_rank=33&amp;RID=92EC6PSH016","EJB8493556.1")</f>
        <v>EJB8493556.1</v>
      </c>
      <c r="F298" s="4"/>
      <c r="G298" s="4"/>
      <c r="H298" s="4"/>
    </row>
    <row r="299" spans="1:8">
      <c r="A299" s="4" t="s">
        <v>1055</v>
      </c>
      <c r="B299" s="9">
        <v>0.98</v>
      </c>
      <c r="C299" s="10">
        <v>5.0000000000000002E-136</v>
      </c>
      <c r="D299" s="5">
        <v>75.959999999999994</v>
      </c>
      <c r="E299" s="4" t="str">
        <f>HYPERLINK("https://www.ncbi.nlm.nih.gov/protein/KAF1022572.1?report=genbank&amp;log$=prottop&amp;blast_rank=36&amp;RID=92EC6PSH016","KAF1022572.1")</f>
        <v>KAF1022572.1</v>
      </c>
      <c r="F299" s="4"/>
      <c r="G299" s="4"/>
      <c r="H299" s="4"/>
    </row>
    <row r="300" spans="1:8">
      <c r="A300" s="4" t="s">
        <v>119</v>
      </c>
      <c r="B300" s="9">
        <v>0.98</v>
      </c>
      <c r="C300" s="10">
        <v>6.9999999999999997E-134</v>
      </c>
      <c r="D300" s="5">
        <v>75.959999999999994</v>
      </c>
      <c r="E300" s="4" t="str">
        <f>HYPERLINK("https://www.ncbi.nlm.nih.gov/protein/WP_262475449.1?report=genbank&amp;log$=prottop&amp;blast_rank=58&amp;RID=92EC6PSH016","WP_262475449.1")</f>
        <v>WP_262475449.1</v>
      </c>
      <c r="F300" s="4"/>
      <c r="G300" s="4"/>
      <c r="H300" s="4"/>
    </row>
    <row r="301" spans="1:8">
      <c r="A301" s="4" t="s">
        <v>129</v>
      </c>
      <c r="B301" s="9">
        <v>0.98</v>
      </c>
      <c r="C301" s="10">
        <v>3.0000000000000002E-133</v>
      </c>
      <c r="D301" s="5">
        <v>75.959999999999994</v>
      </c>
      <c r="E301" s="4" t="str">
        <f>HYPERLINK("https://www.ncbi.nlm.nih.gov/protein/MEN8342593.1?report=genbank&amp;log$=prottop&amp;blast_rank=63&amp;RID=92EC6PSH016","MEN8342593.1")</f>
        <v>MEN8342593.1</v>
      </c>
      <c r="F301" s="4"/>
      <c r="G301" s="4"/>
      <c r="H301" s="4"/>
    </row>
    <row r="302" spans="1:8">
      <c r="A302" s="4" t="s">
        <v>128</v>
      </c>
      <c r="B302" s="9">
        <v>0.98</v>
      </c>
      <c r="C302" s="10">
        <v>8.0000000000000005E-133</v>
      </c>
      <c r="D302" s="5">
        <v>75.959999999999994</v>
      </c>
      <c r="E302" s="4" t="str">
        <f>HYPERLINK("https://www.ncbi.nlm.nih.gov/protein/WP_335971202.1?report=genbank&amp;log$=prottop&amp;blast_rank=69&amp;RID=92EC6PSH016","WP_335971202.1")</f>
        <v>WP_335971202.1</v>
      </c>
      <c r="F302" s="4"/>
      <c r="G302" s="4"/>
      <c r="H302" s="4"/>
    </row>
    <row r="303" spans="1:8">
      <c r="A303" s="4" t="s">
        <v>129</v>
      </c>
      <c r="B303" s="9">
        <v>0.98</v>
      </c>
      <c r="C303" s="10">
        <v>9.9999999999999999E-133</v>
      </c>
      <c r="D303" s="5">
        <v>75.959999999999994</v>
      </c>
      <c r="E303" s="4" t="str">
        <f>HYPERLINK("https://www.ncbi.nlm.nih.gov/protein/WP_342032668.1?report=genbank&amp;log$=prottop&amp;blast_rank=70&amp;RID=92EC6PSH016","WP_342032668.1")</f>
        <v>WP_342032668.1</v>
      </c>
      <c r="F303" s="4"/>
      <c r="G303" s="4"/>
      <c r="H303" s="4"/>
    </row>
    <row r="304" spans="1:8">
      <c r="A304" s="4" t="s">
        <v>1262</v>
      </c>
      <c r="B304" s="9">
        <v>0.98</v>
      </c>
      <c r="C304" s="10">
        <v>2E-132</v>
      </c>
      <c r="D304" s="5">
        <v>75.959999999999994</v>
      </c>
      <c r="E304" s="4" t="str">
        <f>HYPERLINK("https://www.ncbi.nlm.nih.gov/protein/WP_056482401.1?report=genbank&amp;log$=prottop&amp;blast_rank=71&amp;RID=92EC6PSH016","WP_056482401.1")</f>
        <v>WP_056482401.1</v>
      </c>
      <c r="F304" s="4"/>
      <c r="G304" s="4"/>
      <c r="H304" s="4"/>
    </row>
    <row r="305" spans="1:8">
      <c r="A305" s="4" t="s">
        <v>129</v>
      </c>
      <c r="B305" s="9">
        <v>0.98</v>
      </c>
      <c r="C305" s="10">
        <v>3E-132</v>
      </c>
      <c r="D305" s="5">
        <v>75.959999999999994</v>
      </c>
      <c r="E305" s="4" t="str">
        <f>HYPERLINK("https://www.ncbi.nlm.nih.gov/protein/MCR0009105.1?report=genbank&amp;log$=prottop&amp;blast_rank=74&amp;RID=92EC6PSH016","MCR0009105.1")</f>
        <v>MCR0009105.1</v>
      </c>
      <c r="F305" s="4"/>
      <c r="G305" s="4"/>
      <c r="H305" s="4"/>
    </row>
    <row r="306" spans="1:8">
      <c r="A306" s="4" t="s">
        <v>1263</v>
      </c>
      <c r="B306" s="9">
        <v>0.98</v>
      </c>
      <c r="C306" s="10">
        <v>4.9999999999999999E-132</v>
      </c>
      <c r="D306" s="5">
        <v>75.959999999999994</v>
      </c>
      <c r="E306" s="4" t="str">
        <f>HYPERLINK("https://www.ncbi.nlm.nih.gov/protein/WP_309171862.1?report=genbank&amp;log$=prottop&amp;blast_rank=76&amp;RID=92EC6PSH016","WP_309171862.1")</f>
        <v>WP_309171862.1</v>
      </c>
      <c r="F306" s="4"/>
      <c r="G306" s="4"/>
      <c r="H306" s="4"/>
    </row>
    <row r="307" spans="1:8">
      <c r="A307" s="4" t="s">
        <v>1264</v>
      </c>
      <c r="B307" s="9">
        <v>0.97</v>
      </c>
      <c r="C307" s="10">
        <v>5.0000000000000002E-135</v>
      </c>
      <c r="D307" s="5">
        <v>75.849999999999994</v>
      </c>
      <c r="E307" s="4" t="str">
        <f>HYPERLINK("https://www.ncbi.nlm.nih.gov/protein/WP_280035302.1?report=genbank&amp;log$=prottop&amp;blast_rank=45&amp;RID=92EC6PSH016","WP_280035302.1")</f>
        <v>WP_280035302.1</v>
      </c>
      <c r="F307" s="4"/>
      <c r="G307" s="4"/>
      <c r="H307" s="4"/>
    </row>
    <row r="308" spans="1:8">
      <c r="A308" s="4" t="s">
        <v>1265</v>
      </c>
      <c r="B308" s="9">
        <v>0.97</v>
      </c>
      <c r="C308" s="10">
        <v>2.0000000000000002E-130</v>
      </c>
      <c r="D308" s="5">
        <v>75.849999999999994</v>
      </c>
      <c r="E308" s="4" t="str">
        <f>HYPERLINK("https://www.ncbi.nlm.nih.gov/protein/HEY4530675.1?report=genbank&amp;log$=prottop&amp;blast_rank=94&amp;RID=92EC6PSH016","HEY4530675.1")</f>
        <v>HEY4530675.1</v>
      </c>
      <c r="F308" s="4"/>
      <c r="G308" s="4"/>
      <c r="H308" s="4"/>
    </row>
    <row r="309" spans="1:8">
      <c r="A309" s="4" t="s">
        <v>1266</v>
      </c>
      <c r="B309" s="9">
        <v>0.97</v>
      </c>
      <c r="C309" s="10">
        <v>3E-134</v>
      </c>
      <c r="D309" s="5">
        <v>75.73</v>
      </c>
      <c r="E309" s="4" t="str">
        <f>HYPERLINK("https://www.ncbi.nlm.nih.gov/protein/WP_130168007.1?report=genbank&amp;log$=prottop&amp;blast_rank=55&amp;RID=92EC6PSH016","WP_130168007.1")</f>
        <v>WP_130168007.1</v>
      </c>
      <c r="F309" s="4"/>
      <c r="G309" s="4"/>
      <c r="H309" s="4"/>
    </row>
    <row r="310" spans="1:8">
      <c r="A310" s="4" t="s">
        <v>1267</v>
      </c>
      <c r="B310" s="9">
        <v>0.98</v>
      </c>
      <c r="C310" s="10">
        <v>9.9999999999999999E-132</v>
      </c>
      <c r="D310" s="5">
        <v>75.48</v>
      </c>
      <c r="E310" s="4" t="str">
        <f>HYPERLINK("https://www.ncbi.nlm.nih.gov/protein/WP_248443754.1?report=genbank&amp;log$=prottop&amp;blast_rank=79&amp;RID=92EC6PSH016","WP_248443754.1")</f>
        <v>WP_248443754.1</v>
      </c>
      <c r="F310" s="4"/>
      <c r="G310" s="4"/>
      <c r="H310" s="4"/>
    </row>
    <row r="311" spans="1:8">
      <c r="A311" s="4" t="s">
        <v>1268</v>
      </c>
      <c r="B311" s="9">
        <v>0.98</v>
      </c>
      <c r="C311" s="10">
        <v>5.9999999999999999E-131</v>
      </c>
      <c r="D311" s="5">
        <v>75.48</v>
      </c>
      <c r="E311" s="4" t="str">
        <f>HYPERLINK("https://www.ncbi.nlm.nih.gov/protein/NVP02925.1?report=genbank&amp;log$=prottop&amp;blast_rank=88&amp;RID=92EC6PSH016","NVP02925.1")</f>
        <v>NVP02925.1</v>
      </c>
      <c r="F311" s="4"/>
      <c r="G311" s="4"/>
      <c r="H311" s="4"/>
    </row>
    <row r="312" spans="1:8">
      <c r="A312" s="4" t="s">
        <v>1269</v>
      </c>
      <c r="B312" s="9">
        <v>0.98</v>
      </c>
      <c r="C312" s="10">
        <v>5.9999999999999996E-136</v>
      </c>
      <c r="D312" s="5">
        <v>75</v>
      </c>
      <c r="E312" s="4" t="str">
        <f>HYPERLINK("https://www.ncbi.nlm.nih.gov/protein/WP_324513312.1?report=genbank&amp;log$=prottop&amp;blast_rank=38&amp;RID=92EC6PSH016","WP_324513312.1")</f>
        <v>WP_324513312.1</v>
      </c>
      <c r="F312" s="4"/>
      <c r="G312" s="4"/>
      <c r="H312" s="4"/>
    </row>
    <row r="313" spans="1:8">
      <c r="A313" s="4" t="s">
        <v>1054</v>
      </c>
      <c r="B313" s="9">
        <v>0.98</v>
      </c>
      <c r="C313" s="10">
        <v>2.0000000000000001E-133</v>
      </c>
      <c r="D313" s="5">
        <v>75</v>
      </c>
      <c r="E313" s="4" t="str">
        <f>HYPERLINK("https://www.ncbi.nlm.nih.gov/protein/WP_333975852.1?report=genbank&amp;log$=prottop&amp;blast_rank=61&amp;RID=92EC6PSH016","WP_333975852.1")</f>
        <v>WP_333975852.1</v>
      </c>
      <c r="F313" s="4"/>
      <c r="G313" s="4"/>
      <c r="H313" s="4"/>
    </row>
    <row r="314" spans="1:8">
      <c r="A314" s="4" t="s">
        <v>1270</v>
      </c>
      <c r="B314" s="9">
        <v>0.98</v>
      </c>
      <c r="C314" s="10">
        <v>3E-131</v>
      </c>
      <c r="D314" s="5">
        <v>75</v>
      </c>
      <c r="E314" s="4" t="str">
        <f>HYPERLINK("https://www.ncbi.nlm.nih.gov/protein/WP_350353946.1?report=genbank&amp;log$=prottop&amp;blast_rank=84&amp;RID=92EC6PSH016","WP_350353946.1")</f>
        <v>WP_350353946.1</v>
      </c>
      <c r="F314" s="4"/>
      <c r="G314" s="4"/>
      <c r="H314" s="4"/>
    </row>
    <row r="315" spans="1:8">
      <c r="A315" s="4" t="s">
        <v>1270</v>
      </c>
      <c r="B315" s="9">
        <v>0.98</v>
      </c>
      <c r="C315" s="10">
        <v>1.0000000000000001E-130</v>
      </c>
      <c r="D315" s="5">
        <v>75</v>
      </c>
      <c r="E315" s="4" t="str">
        <f>HYPERLINK("https://www.ncbi.nlm.nih.gov/protein/RSO36947.1?report=genbank&amp;log$=prottop&amp;blast_rank=91&amp;RID=92EC6PSH016","RSO36947.1")</f>
        <v>RSO36947.1</v>
      </c>
      <c r="F315" s="4"/>
      <c r="G315" s="4"/>
      <c r="H315" s="4"/>
    </row>
    <row r="316" spans="1:8">
      <c r="A316" s="4" t="s">
        <v>129</v>
      </c>
      <c r="B316" s="9">
        <v>0.97</v>
      </c>
      <c r="C316" s="10">
        <v>6.0000000000000002E-135</v>
      </c>
      <c r="D316" s="5">
        <v>74.88</v>
      </c>
      <c r="E316" s="4" t="str">
        <f>HYPERLINK("https://www.ncbi.nlm.nih.gov/protein/MDC5391518.1?report=genbank&amp;log$=prottop&amp;blast_rank=48&amp;RID=92EC6PSH016","MDC5391518.1")</f>
        <v>MDC5391518.1</v>
      </c>
      <c r="F316" s="4"/>
      <c r="G316" s="4"/>
      <c r="H316" s="4"/>
    </row>
    <row r="317" spans="1:8">
      <c r="A317" s="4" t="s">
        <v>1271</v>
      </c>
      <c r="B317" s="9">
        <v>0.97</v>
      </c>
      <c r="C317" s="10">
        <v>3E-134</v>
      </c>
      <c r="D317" s="5">
        <v>74.88</v>
      </c>
      <c r="E317" s="4" t="str">
        <f>HYPERLINK("https://www.ncbi.nlm.nih.gov/protein/HBF49139.1?report=genbank&amp;log$=prottop&amp;blast_rank=54&amp;RID=92EC6PSH016","HBF49139.1")</f>
        <v>HBF49139.1</v>
      </c>
      <c r="F317" s="4"/>
      <c r="G317" s="4"/>
      <c r="H317" s="4"/>
    </row>
    <row r="318" spans="1:8">
      <c r="A318" s="4" t="s">
        <v>1272</v>
      </c>
      <c r="B318" s="9">
        <v>0.97</v>
      </c>
      <c r="C318" s="10">
        <v>2E-131</v>
      </c>
      <c r="D318" s="5">
        <v>74.760000000000005</v>
      </c>
      <c r="E318" s="4" t="str">
        <f>HYPERLINK("https://www.ncbi.nlm.nih.gov/protein/MDO9179029.1?report=genbank&amp;log$=prottop&amp;blast_rank=82&amp;RID=92EC6PSH016","MDO9179029.1")</f>
        <v>MDO9179029.1</v>
      </c>
      <c r="F318" s="4"/>
      <c r="G318" s="4"/>
      <c r="H318" s="4"/>
    </row>
    <row r="319" spans="1:8">
      <c r="A319" s="4" t="s">
        <v>1273</v>
      </c>
      <c r="B319" s="9">
        <v>0.98</v>
      </c>
      <c r="C319" s="10">
        <v>1.0000000000000001E-133</v>
      </c>
      <c r="D319" s="5">
        <v>74.52</v>
      </c>
      <c r="E319" s="4" t="str">
        <f>HYPERLINK("https://www.ncbi.nlm.nih.gov/protein/WP_171532194.1?report=genbank&amp;log$=prottop&amp;blast_rank=60&amp;RID=92EC6PSH016","WP_171532194.1")</f>
        <v>WP_171532194.1</v>
      </c>
      <c r="F319" s="4"/>
      <c r="G319" s="4"/>
      <c r="H319" s="4"/>
    </row>
    <row r="320" spans="1:8">
      <c r="A320" s="4" t="s">
        <v>15</v>
      </c>
      <c r="B320" s="9">
        <v>0.97</v>
      </c>
      <c r="C320" s="10">
        <v>5.0000000000000003E-134</v>
      </c>
      <c r="D320" s="5">
        <v>74.27</v>
      </c>
      <c r="E320" s="4" t="str">
        <f>HYPERLINK("https://www.ncbi.nlm.nih.gov/protein/MDF4891082.1?report=genbank&amp;log$=prottop&amp;blast_rank=56&amp;RID=92EC6PSH016","MDF4891082.1")</f>
        <v>MDF4891082.1</v>
      </c>
      <c r="F320" s="4"/>
      <c r="G320" s="4"/>
      <c r="H320" s="4"/>
    </row>
    <row r="321" spans="1:8">
      <c r="A321" s="4" t="s">
        <v>17</v>
      </c>
      <c r="B321" s="9">
        <v>0.97</v>
      </c>
      <c r="C321" s="10">
        <v>4.0000000000000003E-133</v>
      </c>
      <c r="D321" s="5">
        <v>74.27</v>
      </c>
      <c r="E321" s="4" t="str">
        <f>HYPERLINK("https://www.ncbi.nlm.nih.gov/protein/WP_048662886.1?report=genbank&amp;log$=prottop&amp;blast_rank=65&amp;RID=92EC6PSH016","WP_048662886.1")</f>
        <v>WP_048662886.1</v>
      </c>
      <c r="F321" s="4"/>
      <c r="G321" s="4"/>
      <c r="H321" s="4"/>
    </row>
    <row r="322" spans="1:8">
      <c r="A322" s="4" t="s">
        <v>17</v>
      </c>
      <c r="B322" s="9">
        <v>0.96</v>
      </c>
      <c r="C322" s="10">
        <v>4.9999999999999999E-132</v>
      </c>
      <c r="D322" s="5">
        <v>74.150000000000006</v>
      </c>
      <c r="E322" s="4" t="str">
        <f>HYPERLINK("https://www.ncbi.nlm.nih.gov/protein/WP_246855896.1?report=genbank&amp;log$=prottop&amp;blast_rank=78&amp;RID=92EC6PSH016","WP_246855896.1")</f>
        <v>WP_246855896.1</v>
      </c>
      <c r="F322" s="4"/>
      <c r="G322" s="4"/>
      <c r="H322" s="4"/>
    </row>
    <row r="323" spans="1:8">
      <c r="A323" s="4" t="s">
        <v>99</v>
      </c>
      <c r="B323" s="9">
        <v>0.92</v>
      </c>
      <c r="C323" s="10">
        <v>3E-124</v>
      </c>
      <c r="D323" s="5">
        <v>73.98</v>
      </c>
      <c r="E323" s="4" t="str">
        <f>HYPERLINK("https://www.ncbi.nlm.nih.gov/protein/MCG8808949.1?report=genbank&amp;log$=prottop&amp;blast_rank=318&amp;RID=92EC6PSH016","MCG8808949.1")</f>
        <v>MCG8808949.1</v>
      </c>
      <c r="F323" s="4"/>
      <c r="G323" s="4"/>
      <c r="H323" s="4"/>
    </row>
    <row r="324" spans="1:8">
      <c r="A324" s="4" t="s">
        <v>17</v>
      </c>
      <c r="B324" s="9">
        <v>0.97</v>
      </c>
      <c r="C324" s="10">
        <v>4.0000000000000003E-133</v>
      </c>
      <c r="D324" s="5">
        <v>73.790000000000006</v>
      </c>
      <c r="E324" s="4" t="str">
        <f>HYPERLINK("https://www.ncbi.nlm.nih.gov/protein/CAK2223649.1?report=genbank&amp;log$=prottop&amp;blast_rank=67&amp;RID=92EC6PSH016","CAK2223649.1")</f>
        <v>CAK2223649.1</v>
      </c>
      <c r="F324" s="4"/>
      <c r="G324" s="4"/>
      <c r="H324" s="4"/>
    </row>
    <row r="325" spans="1:8">
      <c r="A325" s="4" t="s">
        <v>1274</v>
      </c>
      <c r="B325" s="9">
        <v>0.97</v>
      </c>
      <c r="C325" s="10">
        <v>3.9999999999999999E-131</v>
      </c>
      <c r="D325" s="5">
        <v>73.790000000000006</v>
      </c>
      <c r="E325" s="4" t="str">
        <f>HYPERLINK("https://www.ncbi.nlm.nih.gov/protein/WP_159258414.1?report=genbank&amp;log$=prottop&amp;blast_rank=86&amp;RID=92EC6PSH016","WP_159258414.1")</f>
        <v>WP_159258414.1</v>
      </c>
      <c r="F325" s="4"/>
      <c r="G325" s="4"/>
      <c r="H325" s="4"/>
    </row>
    <row r="326" spans="1:8">
      <c r="A326" s="4" t="s">
        <v>1275</v>
      </c>
      <c r="B326" s="9">
        <v>0.98</v>
      </c>
      <c r="C326" s="10">
        <v>7.0000000000000006E-136</v>
      </c>
      <c r="D326" s="5">
        <v>73.56</v>
      </c>
      <c r="E326" s="4" t="str">
        <f>HYPERLINK("https://www.ncbi.nlm.nih.gov/protein/WP_229435534.1?report=genbank&amp;log$=prottop&amp;blast_rank=39&amp;RID=92EC6PSH016","WP_229435534.1")</f>
        <v>WP_229435534.1</v>
      </c>
      <c r="F326" s="4"/>
      <c r="G326" s="4"/>
      <c r="H326" s="4"/>
    </row>
    <row r="327" spans="1:8">
      <c r="A327" s="4" t="s">
        <v>1276</v>
      </c>
      <c r="B327" s="9">
        <v>0.98</v>
      </c>
      <c r="C327" s="10">
        <v>1E-134</v>
      </c>
      <c r="D327" s="5">
        <v>73.56</v>
      </c>
      <c r="E327" s="4" t="str">
        <f>HYPERLINK("https://www.ncbi.nlm.nih.gov/protein/WP_241284053.1?report=genbank&amp;log$=prottop&amp;blast_rank=50&amp;RID=92EC6PSH016","WP_241284053.1")</f>
        <v>WP_241284053.1</v>
      </c>
      <c r="F327" s="4"/>
      <c r="G327" s="4"/>
      <c r="H327" s="4"/>
    </row>
    <row r="328" spans="1:8">
      <c r="A328" s="4" t="s">
        <v>129</v>
      </c>
      <c r="B328" s="9">
        <v>0.98</v>
      </c>
      <c r="C328" s="10">
        <v>2.9999999999999999E-130</v>
      </c>
      <c r="D328" s="5">
        <v>73.56</v>
      </c>
      <c r="E328" s="4" t="str">
        <f>HYPERLINK("https://www.ncbi.nlm.nih.gov/protein/WP_315225550.1?report=genbank&amp;log$=prottop&amp;blast_rank=97&amp;RID=92EC6PSH016","WP_315225550.1")</f>
        <v>WP_315225550.1</v>
      </c>
      <c r="F328" s="4"/>
      <c r="G328" s="4"/>
      <c r="H328" s="4"/>
    </row>
    <row r="329" spans="1:8">
      <c r="A329" s="4" t="s">
        <v>129</v>
      </c>
      <c r="B329" s="9">
        <v>0.98</v>
      </c>
      <c r="C329" s="10">
        <v>4.0000000000000003E-130</v>
      </c>
      <c r="D329" s="5">
        <v>73.56</v>
      </c>
      <c r="E329" s="4" t="str">
        <f>HYPERLINK("https://www.ncbi.nlm.nih.gov/protein/MDC4769968.1?report=genbank&amp;log$=prottop&amp;blast_rank=98&amp;RID=92EC6PSH016","MDC4769968.1")</f>
        <v>MDC4769968.1</v>
      </c>
      <c r="F329" s="4"/>
      <c r="G329" s="4"/>
      <c r="H329" s="4"/>
    </row>
    <row r="330" spans="1:8">
      <c r="A330" s="4" t="s">
        <v>129</v>
      </c>
      <c r="B330" s="9">
        <v>0.98</v>
      </c>
      <c r="C330" s="10">
        <v>8.0000000000000007E-130</v>
      </c>
      <c r="D330" s="5">
        <v>73.56</v>
      </c>
      <c r="E330" s="4" t="str">
        <f>HYPERLINK("https://www.ncbi.nlm.nih.gov/protein/MDT8696721.1?report=genbank&amp;log$=prottop&amp;blast_rank=102&amp;RID=92EC6PSH016","MDT8696721.1")</f>
        <v>MDT8696721.1</v>
      </c>
      <c r="F330" s="4"/>
      <c r="G330" s="4"/>
      <c r="H330" s="4"/>
    </row>
    <row r="331" spans="1:8">
      <c r="A331" s="4" t="s">
        <v>1277</v>
      </c>
      <c r="B331" s="9">
        <v>0.97</v>
      </c>
      <c r="C331" s="10">
        <v>3.9999999999999997E-129</v>
      </c>
      <c r="D331" s="5">
        <v>72.95</v>
      </c>
      <c r="E331" s="4" t="str">
        <f>HYPERLINK("https://www.ncbi.nlm.nih.gov/protein/MCT4589224.1?report=genbank&amp;log$=prottop&amp;blast_rank=122&amp;RID=92EC6PSH016","MCT4589224.1")</f>
        <v>MCT4589224.1</v>
      </c>
      <c r="F331" s="4"/>
      <c r="G331" s="4"/>
      <c r="H331" s="4"/>
    </row>
    <row r="332" spans="1:8">
      <c r="A332" s="4" t="s">
        <v>1278</v>
      </c>
      <c r="B332" s="9">
        <v>0.99</v>
      </c>
      <c r="C332" s="10">
        <v>7.0000000000000004E-131</v>
      </c>
      <c r="D332" s="5">
        <v>72.86</v>
      </c>
      <c r="E332" s="4" t="str">
        <f>HYPERLINK("https://www.ncbi.nlm.nih.gov/protein/WP_249560631.1?report=genbank&amp;log$=prottop&amp;blast_rank=89&amp;RID=92EC6PSH016","WP_249560631.1")</f>
        <v>WP_249560631.1</v>
      </c>
      <c r="F332" s="4"/>
      <c r="G332" s="4"/>
      <c r="H332" s="4"/>
    </row>
    <row r="333" spans="1:8">
      <c r="A333" s="4" t="s">
        <v>1279</v>
      </c>
      <c r="B333" s="9">
        <v>0.97</v>
      </c>
      <c r="C333" s="10">
        <v>1.0000000000000001E-130</v>
      </c>
      <c r="D333" s="5">
        <v>72.33</v>
      </c>
      <c r="E333" s="4" t="str">
        <f>HYPERLINK("https://www.ncbi.nlm.nih.gov/protein/WP_153135341.1?report=genbank&amp;log$=prottop&amp;blast_rank=92&amp;RID=92EC6PSH016","WP_153135341.1")</f>
        <v>WP_153135341.1</v>
      </c>
      <c r="F333" s="4"/>
      <c r="G333" s="4"/>
      <c r="H333" s="4"/>
    </row>
    <row r="334" spans="1:8">
      <c r="A334" s="4" t="s">
        <v>1018</v>
      </c>
      <c r="B334" s="9">
        <v>0.91</v>
      </c>
      <c r="C334" s="10">
        <v>6.9999999999999997E-124</v>
      </c>
      <c r="D334" s="5">
        <v>72.31</v>
      </c>
      <c r="E334" s="4" t="str">
        <f>HYPERLINK("https://www.ncbi.nlm.nih.gov/protein/WP_225030892.1?report=genbank&amp;log$=prottop&amp;blast_rank=330&amp;RID=92EC6PSH016","WP_225030892.1")</f>
        <v>WP_225030892.1</v>
      </c>
      <c r="F334" s="4"/>
      <c r="G334" s="4"/>
      <c r="H334" s="4"/>
    </row>
    <row r="335" spans="1:8">
      <c r="A335" s="4" t="s">
        <v>119</v>
      </c>
      <c r="B335" s="9">
        <v>0.97</v>
      </c>
      <c r="C335" s="10">
        <v>9.9999999999999999E-132</v>
      </c>
      <c r="D335" s="5">
        <v>71.84</v>
      </c>
      <c r="E335" s="4" t="str">
        <f>HYPERLINK("https://www.ncbi.nlm.nih.gov/protein/WP_166782964.1?report=genbank&amp;log$=prottop&amp;blast_rank=81&amp;RID=92EC6PSH016","WP_166782964.1")</f>
        <v>WP_166782964.1</v>
      </c>
      <c r="F335" s="4"/>
      <c r="G335" s="4"/>
      <c r="H335" s="4"/>
    </row>
    <row r="336" spans="1:8">
      <c r="A336" s="4" t="s">
        <v>1280</v>
      </c>
      <c r="B336" s="9">
        <v>0.91</v>
      </c>
      <c r="C336" s="10">
        <v>5.0000000000000003E-124</v>
      </c>
      <c r="D336" s="5">
        <v>71.790000000000006</v>
      </c>
      <c r="E336" s="4" t="str">
        <f>HYPERLINK("https://www.ncbi.nlm.nih.gov/protein/WP_231986861.1?report=genbank&amp;log$=prottop&amp;blast_rank=322&amp;RID=92EC6PSH016","WP_231986861.1")</f>
        <v>WP_231986861.1</v>
      </c>
      <c r="F336" s="4"/>
      <c r="G336" s="4"/>
      <c r="H336" s="4"/>
    </row>
    <row r="337" spans="1:8">
      <c r="A337" s="4" t="s">
        <v>1018</v>
      </c>
      <c r="B337" s="9">
        <v>0.91</v>
      </c>
      <c r="C337" s="10">
        <v>6.9999999999999997E-124</v>
      </c>
      <c r="D337" s="5">
        <v>71.790000000000006</v>
      </c>
      <c r="E337" s="4" t="str">
        <f>HYPERLINK("https://www.ncbi.nlm.nih.gov/protein/WP_223522833.1?report=genbank&amp;log$=prottop&amp;blast_rank=332&amp;RID=92EC6PSH016","WP_223522833.1")</f>
        <v>WP_223522833.1</v>
      </c>
      <c r="F337" s="4"/>
      <c r="G337" s="4"/>
      <c r="H337" s="4"/>
    </row>
    <row r="338" spans="1:8">
      <c r="A338" s="4" t="s">
        <v>1281</v>
      </c>
      <c r="B338" s="9">
        <v>0.93</v>
      </c>
      <c r="C338" s="10">
        <v>6.0000000000000003E-126</v>
      </c>
      <c r="D338" s="5">
        <v>71.72</v>
      </c>
      <c r="E338" s="4" t="str">
        <f>HYPERLINK("https://www.ncbi.nlm.nih.gov/protein/KHT37879.1?report=genbank&amp;log$=prottop&amp;blast_rank=240&amp;RID=92EC6PSH016","KHT37879.1")</f>
        <v>KHT37879.1</v>
      </c>
      <c r="F338" s="4"/>
      <c r="G338" s="4"/>
      <c r="H338" s="4"/>
    </row>
    <row r="339" spans="1:8">
      <c r="A339" s="4" t="s">
        <v>439</v>
      </c>
      <c r="B339" s="9">
        <v>0.93</v>
      </c>
      <c r="C339" s="10">
        <v>2.9999999999999999E-125</v>
      </c>
      <c r="D339" s="5">
        <v>71.72</v>
      </c>
      <c r="E339" s="4" t="str">
        <f>HYPERLINK("https://www.ncbi.nlm.nih.gov/protein/EMF0889423.1?report=genbank&amp;log$=prottop&amp;blast_rank=276&amp;RID=92EC6PSH016","EMF0889423.1")</f>
        <v>EMF0889423.1</v>
      </c>
      <c r="F339" s="4"/>
      <c r="G339" s="4"/>
      <c r="H339" s="4"/>
    </row>
    <row r="340" spans="1:8">
      <c r="A340" s="4" t="s">
        <v>439</v>
      </c>
      <c r="B340" s="9">
        <v>0.93</v>
      </c>
      <c r="C340" s="10">
        <v>9.9999999999999993E-125</v>
      </c>
      <c r="D340" s="5">
        <v>71.72</v>
      </c>
      <c r="E340" s="4" t="str">
        <f>HYPERLINK("https://www.ncbi.nlm.nih.gov/protein/KTJ24503.1?report=genbank&amp;log$=prottop&amp;blast_rank=293&amp;RID=92EC6PSH016","KTJ24503.1")</f>
        <v>KTJ24503.1</v>
      </c>
      <c r="F340" s="4"/>
      <c r="G340" s="4"/>
      <c r="H340" s="4"/>
    </row>
    <row r="341" spans="1:8">
      <c r="A341" s="4" t="s">
        <v>1079</v>
      </c>
      <c r="B341" s="9">
        <v>0.96</v>
      </c>
      <c r="C341" s="10">
        <v>9.9999999999999993E-130</v>
      </c>
      <c r="D341" s="5">
        <v>71.709999999999994</v>
      </c>
      <c r="E341" s="4" t="str">
        <f>HYPERLINK("https://www.ncbi.nlm.nih.gov/protein/WP_313644725.1?report=genbank&amp;log$=prottop&amp;blast_rank=106&amp;RID=92EC6PSH016","WP_313644725.1")</f>
        <v>WP_313644725.1</v>
      </c>
      <c r="F341" s="4"/>
      <c r="G341" s="4"/>
      <c r="H341" s="4"/>
    </row>
    <row r="342" spans="1:8">
      <c r="A342" s="4" t="s">
        <v>99</v>
      </c>
      <c r="B342" s="9">
        <v>0.96</v>
      </c>
      <c r="C342" s="10">
        <v>4.9999999999999997E-127</v>
      </c>
      <c r="D342" s="5">
        <v>71.709999999999994</v>
      </c>
      <c r="E342" s="4" t="str">
        <f>HYPERLINK("https://www.ncbi.nlm.nih.gov/protein/WP_239787620.1?report=genbank&amp;log$=prottop&amp;blast_rank=197&amp;RID=92EC6PSH016","WP_239787620.1")</f>
        <v>WP_239787620.1</v>
      </c>
      <c r="F342" s="4"/>
      <c r="G342" s="4"/>
      <c r="H342" s="4"/>
    </row>
    <row r="343" spans="1:8">
      <c r="A343" s="4" t="s">
        <v>1282</v>
      </c>
      <c r="B343" s="9">
        <v>0.96</v>
      </c>
      <c r="C343" s="10">
        <v>4.0000000000000001E-127</v>
      </c>
      <c r="D343" s="5">
        <v>71.569999999999993</v>
      </c>
      <c r="E343" s="4" t="str">
        <f>HYPERLINK("https://www.ncbi.nlm.nih.gov/protein/WP_279796403.1?report=genbank&amp;log$=prottop&amp;blast_rank=190&amp;RID=92EC6PSH016","WP_279796403.1")</f>
        <v>WP_279796403.1</v>
      </c>
      <c r="F343" s="4"/>
      <c r="G343" s="4"/>
      <c r="H343" s="4"/>
    </row>
    <row r="344" spans="1:8">
      <c r="A344" s="4" t="s">
        <v>1283</v>
      </c>
      <c r="B344" s="9">
        <v>0.97</v>
      </c>
      <c r="C344" s="10">
        <v>3.9999999999999999E-121</v>
      </c>
      <c r="D344" s="5">
        <v>71.5</v>
      </c>
      <c r="E344" s="4" t="str">
        <f>HYPERLINK("https://www.ncbi.nlm.nih.gov/protein/QXW30377.1?report=genbank&amp;log$=prottop&amp;blast_rank=424&amp;RID=92EC6PSH016","QXW30377.1")</f>
        <v>QXW30377.1</v>
      </c>
      <c r="F344" s="4"/>
      <c r="G344" s="4"/>
      <c r="H344" s="4"/>
    </row>
    <row r="345" spans="1:8">
      <c r="A345" s="4" t="s">
        <v>1284</v>
      </c>
      <c r="B345" s="9">
        <v>0.99</v>
      </c>
      <c r="C345" s="10">
        <v>1E-125</v>
      </c>
      <c r="D345" s="5">
        <v>71.430000000000007</v>
      </c>
      <c r="E345" s="4" t="str">
        <f>HYPERLINK("https://www.ncbi.nlm.nih.gov/protein/WP_154376240.1?report=genbank&amp;log$=prottop&amp;blast_rank=256&amp;RID=92EC6PSH016","WP_154376240.1")</f>
        <v>WP_154376240.1</v>
      </c>
      <c r="F345" s="4"/>
      <c r="G345" s="4"/>
      <c r="H345" s="4"/>
    </row>
    <row r="346" spans="1:8">
      <c r="A346" s="4" t="s">
        <v>1285</v>
      </c>
      <c r="B346" s="9">
        <v>0.97</v>
      </c>
      <c r="C346" s="10">
        <v>1.9999999999999999E-129</v>
      </c>
      <c r="D346" s="5">
        <v>71.36</v>
      </c>
      <c r="E346" s="4" t="str">
        <f>HYPERLINK("https://www.ncbi.nlm.nih.gov/protein/WP_163316202.1?report=genbank&amp;log$=prottop&amp;blast_rank=108&amp;RID=92EC6PSH016","WP_163316202.1")</f>
        <v>WP_163316202.1</v>
      </c>
      <c r="F346" s="4"/>
      <c r="G346" s="4"/>
      <c r="H346" s="4"/>
    </row>
    <row r="347" spans="1:8">
      <c r="A347" s="4" t="s">
        <v>1286</v>
      </c>
      <c r="B347" s="9">
        <v>0.97</v>
      </c>
      <c r="C347" s="10">
        <v>2.9999999999999998E-129</v>
      </c>
      <c r="D347" s="5">
        <v>71.36</v>
      </c>
      <c r="E347" s="4" t="str">
        <f>HYPERLINK("https://www.ncbi.nlm.nih.gov/protein/WP_034889646.1?report=genbank&amp;log$=prottop&amp;blast_rank=119&amp;RID=92EC6PSH016","WP_034889646.1")</f>
        <v>WP_034889646.1</v>
      </c>
      <c r="F347" s="4"/>
      <c r="G347" s="4"/>
      <c r="H347" s="4"/>
    </row>
    <row r="348" spans="1:8">
      <c r="A348" s="4" t="s">
        <v>1287</v>
      </c>
      <c r="B348" s="9">
        <v>0.91</v>
      </c>
      <c r="C348" s="10">
        <v>7.9999999999999995E-124</v>
      </c>
      <c r="D348" s="5">
        <v>71.28</v>
      </c>
      <c r="E348" s="4" t="str">
        <f>HYPERLINK("https://www.ncbi.nlm.nih.gov/protein/WP_241663573.1?report=genbank&amp;log$=prottop&amp;blast_rank=335&amp;RID=92EC6PSH016","WP_241663573.1")</f>
        <v>WP_241663573.1</v>
      </c>
      <c r="F348" s="4"/>
      <c r="G348" s="4"/>
      <c r="H348" s="4"/>
    </row>
    <row r="349" spans="1:8">
      <c r="A349" s="4" t="s">
        <v>364</v>
      </c>
      <c r="B349" s="9">
        <v>0.91</v>
      </c>
      <c r="C349" s="10">
        <v>2.9999999999999998E-123</v>
      </c>
      <c r="D349" s="5">
        <v>71.28</v>
      </c>
      <c r="E349" s="4" t="str">
        <f>HYPERLINK("https://www.ncbi.nlm.nih.gov/protein/WP_224794251.1?report=genbank&amp;log$=prottop&amp;blast_rank=361&amp;RID=92EC6PSH016","WP_224794251.1")</f>
        <v>WP_224794251.1</v>
      </c>
      <c r="F349" s="4"/>
      <c r="G349" s="4"/>
      <c r="H349" s="4"/>
    </row>
    <row r="350" spans="1:8">
      <c r="A350" s="4" t="s">
        <v>1288</v>
      </c>
      <c r="B350" s="9">
        <v>1</v>
      </c>
      <c r="C350" s="10">
        <v>9.9999999999999993E-125</v>
      </c>
      <c r="D350" s="5">
        <v>71.23</v>
      </c>
      <c r="E350" s="4" t="str">
        <f>HYPERLINK("https://www.ncbi.nlm.nih.gov/protein/PCI21781.1?report=genbank&amp;log$=prottop&amp;blast_rank=294&amp;RID=92EC6PSH016","PCI21781.1")</f>
        <v>PCI21781.1</v>
      </c>
      <c r="F350" s="4"/>
      <c r="G350" s="4"/>
      <c r="H350" s="4"/>
    </row>
    <row r="351" spans="1:8">
      <c r="A351" s="4" t="s">
        <v>56</v>
      </c>
      <c r="B351" s="9">
        <v>0.96</v>
      </c>
      <c r="C351" s="10">
        <v>2.9999999999999999E-130</v>
      </c>
      <c r="D351" s="5">
        <v>71.22</v>
      </c>
      <c r="E351" s="4" t="str">
        <f>HYPERLINK("https://www.ncbi.nlm.nih.gov/protein/WP_065624890.1?report=genbank&amp;log$=prottop&amp;blast_rank=95&amp;RID=92EC6PSH016","WP_065624890.1")</f>
        <v>WP_065624890.1</v>
      </c>
      <c r="F351" s="4"/>
      <c r="G351" s="4"/>
      <c r="H351" s="4"/>
    </row>
    <row r="352" spans="1:8">
      <c r="A352" s="4" t="s">
        <v>1289</v>
      </c>
      <c r="B352" s="9">
        <v>0.96</v>
      </c>
      <c r="C352" s="10">
        <v>2.9999999999999998E-128</v>
      </c>
      <c r="D352" s="5">
        <v>71.22</v>
      </c>
      <c r="E352" s="4" t="str">
        <f>HYPERLINK("https://www.ncbi.nlm.nih.gov/protein/EKN4862948.1?report=genbank&amp;log$=prottop&amp;blast_rank=138&amp;RID=92EC6PSH016","EKN4862948.1")</f>
        <v>EKN4862948.1</v>
      </c>
      <c r="F352" s="4"/>
      <c r="G352" s="4"/>
      <c r="H352" s="4"/>
    </row>
    <row r="353" spans="1:8">
      <c r="A353" s="4" t="s">
        <v>360</v>
      </c>
      <c r="B353" s="9">
        <v>0.96</v>
      </c>
      <c r="C353" s="10">
        <v>2.9999999999999998E-128</v>
      </c>
      <c r="D353" s="5">
        <v>71.22</v>
      </c>
      <c r="E353" s="4" t="str">
        <f>HYPERLINK("https://www.ncbi.nlm.nih.gov/protein/WP_334756622.1?report=genbank&amp;log$=prottop&amp;blast_rank=140&amp;RID=92EC6PSH016","WP_334756622.1")</f>
        <v>WP_334756622.1</v>
      </c>
      <c r="F353" s="4"/>
      <c r="G353" s="4"/>
      <c r="H353" s="4"/>
    </row>
    <row r="354" spans="1:8">
      <c r="A354" s="4" t="s">
        <v>1282</v>
      </c>
      <c r="B354" s="9">
        <v>0.96</v>
      </c>
      <c r="C354" s="10">
        <v>2.9999999999999998E-128</v>
      </c>
      <c r="D354" s="5">
        <v>71.22</v>
      </c>
      <c r="E354" s="4" t="str">
        <f>HYPERLINK("https://www.ncbi.nlm.nih.gov/protein/HDR2463946.1?report=genbank&amp;log$=prottop&amp;blast_rank=142&amp;RID=92EC6PSH016","HDR2463946.1")</f>
        <v>HDR2463946.1</v>
      </c>
      <c r="F354" s="4"/>
      <c r="G354" s="4"/>
      <c r="H354" s="4"/>
    </row>
    <row r="355" spans="1:8">
      <c r="A355" s="4" t="s">
        <v>402</v>
      </c>
      <c r="B355" s="9">
        <v>0.96</v>
      </c>
      <c r="C355" s="10">
        <v>4.0000000000000002E-128</v>
      </c>
      <c r="D355" s="5">
        <v>71.22</v>
      </c>
      <c r="E355" s="4" t="str">
        <f>HYPERLINK("https://www.ncbi.nlm.nih.gov/protein/WP_008499896.1?report=genbank&amp;log$=prottop&amp;blast_rank=146&amp;RID=92EC6PSH016","WP_008499896.1")</f>
        <v>WP_008499896.1</v>
      </c>
      <c r="F355" s="4"/>
      <c r="G355" s="4"/>
      <c r="H355" s="4"/>
    </row>
    <row r="356" spans="1:8">
      <c r="A356" s="4" t="s">
        <v>402</v>
      </c>
      <c r="B356" s="9">
        <v>0.96</v>
      </c>
      <c r="C356" s="10">
        <v>5.0000000000000001E-128</v>
      </c>
      <c r="D356" s="5">
        <v>71.22</v>
      </c>
      <c r="E356" s="4" t="str">
        <f>HYPERLINK("https://www.ncbi.nlm.nih.gov/protein/WP_208584350.1?report=genbank&amp;log$=prottop&amp;blast_rank=148&amp;RID=92EC6PSH016","WP_208584350.1")</f>
        <v>WP_208584350.1</v>
      </c>
      <c r="F356" s="4"/>
      <c r="G356" s="4"/>
      <c r="H356" s="4"/>
    </row>
    <row r="357" spans="1:8">
      <c r="A357" s="4" t="s">
        <v>1290</v>
      </c>
      <c r="B357" s="9">
        <v>0.96</v>
      </c>
      <c r="C357" s="10">
        <v>5.9999999999999996E-128</v>
      </c>
      <c r="D357" s="5">
        <v>71.22</v>
      </c>
      <c r="E357" s="4" t="str">
        <f>HYPERLINK("https://www.ncbi.nlm.nih.gov/protein/WP_345769313.1?report=genbank&amp;log$=prottop&amp;blast_rank=153&amp;RID=92EC6PSH016","WP_345769313.1")</f>
        <v>WP_345769313.1</v>
      </c>
      <c r="F357" s="4"/>
      <c r="G357" s="4"/>
      <c r="H357" s="4"/>
    </row>
    <row r="358" spans="1:8">
      <c r="A358" s="4" t="s">
        <v>1291</v>
      </c>
      <c r="B358" s="9">
        <v>0.96</v>
      </c>
      <c r="C358" s="10">
        <v>7E-128</v>
      </c>
      <c r="D358" s="5">
        <v>71.22</v>
      </c>
      <c r="E358" s="4" t="str">
        <f>HYPERLINK("https://www.ncbi.nlm.nih.gov/protein/WP_084831986.1?report=genbank&amp;log$=prottop&amp;blast_rank=154&amp;RID=92EC6PSH016","WP_084831986.1")</f>
        <v>WP_084831986.1</v>
      </c>
      <c r="F358" s="4"/>
      <c r="G358" s="4"/>
      <c r="H358" s="4"/>
    </row>
    <row r="359" spans="1:8">
      <c r="A359" s="4" t="s">
        <v>1292</v>
      </c>
      <c r="B359" s="9">
        <v>0.96</v>
      </c>
      <c r="C359" s="10">
        <v>8.0000000000000004E-128</v>
      </c>
      <c r="D359" s="5">
        <v>71.22</v>
      </c>
      <c r="E359" s="4" t="str">
        <f>HYPERLINK("https://www.ncbi.nlm.nih.gov/protein/WP_286590706.1?report=genbank&amp;log$=prottop&amp;blast_rank=155&amp;RID=92EC6PSH016","WP_286590706.1")</f>
        <v>WP_286590706.1</v>
      </c>
      <c r="F359" s="4"/>
      <c r="G359" s="4"/>
      <c r="H359" s="4"/>
    </row>
    <row r="360" spans="1:8">
      <c r="A360" s="4" t="s">
        <v>1293</v>
      </c>
      <c r="B360" s="9">
        <v>0.96</v>
      </c>
      <c r="C360" s="10">
        <v>8.9999999999999998E-128</v>
      </c>
      <c r="D360" s="5">
        <v>71.22</v>
      </c>
      <c r="E360" s="4" t="str">
        <f>HYPERLINK("https://www.ncbi.nlm.nih.gov/protein/WP_148748571.1?report=genbank&amp;log$=prottop&amp;blast_rank=160&amp;RID=92EC6PSH016","WP_148748571.1")</f>
        <v>WP_148748571.1</v>
      </c>
      <c r="F360" s="4"/>
      <c r="G360" s="4"/>
      <c r="H360" s="4"/>
    </row>
    <row r="361" spans="1:8">
      <c r="A361" s="4" t="s">
        <v>1294</v>
      </c>
      <c r="B361" s="9">
        <v>0.96</v>
      </c>
      <c r="C361" s="10">
        <v>1E-127</v>
      </c>
      <c r="D361" s="5">
        <v>71.22</v>
      </c>
      <c r="E361" s="4" t="str">
        <f>HYPERLINK("https://www.ncbi.nlm.nih.gov/protein/WP_248035702.1?report=genbank&amp;log$=prottop&amp;blast_rank=163&amp;RID=92EC6PSH016","WP_248035702.1")</f>
        <v>WP_248035702.1</v>
      </c>
      <c r="F361" s="4"/>
      <c r="G361" s="4"/>
      <c r="H361" s="4"/>
    </row>
    <row r="362" spans="1:8">
      <c r="A362" s="4" t="s">
        <v>275</v>
      </c>
      <c r="B362" s="9">
        <v>0.96</v>
      </c>
      <c r="C362" s="10">
        <v>3.0000000000000001E-127</v>
      </c>
      <c r="D362" s="5">
        <v>71.22</v>
      </c>
      <c r="E362" s="4" t="str">
        <f>HYPERLINK("https://www.ncbi.nlm.nih.gov/protein/WP_126502049.1?report=genbank&amp;log$=prottop&amp;blast_rank=176&amp;RID=92EC6PSH016","WP_126502049.1")</f>
        <v>WP_126502049.1</v>
      </c>
      <c r="F362" s="4"/>
      <c r="G362" s="4"/>
      <c r="H362" s="4"/>
    </row>
    <row r="363" spans="1:8">
      <c r="A363" s="4" t="s">
        <v>280</v>
      </c>
      <c r="B363" s="9">
        <v>0.96</v>
      </c>
      <c r="C363" s="10">
        <v>6.0000000000000002E-127</v>
      </c>
      <c r="D363" s="5">
        <v>71.22</v>
      </c>
      <c r="E363" s="4" t="str">
        <f>HYPERLINK("https://www.ncbi.nlm.nih.gov/protein/EHK3587237.1?report=genbank&amp;log$=prottop&amp;blast_rank=203&amp;RID=92EC6PSH016","EHK3587237.1")</f>
        <v>EHK3587237.1</v>
      </c>
      <c r="F363" s="4"/>
      <c r="G363" s="4"/>
      <c r="H363" s="4"/>
    </row>
    <row r="364" spans="1:8">
      <c r="A364" s="4" t="s">
        <v>280</v>
      </c>
      <c r="B364" s="9">
        <v>0.96</v>
      </c>
      <c r="C364" s="10">
        <v>6.0000000000000002E-127</v>
      </c>
      <c r="D364" s="5">
        <v>71.22</v>
      </c>
      <c r="E364" s="4" t="str">
        <f>HYPERLINK("https://www.ncbi.nlm.nih.gov/protein/HAI7292996.1?report=genbank&amp;log$=prottop&amp;blast_rank=206&amp;RID=92EC6PSH016","HAI7292996.1")</f>
        <v>HAI7292996.1</v>
      </c>
      <c r="F364" s="4"/>
      <c r="G364" s="4"/>
      <c r="H364" s="4"/>
    </row>
    <row r="365" spans="1:8">
      <c r="A365" s="4" t="s">
        <v>1295</v>
      </c>
      <c r="B365" s="9">
        <v>0.93</v>
      </c>
      <c r="C365" s="10">
        <v>4E-125</v>
      </c>
      <c r="D365" s="5">
        <v>71.209999999999994</v>
      </c>
      <c r="E365" s="4" t="str">
        <f>HYPERLINK("https://www.ncbi.nlm.nih.gov/protein/KHT08522.1?report=genbank&amp;log$=prottop&amp;blast_rank=280&amp;RID=92EC6PSH016","KHT08522.1")</f>
        <v>KHT08522.1</v>
      </c>
      <c r="F365" s="4"/>
      <c r="G365" s="4"/>
      <c r="H365" s="4"/>
    </row>
    <row r="366" spans="1:8">
      <c r="A366" s="4" t="s">
        <v>1296</v>
      </c>
      <c r="B366" s="9">
        <v>0.91</v>
      </c>
      <c r="C366" s="10">
        <v>6.9999999999999997E-124</v>
      </c>
      <c r="D366" s="5">
        <v>70.77</v>
      </c>
      <c r="E366" s="4" t="str">
        <f>HYPERLINK("https://www.ncbi.nlm.nih.gov/protein/WP_231997067.1?report=genbank&amp;log$=prottop&amp;blast_rank=329&amp;RID=92EC6PSH016","WP_231997067.1")</f>
        <v>WP_231997067.1</v>
      </c>
      <c r="F366" s="4"/>
      <c r="G366" s="4"/>
      <c r="H366" s="4"/>
    </row>
    <row r="367" spans="1:8">
      <c r="A367" s="4" t="s">
        <v>1077</v>
      </c>
      <c r="B367" s="9">
        <v>0.91</v>
      </c>
      <c r="C367" s="10">
        <v>2.0000000000000001E-122</v>
      </c>
      <c r="D367" s="5">
        <v>70.77</v>
      </c>
      <c r="E367" s="4" t="str">
        <f>HYPERLINK("https://www.ncbi.nlm.nih.gov/protein/WP_330511545.1?report=genbank&amp;log$=prottop&amp;blast_rank=397&amp;RID=92EC6PSH016","WP_330511545.1")</f>
        <v>WP_330511545.1</v>
      </c>
      <c r="F367" s="4"/>
      <c r="G367" s="4"/>
      <c r="H367" s="4"/>
    </row>
    <row r="368" spans="1:8">
      <c r="A368" s="4" t="s">
        <v>1297</v>
      </c>
      <c r="B368" s="9">
        <v>1</v>
      </c>
      <c r="C368" s="10">
        <v>5.0000000000000003E-129</v>
      </c>
      <c r="D368" s="5">
        <v>70.75</v>
      </c>
      <c r="E368" s="4" t="str">
        <f>HYPERLINK("https://www.ncbi.nlm.nih.gov/protein/WP_309785714.1?report=genbank&amp;log$=prottop&amp;blast_rank=123&amp;RID=92EC6PSH016","WP_309785714.1")</f>
        <v>WP_309785714.1</v>
      </c>
      <c r="F368" s="4"/>
      <c r="G368" s="4"/>
      <c r="H368" s="4"/>
    </row>
    <row r="369" spans="1:8">
      <c r="A369" s="4" t="s">
        <v>56</v>
      </c>
      <c r="B369" s="9">
        <v>0.96</v>
      </c>
      <c r="C369" s="10">
        <v>1.0000000000000001E-128</v>
      </c>
      <c r="D369" s="5">
        <v>70.73</v>
      </c>
      <c r="E369" s="4" t="str">
        <f>HYPERLINK("https://www.ncbi.nlm.nih.gov/protein/WP_155692099.1?report=genbank&amp;log$=prottop&amp;blast_rank=131&amp;RID=92EC6PSH016","WP_155692099.1")</f>
        <v>WP_155692099.1</v>
      </c>
      <c r="F369" s="4"/>
      <c r="G369" s="4"/>
      <c r="H369" s="4"/>
    </row>
    <row r="370" spans="1:8">
      <c r="A370" s="4" t="s">
        <v>1298</v>
      </c>
      <c r="B370" s="9">
        <v>0.96</v>
      </c>
      <c r="C370" s="10">
        <v>2.0000000000000001E-127</v>
      </c>
      <c r="D370" s="5">
        <v>70.73</v>
      </c>
      <c r="E370" s="4" t="str">
        <f>HYPERLINK("https://www.ncbi.nlm.nih.gov/protein/HCB3606039.1?report=genbank&amp;log$=prottop&amp;blast_rank=174&amp;RID=92EC6PSH016","HCB3606039.1")</f>
        <v>HCB3606039.1</v>
      </c>
      <c r="F370" s="4"/>
      <c r="G370" s="4"/>
      <c r="H370" s="4"/>
    </row>
    <row r="371" spans="1:8">
      <c r="A371" s="4" t="s">
        <v>275</v>
      </c>
      <c r="B371" s="9">
        <v>0.96</v>
      </c>
      <c r="C371" s="10">
        <v>3.0000000000000001E-127</v>
      </c>
      <c r="D371" s="5">
        <v>70.73</v>
      </c>
      <c r="E371" s="4" t="str">
        <f>HYPERLINK("https://www.ncbi.nlm.nih.gov/protein/WP_100280099.1?report=genbank&amp;log$=prottop&amp;blast_rank=177&amp;RID=92EC6PSH016","WP_100280099.1")</f>
        <v>WP_100280099.1</v>
      </c>
      <c r="F371" s="4"/>
      <c r="G371" s="4"/>
      <c r="H371" s="4"/>
    </row>
    <row r="372" spans="1:8">
      <c r="A372" s="4" t="s">
        <v>1298</v>
      </c>
      <c r="B372" s="9">
        <v>0.96</v>
      </c>
      <c r="C372" s="10">
        <v>3.0000000000000001E-127</v>
      </c>
      <c r="D372" s="5">
        <v>70.73</v>
      </c>
      <c r="E372" s="4" t="str">
        <f>HYPERLINK("https://www.ncbi.nlm.nih.gov/protein/WP_101705184.1?report=genbank&amp;log$=prottop&amp;blast_rank=178&amp;RID=92EC6PSH016","WP_101705184.1")</f>
        <v>WP_101705184.1</v>
      </c>
      <c r="F372" s="4"/>
      <c r="G372" s="4"/>
      <c r="H372" s="4"/>
    </row>
    <row r="373" spans="1:8">
      <c r="A373" s="4" t="s">
        <v>1290</v>
      </c>
      <c r="B373" s="9">
        <v>0.96</v>
      </c>
      <c r="C373" s="10">
        <v>3.0000000000000001E-127</v>
      </c>
      <c r="D373" s="5">
        <v>70.73</v>
      </c>
      <c r="E373" s="4" t="str">
        <f>HYPERLINK("https://www.ncbi.nlm.nih.gov/protein/WP_222168128.1?report=genbank&amp;log$=prottop&amp;blast_rank=179&amp;RID=92EC6PSH016","WP_222168128.1")</f>
        <v>WP_222168128.1</v>
      </c>
      <c r="F373" s="4"/>
      <c r="G373" s="4"/>
      <c r="H373" s="4"/>
    </row>
    <row r="374" spans="1:8">
      <c r="A374" s="4" t="s">
        <v>1299</v>
      </c>
      <c r="B374" s="9">
        <v>0.96</v>
      </c>
      <c r="C374" s="10">
        <v>6.0000000000000003E-126</v>
      </c>
      <c r="D374" s="5">
        <v>70.73</v>
      </c>
      <c r="E374" s="4" t="str">
        <f>HYPERLINK("https://www.ncbi.nlm.nih.gov/protein/WP_320659176.1?report=genbank&amp;log$=prottop&amp;blast_rank=239&amp;RID=92EC6PSH016","WP_320659176.1")</f>
        <v>WP_320659176.1</v>
      </c>
      <c r="F374" s="4"/>
      <c r="G374" s="4"/>
      <c r="H374" s="4"/>
    </row>
    <row r="375" spans="1:8">
      <c r="A375" s="4" t="s">
        <v>1300</v>
      </c>
      <c r="B375" s="9">
        <v>0.97</v>
      </c>
      <c r="C375" s="10">
        <v>3.0000000000000001E-127</v>
      </c>
      <c r="D375" s="5">
        <v>70.67</v>
      </c>
      <c r="E375" s="4" t="str">
        <f>HYPERLINK("https://www.ncbi.nlm.nih.gov/protein/WP_024873559.1?report=genbank&amp;log$=prottop&amp;blast_rank=181&amp;RID=92EC6PSH016","WP_024873559.1")</f>
        <v>WP_024873559.1</v>
      </c>
      <c r="F375" s="4"/>
      <c r="G375" s="4"/>
      <c r="H375" s="4"/>
    </row>
    <row r="376" spans="1:8">
      <c r="A376" s="4" t="s">
        <v>1301</v>
      </c>
      <c r="B376" s="9">
        <v>0.97</v>
      </c>
      <c r="C376" s="10">
        <v>4.0000000000000003E-130</v>
      </c>
      <c r="D376" s="5">
        <v>70.53</v>
      </c>
      <c r="E376" s="4" t="str">
        <f>HYPERLINK("https://www.ncbi.nlm.nih.gov/protein/WP_080753792.1?report=genbank&amp;log$=prottop&amp;blast_rank=99&amp;RID=92EC6PSH016","WP_080753792.1")</f>
        <v>WP_080753792.1</v>
      </c>
      <c r="F376" s="4"/>
      <c r="G376" s="4"/>
      <c r="H376" s="4"/>
    </row>
    <row r="377" spans="1:8">
      <c r="A377" s="4" t="s">
        <v>1302</v>
      </c>
      <c r="B377" s="9">
        <v>0.97</v>
      </c>
      <c r="C377" s="10">
        <v>5.9999999999999997E-130</v>
      </c>
      <c r="D377" s="5">
        <v>70.53</v>
      </c>
      <c r="E377" s="4" t="str">
        <f>HYPERLINK("https://www.ncbi.nlm.nih.gov/protein/WP_330520700.1?report=genbank&amp;log$=prottop&amp;blast_rank=101&amp;RID=92EC6PSH016","WP_330520700.1")</f>
        <v>WP_330520700.1</v>
      </c>
      <c r="F377" s="4"/>
      <c r="G377" s="4"/>
      <c r="H377" s="4"/>
    </row>
    <row r="378" spans="1:8">
      <c r="A378" s="4" t="s">
        <v>1301</v>
      </c>
      <c r="B378" s="9">
        <v>0.97</v>
      </c>
      <c r="C378" s="10">
        <v>9E-130</v>
      </c>
      <c r="D378" s="5">
        <v>70.53</v>
      </c>
      <c r="E378" s="4" t="str">
        <f>HYPERLINK("https://www.ncbi.nlm.nih.gov/protein/WP_180788082.1?report=genbank&amp;log$=prottop&amp;blast_rank=103&amp;RID=92EC6PSH016","WP_180788082.1")</f>
        <v>WP_180788082.1</v>
      </c>
      <c r="F378" s="4"/>
      <c r="G378" s="4"/>
      <c r="H378" s="4"/>
    </row>
    <row r="379" spans="1:8">
      <c r="A379" s="4" t="s">
        <v>1303</v>
      </c>
      <c r="B379" s="9">
        <v>0.99</v>
      </c>
      <c r="C379" s="10">
        <v>1E-125</v>
      </c>
      <c r="D379" s="5">
        <v>70.48</v>
      </c>
      <c r="E379" s="4" t="str">
        <f>HYPERLINK("https://www.ncbi.nlm.nih.gov/protein/WP_289916135.1?report=genbank&amp;log$=prottop&amp;blast_rank=258&amp;RID=92EC6PSH016","WP_289916135.1")</f>
        <v>WP_289916135.1</v>
      </c>
      <c r="F379" s="4"/>
      <c r="G379" s="4"/>
      <c r="H379" s="4"/>
    </row>
    <row r="380" spans="1:8">
      <c r="A380" s="4" t="s">
        <v>1304</v>
      </c>
      <c r="B380" s="9">
        <v>0.95</v>
      </c>
      <c r="C380" s="10">
        <v>3E-131</v>
      </c>
      <c r="D380" s="5">
        <v>70.44</v>
      </c>
      <c r="E380" s="4" t="str">
        <f>HYPERLINK("https://www.ncbi.nlm.nih.gov/protein/PAW49520.1?report=genbank&amp;log$=prottop&amp;blast_rank=85&amp;RID=92EC6PSH016","PAW49520.1")</f>
        <v>PAW49520.1</v>
      </c>
      <c r="F380" s="4"/>
      <c r="G380" s="4"/>
      <c r="H380" s="4"/>
    </row>
    <row r="381" spans="1:8">
      <c r="A381" s="4" t="s">
        <v>1305</v>
      </c>
      <c r="B381" s="9">
        <v>0.95</v>
      </c>
      <c r="C381" s="10">
        <v>2.9999999999999998E-129</v>
      </c>
      <c r="D381" s="5">
        <v>70.44</v>
      </c>
      <c r="E381" s="4" t="str">
        <f>HYPERLINK("https://www.ncbi.nlm.nih.gov/protein/POA25628.1?report=genbank&amp;log$=prottop&amp;blast_rank=114&amp;RID=92EC6PSH016","POA25628.1")</f>
        <v>POA25628.1</v>
      </c>
      <c r="F381" s="4"/>
      <c r="G381" s="4"/>
      <c r="H381" s="4"/>
    </row>
    <row r="382" spans="1:8">
      <c r="A382" s="4" t="s">
        <v>400</v>
      </c>
      <c r="B382" s="9">
        <v>0.95</v>
      </c>
      <c r="C382" s="10">
        <v>8.0000000000000004E-128</v>
      </c>
      <c r="D382" s="5">
        <v>70.44</v>
      </c>
      <c r="E382" s="4" t="str">
        <f>HYPERLINK("https://www.ncbi.nlm.nih.gov/protein/WP_178085233.1?report=genbank&amp;log$=prottop&amp;blast_rank=157&amp;RID=92EC6PSH016","WP_178085233.1")</f>
        <v>WP_178085233.1</v>
      </c>
      <c r="F382" s="4"/>
      <c r="G382" s="4"/>
      <c r="H382" s="4"/>
    </row>
    <row r="383" spans="1:8">
      <c r="A383" s="4" t="s">
        <v>1018</v>
      </c>
      <c r="B383" s="9">
        <v>0.95</v>
      </c>
      <c r="C383" s="10">
        <v>2.0000000000000001E-127</v>
      </c>
      <c r="D383" s="5">
        <v>70.44</v>
      </c>
      <c r="E383" s="4" t="str">
        <f>HYPERLINK("https://www.ncbi.nlm.nih.gov/protein/WP_047293947.1?report=genbank&amp;log$=prottop&amp;blast_rank=166&amp;RID=92EC6PSH016","WP_047293947.1")</f>
        <v>WP_047293947.1</v>
      </c>
      <c r="F383" s="4"/>
      <c r="G383" s="4"/>
      <c r="H383" s="4"/>
    </row>
    <row r="384" spans="1:8">
      <c r="A384" s="4" t="s">
        <v>1306</v>
      </c>
      <c r="B384" s="9">
        <v>0.91</v>
      </c>
      <c r="C384" s="10">
        <v>5.0000000000000003E-123</v>
      </c>
      <c r="D384" s="5">
        <v>70.260000000000005</v>
      </c>
      <c r="E384" s="4" t="str">
        <f>HYPERLINK("https://www.ncbi.nlm.nih.gov/protein/EGH24516.1?report=genbank&amp;log$=prottop&amp;blast_rank=367&amp;RID=92EC6PSH016","EGH24516.1")</f>
        <v>EGH24516.1</v>
      </c>
      <c r="F384" s="4"/>
      <c r="G384" s="4"/>
      <c r="H384" s="4"/>
    </row>
    <row r="385" spans="1:8">
      <c r="A385" s="4" t="s">
        <v>1290</v>
      </c>
      <c r="B385" s="9">
        <v>0.96</v>
      </c>
      <c r="C385" s="10">
        <v>2.0000000000000001E-127</v>
      </c>
      <c r="D385" s="5">
        <v>70.239999999999995</v>
      </c>
      <c r="E385" s="4" t="str">
        <f>HYPERLINK("https://www.ncbi.nlm.nih.gov/protein/HCC6344119.1?report=genbank&amp;log$=prottop&amp;blast_rank=173&amp;RID=92EC6PSH016","HCC6344119.1")</f>
        <v>HCC6344119.1</v>
      </c>
      <c r="F385" s="4"/>
      <c r="G385" s="4"/>
      <c r="H385" s="4"/>
    </row>
    <row r="386" spans="1:8">
      <c r="A386" s="4" t="s">
        <v>1295</v>
      </c>
      <c r="B386" s="9">
        <v>0.97</v>
      </c>
      <c r="C386" s="10">
        <v>6.9999999999999995E-129</v>
      </c>
      <c r="D386" s="5">
        <v>70.05</v>
      </c>
      <c r="E386" s="4" t="str">
        <f>HYPERLINK("https://www.ncbi.nlm.nih.gov/protein/WP_072036052.1?report=genbank&amp;log$=prottop&amp;blast_rank=127&amp;RID=92EC6PSH016","WP_072036052.1")</f>
        <v>WP_072036052.1</v>
      </c>
      <c r="F386" s="4"/>
      <c r="G386" s="4"/>
      <c r="H386" s="4"/>
    </row>
    <row r="387" spans="1:8">
      <c r="A387" s="4" t="s">
        <v>1307</v>
      </c>
      <c r="B387" s="9">
        <v>0.97</v>
      </c>
      <c r="C387" s="10">
        <v>2.0000000000000001E-128</v>
      </c>
      <c r="D387" s="5">
        <v>70.05</v>
      </c>
      <c r="E387" s="4" t="str">
        <f>HYPERLINK("https://www.ncbi.nlm.nih.gov/protein/WP_225085165.1?report=genbank&amp;log$=prottop&amp;blast_rank=135&amp;RID=92EC6PSH016","WP_225085165.1")</f>
        <v>WP_225085165.1</v>
      </c>
      <c r="F387" s="4"/>
      <c r="G387" s="4"/>
      <c r="H387" s="4"/>
    </row>
    <row r="390" spans="1:8">
      <c r="A390" s="7" t="s">
        <v>1087</v>
      </c>
      <c r="B390" s="4"/>
      <c r="C390" s="4"/>
      <c r="D390" s="4"/>
    </row>
    <row r="391" spans="1:8">
      <c r="A391" s="6" t="s">
        <v>15</v>
      </c>
      <c r="B391" s="17">
        <v>1</v>
      </c>
      <c r="C391" s="19">
        <v>0</v>
      </c>
      <c r="D391" s="19">
        <v>100</v>
      </c>
      <c r="E391" s="20" t="s">
        <v>1649</v>
      </c>
    </row>
    <row r="392" spans="1:8">
      <c r="A392" s="6" t="s">
        <v>15</v>
      </c>
      <c r="B392" s="17">
        <v>1</v>
      </c>
      <c r="C392" s="19">
        <v>0</v>
      </c>
      <c r="D392" s="19">
        <v>100</v>
      </c>
      <c r="E392" s="20" t="s">
        <v>1650</v>
      </c>
    </row>
    <row r="393" spans="1:8">
      <c r="A393" s="6" t="s">
        <v>15</v>
      </c>
      <c r="B393" s="17">
        <v>0.94</v>
      </c>
      <c r="C393" s="18">
        <v>7.9999999999999996E-178</v>
      </c>
      <c r="D393" s="19">
        <v>100</v>
      </c>
      <c r="E393" s="20" t="s">
        <v>1651</v>
      </c>
    </row>
    <row r="394" spans="1:8">
      <c r="A394" s="6" t="s">
        <v>15</v>
      </c>
      <c r="B394" s="17">
        <v>0.88</v>
      </c>
      <c r="C394" s="18">
        <v>1.9999999999999999E-164</v>
      </c>
      <c r="D394" s="19">
        <v>100</v>
      </c>
      <c r="E394" s="20" t="s">
        <v>1652</v>
      </c>
    </row>
    <row r="395" spans="1:8">
      <c r="A395" s="6" t="s">
        <v>15</v>
      </c>
      <c r="B395" s="17">
        <v>0.88</v>
      </c>
      <c r="C395" s="18">
        <v>1.9999999999999998E-163</v>
      </c>
      <c r="D395" s="19">
        <v>100</v>
      </c>
      <c r="E395" s="20" t="s">
        <v>1653</v>
      </c>
    </row>
    <row r="396" spans="1:8">
      <c r="A396" s="6" t="s">
        <v>15</v>
      </c>
      <c r="B396" s="17">
        <v>1</v>
      </c>
      <c r="C396" s="19">
        <v>0</v>
      </c>
      <c r="D396" s="19">
        <v>99.64</v>
      </c>
      <c r="E396" s="20" t="s">
        <v>1654</v>
      </c>
    </row>
    <row r="397" spans="1:8">
      <c r="A397" s="6" t="s">
        <v>15</v>
      </c>
      <c r="B397" s="17">
        <v>1</v>
      </c>
      <c r="C397" s="19">
        <v>0</v>
      </c>
      <c r="D397" s="19">
        <v>99.64</v>
      </c>
      <c r="E397" s="20" t="s">
        <v>1655</v>
      </c>
    </row>
    <row r="398" spans="1:8">
      <c r="A398" s="6" t="s">
        <v>15</v>
      </c>
      <c r="B398" s="17">
        <v>1</v>
      </c>
      <c r="C398" s="19">
        <v>0</v>
      </c>
      <c r="D398" s="19">
        <v>99.27</v>
      </c>
      <c r="E398" s="20" t="s">
        <v>1656</v>
      </c>
    </row>
    <row r="399" spans="1:8">
      <c r="A399" s="6" t="s">
        <v>15</v>
      </c>
      <c r="B399" s="17">
        <v>1</v>
      </c>
      <c r="C399" s="19">
        <v>0</v>
      </c>
      <c r="D399" s="19">
        <v>98.91</v>
      </c>
      <c r="E399" s="20" t="s">
        <v>1657</v>
      </c>
    </row>
    <row r="400" spans="1:8">
      <c r="A400" s="6" t="s">
        <v>15</v>
      </c>
      <c r="B400" s="17">
        <v>1</v>
      </c>
      <c r="C400" s="19">
        <v>0</v>
      </c>
      <c r="D400" s="19">
        <v>98.91</v>
      </c>
      <c r="E400" s="20" t="s">
        <v>1658</v>
      </c>
    </row>
    <row r="401" spans="1:5">
      <c r="A401" s="6" t="s">
        <v>15</v>
      </c>
      <c r="B401" s="17">
        <v>1</v>
      </c>
      <c r="C401" s="19">
        <v>0</v>
      </c>
      <c r="D401" s="19">
        <v>98.91</v>
      </c>
      <c r="E401" s="20" t="s">
        <v>1659</v>
      </c>
    </row>
    <row r="402" spans="1:5">
      <c r="A402" s="6" t="s">
        <v>15</v>
      </c>
      <c r="B402" s="17">
        <v>1</v>
      </c>
      <c r="C402" s="19">
        <v>0</v>
      </c>
      <c r="D402" s="19">
        <v>98.91</v>
      </c>
      <c r="E402" s="20" t="s">
        <v>1660</v>
      </c>
    </row>
    <row r="403" spans="1:5">
      <c r="A403" s="6" t="s">
        <v>15</v>
      </c>
      <c r="B403" s="17">
        <v>1</v>
      </c>
      <c r="C403" s="19">
        <v>0</v>
      </c>
      <c r="D403" s="19">
        <v>98.55</v>
      </c>
      <c r="E403" s="20" t="s">
        <v>1661</v>
      </c>
    </row>
    <row r="404" spans="1:5">
      <c r="A404" s="6" t="s">
        <v>15</v>
      </c>
      <c r="B404" s="17">
        <v>1</v>
      </c>
      <c r="C404" s="19">
        <v>0</v>
      </c>
      <c r="D404" s="19">
        <v>98.55</v>
      </c>
      <c r="E404" s="20" t="s">
        <v>1662</v>
      </c>
    </row>
    <row r="405" spans="1:5">
      <c r="A405" s="6" t="s">
        <v>15</v>
      </c>
      <c r="B405" s="17">
        <v>1</v>
      </c>
      <c r="C405" s="19">
        <v>0</v>
      </c>
      <c r="D405" s="19">
        <v>98.55</v>
      </c>
      <c r="E405" s="20" t="s">
        <v>1663</v>
      </c>
    </row>
    <row r="406" spans="1:5">
      <c r="A406" s="6" t="s">
        <v>1483</v>
      </c>
      <c r="B406" s="17">
        <v>1</v>
      </c>
      <c r="C406" s="19">
        <v>0</v>
      </c>
      <c r="D406" s="19">
        <v>94.91</v>
      </c>
      <c r="E406" s="20" t="s">
        <v>1664</v>
      </c>
    </row>
    <row r="407" spans="1:5">
      <c r="A407" s="6" t="s">
        <v>1484</v>
      </c>
      <c r="B407" s="17">
        <v>1</v>
      </c>
      <c r="C407" s="19">
        <v>0</v>
      </c>
      <c r="D407" s="19">
        <v>94.55</v>
      </c>
      <c r="E407" s="20" t="s">
        <v>1665</v>
      </c>
    </row>
    <row r="408" spans="1:5">
      <c r="A408" s="6" t="s">
        <v>980</v>
      </c>
      <c r="B408" s="17">
        <v>1</v>
      </c>
      <c r="C408" s="19">
        <v>0</v>
      </c>
      <c r="D408" s="19">
        <v>93.82</v>
      </c>
      <c r="E408" s="20" t="s">
        <v>1666</v>
      </c>
    </row>
    <row r="409" spans="1:5">
      <c r="A409" s="6" t="s">
        <v>43</v>
      </c>
      <c r="B409" s="17">
        <v>1</v>
      </c>
      <c r="C409" s="19">
        <v>0</v>
      </c>
      <c r="D409" s="19">
        <v>93.82</v>
      </c>
      <c r="E409" s="20" t="s">
        <v>1667</v>
      </c>
    </row>
    <row r="410" spans="1:5">
      <c r="A410" s="6" t="s">
        <v>43</v>
      </c>
      <c r="B410" s="17">
        <v>1</v>
      </c>
      <c r="C410" s="19">
        <v>0</v>
      </c>
      <c r="D410" s="19">
        <v>90.18</v>
      </c>
      <c r="E410" s="20" t="s">
        <v>1668</v>
      </c>
    </row>
    <row r="411" spans="1:5">
      <c r="A411" s="6" t="s">
        <v>56</v>
      </c>
      <c r="B411" s="17">
        <v>1</v>
      </c>
      <c r="C411" s="19">
        <v>0</v>
      </c>
      <c r="D411" s="19">
        <v>89.82</v>
      </c>
      <c r="E411" s="20" t="s">
        <v>1669</v>
      </c>
    </row>
    <row r="412" spans="1:5">
      <c r="A412" s="6" t="s">
        <v>237</v>
      </c>
      <c r="B412" s="17">
        <v>1</v>
      </c>
      <c r="C412" s="19">
        <v>0</v>
      </c>
      <c r="D412" s="19">
        <v>89.82</v>
      </c>
      <c r="E412" s="20" t="s">
        <v>1670</v>
      </c>
    </row>
    <row r="413" spans="1:5">
      <c r="A413" s="6" t="s">
        <v>43</v>
      </c>
      <c r="B413" s="17">
        <v>1</v>
      </c>
      <c r="C413" s="19">
        <v>0</v>
      </c>
      <c r="D413" s="19">
        <v>89.45</v>
      </c>
      <c r="E413" s="20" t="s">
        <v>1671</v>
      </c>
    </row>
    <row r="414" spans="1:5">
      <c r="A414" s="6" t="s">
        <v>63</v>
      </c>
      <c r="B414" s="17">
        <v>1</v>
      </c>
      <c r="C414" s="19">
        <v>0</v>
      </c>
      <c r="D414" s="19">
        <v>89.45</v>
      </c>
      <c r="E414" s="20" t="s">
        <v>1672</v>
      </c>
    </row>
    <row r="415" spans="1:5">
      <c r="A415" s="6" t="s">
        <v>56</v>
      </c>
      <c r="B415" s="17">
        <v>1</v>
      </c>
      <c r="C415" s="19">
        <v>0</v>
      </c>
      <c r="D415" s="19">
        <v>89.45</v>
      </c>
      <c r="E415" s="20" t="s">
        <v>1673</v>
      </c>
    </row>
    <row r="416" spans="1:5">
      <c r="A416" s="6" t="s">
        <v>967</v>
      </c>
      <c r="B416" s="17">
        <v>1</v>
      </c>
      <c r="C416" s="19">
        <v>0</v>
      </c>
      <c r="D416" s="19">
        <v>80.73</v>
      </c>
      <c r="E416" s="20" t="s">
        <v>1674</v>
      </c>
    </row>
    <row r="417" spans="1:5">
      <c r="A417" s="6" t="s">
        <v>1485</v>
      </c>
      <c r="B417" s="17">
        <v>1</v>
      </c>
      <c r="C417" s="19">
        <v>0</v>
      </c>
      <c r="D417" s="19">
        <v>79.64</v>
      </c>
      <c r="E417" s="20" t="s">
        <v>1675</v>
      </c>
    </row>
    <row r="418" spans="1:5">
      <c r="A418" s="6" t="s">
        <v>73</v>
      </c>
      <c r="B418" s="17">
        <v>1</v>
      </c>
      <c r="C418" s="19">
        <v>0</v>
      </c>
      <c r="D418" s="19">
        <v>79.27</v>
      </c>
      <c r="E418" s="20" t="s">
        <v>1676</v>
      </c>
    </row>
    <row r="419" spans="1:5">
      <c r="A419" s="6" t="s">
        <v>1486</v>
      </c>
      <c r="B419" s="17">
        <v>1</v>
      </c>
      <c r="C419" s="18">
        <v>3.0000000000000001E-180</v>
      </c>
      <c r="D419" s="19">
        <v>79.27</v>
      </c>
      <c r="E419" s="20" t="s">
        <v>1677</v>
      </c>
    </row>
    <row r="420" spans="1:5">
      <c r="A420" s="6" t="s">
        <v>310</v>
      </c>
      <c r="B420" s="17">
        <v>0.98</v>
      </c>
      <c r="C420" s="18">
        <v>1E-179</v>
      </c>
      <c r="D420" s="19">
        <v>79.040000000000006</v>
      </c>
      <c r="E420" s="20" t="s">
        <v>1678</v>
      </c>
    </row>
    <row r="421" spans="1:5">
      <c r="A421" s="6" t="s">
        <v>1487</v>
      </c>
      <c r="B421" s="17">
        <v>1</v>
      </c>
      <c r="C421" s="18">
        <v>1E-180</v>
      </c>
      <c r="D421" s="19">
        <v>78.55</v>
      </c>
      <c r="E421" s="20" t="s">
        <v>1679</v>
      </c>
    </row>
    <row r="422" spans="1:5">
      <c r="A422" s="6" t="s">
        <v>15</v>
      </c>
      <c r="B422" s="17">
        <v>1</v>
      </c>
      <c r="C422" s="18">
        <v>1.9999999999999999E-177</v>
      </c>
      <c r="D422" s="19">
        <v>76.98</v>
      </c>
      <c r="E422" s="20" t="s">
        <v>1680</v>
      </c>
    </row>
    <row r="423" spans="1:5">
      <c r="A423" s="6" t="s">
        <v>1488</v>
      </c>
      <c r="B423" s="17">
        <v>1</v>
      </c>
      <c r="C423" s="18">
        <v>3.0000000000000001E-177</v>
      </c>
      <c r="D423" s="19">
        <v>76.62</v>
      </c>
      <c r="E423" s="20" t="s">
        <v>1681</v>
      </c>
    </row>
    <row r="424" spans="1:5">
      <c r="A424" s="6" t="s">
        <v>15</v>
      </c>
      <c r="B424" s="17">
        <v>1</v>
      </c>
      <c r="C424" s="18">
        <v>3.0000000000000001E-177</v>
      </c>
      <c r="D424" s="19">
        <v>76.62</v>
      </c>
      <c r="E424" s="20" t="s">
        <v>1682</v>
      </c>
    </row>
    <row r="425" spans="1:5">
      <c r="A425" s="6" t="s">
        <v>15</v>
      </c>
      <c r="B425" s="17">
        <v>1</v>
      </c>
      <c r="C425" s="18">
        <v>3.9999999999999998E-177</v>
      </c>
      <c r="D425" s="19">
        <v>76.62</v>
      </c>
      <c r="E425" s="20" t="s">
        <v>1683</v>
      </c>
    </row>
    <row r="426" spans="1:5">
      <c r="A426" s="6" t="s">
        <v>992</v>
      </c>
      <c r="B426" s="17">
        <v>1</v>
      </c>
      <c r="C426" s="18">
        <v>5E-177</v>
      </c>
      <c r="D426" s="19">
        <v>76.62</v>
      </c>
      <c r="E426" s="20" t="s">
        <v>1684</v>
      </c>
    </row>
    <row r="427" spans="1:5">
      <c r="A427" s="6" t="s">
        <v>1488</v>
      </c>
      <c r="B427" s="17">
        <v>1</v>
      </c>
      <c r="C427" s="18">
        <v>6.0000000000000002E-177</v>
      </c>
      <c r="D427" s="19">
        <v>76.62</v>
      </c>
      <c r="E427" s="20" t="s">
        <v>1685</v>
      </c>
    </row>
    <row r="428" spans="1:5">
      <c r="A428" s="6" t="s">
        <v>240</v>
      </c>
      <c r="B428" s="17">
        <v>1</v>
      </c>
      <c r="C428" s="18">
        <v>2E-176</v>
      </c>
      <c r="D428" s="19">
        <v>76.62</v>
      </c>
      <c r="E428" s="20" t="s">
        <v>1686</v>
      </c>
    </row>
    <row r="429" spans="1:5">
      <c r="A429" s="6" t="s">
        <v>992</v>
      </c>
      <c r="B429" s="17">
        <v>1</v>
      </c>
      <c r="C429" s="18">
        <v>3E-176</v>
      </c>
      <c r="D429" s="19">
        <v>76.62</v>
      </c>
      <c r="E429" s="20" t="s">
        <v>1687</v>
      </c>
    </row>
    <row r="430" spans="1:5">
      <c r="A430" s="6" t="s">
        <v>237</v>
      </c>
      <c r="B430" s="17">
        <v>1</v>
      </c>
      <c r="C430" s="19">
        <v>0</v>
      </c>
      <c r="D430" s="19">
        <v>76.260000000000005</v>
      </c>
      <c r="E430" s="20" t="s">
        <v>1688</v>
      </c>
    </row>
    <row r="431" spans="1:5">
      <c r="A431" s="6" t="s">
        <v>1489</v>
      </c>
      <c r="B431" s="17">
        <v>1</v>
      </c>
      <c r="C431" s="19">
        <v>0</v>
      </c>
      <c r="D431" s="19">
        <v>76.260000000000005</v>
      </c>
      <c r="E431" s="20" t="s">
        <v>1689</v>
      </c>
    </row>
    <row r="432" spans="1:5">
      <c r="A432" s="6" t="s">
        <v>18</v>
      </c>
      <c r="B432" s="17">
        <v>1</v>
      </c>
      <c r="C432" s="18">
        <v>9.9999999999999995E-178</v>
      </c>
      <c r="D432" s="19">
        <v>76.260000000000005</v>
      </c>
      <c r="E432" s="20" t="s">
        <v>1690</v>
      </c>
    </row>
    <row r="433" spans="1:5">
      <c r="A433" s="6" t="s">
        <v>44</v>
      </c>
      <c r="B433" s="17">
        <v>1</v>
      </c>
      <c r="C433" s="18">
        <v>3.9999999999999998E-177</v>
      </c>
      <c r="D433" s="19">
        <v>76.260000000000005</v>
      </c>
      <c r="E433" s="20" t="s">
        <v>1691</v>
      </c>
    </row>
    <row r="434" spans="1:5">
      <c r="A434" s="6" t="s">
        <v>816</v>
      </c>
      <c r="B434" s="17">
        <v>1</v>
      </c>
      <c r="C434" s="18">
        <v>3.9999999999999998E-177</v>
      </c>
      <c r="D434" s="19">
        <v>76.260000000000005</v>
      </c>
      <c r="E434" s="20" t="s">
        <v>1692</v>
      </c>
    </row>
    <row r="435" spans="1:5">
      <c r="A435" s="6" t="s">
        <v>18</v>
      </c>
      <c r="B435" s="17">
        <v>1</v>
      </c>
      <c r="C435" s="18">
        <v>5E-177</v>
      </c>
      <c r="D435" s="19">
        <v>76.260000000000005</v>
      </c>
      <c r="E435" s="20" t="s">
        <v>1693</v>
      </c>
    </row>
    <row r="436" spans="1:5">
      <c r="A436" s="6" t="s">
        <v>1490</v>
      </c>
      <c r="B436" s="17">
        <v>1</v>
      </c>
      <c r="C436" s="18">
        <v>3E-176</v>
      </c>
      <c r="D436" s="19">
        <v>76.260000000000005</v>
      </c>
      <c r="E436" s="20" t="s">
        <v>1694</v>
      </c>
    </row>
    <row r="437" spans="1:5">
      <c r="A437" s="6" t="s">
        <v>1491</v>
      </c>
      <c r="B437" s="17">
        <v>0.99</v>
      </c>
      <c r="C437" s="19">
        <v>0</v>
      </c>
      <c r="D437" s="19">
        <v>76.17</v>
      </c>
      <c r="E437" s="20" t="s">
        <v>1695</v>
      </c>
    </row>
    <row r="438" spans="1:5">
      <c r="A438" s="6" t="s">
        <v>237</v>
      </c>
      <c r="B438" s="17">
        <v>1</v>
      </c>
      <c r="C438" s="19">
        <v>0</v>
      </c>
      <c r="D438" s="19">
        <v>75.900000000000006</v>
      </c>
      <c r="E438" s="20" t="s">
        <v>1696</v>
      </c>
    </row>
    <row r="439" spans="1:5">
      <c r="A439" s="6" t="s">
        <v>1492</v>
      </c>
      <c r="B439" s="17">
        <v>1</v>
      </c>
      <c r="C439" s="19">
        <v>0</v>
      </c>
      <c r="D439" s="19">
        <v>75.900000000000006</v>
      </c>
      <c r="E439" s="20" t="s">
        <v>1697</v>
      </c>
    </row>
    <row r="440" spans="1:5">
      <c r="A440" s="6" t="s">
        <v>1493</v>
      </c>
      <c r="B440" s="17">
        <v>1</v>
      </c>
      <c r="C440" s="18">
        <v>2E-176</v>
      </c>
      <c r="D440" s="19">
        <v>75.900000000000006</v>
      </c>
      <c r="E440" s="20" t="s">
        <v>1698</v>
      </c>
    </row>
    <row r="441" spans="1:5">
      <c r="A441" s="6" t="s">
        <v>1494</v>
      </c>
      <c r="B441" s="17">
        <v>1</v>
      </c>
      <c r="C441" s="19">
        <v>0</v>
      </c>
      <c r="D441" s="19">
        <v>75.540000000000006</v>
      </c>
      <c r="E441" s="20" t="s">
        <v>1699</v>
      </c>
    </row>
    <row r="442" spans="1:5">
      <c r="A442" s="6" t="s">
        <v>1491</v>
      </c>
      <c r="B442" s="17">
        <v>1</v>
      </c>
      <c r="C442" s="19">
        <v>0</v>
      </c>
      <c r="D442" s="19">
        <v>75.540000000000006</v>
      </c>
      <c r="E442" s="20" t="s">
        <v>1700</v>
      </c>
    </row>
    <row r="443" spans="1:5">
      <c r="A443" s="6" t="s">
        <v>46</v>
      </c>
      <c r="B443" s="17">
        <v>1</v>
      </c>
      <c r="C443" s="19">
        <v>0</v>
      </c>
      <c r="D443" s="19">
        <v>75.540000000000006</v>
      </c>
      <c r="E443" s="20" t="s">
        <v>1701</v>
      </c>
    </row>
    <row r="444" spans="1:5">
      <c r="A444" s="6" t="s">
        <v>242</v>
      </c>
      <c r="B444" s="17">
        <v>1</v>
      </c>
      <c r="C444" s="18">
        <v>4.9999999999999998E-179</v>
      </c>
      <c r="D444" s="19">
        <v>75.540000000000006</v>
      </c>
      <c r="E444" s="20" t="s">
        <v>1702</v>
      </c>
    </row>
    <row r="445" spans="1:5">
      <c r="A445" s="6" t="s">
        <v>1495</v>
      </c>
      <c r="B445" s="17">
        <v>1</v>
      </c>
      <c r="C445" s="19">
        <v>0</v>
      </c>
      <c r="D445" s="19">
        <v>75.27</v>
      </c>
      <c r="E445" s="20" t="s">
        <v>1703</v>
      </c>
    </row>
    <row r="446" spans="1:5">
      <c r="A446" s="6" t="s">
        <v>1496</v>
      </c>
      <c r="B446" s="17">
        <v>1</v>
      </c>
      <c r="C446" s="18">
        <v>1.9999999999999999E-178</v>
      </c>
      <c r="D446" s="19">
        <v>75.27</v>
      </c>
      <c r="E446" s="20" t="s">
        <v>1704</v>
      </c>
    </row>
    <row r="447" spans="1:5">
      <c r="A447" s="6" t="s">
        <v>1494</v>
      </c>
      <c r="B447" s="17">
        <v>1</v>
      </c>
      <c r="C447" s="19">
        <v>0</v>
      </c>
      <c r="D447" s="19">
        <v>75.180000000000007</v>
      </c>
      <c r="E447" s="20" t="s">
        <v>1705</v>
      </c>
    </row>
    <row r="448" spans="1:5">
      <c r="A448" s="6" t="s">
        <v>17</v>
      </c>
      <c r="B448" s="17">
        <v>1</v>
      </c>
      <c r="C448" s="18">
        <v>3.9999999999999998E-177</v>
      </c>
      <c r="D448" s="19">
        <v>74.819999999999993</v>
      </c>
      <c r="E448" s="20" t="s">
        <v>1706</v>
      </c>
    </row>
    <row r="449" spans="1:5">
      <c r="A449" s="6" t="s">
        <v>15</v>
      </c>
      <c r="B449" s="17">
        <v>1</v>
      </c>
      <c r="C449" s="19">
        <v>0</v>
      </c>
      <c r="D449" s="19">
        <v>74.55</v>
      </c>
      <c r="E449" s="20" t="s">
        <v>1707</v>
      </c>
    </row>
    <row r="450" spans="1:5">
      <c r="A450" s="6" t="s">
        <v>15</v>
      </c>
      <c r="B450" s="17">
        <v>1</v>
      </c>
      <c r="C450" s="19">
        <v>0</v>
      </c>
      <c r="D450" s="19">
        <v>74.55</v>
      </c>
      <c r="E450" s="20" t="s">
        <v>1708</v>
      </c>
    </row>
    <row r="451" spans="1:5">
      <c r="A451" s="6" t="s">
        <v>1497</v>
      </c>
      <c r="B451" s="17">
        <v>1</v>
      </c>
      <c r="C451" s="18">
        <v>1E-179</v>
      </c>
      <c r="D451" s="19">
        <v>74.55</v>
      </c>
      <c r="E451" s="20" t="s">
        <v>1709</v>
      </c>
    </row>
    <row r="452" spans="1:5">
      <c r="A452" s="6" t="s">
        <v>269</v>
      </c>
      <c r="B452" s="17">
        <v>1</v>
      </c>
      <c r="C452" s="18">
        <v>2E-179</v>
      </c>
      <c r="D452" s="19">
        <v>74.55</v>
      </c>
      <c r="E452" s="20" t="s">
        <v>1710</v>
      </c>
    </row>
    <row r="453" spans="1:5">
      <c r="A453" s="6" t="s">
        <v>293</v>
      </c>
      <c r="B453" s="17">
        <v>1</v>
      </c>
      <c r="C453" s="18">
        <v>7.0000000000000005E-179</v>
      </c>
      <c r="D453" s="19">
        <v>74.55</v>
      </c>
      <c r="E453" s="20" t="s">
        <v>1711</v>
      </c>
    </row>
    <row r="454" spans="1:5">
      <c r="A454" s="6" t="s">
        <v>17</v>
      </c>
      <c r="B454" s="17">
        <v>1</v>
      </c>
      <c r="C454" s="18">
        <v>2E-179</v>
      </c>
      <c r="D454" s="19">
        <v>74.459999999999994</v>
      </c>
      <c r="E454" s="20" t="s">
        <v>1712</v>
      </c>
    </row>
    <row r="455" spans="1:5">
      <c r="A455" s="6" t="s">
        <v>17</v>
      </c>
      <c r="B455" s="17">
        <v>1</v>
      </c>
      <c r="C455" s="18">
        <v>1E-175</v>
      </c>
      <c r="D455" s="19">
        <v>74.459999999999994</v>
      </c>
      <c r="E455" s="20" t="s">
        <v>1713</v>
      </c>
    </row>
    <row r="456" spans="1:5">
      <c r="A456" s="6" t="s">
        <v>15</v>
      </c>
      <c r="B456" s="17">
        <v>1</v>
      </c>
      <c r="C456" s="19">
        <v>0</v>
      </c>
      <c r="D456" s="19">
        <v>74.180000000000007</v>
      </c>
      <c r="E456" s="20" t="s">
        <v>1714</v>
      </c>
    </row>
    <row r="457" spans="1:5">
      <c r="A457" s="6" t="s">
        <v>304</v>
      </c>
      <c r="B457" s="17">
        <v>1</v>
      </c>
      <c r="C457" s="18">
        <v>8.0000000000000002E-179</v>
      </c>
      <c r="D457" s="19">
        <v>74.180000000000007</v>
      </c>
      <c r="E457" s="20" t="s">
        <v>1715</v>
      </c>
    </row>
    <row r="458" spans="1:5">
      <c r="A458" s="6" t="s">
        <v>1498</v>
      </c>
      <c r="B458" s="17">
        <v>1</v>
      </c>
      <c r="C458" s="18">
        <v>4.9999999999999998E-178</v>
      </c>
      <c r="D458" s="19">
        <v>74.180000000000007</v>
      </c>
      <c r="E458" s="20" t="s">
        <v>1716</v>
      </c>
    </row>
    <row r="459" spans="1:5">
      <c r="A459" s="6" t="s">
        <v>15</v>
      </c>
      <c r="B459" s="17">
        <v>1</v>
      </c>
      <c r="C459" s="19">
        <v>0</v>
      </c>
      <c r="D459" s="19">
        <v>74.099999999999994</v>
      </c>
      <c r="E459" s="20" t="s">
        <v>1717</v>
      </c>
    </row>
    <row r="460" spans="1:5">
      <c r="A460" s="6" t="s">
        <v>15</v>
      </c>
      <c r="B460" s="17">
        <v>1</v>
      </c>
      <c r="C460" s="19">
        <v>0</v>
      </c>
      <c r="D460" s="19">
        <v>74.099999999999994</v>
      </c>
      <c r="E460" s="20" t="s">
        <v>1718</v>
      </c>
    </row>
    <row r="461" spans="1:5">
      <c r="A461" s="6" t="s">
        <v>15</v>
      </c>
      <c r="B461" s="17">
        <v>1</v>
      </c>
      <c r="C461" s="19">
        <v>0</v>
      </c>
      <c r="D461" s="19">
        <v>74.099999999999994</v>
      </c>
      <c r="E461" s="20" t="s">
        <v>1719</v>
      </c>
    </row>
    <row r="462" spans="1:5">
      <c r="A462" s="6" t="s">
        <v>18</v>
      </c>
      <c r="B462" s="17">
        <v>1</v>
      </c>
      <c r="C462" s="19">
        <v>0</v>
      </c>
      <c r="D462" s="19">
        <v>74.099999999999994</v>
      </c>
      <c r="E462" s="20" t="s">
        <v>1720</v>
      </c>
    </row>
    <row r="463" spans="1:5">
      <c r="A463" s="6" t="s">
        <v>43</v>
      </c>
      <c r="B463" s="17">
        <v>1</v>
      </c>
      <c r="C463" s="19">
        <v>0</v>
      </c>
      <c r="D463" s="19">
        <v>74.099999999999994</v>
      </c>
      <c r="E463" s="20" t="s">
        <v>1721</v>
      </c>
    </row>
    <row r="464" spans="1:5">
      <c r="A464" s="6" t="s">
        <v>17</v>
      </c>
      <c r="B464" s="17">
        <v>1</v>
      </c>
      <c r="C464" s="18">
        <v>9.9999999999999995E-179</v>
      </c>
      <c r="D464" s="19">
        <v>74.099999999999994</v>
      </c>
      <c r="E464" s="20" t="s">
        <v>1722</v>
      </c>
    </row>
    <row r="465" spans="1:5">
      <c r="A465" s="6" t="s">
        <v>17</v>
      </c>
      <c r="B465" s="17">
        <v>1</v>
      </c>
      <c r="C465" s="18">
        <v>7.9999999999999996E-178</v>
      </c>
      <c r="D465" s="19">
        <v>74.099999999999994</v>
      </c>
      <c r="E465" s="20" t="s">
        <v>1723</v>
      </c>
    </row>
    <row r="466" spans="1:5">
      <c r="A466" s="6" t="s">
        <v>816</v>
      </c>
      <c r="B466" s="17">
        <v>1</v>
      </c>
      <c r="C466" s="19">
        <v>0</v>
      </c>
      <c r="D466" s="19">
        <v>73.819999999999993</v>
      </c>
      <c r="E466" s="20" t="s">
        <v>1724</v>
      </c>
    </row>
    <row r="467" spans="1:5">
      <c r="A467" s="6" t="s">
        <v>1499</v>
      </c>
      <c r="B467" s="17">
        <v>1</v>
      </c>
      <c r="C467" s="18">
        <v>1E-179</v>
      </c>
      <c r="D467" s="19">
        <v>73.819999999999993</v>
      </c>
      <c r="E467" s="20" t="s">
        <v>1725</v>
      </c>
    </row>
    <row r="468" spans="1:5">
      <c r="A468" s="6" t="s">
        <v>17</v>
      </c>
      <c r="B468" s="17">
        <v>1</v>
      </c>
      <c r="C468" s="18">
        <v>7.9999999999999996E-177</v>
      </c>
      <c r="D468" s="19">
        <v>73.739999999999995</v>
      </c>
      <c r="E468" s="20" t="s">
        <v>1726</v>
      </c>
    </row>
    <row r="469" spans="1:5">
      <c r="A469" s="6" t="s">
        <v>1500</v>
      </c>
      <c r="B469" s="17">
        <v>1</v>
      </c>
      <c r="C469" s="19">
        <v>0</v>
      </c>
      <c r="D469" s="19">
        <v>72.73</v>
      </c>
      <c r="E469" s="20" t="s">
        <v>1727</v>
      </c>
    </row>
    <row r="470" spans="1:5">
      <c r="A470" s="6" t="s">
        <v>1501</v>
      </c>
      <c r="B470" s="17">
        <v>1</v>
      </c>
      <c r="C470" s="18">
        <v>2E-179</v>
      </c>
      <c r="D470" s="19">
        <v>71.94</v>
      </c>
      <c r="E470" s="20" t="s">
        <v>1728</v>
      </c>
    </row>
    <row r="471" spans="1:5">
      <c r="A471" s="6" t="s">
        <v>1502</v>
      </c>
      <c r="B471" s="17">
        <v>1</v>
      </c>
      <c r="C471" s="18">
        <v>2E-174</v>
      </c>
      <c r="D471" s="19">
        <v>70.650000000000006</v>
      </c>
      <c r="E471" s="20" t="s">
        <v>1729</v>
      </c>
    </row>
    <row r="472" spans="1:5">
      <c r="A472" s="6" t="s">
        <v>1503</v>
      </c>
      <c r="B472" s="17">
        <v>0.96</v>
      </c>
      <c r="C472" s="18">
        <v>2E-176</v>
      </c>
      <c r="D472" s="19">
        <v>70.569999999999993</v>
      </c>
      <c r="E472" s="20" t="s">
        <v>1730</v>
      </c>
    </row>
    <row r="473" spans="1:5">
      <c r="A473" s="6" t="s">
        <v>1089</v>
      </c>
      <c r="B473" s="17">
        <v>0.99</v>
      </c>
      <c r="C473" s="19">
        <v>0</v>
      </c>
      <c r="D473" s="19">
        <v>69.34</v>
      </c>
      <c r="E473" s="20" t="s">
        <v>1731</v>
      </c>
    </row>
    <row r="474" spans="1:5">
      <c r="A474" s="6" t="s">
        <v>443</v>
      </c>
      <c r="B474" s="17">
        <v>0.99</v>
      </c>
      <c r="C474" s="18">
        <v>9.9999999999999998E-172</v>
      </c>
      <c r="D474" s="19">
        <v>66.91</v>
      </c>
      <c r="E474" s="20" t="s">
        <v>1732</v>
      </c>
    </row>
  </sheetData>
  <hyperlinks>
    <hyperlink ref="E5" r:id="rId1" display="https://www.ncbi.nlm.nih.gov/protein/WP_257878370.1?report=genbank&amp;log$=prottop&amp;blast_rank=3&amp;RID=92DR1CFD013" xr:uid="{E4A6B24E-C758-9C4D-AFA8-65F7E264D071}"/>
    <hyperlink ref="E6" r:id="rId2" display="https://www.ncbi.nlm.nih.gov/protein/WP_005477844.1?report=genbank&amp;log$=prottop&amp;blast_rank=4&amp;RID=92DR1CFD013" xr:uid="{F5C6BBB2-B15F-5B45-8389-623CE53B0426}"/>
    <hyperlink ref="E7" r:id="rId3" display="https://www.ncbi.nlm.nih.gov/protein/ARC19842.1?report=genbank&amp;log$=prottop&amp;blast_rank=5&amp;RID=92DR1CFD013" xr:uid="{D4DB3E02-FF65-A546-B13C-E9F25A1E8B9D}"/>
    <hyperlink ref="E8" r:id="rId4" display="https://www.ncbi.nlm.nih.gov/protein/HCE2123047.1?report=genbank&amp;log$=prottop&amp;blast_rank=16&amp;RID=92DR1CFD013" xr:uid="{33312379-CD0B-F845-A632-843FCEA27BB5}"/>
    <hyperlink ref="E9" r:id="rId5" display="https://www.ncbi.nlm.nih.gov/protein/WP_029802999.1?report=genbank&amp;log$=prottop&amp;blast_rank=49&amp;RID=92DR1CFD013" xr:uid="{7F93AFE5-8684-AA44-8813-2FE0CD23D6DB}"/>
    <hyperlink ref="E10" r:id="rId6" display="https://www.ncbi.nlm.nih.gov/protein/WP_069505144.1?report=genbank&amp;log$=prottop&amp;blast_rank=7&amp;RID=92DR1CFD013" xr:uid="{0F3F3BC4-ABE4-5246-A681-43593530387A}"/>
    <hyperlink ref="E11" r:id="rId7" display="https://www.ncbi.nlm.nih.gov/protein/TOA10977.1?report=genbank&amp;log$=prottop&amp;blast_rank=8&amp;RID=92DR1CFD013" xr:uid="{842121A9-3B1C-F94F-979B-6BD167A6CB20}"/>
    <hyperlink ref="E12" r:id="rId8" display="https://www.ncbi.nlm.nih.gov/protein/WP_229651713.1?report=genbank&amp;log$=prottop&amp;blast_rank=58&amp;RID=92DR1CFD013" xr:uid="{7EB7ED95-84BA-7F48-ABDC-7A2BFB4AA02A}"/>
    <hyperlink ref="E13" r:id="rId9" display="https://www.ncbi.nlm.nih.gov/protein/WP_180911986.1?report=genbank&amp;log$=prottop&amp;blast_rank=9&amp;RID=92DR1CFD013" xr:uid="{EE713046-5E25-CC41-88FC-B022FF50481D}"/>
    <hyperlink ref="E14" r:id="rId10" display="https://www.ncbi.nlm.nih.gov/protein/TOP65625.1?report=genbank&amp;log$=prottop&amp;blast_rank=10&amp;RID=92DR1CFD013" xr:uid="{2F5CB5C0-F86C-D54A-9124-5622A465A0C6}"/>
    <hyperlink ref="E15" r:id="rId11" display="https://www.ncbi.nlm.nih.gov/protein/MCF9158099.1?report=genbank&amp;log$=prottop&amp;blast_rank=76&amp;RID=92DR1CFD013" xr:uid="{F41608C0-3355-CB40-AE5F-177752622507}"/>
    <hyperlink ref="E16" r:id="rId12" display="https://www.ncbi.nlm.nih.gov/protein/EJL6633776.1?report=genbank&amp;log$=prottop&amp;blast_rank=12&amp;RID=92DR1CFD013" xr:uid="{7403092B-7960-2740-884C-765E722DBAF3}"/>
    <hyperlink ref="E17" r:id="rId13" display="https://www.ncbi.nlm.nih.gov/protein/EGQ9892862.1?report=genbank&amp;log$=prottop&amp;blast_rank=13&amp;RID=92DR1CFD013" xr:uid="{270A17A3-0E30-5C43-8957-4D71E6B6C214}"/>
    <hyperlink ref="E191" r:id="rId14" display="https://www.ncbi.nlm.nih.gov/protein/WP_203479114.1?report=genbank&amp;log$=prottop&amp;blast_rank=14&amp;RID=8XPKNVYR013" xr:uid="{DAAC32D9-D874-DE48-B32A-5ABC94C88821}"/>
    <hyperlink ref="E192" r:id="rId15" display="https://www.ncbi.nlm.nih.gov/protein/WP_203513435.1?report=genbank&amp;log$=prottop&amp;blast_rank=15&amp;RID=8XPKNVYR013" xr:uid="{0102C7D6-B2C7-4A42-808B-FAEC61CE02DA}"/>
    <hyperlink ref="E193" r:id="rId16" display="https://www.ncbi.nlm.nih.gov/protein/WP_204157856.1?report=genbank&amp;log$=prottop&amp;blast_rank=16&amp;RID=8XPKNVYR013" xr:uid="{7415C407-E871-124D-B03B-90505F072947}"/>
    <hyperlink ref="E194" r:id="rId17" display="https://www.ncbi.nlm.nih.gov/protein/WP_267423107.1?report=genbank&amp;log$=prottop&amp;blast_rank=18&amp;RID=8XPKNVYR013" xr:uid="{09A54A4C-4EA3-344D-B47D-CAF3538832DE}"/>
    <hyperlink ref="E195" r:id="rId18" display="https://www.ncbi.nlm.nih.gov/protein/WP_069500530.1?report=genbank&amp;log$=prottop&amp;blast_rank=20&amp;RID=8XPKNVYR013" xr:uid="{670A52DB-B980-3843-B0F8-A984378FFCDD}"/>
    <hyperlink ref="E196" r:id="rId19" display="https://www.ncbi.nlm.nih.gov/protein/WP_005483286.1?report=genbank&amp;log$=prottop&amp;blast_rank=24&amp;RID=8XPKNVYR013" xr:uid="{E4344D0C-A78E-204A-992A-1D7397B7B1EC}"/>
    <hyperlink ref="E197" r:id="rId20" display="https://www.ncbi.nlm.nih.gov/protein/WP_025520000.1?report=genbank&amp;log$=prottop&amp;blast_rank=43&amp;RID=8XPKNVYR013" xr:uid="{FC0A297C-8605-CB45-82A9-CF1859090549}"/>
    <hyperlink ref="E198" r:id="rId21" display="https://www.ncbi.nlm.nih.gov/protein/MCF9158313.1?report=genbank&amp;log$=prottop&amp;blast_rank=47&amp;RID=8XPKNVYR013" xr:uid="{367EAE18-D77B-144B-9D25-FB7D0C1C0530}"/>
    <hyperlink ref="E199" r:id="rId22" display="https://www.ncbi.nlm.nih.gov/protein/MCF9471220.1?report=genbank&amp;log$=prottop&amp;blast_rank=54&amp;RID=8XPKNVYR013" xr:uid="{68E0D8FC-853C-9D44-B009-F9D12DDDDC8B}"/>
    <hyperlink ref="E200" r:id="rId23" display="https://www.ncbi.nlm.nih.gov/protein/EGR1996166.1?report=genbank&amp;log$=prottop&amp;blast_rank=62&amp;RID=8XPKNVYR013" xr:uid="{7498C726-5095-B44A-8105-316642A9078F}"/>
    <hyperlink ref="E201" r:id="rId24" display="https://www.ncbi.nlm.nih.gov/protein/WP_161716058.1?report=genbank&amp;log$=prottop&amp;blast_rank=65&amp;RID=8XPKNVYR013" xr:uid="{533C8E6A-6EF4-3742-B376-1CAE5F39A2B3}"/>
    <hyperlink ref="E202" r:id="rId25" display="https://www.ncbi.nlm.nih.gov/protein/WP_265572606.1?report=genbank&amp;log$=prottop&amp;blast_rank=83&amp;RID=8XPKNVYR013" xr:uid="{01D1283F-368D-354C-9CA6-2AAD1A6C8912}"/>
    <hyperlink ref="E203" r:id="rId26" display="https://www.ncbi.nlm.nih.gov/protein/WP_073514066.1?report=genbank&amp;log$=prottop&amp;blast_rank=84&amp;RID=8XPKNVYR013" xr:uid="{367061E5-7B1F-524D-B474-0CBC0CECE57F}"/>
    <hyperlink ref="E204" r:id="rId27" display="https://www.ncbi.nlm.nih.gov/protein/EJG0866341.1?report=genbank&amp;log$=prottop&amp;blast_rank=99&amp;RID=8XPKNVYR013" xr:uid="{BF298C7E-FDE8-9F43-8395-AC80F31132AC}"/>
    <hyperlink ref="E205" r:id="rId28" display="https://www.ncbi.nlm.nih.gov/protein/WP_140205991.1?report=genbank&amp;log$=prottop&amp;blast_rank=110&amp;RID=8XPKNVYR013" xr:uid="{7637862E-9747-174D-83B8-A0FD9081DBD9}"/>
    <hyperlink ref="E206" r:id="rId29" display="https://www.ncbi.nlm.nih.gov/protein/EJC6794069.1?report=genbank&amp;log$=prottop&amp;blast_rank=19&amp;RID=8XPKNVYR013" xr:uid="{F06780C8-0F23-2E4A-96CE-683ABF611CF0}"/>
    <hyperlink ref="E207" r:id="rId30" display="https://www.ncbi.nlm.nih.gov/protein/MCF9512906.1?report=genbank&amp;log$=prottop&amp;blast_rank=38&amp;RID=8XPKNVYR013" xr:uid="{BA94D64C-4117-844D-A1EF-7261C159E33E}"/>
    <hyperlink ref="E208" r:id="rId31" display="https://www.ncbi.nlm.nih.gov/protein/WP_061035840.1?report=genbank&amp;log$=prottop&amp;blast_rank=22&amp;RID=8XPKNVYR013" xr:uid="{6DE73068-1851-1D4B-B07B-A633D7EBDE2D}"/>
    <hyperlink ref="E209" r:id="rId32" display="https://www.ncbi.nlm.nih.gov/protein/HAS8570121.1?report=genbank&amp;log$=prottop&amp;blast_rank=27&amp;RID=8XPKNVYR013" xr:uid="{B7775954-9219-9A48-998E-B2FCE0CF5FAD}"/>
    <hyperlink ref="E210" r:id="rId33" display="https://www.ncbi.nlm.nih.gov/protein/WP_274018949.1?report=genbank&amp;log$=prottop&amp;blast_rank=28&amp;RID=8XPKNVYR013" xr:uid="{BF8C55E3-6809-C149-B8AE-AF6AF164D043}"/>
    <hyperlink ref="E211" r:id="rId34" display="https://www.ncbi.nlm.nih.gov/protein/ELB2157604.1?report=genbank&amp;log$=prottop&amp;blast_rank=46&amp;RID=8XPKNVYR013" xr:uid="{DB1CC7E8-3DF8-354B-9883-315DCF260E2B}"/>
    <hyperlink ref="E212" r:id="rId35" display="https://www.ncbi.nlm.nih.gov/protein/MDE1222734.1?report=genbank&amp;log$=prottop&amp;blast_rank=12&amp;RID=8XPKNVYR013" xr:uid="{78E0CAA6-6EFB-3E46-92A6-3B69A40EE7CA}"/>
    <hyperlink ref="E213" r:id="rId36" display="https://www.ncbi.nlm.nih.gov/protein/ELB2962496.1?report=genbank&amp;log$=prottop&amp;blast_rank=33&amp;RID=8XPKNVYR013" xr:uid="{E2DDD25B-D00C-E740-BF05-4CB877E7939B}"/>
    <hyperlink ref="E214" r:id="rId37" display="https://www.ncbi.nlm.nih.gov/protein/HCH1532214.1?report=genbank&amp;log$=prottop&amp;blast_rank=34&amp;RID=8XPKNVYR013" xr:uid="{19F076AB-13E0-EA47-94D8-341A7F63FBDF}"/>
    <hyperlink ref="E215" r:id="rId38" display="https://www.ncbi.nlm.nih.gov/protein/ELJ9746604.1?report=genbank&amp;log$=prottop&amp;blast_rank=32&amp;RID=8XPKNVYR013" xr:uid="{7F5A4501-8E04-CC41-966C-21DE462C3EFA}"/>
    <hyperlink ref="E216" r:id="rId39" display="https://www.ncbi.nlm.nih.gov/protein/WP_140312152.1?report=genbank&amp;log$=prottop&amp;blast_rank=48&amp;RID=8XPKNVYR013" xr:uid="{3A4F2DED-E92B-DA44-8129-7BAD155A9A8D}"/>
    <hyperlink ref="E217" r:id="rId40" display="https://www.ncbi.nlm.nih.gov/protein/MCU8238805.1?report=genbank&amp;log$=prottop&amp;blast_rank=21&amp;RID=8XPKNVYR013" xr:uid="{0D01C433-54D0-7148-A9D7-42B28D44E69D}"/>
    <hyperlink ref="E218" r:id="rId41" display="https://www.ncbi.nlm.nih.gov/protein/WP_021707493.1?report=genbank&amp;log$=prottop&amp;blast_rank=23&amp;RID=8XPKNVYR013" xr:uid="{642B6DE8-9D14-534F-B82B-878E7AD83369}"/>
    <hyperlink ref="E219" r:id="rId42" display="https://www.ncbi.nlm.nih.gov/protein/WP_130248722.1?report=genbank&amp;log$=prottop&amp;blast_rank=35&amp;RID=8XPKNVYR013" xr:uid="{1CA0DD2D-F166-2547-92FD-952AF054DE66}"/>
    <hyperlink ref="E220" r:id="rId43" display="https://www.ncbi.nlm.nih.gov/protein/ELA7884001.1?report=genbank&amp;log$=prottop&amp;blast_rank=11&amp;RID=8XPKNVYR013" xr:uid="{7A747B26-5592-9349-92DF-CC8D79B16994}"/>
    <hyperlink ref="E221" r:id="rId44" display="https://www.ncbi.nlm.nih.gov/protein/WP_098415759.1?report=genbank&amp;log$=prottop&amp;blast_rank=26&amp;RID=8XPKNVYR013" xr:uid="{AAC0106E-7567-E14F-994C-3A6B5BB897F1}"/>
    <hyperlink ref="E222" r:id="rId45" display="https://www.ncbi.nlm.nih.gov/protein/WP_225458394.1?report=genbank&amp;log$=prottop&amp;blast_rank=30&amp;RID=8XPKNVYR013" xr:uid="{9E2C47AE-C368-074F-88B2-0FBB19435583}"/>
    <hyperlink ref="E223" r:id="rId46" display="https://www.ncbi.nlm.nih.gov/protein/WP_248376158.1?report=genbank&amp;log$=prottop&amp;blast_rank=39&amp;RID=8XPKNVYR013" xr:uid="{AFF961BB-CE23-B841-9349-AD9B843ED5B9}"/>
    <hyperlink ref="E224" r:id="rId47" display="https://www.ncbi.nlm.nih.gov/protein/EKO3807976.1?report=genbank&amp;log$=prottop&amp;blast_rank=42&amp;RID=8XPKNVYR013" xr:uid="{02448275-F57A-1D44-ACA4-DC51A56A95D6}"/>
    <hyperlink ref="E225" r:id="rId48" display="https://www.ncbi.nlm.nih.gov/protein/WP_107289414.1?report=genbank&amp;log$=prottop&amp;blast_rank=50&amp;RID=8XPKNVYR013" xr:uid="{90067570-908F-454A-8A61-4FCAC373C7D0}"/>
    <hyperlink ref="E226" r:id="rId49" display="https://www.ncbi.nlm.nih.gov/protein/WP_285953661.1?report=genbank&amp;log$=prottop&amp;blast_rank=68&amp;RID=8XPKNVYR013" xr:uid="{0D6962E3-F1BD-4D48-9CC7-F8E9C40B382B}"/>
    <hyperlink ref="E227" r:id="rId50" display="https://www.ncbi.nlm.nih.gov/protein/WP_102361795.1?report=genbank&amp;log$=prottop&amp;blast_rank=61&amp;RID=8XPKNVYR013" xr:uid="{88E2AE9C-891D-8E45-9EDD-A72379A95699}"/>
    <hyperlink ref="E228" r:id="rId51" display="https://www.ncbi.nlm.nih.gov/protein/WP_123326320.1?report=genbank&amp;log$=prottop&amp;blast_rank=63&amp;RID=8XPKNVYR013" xr:uid="{6C90AD83-8015-C949-8262-FBF4C12C160F}"/>
    <hyperlink ref="E229" r:id="rId52" display="https://www.ncbi.nlm.nih.gov/protein/CAK3344663.1?report=genbank&amp;log$=prottop&amp;blast_rank=67&amp;RID=8XPKNVYR013" xr:uid="{720DF1E7-EC3E-6F41-BE4A-EF587FEB4F42}"/>
    <hyperlink ref="E391" r:id="rId53" display="https://www.ncbi.nlm.nih.gov/protein/WP_005483178.1?report=genbank&amp;log$=prottop&amp;blast_rank=7&amp;RID=92EWBNK7013" xr:uid="{C9D905D6-40D9-A948-B1E5-7A739E801CE9}"/>
    <hyperlink ref="E392" r:id="rId54" display="https://www.ncbi.nlm.nih.gov/protein/WP_049875404.1?report=genbank&amp;log$=prottop&amp;blast_rank=8&amp;RID=92EWBNK7013" xr:uid="{D6258208-585F-C246-AE62-9BE28188F399}"/>
    <hyperlink ref="E393" r:id="rId55" display="https://www.ncbi.nlm.nih.gov/protein/MCF9480495.1?report=genbank&amp;log$=prottop&amp;blast_rank=104&amp;RID=92EWBNK7013" xr:uid="{FE327F3A-E3ED-B14A-ADE8-D5E3BF8C0E79}"/>
    <hyperlink ref="E394" r:id="rId56" display="https://www.ncbi.nlm.nih.gov/protein/WP_161716090.1?report=genbank&amp;log$=prottop&amp;blast_rank=456&amp;RID=92EWBNK7013" xr:uid="{54CD973E-947E-BD43-B4FE-C493F924F3F7}"/>
    <hyperlink ref="E395" r:id="rId57" display="https://www.ncbi.nlm.nih.gov/protein/WP_229650752.1?report=genbank&amp;log$=prottop&amp;blast_rank=490&amp;RID=92EWBNK7013" xr:uid="{EA5DA8BA-F483-5E45-8AFA-5A0405436AFF}"/>
    <hyperlink ref="E396" r:id="rId58" display="https://www.ncbi.nlm.nih.gov/protein/WP_021454732.1?report=genbank&amp;log$=prottop&amp;blast_rank=15&amp;RID=92EWBNK7013" xr:uid="{053E11DF-3E4A-E248-9280-02A36CCA6ECA}"/>
    <hyperlink ref="E397" r:id="rId59" display="https://www.ncbi.nlm.nih.gov/protein/WP_281946651.1?report=genbank&amp;log$=prottop&amp;blast_rank=21&amp;RID=92EWBNK7013" xr:uid="{BB637E91-050D-934C-9E70-4800406AB9F5}"/>
    <hyperlink ref="E398" r:id="rId60" display="https://www.ncbi.nlm.nih.gov/protein/WP_281515901.1?report=genbank&amp;log$=prottop&amp;blast_rank=5&amp;RID=92EWBNK7013" xr:uid="{1633BEF2-90AE-2646-92EC-E6877A62E26C}"/>
    <hyperlink ref="E399" r:id="rId61" display="https://www.ncbi.nlm.nih.gov/protein/WP_069539491.1?report=genbank&amp;log$=prottop&amp;blast_rank=2&amp;RID=92EWBNK7013" xr:uid="{2C9E3601-02E2-DD4A-B7DD-C0A40BB0AC3F}"/>
    <hyperlink ref="E400" r:id="rId62" display="https://www.ncbi.nlm.nih.gov/protein/WP_140069008.1?report=genbank&amp;log$=prottop&amp;blast_rank=4&amp;RID=92EWBNK7013" xr:uid="{0A2C4BBA-DF8A-C445-9A1F-344B0EDA6B67}"/>
    <hyperlink ref="E401" r:id="rId63" display="https://www.ncbi.nlm.nih.gov/protein/WP_268809508.1?report=genbank&amp;log$=prottop&amp;blast_rank=16&amp;RID=92EWBNK7013" xr:uid="{C093BB21-3761-6C43-BE9B-54E2A111BB5D}"/>
    <hyperlink ref="E402" r:id="rId64" display="https://www.ncbi.nlm.nih.gov/protein/MDG2669424.1?report=genbank&amp;log$=prottop&amp;blast_rank=19&amp;RID=92EWBNK7013" xr:uid="{D95DF0BB-9D9A-874A-812F-EB11395C55A2}"/>
    <hyperlink ref="E403" r:id="rId65" display="https://www.ncbi.nlm.nih.gov/protein/MBE3775332.1?report=genbank&amp;log$=prottop&amp;blast_rank=1&amp;RID=92EWBNK7013" xr:uid="{33820C2D-18DF-EC4D-854D-3460F6F7FB5C}"/>
    <hyperlink ref="E404" r:id="rId66" display="https://www.ncbi.nlm.nih.gov/protein/HCG8575943.1?report=genbank&amp;log$=prottop&amp;blast_rank=10&amp;RID=92EWBNK7013" xr:uid="{A8B3DAEC-2BD3-4849-A1A5-B62EFED519F1}"/>
    <hyperlink ref="E405" r:id="rId67" display="https://www.ncbi.nlm.nih.gov/protein/EGQ8118076.1?report=genbank&amp;log$=prottop&amp;blast_rank=18&amp;RID=92EWBNK7013" xr:uid="{44C8CFCB-04C4-5948-8A4A-AE58FDD588C3}"/>
    <hyperlink ref="E406" r:id="rId68" display="https://www.ncbi.nlm.nih.gov/protein/WP_281029029.1?report=genbank&amp;log$=prottop&amp;blast_rank=17&amp;RID=92EWBNK7013" xr:uid="{150C124D-FA74-644B-827F-7E1A60AD9941}"/>
    <hyperlink ref="E407" r:id="rId69" display="https://www.ncbi.nlm.nih.gov/protein/WP_171394323.1?report=genbank&amp;log$=prottop&amp;blast_rank=20&amp;RID=92EWBNK7013" xr:uid="{FAF9CF7E-28D0-3F4F-919B-F5027BFFFBCE}"/>
    <hyperlink ref="E408" r:id="rId70" display="https://www.ncbi.nlm.nih.gov/protein/WP_303517064.1?report=genbank&amp;log$=prottop&amp;blast_rank=22&amp;RID=92EWBNK7013" xr:uid="{5F874E60-DA4D-0A47-9697-74659A6FBEF4}"/>
    <hyperlink ref="E409" r:id="rId71" display="https://www.ncbi.nlm.nih.gov/protein/WP_102327510.1?report=genbank&amp;log$=prottop&amp;blast_rank=24&amp;RID=92EWBNK7013" xr:uid="{56924657-1487-CC4F-8F1E-ABB1A8E02594}"/>
    <hyperlink ref="E410" r:id="rId72" display="https://www.ncbi.nlm.nih.gov/protein/WP_094501645.1?report=genbank&amp;log$=prottop&amp;blast_rank=6&amp;RID=92EWBNK7013" xr:uid="{1AC9E599-9C2A-B34D-8386-1F40B5472357}"/>
    <hyperlink ref="E411" r:id="rId73" display="https://www.ncbi.nlm.nih.gov/protein/WP_133415919.1?report=genbank&amp;log$=prottop&amp;blast_rank=13&amp;RID=92EWBNK7013" xr:uid="{6AC31F47-8498-9C49-9BAC-16EF77465469}"/>
    <hyperlink ref="E412" r:id="rId74" display="https://www.ncbi.nlm.nih.gov/protein/WP_114805990.1?report=genbank&amp;log$=prottop&amp;blast_rank=14&amp;RID=92EWBNK7013" xr:uid="{018D0662-6D1E-9349-90AA-27F25A002C8A}"/>
    <hyperlink ref="E413" r:id="rId75" display="https://www.ncbi.nlm.nih.gov/protein/WP_108192308.1?report=genbank&amp;log$=prottop&amp;blast_rank=3&amp;RID=92EWBNK7013" xr:uid="{CCD43D1C-F42D-D449-92A6-9176D25F4199}"/>
    <hyperlink ref="E414" r:id="rId76" display="https://www.ncbi.nlm.nih.gov/protein/WP_171327699.1?report=genbank&amp;log$=prottop&amp;blast_rank=9&amp;RID=92EWBNK7013" xr:uid="{63C32ABF-7D80-CA44-A05D-677F6250D295}"/>
    <hyperlink ref="E415" r:id="rId77" display="https://www.ncbi.nlm.nih.gov/protein/WP_233942832.1?report=genbank&amp;log$=prottop&amp;blast_rank=12&amp;RID=92EWBNK7013" xr:uid="{3DC6EC80-56FF-164B-A931-B4B0D5AE0CE6}"/>
    <hyperlink ref="E416" r:id="rId78" display="https://www.ncbi.nlm.nih.gov/protein/WP_342199944.1?report=genbank&amp;log$=prottop&amp;blast_rank=37&amp;RID=92EWBNK7013" xr:uid="{341219E5-419E-3147-A1D1-095798CCE5C7}"/>
    <hyperlink ref="E417" r:id="rId79" display="https://www.ncbi.nlm.nih.gov/protein/CAA0094908.1?report=genbank&amp;log$=prottop&amp;blast_rank=30&amp;RID=92EWBNK7013" xr:uid="{ACE49816-0CB8-BE48-AC71-3D9AC1B921AE}"/>
    <hyperlink ref="E418" r:id="rId80" display="https://www.ncbi.nlm.nih.gov/protein/WP_299788413.1?report=genbank&amp;log$=prottop&amp;blast_rank=47&amp;RID=92EWBNK7013" xr:uid="{C49FF5E0-F0E4-A242-AA5F-02F2DD99BCFB}"/>
    <hyperlink ref="E419" r:id="rId81" display="https://www.ncbi.nlm.nih.gov/protein/WP_108944940.1?report=genbank&amp;log$=prottop&amp;blast_rank=68&amp;RID=92EWBNK7013" xr:uid="{EE47A483-7B7E-A948-B1B6-1F08E75CCFD3}"/>
    <hyperlink ref="E420" r:id="rId82" display="https://www.ncbi.nlm.nih.gov/protein/RLB58840.1?report=genbank&amp;log$=prottop&amp;blast_rank=74&amp;RID=92EWBNK7013" xr:uid="{BDE16EC2-CDD7-6543-AD05-3EB9B456BE16}"/>
    <hyperlink ref="E421" r:id="rId83" display="https://www.ncbi.nlm.nih.gov/protein/WP_248999665.1?report=genbank&amp;log$=prottop&amp;blast_rank=63&amp;RID=92EWBNK7013" xr:uid="{C8B2B5A2-FCA1-4040-A017-27A9B9CC820C}"/>
    <hyperlink ref="E422" r:id="rId84" display="https://www.ncbi.nlm.nih.gov/protein/ELA8137715.1?report=genbank&amp;log$=prottop&amp;blast_rank=110&amp;RID=92EWBNK7013" xr:uid="{BECA4E60-1995-1546-841D-A2C5E79D6D3F}"/>
    <hyperlink ref="E423" r:id="rId85" display="https://www.ncbi.nlm.nih.gov/protein/EKM27728.1?report=genbank&amp;log$=prottop&amp;blast_rank=113&amp;RID=92EWBNK7013" xr:uid="{761C4BCF-79B5-474C-B097-8187B464A59D}"/>
    <hyperlink ref="E424" r:id="rId86" display="https://www.ncbi.nlm.nih.gov/protein/EKA7366051.1?report=genbank&amp;log$=prottop&amp;blast_rank=114&amp;RID=92EWBNK7013" xr:uid="{7C80F8C8-959D-154D-8BAC-E95F0E60EB3F}"/>
    <hyperlink ref="E425" r:id="rId87" display="https://www.ncbi.nlm.nih.gov/protein/HCE3309664.1?report=genbank&amp;log$=prottop&amp;blast_rank=118&amp;RID=92EWBNK7013" xr:uid="{2E1765A9-FBF0-5E42-BD8C-E263C6383208}"/>
    <hyperlink ref="E426" r:id="rId88" display="https://www.ncbi.nlm.nih.gov/protein/WP_256966120.1?report=genbank&amp;log$=prottop&amp;blast_rank=123&amp;RID=92EWBNK7013" xr:uid="{D789EC9B-59A2-4C46-974B-F509B044DE67}"/>
    <hyperlink ref="E427" r:id="rId89" display="https://www.ncbi.nlm.nih.gov/protein/WP_032801948.1?report=genbank&amp;log$=prottop&amp;blast_rank=127&amp;RID=92EWBNK7013" xr:uid="{588737FD-71D0-CF4A-8179-34E39768B6A0}"/>
    <hyperlink ref="E428" r:id="rId90" display="https://www.ncbi.nlm.nih.gov/protein/MBY8220682.1?report=genbank&amp;log$=prottop&amp;blast_rank=139&amp;RID=92EWBNK7013" xr:uid="{4F8830D7-10BD-0B46-851D-E6501B245209}"/>
    <hyperlink ref="E429" r:id="rId91" display="https://www.ncbi.nlm.nih.gov/protein/WP_258487603.1?report=genbank&amp;log$=prottop&amp;blast_rank=147&amp;RID=92EWBNK7013" xr:uid="{029CFBE0-63FB-1A48-ADCE-C780B31BCB3C}"/>
    <hyperlink ref="E430" r:id="rId92" display="https://www.ncbi.nlm.nih.gov/protein/WP_113629467.1?report=genbank&amp;log$=prottop&amp;blast_rank=26&amp;RID=92EWBNK7013" xr:uid="{77DBBD18-8FD9-EE48-B8F7-0CBAF6F74316}"/>
    <hyperlink ref="E431" r:id="rId93" display="https://www.ncbi.nlm.nih.gov/protein/WP_224021276.1?report=genbank&amp;log$=prottop&amp;blast_rank=35&amp;RID=92EWBNK7013" xr:uid="{143F87C9-2836-A044-8E52-5D2DFF4DC67D}"/>
    <hyperlink ref="E432" r:id="rId94" display="https://www.ncbi.nlm.nih.gov/protein/WP_242423960.1?report=genbank&amp;log$=prottop&amp;blast_rank=108&amp;RID=92EWBNK7013" xr:uid="{53138B60-7114-F548-8257-9604C8EB2E85}"/>
    <hyperlink ref="E433" r:id="rId95" display="https://www.ncbi.nlm.nih.gov/protein/WP_080537791.1?report=genbank&amp;log$=prottop&amp;blast_rank=116&amp;RID=92EWBNK7013" xr:uid="{20C658CF-EC35-D54D-AFD3-5AAFF3F99490}"/>
    <hyperlink ref="E434" r:id="rId96" display="https://www.ncbi.nlm.nih.gov/protein/CAH6810997.1?report=genbank&amp;log$=prottop&amp;blast_rank=120&amp;RID=92EWBNK7013" xr:uid="{9FBBCCE6-B99E-1741-8367-7DC3FFC33618}"/>
    <hyperlink ref="E435" r:id="rId97" display="https://www.ncbi.nlm.nih.gov/protein/EJI1281193.1?report=genbank&amp;log$=prottop&amp;blast_rank=122&amp;RID=92EWBNK7013" xr:uid="{3F41705B-1BD0-014F-B0C3-D035485B511C}"/>
    <hyperlink ref="E436" r:id="rId98" display="https://www.ncbi.nlm.nih.gov/protein/WP_232768874.1?report=genbank&amp;log$=prottop&amp;blast_rank=146&amp;RID=92EWBNK7013" xr:uid="{1C2C9B66-AC51-4D49-94FC-6566C2F87CA0}"/>
    <hyperlink ref="E437" r:id="rId99" display="https://www.ncbi.nlm.nih.gov/protein/WP_055034332.1?report=genbank&amp;log$=prottop&amp;blast_rank=33&amp;RID=92EWBNK7013" xr:uid="{626229ED-4B86-874B-A290-8959B1AC098F}"/>
    <hyperlink ref="E438" r:id="rId100" display="https://www.ncbi.nlm.nih.gov/protein/EJL6492901.1?report=genbank&amp;log$=prottop&amp;blast_rank=38&amp;RID=92EWBNK7013" xr:uid="{7DA300F1-64F4-6E43-83FA-AC09BE7B7121}"/>
    <hyperlink ref="E439" r:id="rId101" display="https://www.ncbi.nlm.nih.gov/protein/WP_282111248.1?report=genbank&amp;log$=prottop&amp;blast_rank=45&amp;RID=92EWBNK7013" xr:uid="{5F7453DC-6E39-154B-B46E-1C4B39264D2B}"/>
    <hyperlink ref="E440" r:id="rId102" display="https://www.ncbi.nlm.nih.gov/protein/WP_290034391.1?report=genbank&amp;log$=prottop&amp;blast_rank=140&amp;RID=92EWBNK7013" xr:uid="{DF04782C-EA7C-6243-B7DB-0AAF9C5F9BD4}"/>
    <hyperlink ref="E441" r:id="rId103" display="https://www.ncbi.nlm.nih.gov/protein/WP_158116636.1?report=genbank&amp;log$=prottop&amp;blast_rank=27&amp;RID=92EWBNK7013" xr:uid="{894711A5-B076-014E-9DDF-3778E3D07DCA}"/>
    <hyperlink ref="E442" r:id="rId104" display="https://www.ncbi.nlm.nih.gov/protein/WP_095459691.1?report=genbank&amp;log$=prottop&amp;blast_rank=39&amp;RID=92EWBNK7013" xr:uid="{7DF2EEF4-B3AB-D04E-8917-9634D65C5E0C}"/>
    <hyperlink ref="E443" r:id="rId105" display="https://www.ncbi.nlm.nih.gov/protein/WP_332420348.1?report=genbank&amp;log$=prottop&amp;blast_rank=44&amp;RID=92EWBNK7013" xr:uid="{9B5C92CF-1595-064C-855E-26F4B6EAE277}"/>
    <hyperlink ref="E444" r:id="rId106" display="https://www.ncbi.nlm.nih.gov/protein/WP_305838768.1?report=genbank&amp;log$=prottop&amp;blast_rank=87&amp;RID=92EWBNK7013" xr:uid="{244D8EE7-31A8-6C45-A988-109EAF7AEE19}"/>
    <hyperlink ref="E445" r:id="rId107" display="https://www.ncbi.nlm.nih.gov/protein/VFK24570.1?report=genbank&amp;log$=prottop&amp;blast_rank=51&amp;RID=92EWBNK7013" xr:uid="{2CDE9866-F6E7-6541-8024-C5A653A1A310}"/>
    <hyperlink ref="E446" r:id="rId108" display="https://www.ncbi.nlm.nih.gov/protein/WP_044415286.1?report=genbank&amp;log$=prottop&amp;blast_rank=94&amp;RID=92EWBNK7013" xr:uid="{1258F025-FE7B-934F-B112-4C572FE9BFD3}"/>
    <hyperlink ref="E447" r:id="rId109" display="https://www.ncbi.nlm.nih.gov/protein/WP_243033117.1?report=genbank&amp;log$=prottop&amp;blast_rank=29&amp;RID=92EWBNK7013" xr:uid="{16BC113C-828F-4944-A770-EFBB0CAB580D}"/>
    <hyperlink ref="E448" r:id="rId110" display="https://www.ncbi.nlm.nih.gov/protein/CAK2775518.1?report=genbank&amp;log$=prottop&amp;blast_rank=121&amp;RID=92EWBNK7013" xr:uid="{7C3DDA76-F11E-3449-830B-5043AF487E79}"/>
    <hyperlink ref="E449" r:id="rId111" display="https://www.ncbi.nlm.nih.gov/protein/WP_045600529.1?report=genbank&amp;log$=prottop&amp;blast_rank=25&amp;RID=92EWBNK7013" xr:uid="{19243C1E-63AE-5743-A6DE-862A2E1BF2E2}"/>
    <hyperlink ref="E450" r:id="rId112" display="https://www.ncbi.nlm.nih.gov/protein/WP_274004096.1?report=genbank&amp;log$=prottop&amp;blast_rank=40&amp;RID=92EWBNK7013" xr:uid="{7F94742A-5349-6D4F-ADF6-1F934C85CC01}"/>
    <hyperlink ref="E451" r:id="rId113" display="https://www.ncbi.nlm.nih.gov/protein/WP_163885495.1?report=genbank&amp;log$=prottop&amp;blast_rank=75&amp;RID=92EWBNK7013" xr:uid="{03A79111-63E4-C744-8ACC-75D8C7BE174D}"/>
    <hyperlink ref="E452" r:id="rId114" display="https://www.ncbi.nlm.nih.gov/protein/WP_260663959.1?report=genbank&amp;log$=prottop&amp;blast_rank=79&amp;RID=92EWBNK7013" xr:uid="{9F1A4B62-4BB7-C649-A766-B4D2BBF7AC78}"/>
    <hyperlink ref="E453" r:id="rId115" display="https://www.ncbi.nlm.nih.gov/protein/WP_195569289.1?report=genbank&amp;log$=prottop&amp;blast_rank=89&amp;RID=92EWBNK7013" xr:uid="{98CAEC08-97CE-0B49-B25F-46C54BBF327B}"/>
    <hyperlink ref="E454" r:id="rId116" display="https://www.ncbi.nlm.nih.gov/protein/WP_132968513.1?report=genbank&amp;log$=prottop&amp;blast_rank=80&amp;RID=92EWBNK7013" xr:uid="{E9FC0820-5B07-3E48-9FD3-0B52DD753229}"/>
    <hyperlink ref="E455" r:id="rId117" display="https://www.ncbi.nlm.nih.gov/protein/WP_123295121.1?report=genbank&amp;log$=prottop&amp;blast_rank=162&amp;RID=92EWBNK7013" xr:uid="{43EC097F-7F5A-0441-A650-0B9424FDE00B}"/>
    <hyperlink ref="E456" r:id="rId118" display="https://www.ncbi.nlm.nih.gov/protein/EGQ9815621.1?report=genbank&amp;log$=prottop&amp;blast_rank=34&amp;RID=92EWBNK7013" xr:uid="{AE20F83B-2127-664B-9754-7E658730E8E3}"/>
    <hyperlink ref="E457" r:id="rId119" display="https://www.ncbi.nlm.nih.gov/protein/WP_272573190.1?report=genbank&amp;log$=prottop&amp;blast_rank=90&amp;RID=92EWBNK7013" xr:uid="{0F3B8D93-FA92-7E42-9C85-F34E2A9387A0}"/>
    <hyperlink ref="E458" r:id="rId120" display="https://www.ncbi.nlm.nih.gov/protein/WP_116002321.1?report=genbank&amp;log$=prottop&amp;blast_rank=102&amp;RID=92EWBNK7013" xr:uid="{E04B500E-4C0F-DF4B-BAD5-1372633434BE}"/>
    <hyperlink ref="E459" r:id="rId121" display="https://www.ncbi.nlm.nih.gov/protein/WP_140221588.1?report=genbank&amp;log$=prottop&amp;blast_rank=42&amp;RID=92EWBNK7013" xr:uid="{4B3C8852-39AA-7443-8CA1-F6E9229E9669}"/>
    <hyperlink ref="E460" r:id="rId122" display="https://www.ncbi.nlm.nih.gov/protein/HAS6741204.1?report=genbank&amp;log$=prottop&amp;blast_rank=46&amp;RID=92EWBNK7013" xr:uid="{190ADD91-5A61-5343-8119-AB820C165B9D}"/>
    <hyperlink ref="E461" r:id="rId123" display="https://www.ncbi.nlm.nih.gov/protein/WP_140099219.1?report=genbank&amp;log$=prottop&amp;blast_rank=48&amp;RID=92EWBNK7013" xr:uid="{FF670416-51B1-C742-ADAD-1D5FA070FCE3}"/>
    <hyperlink ref="E462" r:id="rId124" display="https://www.ncbi.nlm.nih.gov/protein/WP_188047578.1?report=genbank&amp;log$=prottop&amp;blast_rank=49&amp;RID=92EWBNK7013" xr:uid="{F8FDA3C0-2ECC-7A4A-A8CD-EBC1CD2FEA88}"/>
    <hyperlink ref="E463" r:id="rId125" display="https://www.ncbi.nlm.nih.gov/protein/WP_185891407.1?report=genbank&amp;log$=prottop&amp;blast_rank=50&amp;RID=92EWBNK7013" xr:uid="{35CBE1F2-AC36-DD47-8719-A2499EBF5EBE}"/>
    <hyperlink ref="E464" r:id="rId126" display="https://www.ncbi.nlm.nih.gov/protein/WP_210445628.1?report=genbank&amp;log$=prottop&amp;blast_rank=93&amp;RID=92EWBNK7013" xr:uid="{61CE0685-5458-254F-B17F-A71D9C7489FC}"/>
    <hyperlink ref="E465" r:id="rId127" display="https://www.ncbi.nlm.nih.gov/protein/CAK2775380.1?report=genbank&amp;log$=prottop&amp;blast_rank=105&amp;RID=92EWBNK7013" xr:uid="{266C2ADA-5F90-BB48-8956-82765E4223C9}"/>
    <hyperlink ref="E466" r:id="rId128" display="https://www.ncbi.nlm.nih.gov/protein/CAH7053374.1?report=genbank&amp;log$=prottop&amp;blast_rank=52&amp;RID=92EWBNK7013" xr:uid="{38D3493F-9278-F346-A2E8-673A3527078D}"/>
    <hyperlink ref="E467" r:id="rId129" display="https://www.ncbi.nlm.nih.gov/protein/WP_272664771.1?report=genbank&amp;log$=prottop&amp;blast_rank=76&amp;RID=92EWBNK7013" xr:uid="{8DCDF25E-306D-6E49-BF0F-CAD4ED622910}"/>
    <hyperlink ref="E468" r:id="rId130" display="https://www.ncbi.nlm.nih.gov/protein/CAK2444691.1?report=genbank&amp;log$=prottop&amp;blast_rank=132&amp;RID=92EWBNK7013" xr:uid="{D6BDB1F6-9E36-E745-A1BC-F9AB9D3CF474}"/>
    <hyperlink ref="E469" r:id="rId131" display="https://www.ncbi.nlm.nih.gov/protein/WP_128384130.1?report=genbank&amp;log$=prottop&amp;blast_rank=23&amp;RID=92EWBNK7013" xr:uid="{268D0C85-520A-C44A-8697-574D45266507}"/>
    <hyperlink ref="E470" r:id="rId132" display="https://www.ncbi.nlm.nih.gov/protein/WP_275872713.1?report=genbank&amp;log$=prottop&amp;blast_rank=83&amp;RID=92EWBNK7013" xr:uid="{062C6118-9053-D942-98BD-21A940414B15}"/>
    <hyperlink ref="E471" r:id="rId133" display="https://www.ncbi.nlm.nih.gov/protein/WP_237296340.1?report=genbank&amp;log$=prottop&amp;blast_rank=176&amp;RID=92EWBNK7013" xr:uid="{46FC0B0B-A72F-7541-91B6-5E6001F816A2}"/>
    <hyperlink ref="E472" r:id="rId134" display="https://www.ncbi.nlm.nih.gov/protein/NIM17035.1?report=genbank&amp;log$=prottop&amp;blast_rank=143&amp;RID=92EWBNK7013" xr:uid="{744140FC-4531-DE42-B383-84290DF47DB5}"/>
    <hyperlink ref="E473" r:id="rId135" display="https://www.ncbi.nlm.nih.gov/protein/NOX36716.1?report=genbank&amp;log$=prottop&amp;blast_rank=11&amp;RID=92EWBNK7013" xr:uid="{918E68D8-E20D-6C4F-BC27-1628AEBA2F12}"/>
    <hyperlink ref="E474" r:id="rId136" display="https://www.ncbi.nlm.nih.gov/protein/WP_299937171.1?report=genbank&amp;log$=prottop&amp;blast_rank=207&amp;RID=92EWBNK7013" xr:uid="{EE53EE58-044F-C345-B0C6-D6494371277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3B871-16FC-2541-98E0-9DCA930C654E}">
  <dimension ref="A1:G341"/>
  <sheetViews>
    <sheetView workbookViewId="0">
      <selection activeCell="A4" sqref="A4:XFD4"/>
    </sheetView>
  </sheetViews>
  <sheetFormatPr baseColWidth="10" defaultRowHeight="16"/>
  <cols>
    <col min="1" max="1" width="30.83203125" style="4" customWidth="1"/>
    <col min="2" max="6" width="30.83203125" style="5" customWidth="1"/>
    <col min="7" max="7" width="30.83203125" style="4" customWidth="1"/>
  </cols>
  <sheetData>
    <row r="1" spans="1:7" s="28" customFormat="1" ht="19">
      <c r="A1" s="26" t="s">
        <v>1084</v>
      </c>
      <c r="B1" s="27"/>
      <c r="C1" s="27"/>
      <c r="D1" s="27"/>
      <c r="E1" s="27"/>
      <c r="F1" s="27"/>
      <c r="G1" s="26"/>
    </row>
    <row r="2" spans="1:7" s="28" customFormat="1" ht="19">
      <c r="A2" s="29" t="s">
        <v>1085</v>
      </c>
      <c r="B2" s="27"/>
      <c r="C2" s="27"/>
      <c r="D2" s="27"/>
      <c r="E2" s="27"/>
      <c r="F2" s="27"/>
      <c r="G2" s="26"/>
    </row>
    <row r="3" spans="1:7" s="28" customFormat="1" ht="19">
      <c r="A3" s="30" t="s">
        <v>1086</v>
      </c>
      <c r="B3" s="27"/>
      <c r="C3" s="27"/>
      <c r="D3" s="27"/>
      <c r="E3" s="27"/>
      <c r="F3" s="27"/>
      <c r="G3" s="26"/>
    </row>
    <row r="4" spans="1:7" s="28" customFormat="1" ht="19">
      <c r="A4" s="30"/>
      <c r="B4" s="27"/>
      <c r="C4" s="27"/>
      <c r="D4" s="27"/>
      <c r="E4" s="27"/>
      <c r="F4" s="27"/>
      <c r="G4" s="26"/>
    </row>
    <row r="5" spans="1:7">
      <c r="A5" s="6" t="s">
        <v>6</v>
      </c>
    </row>
    <row r="6" spans="1:7" s="13" customFormat="1">
      <c r="A6" s="7" t="s">
        <v>10</v>
      </c>
      <c r="B6" s="8" t="s">
        <v>11</v>
      </c>
      <c r="C6" s="8" t="s">
        <v>12</v>
      </c>
      <c r="D6" s="8" t="s">
        <v>13</v>
      </c>
      <c r="E6" s="8" t="s">
        <v>1067</v>
      </c>
      <c r="F6" s="8" t="s">
        <v>14</v>
      </c>
      <c r="G6" s="7"/>
    </row>
    <row r="7" spans="1:7">
      <c r="A7" s="4" t="s">
        <v>15</v>
      </c>
      <c r="B7" s="9">
        <v>1</v>
      </c>
      <c r="C7" s="10">
        <v>5.9999999999999997E-141</v>
      </c>
      <c r="D7" s="5">
        <v>100</v>
      </c>
      <c r="E7" s="5">
        <v>283</v>
      </c>
      <c r="F7" s="5" t="str">
        <f>HYPERLINK("https://www.ncbi.nlm.nih.gov/protein/WP_257878370.1?report=genbank&amp;log$=prottop&amp;blast_rank=3&amp;RID=92DR1CFD013","WP_257878370.1")</f>
        <v>WP_257878370.1</v>
      </c>
    </row>
    <row r="8" spans="1:7">
      <c r="A8" s="4" t="s">
        <v>15</v>
      </c>
      <c r="B8" s="9">
        <v>1</v>
      </c>
      <c r="C8" s="10">
        <v>9.9999999999999998E-141</v>
      </c>
      <c r="D8" s="5">
        <v>100</v>
      </c>
      <c r="E8" s="5">
        <v>275</v>
      </c>
      <c r="F8" s="5" t="str">
        <f>HYPERLINK("https://www.ncbi.nlm.nih.gov/protein/WP_005477844.1?report=genbank&amp;log$=prottop&amp;blast_rank=4&amp;RID=92DR1CFD013","WP_005477844.1")</f>
        <v>WP_005477844.1</v>
      </c>
    </row>
    <row r="9" spans="1:7">
      <c r="A9" s="4" t="s">
        <v>15</v>
      </c>
      <c r="B9" s="9">
        <v>1</v>
      </c>
      <c r="C9" s="10">
        <v>2E-140</v>
      </c>
      <c r="D9" s="5">
        <v>100</v>
      </c>
      <c r="E9" s="5">
        <v>281</v>
      </c>
      <c r="F9" s="5" t="str">
        <f>HYPERLINK("https://www.ncbi.nlm.nih.gov/protein/ARC19842.1?report=genbank&amp;log$=prottop&amp;blast_rank=5&amp;RID=92DR1CFD013","ARC19842.1")</f>
        <v>ARC19842.1</v>
      </c>
    </row>
    <row r="10" spans="1:7">
      <c r="A10" s="4" t="s">
        <v>15</v>
      </c>
      <c r="B10" s="9">
        <v>0.98</v>
      </c>
      <c r="C10" s="10">
        <v>7E-139</v>
      </c>
      <c r="D10" s="5">
        <v>100</v>
      </c>
      <c r="E10" s="5">
        <v>272</v>
      </c>
      <c r="F10" s="5" t="str">
        <f>HYPERLINK("https://www.ncbi.nlm.nih.gov/protein/HCE2123047.1?report=genbank&amp;log$=prottop&amp;blast_rank=16&amp;RID=92DR1CFD013","HCE2123047.1")</f>
        <v>HCE2123047.1</v>
      </c>
    </row>
    <row r="11" spans="1:7">
      <c r="A11" s="4" t="s">
        <v>15</v>
      </c>
      <c r="B11" s="9">
        <v>0.9</v>
      </c>
      <c r="C11" s="10">
        <v>1.9999999999999999E-126</v>
      </c>
      <c r="D11" s="5">
        <v>100</v>
      </c>
      <c r="E11" s="5">
        <v>249</v>
      </c>
      <c r="F11" s="5" t="str">
        <f>HYPERLINK("https://www.ncbi.nlm.nih.gov/protein/WP_029802999.1?report=genbank&amp;log$=prottop&amp;blast_rank=49&amp;RID=92DR1CFD013","WP_029802999.1")</f>
        <v>WP_029802999.1</v>
      </c>
    </row>
    <row r="12" spans="1:7">
      <c r="A12" s="4" t="s">
        <v>15</v>
      </c>
      <c r="B12" s="9">
        <v>1</v>
      </c>
      <c r="C12" s="10">
        <v>3.9999999999999999E-140</v>
      </c>
      <c r="D12" s="5">
        <v>99.64</v>
      </c>
      <c r="E12" s="5">
        <v>275</v>
      </c>
      <c r="F12" s="5" t="str">
        <f>HYPERLINK("https://www.ncbi.nlm.nih.gov/protein/WP_069505144.1?report=genbank&amp;log$=prottop&amp;blast_rank=7&amp;RID=92DR1CFD013","WP_069505144.1")</f>
        <v>WP_069505144.1</v>
      </c>
    </row>
    <row r="13" spans="1:7">
      <c r="A13" s="4" t="s">
        <v>15</v>
      </c>
      <c r="B13" s="9">
        <v>1</v>
      </c>
      <c r="C13" s="10">
        <v>5.0000000000000001E-140</v>
      </c>
      <c r="D13" s="5">
        <v>99.64</v>
      </c>
      <c r="E13" s="5">
        <v>281</v>
      </c>
      <c r="F13" s="5" t="str">
        <f>HYPERLINK("https://www.ncbi.nlm.nih.gov/protein/TOA10977.1?report=genbank&amp;log$=prottop&amp;blast_rank=8&amp;RID=92DR1CFD013","TOA10977.1")</f>
        <v>TOA10977.1</v>
      </c>
    </row>
    <row r="14" spans="1:7">
      <c r="A14" s="4" t="s">
        <v>15</v>
      </c>
      <c r="B14" s="9">
        <v>0.89</v>
      </c>
      <c r="C14" s="10">
        <v>6E-124</v>
      </c>
      <c r="D14" s="5">
        <v>99.6</v>
      </c>
      <c r="E14" s="5">
        <v>252</v>
      </c>
      <c r="F14" s="5" t="str">
        <f>HYPERLINK("https://www.ncbi.nlm.nih.gov/protein/WP_229651713.1?report=genbank&amp;log$=prottop&amp;blast_rank=58&amp;RID=92DR1CFD013","WP_229651713.1")</f>
        <v>WP_229651713.1</v>
      </c>
    </row>
    <row r="15" spans="1:7">
      <c r="A15" s="4" t="s">
        <v>15</v>
      </c>
      <c r="B15" s="9">
        <v>1</v>
      </c>
      <c r="C15" s="10">
        <v>5.0000000000000001E-140</v>
      </c>
      <c r="D15" s="5">
        <v>99.27</v>
      </c>
      <c r="E15" s="5">
        <v>275</v>
      </c>
      <c r="F15" s="5" t="str">
        <f>HYPERLINK("https://www.ncbi.nlm.nih.gov/protein/WP_180911986.1?report=genbank&amp;log$=prottop&amp;blast_rank=9&amp;RID=92DR1CFD013","WP_180911986.1")</f>
        <v>WP_180911986.1</v>
      </c>
    </row>
    <row r="16" spans="1:7">
      <c r="A16" s="4" t="s">
        <v>15</v>
      </c>
      <c r="B16" s="9">
        <v>1</v>
      </c>
      <c r="C16" s="10">
        <v>6.0000000000000004E-140</v>
      </c>
      <c r="D16" s="5">
        <v>99.27</v>
      </c>
      <c r="E16" s="5">
        <v>281</v>
      </c>
      <c r="F16" s="5" t="str">
        <f>HYPERLINK("https://www.ncbi.nlm.nih.gov/protein/TOP65625.1?report=genbank&amp;log$=prottop&amp;blast_rank=10&amp;RID=92DR1CFD013","TOP65625.1")</f>
        <v>TOP65625.1</v>
      </c>
    </row>
    <row r="17" spans="1:6">
      <c r="A17" s="4" t="s">
        <v>15</v>
      </c>
      <c r="B17" s="9">
        <v>0.85</v>
      </c>
      <c r="C17" s="10">
        <v>1E-117</v>
      </c>
      <c r="D17" s="5">
        <v>99.15</v>
      </c>
      <c r="E17" s="5">
        <v>234</v>
      </c>
      <c r="F17" s="5" t="str">
        <f>HYPERLINK("https://www.ncbi.nlm.nih.gov/protein/MCF9158099.1?report=genbank&amp;log$=prottop&amp;blast_rank=76&amp;RID=92DR1CFD013","MCF9158099.1")</f>
        <v>MCF9158099.1</v>
      </c>
    </row>
    <row r="18" spans="1:6">
      <c r="A18" s="4" t="s">
        <v>237</v>
      </c>
      <c r="B18" s="9">
        <v>1</v>
      </c>
      <c r="C18" s="10">
        <v>2.0000000000000001E-139</v>
      </c>
      <c r="D18" s="5">
        <v>97.09</v>
      </c>
      <c r="E18" s="5">
        <v>275</v>
      </c>
      <c r="F18" s="5" t="str">
        <f>HYPERLINK("https://www.ncbi.nlm.nih.gov/protein/EJL6633776.1?report=genbank&amp;log$=prottop&amp;blast_rank=12&amp;RID=92DR1CFD013","EJL6633776.1")</f>
        <v>EJL6633776.1</v>
      </c>
    </row>
    <row r="19" spans="1:6">
      <c r="A19" s="4" t="s">
        <v>237</v>
      </c>
      <c r="B19" s="9">
        <v>1</v>
      </c>
      <c r="C19" s="10">
        <v>2.0000000000000001E-139</v>
      </c>
      <c r="D19" s="5">
        <v>97.09</v>
      </c>
      <c r="E19" s="5">
        <v>281</v>
      </c>
      <c r="F19" s="5" t="str">
        <f>HYPERLINK("https://www.ncbi.nlm.nih.gov/protein/EGQ9892862.1?report=genbank&amp;log$=prottop&amp;blast_rank=13&amp;RID=92DR1CFD013","EGQ9892862.1")</f>
        <v>EGQ9892862.1</v>
      </c>
    </row>
    <row r="20" spans="1:6">
      <c r="A20" s="4" t="s">
        <v>664</v>
      </c>
      <c r="B20" s="9">
        <v>0.98</v>
      </c>
      <c r="C20" s="10">
        <v>4.9999999999999997E-125</v>
      </c>
      <c r="D20" s="5">
        <v>61.11</v>
      </c>
      <c r="E20" s="5">
        <v>272</v>
      </c>
      <c r="F20" s="5" t="str">
        <f>HYPERLINK("https://www.ncbi.nlm.nih.gov/protein/MDH4263922.1?report=genbank&amp;log$=prottop&amp;blast_rank=55&amp;RID=92DR1CFD013","MDH4263922.1")</f>
        <v>MDH4263922.1</v>
      </c>
    </row>
    <row r="21" spans="1:6">
      <c r="A21" s="4" t="s">
        <v>122</v>
      </c>
      <c r="B21" s="9">
        <v>0.98</v>
      </c>
      <c r="C21" s="10">
        <v>8.0000000000000002E-127</v>
      </c>
      <c r="D21" s="5">
        <v>59.63</v>
      </c>
      <c r="E21" s="5">
        <v>282</v>
      </c>
      <c r="F21" s="5" t="str">
        <f>HYPERLINK("https://www.ncbi.nlm.nih.gov/protein/MBT4399563.1?report=genbank&amp;log$=prottop&amp;blast_rank=46&amp;RID=92DR1CFD013","MBT4399563.1")</f>
        <v>MBT4399563.1</v>
      </c>
    </row>
    <row r="22" spans="1:6">
      <c r="A22" s="4" t="s">
        <v>1089</v>
      </c>
      <c r="B22" s="9">
        <v>0.97</v>
      </c>
      <c r="C22" s="10">
        <v>2.0000000000000001E-122</v>
      </c>
      <c r="D22" s="5">
        <v>59.48</v>
      </c>
      <c r="E22" s="5">
        <v>272</v>
      </c>
      <c r="F22" s="5" t="str">
        <f>HYPERLINK("https://www.ncbi.nlm.nih.gov/protein/MBT7790420.1?report=genbank&amp;log$=prottop&amp;blast_rank=63&amp;RID=92DR1CFD013","MBT7790420.1")</f>
        <v>MBT7790420.1</v>
      </c>
    </row>
    <row r="23" spans="1:6">
      <c r="A23" s="4" t="s">
        <v>199</v>
      </c>
      <c r="B23" s="9">
        <v>0.98</v>
      </c>
      <c r="C23" s="10">
        <v>8.0000000000000002E-117</v>
      </c>
      <c r="D23" s="5">
        <v>55.88</v>
      </c>
      <c r="E23" s="5">
        <v>273</v>
      </c>
      <c r="F23" s="5" t="str">
        <f>HYPERLINK("https://www.ncbi.nlm.nih.gov/protein/NQT02207.1?report=genbank&amp;log$=prottop&amp;blast_rank=79&amp;RID=92DR1CFD013","NQT02207.1")</f>
        <v>NQT02207.1</v>
      </c>
    </row>
    <row r="24" spans="1:6">
      <c r="A24" s="4" t="s">
        <v>1090</v>
      </c>
      <c r="B24" s="9">
        <v>0.94</v>
      </c>
      <c r="C24" s="10">
        <v>3.9999999999999997E-124</v>
      </c>
      <c r="D24" s="5">
        <v>55.56</v>
      </c>
      <c r="E24" s="5">
        <v>263</v>
      </c>
      <c r="F24" s="5" t="str">
        <f>HYPERLINK("https://www.ncbi.nlm.nih.gov/protein/WP_210226682.1?report=genbank&amp;log$=prottop&amp;blast_rank=57&amp;RID=92DR1CFD013","WP_210226682.1")</f>
        <v>WP_210226682.1</v>
      </c>
    </row>
    <row r="25" spans="1:6">
      <c r="A25" s="4" t="s">
        <v>1091</v>
      </c>
      <c r="B25" s="9">
        <v>0.96</v>
      </c>
      <c r="C25" s="10">
        <v>6.9999999999999997E-124</v>
      </c>
      <c r="D25" s="5">
        <v>54.51</v>
      </c>
      <c r="E25" s="5">
        <v>266</v>
      </c>
      <c r="F25" s="5" t="str">
        <f>HYPERLINK("https://www.ncbi.nlm.nih.gov/protein/WP_205649100.1?report=genbank&amp;log$=prottop&amp;blast_rank=59&amp;RID=92DR1CFD013","WP_205649100.1")</f>
        <v>WP_205649100.1</v>
      </c>
    </row>
    <row r="26" spans="1:6">
      <c r="A26" s="4" t="s">
        <v>1092</v>
      </c>
      <c r="B26" s="9">
        <v>0.97</v>
      </c>
      <c r="C26" s="10">
        <v>6.9999999999999999E-121</v>
      </c>
      <c r="D26" s="5">
        <v>53.9</v>
      </c>
      <c r="E26" s="5">
        <v>272</v>
      </c>
      <c r="F26" s="5" t="str">
        <f>HYPERLINK("https://www.ncbi.nlm.nih.gov/protein/OHD93447.1?report=genbank&amp;log$=prottop&amp;blast_rank=66&amp;RID=92DR1CFD013","OHD93447.1")</f>
        <v>OHD93447.1</v>
      </c>
    </row>
    <row r="27" spans="1:6">
      <c r="A27" s="4" t="s">
        <v>1091</v>
      </c>
      <c r="B27" s="9">
        <v>0.98</v>
      </c>
      <c r="C27" s="10">
        <v>9.9999999999999993E-125</v>
      </c>
      <c r="D27" s="5">
        <v>53.68</v>
      </c>
      <c r="E27" s="5">
        <v>272</v>
      </c>
      <c r="F27" s="5" t="str">
        <f>HYPERLINK("https://www.ncbi.nlm.nih.gov/protein/AYR21783.1?report=genbank&amp;log$=prottop&amp;blast_rank=56&amp;RID=92DR1CFD013","AYR21783.1")</f>
        <v>AYR21783.1</v>
      </c>
    </row>
    <row r="28" spans="1:6">
      <c r="A28" s="4" t="s">
        <v>1093</v>
      </c>
      <c r="B28" s="9">
        <v>0.88</v>
      </c>
      <c r="C28" s="10">
        <v>6.0000000000000004E-119</v>
      </c>
      <c r="D28" s="5">
        <v>53.5</v>
      </c>
      <c r="E28" s="5">
        <v>246</v>
      </c>
      <c r="F28" s="5" t="str">
        <f>HYPERLINK("https://www.ncbi.nlm.nih.gov/protein/WP_174464472.1?report=genbank&amp;log$=prottop&amp;blast_rank=73&amp;RID=92DR1CFD013","WP_174464472.1")</f>
        <v>WP_174464472.1</v>
      </c>
    </row>
    <row r="29" spans="1:6">
      <c r="A29" s="4" t="s">
        <v>1094</v>
      </c>
      <c r="B29" s="9">
        <v>0.86</v>
      </c>
      <c r="C29" s="10">
        <v>3.0000000000000001E-111</v>
      </c>
      <c r="D29" s="5">
        <v>53.36</v>
      </c>
      <c r="E29" s="5">
        <v>246</v>
      </c>
      <c r="F29" s="5" t="str">
        <f>HYPERLINK("https://www.ncbi.nlm.nih.gov/protein/WP_019864723.1?report=genbank&amp;log$=prottop&amp;blast_rank=94&amp;RID=92DR1CFD013","WP_019864723.1")</f>
        <v>WP_019864723.1</v>
      </c>
    </row>
    <row r="30" spans="1:6">
      <c r="A30" s="4" t="s">
        <v>595</v>
      </c>
      <c r="B30" s="9">
        <v>0.98</v>
      </c>
      <c r="C30" s="10">
        <v>7E-128</v>
      </c>
      <c r="D30" s="5">
        <v>52.94</v>
      </c>
      <c r="E30" s="5">
        <v>272</v>
      </c>
      <c r="F30" s="5" t="str">
        <f>HYPERLINK("https://www.ncbi.nlm.nih.gov/protein/MBU1665156.1?report=genbank&amp;log$=prottop&amp;blast_rank=42&amp;RID=92DR1CFD013","MBU1665156.1")</f>
        <v>MBU1665156.1</v>
      </c>
    </row>
    <row r="31" spans="1:6">
      <c r="A31" s="4" t="s">
        <v>1095</v>
      </c>
      <c r="B31" s="9">
        <v>0.96</v>
      </c>
      <c r="C31" s="10">
        <v>9.9999999999999995E-127</v>
      </c>
      <c r="D31" s="5">
        <v>52.83</v>
      </c>
      <c r="E31" s="5">
        <v>280</v>
      </c>
      <c r="F31" s="5" t="str">
        <f>HYPERLINK("https://www.ncbi.nlm.nih.gov/protein/WP_196494282.1?report=genbank&amp;log$=prottop&amp;blast_rank=48&amp;RID=92DR1CFD013","WP_196494282.1")</f>
        <v>WP_196494282.1</v>
      </c>
    </row>
    <row r="32" spans="1:6">
      <c r="A32" s="4" t="s">
        <v>1096</v>
      </c>
      <c r="B32" s="9">
        <v>0.97</v>
      </c>
      <c r="C32" s="10">
        <v>3.0000000000000002E-126</v>
      </c>
      <c r="D32" s="5">
        <v>52.61</v>
      </c>
      <c r="E32" s="5">
        <v>282</v>
      </c>
      <c r="F32" s="5" t="str">
        <f>HYPERLINK("https://www.ncbi.nlm.nih.gov/protein/WP_266044855.1?report=genbank&amp;log$=prottop&amp;blast_rank=51&amp;RID=92DR1CFD013","WP_266044855.1")</f>
        <v>WP_266044855.1</v>
      </c>
    </row>
    <row r="33" spans="1:6">
      <c r="A33" s="4" t="s">
        <v>1096</v>
      </c>
      <c r="B33" s="9">
        <v>0.97</v>
      </c>
      <c r="C33" s="10">
        <v>1E-125</v>
      </c>
      <c r="D33" s="5">
        <v>52.24</v>
      </c>
      <c r="E33" s="5">
        <v>282</v>
      </c>
      <c r="F33" s="5" t="str">
        <f>HYPERLINK("https://www.ncbi.nlm.nih.gov/protein/WP_302736274.1?report=genbank&amp;log$=prottop&amp;blast_rank=53&amp;RID=92DR1CFD013","WP_302736274.1")</f>
        <v>WP_302736274.1</v>
      </c>
    </row>
    <row r="34" spans="1:6">
      <c r="A34" s="4" t="s">
        <v>1097</v>
      </c>
      <c r="B34" s="9">
        <v>0.98</v>
      </c>
      <c r="C34" s="10">
        <v>3.0000000000000003E-116</v>
      </c>
      <c r="D34" s="5">
        <v>51.84</v>
      </c>
      <c r="E34" s="5">
        <v>268</v>
      </c>
      <c r="F34" s="5" t="str">
        <f>HYPERLINK("https://www.ncbi.nlm.nih.gov/protein/WP_070175729.1?report=genbank&amp;log$=prottop&amp;blast_rank=81&amp;RID=92DR1CFD013","WP_070175729.1")</f>
        <v>WP_070175729.1</v>
      </c>
    </row>
    <row r="35" spans="1:6">
      <c r="A35" s="4" t="s">
        <v>1098</v>
      </c>
      <c r="B35" s="9">
        <v>0.97</v>
      </c>
      <c r="C35" s="10">
        <v>3E-122</v>
      </c>
      <c r="D35" s="5">
        <v>50.56</v>
      </c>
      <c r="E35" s="5">
        <v>275</v>
      </c>
      <c r="F35" s="5" t="str">
        <f>HYPERLINK("https://www.ncbi.nlm.nih.gov/protein/WP_211088853.1?report=genbank&amp;log$=prottop&amp;blast_rank=64&amp;RID=92DR1CFD013","WP_211088853.1")</f>
        <v>WP_211088853.1</v>
      </c>
    </row>
    <row r="36" spans="1:6">
      <c r="A36" s="4" t="s">
        <v>34</v>
      </c>
      <c r="B36" s="9">
        <v>0.98</v>
      </c>
      <c r="C36" s="10">
        <v>9.9999999999999999E-132</v>
      </c>
      <c r="D36" s="5">
        <v>49.82</v>
      </c>
      <c r="E36" s="5">
        <v>281</v>
      </c>
      <c r="F36" s="5" t="str">
        <f>HYPERLINK("https://www.ncbi.nlm.nih.gov/protein/MDP3057740.1?report=genbank&amp;log$=prottop&amp;blast_rank=31&amp;RID=92DR1CFD013","MDP3057740.1")</f>
        <v>MDP3057740.1</v>
      </c>
    </row>
    <row r="37" spans="1:6">
      <c r="A37" s="4" t="s">
        <v>1099</v>
      </c>
      <c r="B37" s="9">
        <v>0.95</v>
      </c>
      <c r="C37" s="10">
        <v>5.0000000000000001E-128</v>
      </c>
      <c r="D37" s="5">
        <v>49.43</v>
      </c>
      <c r="E37" s="5">
        <v>555</v>
      </c>
      <c r="F37" s="5" t="str">
        <f>HYPERLINK("https://www.ncbi.nlm.nih.gov/protein/WP_222846265.1?report=genbank&amp;log$=prottop&amp;blast_rank=41&amp;RID=92DR1CFD013","WP_222846265.1")</f>
        <v>WP_222846265.1</v>
      </c>
    </row>
    <row r="38" spans="1:6">
      <c r="A38" s="4" t="s">
        <v>722</v>
      </c>
      <c r="B38" s="9">
        <v>0.97</v>
      </c>
      <c r="C38" s="10">
        <v>9.9999999999999999E-119</v>
      </c>
      <c r="D38" s="5">
        <v>49.26</v>
      </c>
      <c r="E38" s="5">
        <v>275</v>
      </c>
      <c r="F38" s="5" t="str">
        <f>HYPERLINK("https://www.ncbi.nlm.nih.gov/protein/MDY4479844.1?report=genbank&amp;log$=prottop&amp;blast_rank=74&amp;RID=92DR1CFD013","MDY4479844.1")</f>
        <v>MDY4479844.1</v>
      </c>
    </row>
    <row r="39" spans="1:6">
      <c r="A39" s="4" t="s">
        <v>1100</v>
      </c>
      <c r="B39" s="9">
        <v>0.98</v>
      </c>
      <c r="C39" s="10">
        <v>3.9999999999999997E-148</v>
      </c>
      <c r="D39" s="5">
        <v>49.08</v>
      </c>
      <c r="E39" s="5">
        <v>279</v>
      </c>
      <c r="F39" s="5" t="str">
        <f>HYPERLINK("https://www.ncbi.nlm.nih.gov/protein/HWP44838.1?report=genbank&amp;log$=prottop&amp;blast_rank=1&amp;RID=92DR1CFD013","HWP44838.1")</f>
        <v>HWP44838.1</v>
      </c>
    </row>
    <row r="40" spans="1:6">
      <c r="A40" s="4" t="s">
        <v>1101</v>
      </c>
      <c r="B40" s="9">
        <v>0.96</v>
      </c>
      <c r="C40" s="10">
        <v>9.9999999999999998E-138</v>
      </c>
      <c r="D40" s="5">
        <v>48.87</v>
      </c>
      <c r="E40" s="5">
        <v>283</v>
      </c>
      <c r="F40" s="5" t="str">
        <f>HYPERLINK("https://www.ncbi.nlm.nih.gov/protein/OPL10879.1?report=genbank&amp;log$=prottop&amp;blast_rank=20&amp;RID=92DR1CFD013","OPL10879.1")</f>
        <v>OPL10879.1</v>
      </c>
    </row>
    <row r="41" spans="1:6">
      <c r="A41" s="4" t="s">
        <v>1102</v>
      </c>
      <c r="B41" s="9">
        <v>0.96</v>
      </c>
      <c r="C41" s="10">
        <v>1.0000000000000001E-138</v>
      </c>
      <c r="D41" s="5">
        <v>48.68</v>
      </c>
      <c r="E41" s="5">
        <v>278</v>
      </c>
      <c r="F41" s="5" t="str">
        <f>HYPERLINK("https://www.ncbi.nlm.nih.gov/protein/MCG6535977.1?report=genbank&amp;log$=prottop&amp;blast_rank=17&amp;RID=92DR1CFD013","MCG6535977.1")</f>
        <v>MCG6535977.1</v>
      </c>
    </row>
    <row r="42" spans="1:6">
      <c r="A42" s="4" t="s">
        <v>440</v>
      </c>
      <c r="B42" s="9">
        <v>0.96</v>
      </c>
      <c r="C42" s="10">
        <v>4.0000000000000002E-134</v>
      </c>
      <c r="D42" s="5">
        <v>48.68</v>
      </c>
      <c r="E42" s="5">
        <v>278</v>
      </c>
      <c r="F42" s="5" t="str">
        <f>HYPERLINK("https://www.ncbi.nlm.nih.gov/protein/MBU1569576.1?report=genbank&amp;log$=prottop&amp;blast_rank=28&amp;RID=92DR1CFD013","MBU1569576.1")</f>
        <v>MBU1569576.1</v>
      </c>
    </row>
    <row r="43" spans="1:6">
      <c r="A43" s="4" t="s">
        <v>1103</v>
      </c>
      <c r="B43" s="9">
        <v>0.97</v>
      </c>
      <c r="C43" s="10">
        <v>2.9999999999999999E-139</v>
      </c>
      <c r="D43" s="5">
        <v>48.33</v>
      </c>
      <c r="E43" s="5">
        <v>273</v>
      </c>
      <c r="F43" s="5" t="str">
        <f>HYPERLINK("https://www.ncbi.nlm.nih.gov/protein/WP_348303923.1?report=genbank&amp;log$=prottop&amp;blast_rank=15&amp;RID=92DR1CFD013","WP_348303923.1")</f>
        <v>WP_348303923.1</v>
      </c>
    </row>
    <row r="44" spans="1:6">
      <c r="A44" s="4" t="s">
        <v>1104</v>
      </c>
      <c r="B44" s="9">
        <v>0.97</v>
      </c>
      <c r="C44" s="10">
        <v>2.9999999999999999E-125</v>
      </c>
      <c r="D44" s="5">
        <v>48.33</v>
      </c>
      <c r="E44" s="5">
        <v>272</v>
      </c>
      <c r="F44" s="5" t="str">
        <f>HYPERLINK("https://www.ncbi.nlm.nih.gov/protein/OPY49887.1?report=genbank&amp;log$=prottop&amp;blast_rank=54&amp;RID=92DR1CFD013","OPY49887.1")</f>
        <v>OPY49887.1</v>
      </c>
    </row>
    <row r="45" spans="1:6">
      <c r="A45" s="4" t="s">
        <v>1105</v>
      </c>
      <c r="B45" s="9">
        <v>0.96</v>
      </c>
      <c r="C45" s="10">
        <v>4E-136</v>
      </c>
      <c r="D45" s="5">
        <v>48.3</v>
      </c>
      <c r="E45" s="5">
        <v>278</v>
      </c>
      <c r="F45" s="5" t="str">
        <f>HYPERLINK("https://www.ncbi.nlm.nih.gov/protein/MCG7852689.1?report=genbank&amp;log$=prottop&amp;blast_rank=23&amp;RID=92DR1CFD013","MCG7852689.1")</f>
        <v>MCG7852689.1</v>
      </c>
    </row>
    <row r="46" spans="1:6">
      <c r="A46" s="4" t="s">
        <v>1106</v>
      </c>
      <c r="B46" s="9">
        <v>0.98</v>
      </c>
      <c r="C46" s="10">
        <v>1E-139</v>
      </c>
      <c r="D46" s="5">
        <v>48.15</v>
      </c>
      <c r="E46" s="5">
        <v>284</v>
      </c>
      <c r="F46" s="5" t="str">
        <f>HYPERLINK("https://www.ncbi.nlm.nih.gov/protein/WP_276835701.1?report=genbank&amp;log$=prottop&amp;blast_rank=11&amp;RID=92DR1CFD013","WP_276835701.1")</f>
        <v>WP_276835701.1</v>
      </c>
    </row>
    <row r="47" spans="1:6">
      <c r="A47" s="4" t="s">
        <v>1106</v>
      </c>
      <c r="B47" s="9">
        <v>0.99</v>
      </c>
      <c r="C47" s="10">
        <v>1E-135</v>
      </c>
      <c r="D47" s="5">
        <v>47.99</v>
      </c>
      <c r="E47" s="5">
        <v>276</v>
      </c>
      <c r="F47" s="5" t="str">
        <f>HYPERLINK("https://www.ncbi.nlm.nih.gov/protein/HQN31435.1?report=genbank&amp;log$=prottop&amp;blast_rank=24&amp;RID=92DR1CFD013","HQN31435.1")</f>
        <v>HQN31435.1</v>
      </c>
    </row>
    <row r="48" spans="1:6">
      <c r="A48" s="4" t="s">
        <v>1103</v>
      </c>
      <c r="B48" s="9">
        <v>0.98</v>
      </c>
      <c r="C48" s="10">
        <v>4.9999999999999999E-133</v>
      </c>
      <c r="D48" s="5">
        <v>47.97</v>
      </c>
      <c r="E48" s="5">
        <v>275</v>
      </c>
      <c r="F48" s="5" t="str">
        <f>HYPERLINK("https://www.ncbi.nlm.nih.gov/protein/WP_273271292.1?report=genbank&amp;log$=prottop&amp;blast_rank=30&amp;RID=92DR1CFD013","WP_273271292.1")</f>
        <v>WP_273271292.1</v>
      </c>
    </row>
    <row r="49" spans="1:6">
      <c r="A49" s="4" t="s">
        <v>1107</v>
      </c>
      <c r="B49" s="9">
        <v>0.98</v>
      </c>
      <c r="C49" s="10">
        <v>3.0000000000000002E-119</v>
      </c>
      <c r="D49" s="5">
        <v>47.97</v>
      </c>
      <c r="E49" s="5">
        <v>278</v>
      </c>
      <c r="F49" s="5" t="str">
        <f>HYPERLINK("https://www.ncbi.nlm.nih.gov/protein/MBQ3721029.1?report=genbank&amp;log$=prottop&amp;blast_rank=71&amp;RID=92DR1CFD013","MBQ3721029.1")</f>
        <v>MBQ3721029.1</v>
      </c>
    </row>
    <row r="50" spans="1:6">
      <c r="A50" s="4" t="s">
        <v>1108</v>
      </c>
      <c r="B50" s="9">
        <v>0.96</v>
      </c>
      <c r="C50" s="10">
        <v>2.9999999999999999E-139</v>
      </c>
      <c r="D50" s="5">
        <v>47.92</v>
      </c>
      <c r="E50" s="5">
        <v>278</v>
      </c>
      <c r="F50" s="5" t="str">
        <f>HYPERLINK("https://www.ncbi.nlm.nih.gov/protein/MDO9566383.1?report=genbank&amp;log$=prottop&amp;blast_rank=14&amp;RID=92DR1CFD013","MDO9566383.1")</f>
        <v>MDO9566383.1</v>
      </c>
    </row>
    <row r="51" spans="1:6">
      <c r="A51" s="4" t="s">
        <v>309</v>
      </c>
      <c r="B51" s="9">
        <v>0.96</v>
      </c>
      <c r="C51" s="10">
        <v>9.9999999999999998E-138</v>
      </c>
      <c r="D51" s="5">
        <v>47.92</v>
      </c>
      <c r="E51" s="5">
        <v>291</v>
      </c>
      <c r="F51" s="5" t="str">
        <f>HYPERLINK("https://www.ncbi.nlm.nih.gov/protein/HOP48475.1?report=genbank&amp;log$=prottop&amp;blast_rank=19&amp;RID=92DR1CFD013","HOP48475.1")</f>
        <v>HOP48475.1</v>
      </c>
    </row>
    <row r="52" spans="1:6">
      <c r="A52" s="4" t="s">
        <v>102</v>
      </c>
      <c r="B52" s="9">
        <v>0.98</v>
      </c>
      <c r="C52" s="10">
        <v>3.0000000000000002E-140</v>
      </c>
      <c r="D52" s="5">
        <v>47.78</v>
      </c>
      <c r="E52" s="5">
        <v>279</v>
      </c>
      <c r="F52" s="5" t="str">
        <f>HYPERLINK("https://www.ncbi.nlm.nih.gov/protein/MDD2763283.1?report=genbank&amp;log$=prottop&amp;blast_rank=6&amp;RID=92DR1CFD013","MDD2763283.1")</f>
        <v>MDD2763283.1</v>
      </c>
    </row>
    <row r="53" spans="1:6">
      <c r="A53" s="4" t="s">
        <v>380</v>
      </c>
      <c r="B53" s="9">
        <v>0.98</v>
      </c>
      <c r="C53" s="10">
        <v>3.9999999999999997E-129</v>
      </c>
      <c r="D53" s="5">
        <v>47.6</v>
      </c>
      <c r="E53" s="5">
        <v>282</v>
      </c>
      <c r="F53" s="5" t="str">
        <f>HYPERLINK("https://www.ncbi.nlm.nih.gov/protein/HSN77202.1?report=genbank&amp;log$=prottop&amp;blast_rank=38&amp;RID=92DR1CFD013","HSN77202.1")</f>
        <v>HSN77202.1</v>
      </c>
    </row>
    <row r="54" spans="1:6">
      <c r="A54" s="4" t="s">
        <v>368</v>
      </c>
      <c r="B54" s="9">
        <v>0.98</v>
      </c>
      <c r="C54" s="10">
        <v>3.0000000000000001E-138</v>
      </c>
      <c r="D54" s="5">
        <v>47.41</v>
      </c>
      <c r="E54" s="5">
        <v>295</v>
      </c>
      <c r="F54" s="5" t="str">
        <f>HYPERLINK("https://www.ncbi.nlm.nih.gov/protein/HQO21115.1?report=genbank&amp;log$=prottop&amp;blast_rank=18&amp;RID=92DR1CFD013","HQO21115.1")</f>
        <v>HQO21115.1</v>
      </c>
    </row>
    <row r="55" spans="1:6">
      <c r="A55" s="4" t="s">
        <v>433</v>
      </c>
      <c r="B55" s="9">
        <v>1</v>
      </c>
      <c r="C55" s="10">
        <v>2E-136</v>
      </c>
      <c r="D55" s="5">
        <v>47.27</v>
      </c>
      <c r="E55" s="5">
        <v>276</v>
      </c>
      <c r="F55" s="5" t="str">
        <f>HYPERLINK("https://www.ncbi.nlm.nih.gov/protein/MBI5293087.1?report=genbank&amp;log$=prottop&amp;blast_rank=22&amp;RID=92DR1CFD013","MBI5293087.1")</f>
        <v>MBI5293087.1</v>
      </c>
    </row>
    <row r="56" spans="1:6">
      <c r="A56" s="4" t="s">
        <v>1103</v>
      </c>
      <c r="B56" s="9">
        <v>0.98</v>
      </c>
      <c r="C56" s="10">
        <v>3.0000000000000002E-133</v>
      </c>
      <c r="D56" s="5">
        <v>47.23</v>
      </c>
      <c r="E56" s="5">
        <v>275</v>
      </c>
      <c r="F56" s="5" t="str">
        <f>HYPERLINK("https://www.ncbi.nlm.nih.gov/protein/WP_292540029.1?report=genbank&amp;log$=prottop&amp;blast_rank=29&amp;RID=92DR1CFD013","WP_292540029.1")</f>
        <v>WP_292540029.1</v>
      </c>
    </row>
    <row r="57" spans="1:6">
      <c r="A57" s="4" t="s">
        <v>1107</v>
      </c>
      <c r="B57" s="9">
        <v>0.98</v>
      </c>
      <c r="C57" s="10">
        <v>4.0000000000000001E-117</v>
      </c>
      <c r="D57" s="5">
        <v>47.23</v>
      </c>
      <c r="E57" s="5">
        <v>278</v>
      </c>
      <c r="F57" s="5" t="str">
        <f>HYPERLINK("https://www.ncbi.nlm.nih.gov/protein/WP_300190822.1?report=genbank&amp;log$=prottop&amp;blast_rank=77&amp;RID=92DR1CFD013","WP_300190822.1")</f>
        <v>WP_300190822.1</v>
      </c>
    </row>
    <row r="58" spans="1:6">
      <c r="A58" s="4" t="s">
        <v>1109</v>
      </c>
      <c r="B58" s="9">
        <v>0.96</v>
      </c>
      <c r="C58" s="10">
        <v>9.9999999999999995E-127</v>
      </c>
      <c r="D58" s="5">
        <v>47.17</v>
      </c>
      <c r="E58" s="5">
        <v>278</v>
      </c>
      <c r="F58" s="5" t="str">
        <f>HYPERLINK("https://www.ncbi.nlm.nih.gov/protein/MEA3427782.1?report=genbank&amp;log$=prottop&amp;blast_rank=47&amp;RID=92DR1CFD013","MEA3427782.1")</f>
        <v>MEA3427782.1</v>
      </c>
    </row>
    <row r="59" spans="1:6">
      <c r="A59" s="4" t="s">
        <v>1110</v>
      </c>
      <c r="B59" s="9">
        <v>1</v>
      </c>
      <c r="C59" s="10">
        <v>2.9999999999999998E-141</v>
      </c>
      <c r="D59" s="5">
        <v>46.91</v>
      </c>
      <c r="E59" s="5">
        <v>281</v>
      </c>
      <c r="F59" s="5" t="str">
        <f>HYPERLINK("https://www.ncbi.nlm.nih.gov/protein/HUU15755.1?report=genbank&amp;log$=prottop&amp;blast_rank=2&amp;RID=92DR1CFD013","HUU15755.1")</f>
        <v>HUU15755.1</v>
      </c>
    </row>
    <row r="60" spans="1:6">
      <c r="A60" s="4" t="s">
        <v>433</v>
      </c>
      <c r="B60" s="9">
        <v>1</v>
      </c>
      <c r="C60" s="10">
        <v>2E-136</v>
      </c>
      <c r="D60" s="5">
        <v>46.91</v>
      </c>
      <c r="E60" s="5">
        <v>276</v>
      </c>
      <c r="F60" s="5" t="str">
        <f>HYPERLINK("https://www.ncbi.nlm.nih.gov/protein/MBI5829515.1?report=genbank&amp;log$=prottop&amp;blast_rank=21&amp;RID=92DR1CFD013","MBI5829515.1")</f>
        <v>MBI5829515.1</v>
      </c>
    </row>
    <row r="61" spans="1:6">
      <c r="A61" s="4" t="s">
        <v>1111</v>
      </c>
      <c r="B61" s="9">
        <v>0.98</v>
      </c>
      <c r="C61" s="10">
        <v>1E-134</v>
      </c>
      <c r="D61" s="5">
        <v>46.89</v>
      </c>
      <c r="E61" s="5">
        <v>288</v>
      </c>
      <c r="F61" s="5" t="str">
        <f>HYPERLINK("https://www.ncbi.nlm.nih.gov/protein/HZB09878.1?report=genbank&amp;log$=prottop&amp;blast_rank=26&amp;RID=92DR1CFD013","HZB09878.1")</f>
        <v>HZB09878.1</v>
      </c>
    </row>
    <row r="62" spans="1:6">
      <c r="A62" s="4" t="s">
        <v>1112</v>
      </c>
      <c r="B62" s="9">
        <v>0.98</v>
      </c>
      <c r="C62" s="10">
        <v>4.0000000000000002E-135</v>
      </c>
      <c r="D62" s="5">
        <v>46.86</v>
      </c>
      <c r="E62" s="5">
        <v>278</v>
      </c>
      <c r="F62" s="5" t="str">
        <f>HYPERLINK("https://www.ncbi.nlm.nih.gov/protein/MCX6759961.1?report=genbank&amp;log$=prottop&amp;blast_rank=25&amp;RID=92DR1CFD013","MCX6759961.1")</f>
        <v>MCX6759961.1</v>
      </c>
    </row>
    <row r="63" spans="1:6">
      <c r="A63" s="4" t="s">
        <v>1113</v>
      </c>
      <c r="B63" s="9">
        <v>0.96</v>
      </c>
      <c r="C63" s="10">
        <v>2E-116</v>
      </c>
      <c r="D63" s="5">
        <v>46.24</v>
      </c>
      <c r="E63" s="5">
        <v>275</v>
      </c>
      <c r="F63" s="5" t="str">
        <f>HYPERLINK("https://www.ncbi.nlm.nih.gov/protein/WP_205454277.1?report=genbank&amp;log$=prottop&amp;blast_rank=80&amp;RID=92DR1CFD013","WP_205454277.1")</f>
        <v>WP_205454277.1</v>
      </c>
    </row>
    <row r="64" spans="1:6">
      <c r="A64" s="4" t="s">
        <v>1113</v>
      </c>
      <c r="B64" s="9">
        <v>0.96</v>
      </c>
      <c r="C64" s="10">
        <v>6.9999999999999997E-116</v>
      </c>
      <c r="D64" s="5">
        <v>46.24</v>
      </c>
      <c r="E64" s="5">
        <v>275</v>
      </c>
      <c r="F64" s="5" t="str">
        <f>HYPERLINK("https://www.ncbi.nlm.nih.gov/protein/WP_033158671.1?report=genbank&amp;log$=prottop&amp;blast_rank=82&amp;RID=92DR1CFD013","WP_033158671.1")</f>
        <v>WP_033158671.1</v>
      </c>
    </row>
    <row r="65" spans="1:6">
      <c r="A65" s="4" t="s">
        <v>1111</v>
      </c>
      <c r="B65" s="9">
        <v>0.88</v>
      </c>
      <c r="C65" s="10">
        <v>1.9999999999999999E-105</v>
      </c>
      <c r="D65" s="5">
        <v>46.15</v>
      </c>
      <c r="E65" s="5">
        <v>254</v>
      </c>
      <c r="F65" s="5" t="str">
        <f>HYPERLINK("https://www.ncbi.nlm.nih.gov/protein/HEX6708701.1?report=genbank&amp;log$=prottop&amp;blast_rank=109&amp;RID=92DR1CFD013","HEX6708701.1")</f>
        <v>HEX6708701.1</v>
      </c>
    </row>
    <row r="66" spans="1:6">
      <c r="A66" s="4" t="s">
        <v>1114</v>
      </c>
      <c r="B66" s="9">
        <v>0.96</v>
      </c>
      <c r="C66" s="10">
        <v>5.9999999999999997E-123</v>
      </c>
      <c r="D66" s="5">
        <v>45.86</v>
      </c>
      <c r="E66" s="5">
        <v>277</v>
      </c>
      <c r="F66" s="5" t="str">
        <f>HYPERLINK("https://www.ncbi.nlm.nih.gov/protein/MCC6813528.1?report=genbank&amp;log$=prottop&amp;blast_rank=60&amp;RID=92DR1CFD013","MCC6813528.1")</f>
        <v>MCC6813528.1</v>
      </c>
    </row>
    <row r="67" spans="1:6">
      <c r="A67" s="4" t="s">
        <v>1115</v>
      </c>
      <c r="B67" s="9">
        <v>0.96</v>
      </c>
      <c r="C67" s="10">
        <v>6.9999999999999997E-123</v>
      </c>
      <c r="D67" s="5">
        <v>45.86</v>
      </c>
      <c r="E67" s="5">
        <v>277</v>
      </c>
      <c r="F67" s="5" t="str">
        <f>HYPERLINK("https://www.ncbi.nlm.nih.gov/protein/HMT56725.1?report=genbank&amp;log$=prottop&amp;blast_rank=61&amp;RID=92DR1CFD013","HMT56725.1")</f>
        <v>HMT56725.1</v>
      </c>
    </row>
    <row r="68" spans="1:6">
      <c r="A68" s="4" t="s">
        <v>1116</v>
      </c>
      <c r="B68" s="9">
        <v>0.82</v>
      </c>
      <c r="C68" s="10">
        <v>2E-95</v>
      </c>
      <c r="D68" s="5">
        <v>45.85</v>
      </c>
      <c r="E68" s="5">
        <v>227</v>
      </c>
      <c r="F68" s="5" t="str">
        <f>HYPERLINK("https://www.ncbi.nlm.nih.gov/protein/HST05465.1?report=genbank&amp;log$=prottop&amp;blast_rank=162&amp;RID=92DR1CFD013","HST05465.1")</f>
        <v>HST05465.1</v>
      </c>
    </row>
    <row r="69" spans="1:6">
      <c r="A69" s="4" t="s">
        <v>1117</v>
      </c>
      <c r="B69" s="9">
        <v>1</v>
      </c>
      <c r="C69" s="10">
        <v>4.0000000000000002E-134</v>
      </c>
      <c r="D69" s="5">
        <v>45.65</v>
      </c>
      <c r="E69" s="5">
        <v>279</v>
      </c>
      <c r="F69" s="5" t="str">
        <f>HYPERLINK("https://www.ncbi.nlm.nih.gov/protein/HLL38041.1?report=genbank&amp;log$=prottop&amp;blast_rank=27&amp;RID=92DR1CFD013","HLL38041.1")</f>
        <v>HLL38041.1</v>
      </c>
    </row>
    <row r="70" spans="1:6">
      <c r="A70" s="4" t="s">
        <v>1111</v>
      </c>
      <c r="B70" s="9">
        <v>0.99</v>
      </c>
      <c r="C70" s="10">
        <v>2.0000000000000002E-130</v>
      </c>
      <c r="D70" s="5">
        <v>45.45</v>
      </c>
      <c r="E70" s="5">
        <v>288</v>
      </c>
      <c r="F70" s="5" t="str">
        <f>HYPERLINK("https://www.ncbi.nlm.nih.gov/protein/HEX5699079.1?report=genbank&amp;log$=prottop&amp;blast_rank=34&amp;RID=92DR1CFD013","HEX5699079.1")</f>
        <v>HEX5699079.1</v>
      </c>
    </row>
    <row r="71" spans="1:6">
      <c r="A71" s="4" t="s">
        <v>1118</v>
      </c>
      <c r="B71" s="9">
        <v>0.98</v>
      </c>
      <c r="C71" s="10">
        <v>9.0000000000000004E-131</v>
      </c>
      <c r="D71" s="5">
        <v>45.42</v>
      </c>
      <c r="E71" s="5">
        <v>287</v>
      </c>
      <c r="F71" s="5" t="str">
        <f>HYPERLINK("https://www.ncbi.nlm.nih.gov/protein/MDQ3589788.1?report=genbank&amp;log$=prottop&amp;blast_rank=33&amp;RID=92DR1CFD013","MDQ3589788.1")</f>
        <v>MDQ3589788.1</v>
      </c>
    </row>
    <row r="72" spans="1:6">
      <c r="A72" s="4" t="s">
        <v>1119</v>
      </c>
      <c r="B72" s="9">
        <v>0.97</v>
      </c>
      <c r="C72" s="10">
        <v>4.0000000000000002E-114</v>
      </c>
      <c r="D72" s="5">
        <v>45.42</v>
      </c>
      <c r="E72" s="5">
        <v>269</v>
      </c>
      <c r="F72" s="5" t="str">
        <f>HYPERLINK("https://www.ncbi.nlm.nih.gov/protein/WP_028872323.1?report=genbank&amp;log$=prottop&amp;blast_rank=85&amp;RID=92DR1CFD013","WP_028872323.1")</f>
        <v>WP_028872323.1</v>
      </c>
    </row>
    <row r="73" spans="1:6">
      <c r="A73" s="4" t="s">
        <v>1118</v>
      </c>
      <c r="B73" s="9">
        <v>0.96</v>
      </c>
      <c r="C73" s="10">
        <v>2.9999999999999998E-128</v>
      </c>
      <c r="D73" s="5">
        <v>45.28</v>
      </c>
      <c r="E73" s="5">
        <v>277</v>
      </c>
      <c r="F73" s="5" t="str">
        <f>HYPERLINK("https://www.ncbi.nlm.nih.gov/protein/MDQ5811040.1?report=genbank&amp;log$=prottop&amp;blast_rank=40&amp;RID=92DR1CFD013","MDQ5811040.1")</f>
        <v>MDQ5811040.1</v>
      </c>
    </row>
    <row r="74" spans="1:6">
      <c r="A74" s="4" t="s">
        <v>1120</v>
      </c>
      <c r="B74" s="9">
        <v>0.98</v>
      </c>
      <c r="C74" s="10">
        <v>2.0000000000000002E-130</v>
      </c>
      <c r="D74" s="5">
        <v>45.22</v>
      </c>
      <c r="E74" s="5">
        <v>284</v>
      </c>
      <c r="F74" s="5" t="str">
        <f>HYPERLINK("https://www.ncbi.nlm.nih.gov/protein/NLG00541.1?report=genbank&amp;log$=prottop&amp;blast_rank=35&amp;RID=92DR1CFD013","NLG00541.1")</f>
        <v>NLG00541.1</v>
      </c>
    </row>
    <row r="75" spans="1:6">
      <c r="A75" s="4" t="s">
        <v>1121</v>
      </c>
      <c r="B75" s="9">
        <v>1</v>
      </c>
      <c r="C75" s="10">
        <v>2.0000000000000001E-128</v>
      </c>
      <c r="D75" s="5">
        <v>44.93</v>
      </c>
      <c r="E75" s="5">
        <v>272</v>
      </c>
      <c r="F75" s="5" t="str">
        <f>HYPERLINK("https://www.ncbi.nlm.nih.gov/protein/HEV2417293.1?report=genbank&amp;log$=prottop&amp;blast_rank=39&amp;RID=92DR1CFD013","HEV2417293.1")</f>
        <v>HEV2417293.1</v>
      </c>
    </row>
    <row r="76" spans="1:6">
      <c r="A76" s="4" t="s">
        <v>1122</v>
      </c>
      <c r="B76" s="9">
        <v>0.98</v>
      </c>
      <c r="C76" s="10">
        <v>9.9999999999999998E-121</v>
      </c>
      <c r="D76" s="5">
        <v>44.85</v>
      </c>
      <c r="E76" s="5">
        <v>278</v>
      </c>
      <c r="F76" s="5" t="str">
        <f>HYPERLINK("https://www.ncbi.nlm.nih.gov/protein/OQY13455.1?report=genbank&amp;log$=prottop&amp;blast_rank=68&amp;RID=92DR1CFD013","OQY13455.1")</f>
        <v>OQY13455.1</v>
      </c>
    </row>
    <row r="77" spans="1:6">
      <c r="A77" s="4" t="s">
        <v>1123</v>
      </c>
      <c r="B77" s="9">
        <v>0.96</v>
      </c>
      <c r="C77" s="10">
        <v>3.0000000000000001E-111</v>
      </c>
      <c r="D77" s="5">
        <v>44.81</v>
      </c>
      <c r="E77" s="5">
        <v>265</v>
      </c>
      <c r="F77" s="5" t="str">
        <f>HYPERLINK("https://www.ncbi.nlm.nih.gov/protein/WP_054722452.1?report=genbank&amp;log$=prottop&amp;blast_rank=93&amp;RID=92DR1CFD013","WP_054722452.1")</f>
        <v>WP_054722452.1</v>
      </c>
    </row>
    <row r="78" spans="1:6">
      <c r="A78" s="4" t="s">
        <v>37</v>
      </c>
      <c r="B78" s="9">
        <v>0.96</v>
      </c>
      <c r="C78" s="10">
        <v>1.9999999999999999E-112</v>
      </c>
      <c r="D78" s="5">
        <v>44.7</v>
      </c>
      <c r="E78" s="5">
        <v>274</v>
      </c>
      <c r="F78" s="5" t="str">
        <f>HYPERLINK("https://www.ncbi.nlm.nih.gov/protein/NLC92832.1?report=genbank&amp;log$=prottop&amp;blast_rank=89&amp;RID=92DR1CFD013","NLC92832.1")</f>
        <v>NLC92832.1</v>
      </c>
    </row>
    <row r="79" spans="1:6">
      <c r="A79" s="4" t="s">
        <v>1124</v>
      </c>
      <c r="B79" s="9">
        <v>0.97</v>
      </c>
      <c r="C79" s="10">
        <v>4.9999999999999997E-113</v>
      </c>
      <c r="D79" s="5">
        <v>44.69</v>
      </c>
      <c r="E79" s="5">
        <v>277</v>
      </c>
      <c r="F79" s="5" t="str">
        <f>HYPERLINK("https://www.ncbi.nlm.nih.gov/protein/WP_147015468.1?report=genbank&amp;log$=prottop&amp;blast_rank=87&amp;RID=92DR1CFD013","WP_147015468.1")</f>
        <v>WP_147015468.1</v>
      </c>
    </row>
    <row r="80" spans="1:6">
      <c r="A80" s="4" t="s">
        <v>1118</v>
      </c>
      <c r="B80" s="9">
        <v>0.99</v>
      </c>
      <c r="C80" s="10">
        <v>2E-131</v>
      </c>
      <c r="D80" s="5">
        <v>44.53</v>
      </c>
      <c r="E80" s="5">
        <v>285</v>
      </c>
      <c r="F80" s="5" t="str">
        <f>HYPERLINK("https://www.ncbi.nlm.nih.gov/protein/MDQ5829092.1?report=genbank&amp;log$=prottop&amp;blast_rank=32&amp;RID=92DR1CFD013","MDQ5829092.1")</f>
        <v>MDQ5829092.1</v>
      </c>
    </row>
    <row r="81" spans="1:6">
      <c r="A81" s="4" t="s">
        <v>1103</v>
      </c>
      <c r="B81" s="9">
        <v>0.98</v>
      </c>
      <c r="C81" s="10">
        <v>8.0000000000000007E-130</v>
      </c>
      <c r="D81" s="5">
        <v>44.49</v>
      </c>
      <c r="E81" s="5">
        <v>277</v>
      </c>
      <c r="F81" s="5" t="str">
        <f>HYPERLINK("https://www.ncbi.nlm.nih.gov/protein/MCX6676552.1?report=genbank&amp;log$=prottop&amp;blast_rank=36&amp;RID=92DR1CFD013","MCX6676552.1")</f>
        <v>MCX6676552.1</v>
      </c>
    </row>
    <row r="82" spans="1:6">
      <c r="A82" s="4" t="s">
        <v>1110</v>
      </c>
      <c r="B82" s="9">
        <v>0.99</v>
      </c>
      <c r="C82" s="10">
        <v>6.9999999999999999E-121</v>
      </c>
      <c r="D82" s="5">
        <v>44.32</v>
      </c>
      <c r="E82" s="5">
        <v>269</v>
      </c>
      <c r="F82" s="5" t="str">
        <f>HYPERLINK("https://www.ncbi.nlm.nih.gov/protein/MBN1392550.1?report=genbank&amp;log$=prottop&amp;blast_rank=67&amp;RID=92DR1CFD013","MBN1392550.1")</f>
        <v>MBN1392550.1</v>
      </c>
    </row>
    <row r="83" spans="1:6">
      <c r="A83" s="4" t="s">
        <v>1125</v>
      </c>
      <c r="B83" s="9">
        <v>0.86</v>
      </c>
      <c r="C83" s="10">
        <v>3.9999999999999998E-103</v>
      </c>
      <c r="D83" s="5">
        <v>44.08</v>
      </c>
      <c r="E83" s="5">
        <v>241</v>
      </c>
      <c r="F83" s="5" t="str">
        <f>HYPERLINK("https://www.ncbi.nlm.nih.gov/protein/WP_162789237.1?report=genbank&amp;log$=prottop&amp;blast_rank=115&amp;RID=92DR1CFD013","WP_162789237.1")</f>
        <v>WP_162789237.1</v>
      </c>
    </row>
    <row r="84" spans="1:6">
      <c r="A84" s="4" t="s">
        <v>1126</v>
      </c>
      <c r="B84" s="9">
        <v>0.97</v>
      </c>
      <c r="C84" s="10">
        <v>9.9999999999999998E-122</v>
      </c>
      <c r="D84" s="5">
        <v>44.03</v>
      </c>
      <c r="E84" s="5">
        <v>272</v>
      </c>
      <c r="F84" s="5" t="str">
        <f>HYPERLINK("https://www.ncbi.nlm.nih.gov/protein/HUX03216.1?report=genbank&amp;log$=prottop&amp;blast_rank=65&amp;RID=92DR1CFD013","HUX03216.1")</f>
        <v>HUX03216.1</v>
      </c>
    </row>
    <row r="85" spans="1:6">
      <c r="A85" s="4" t="s">
        <v>1103</v>
      </c>
      <c r="B85" s="9">
        <v>0.99</v>
      </c>
      <c r="C85" s="10">
        <v>7.9999999999999996E-126</v>
      </c>
      <c r="D85" s="5">
        <v>43.8</v>
      </c>
      <c r="E85" s="5">
        <v>280</v>
      </c>
      <c r="F85" s="5" t="str">
        <f>HYPERLINK("https://www.ncbi.nlm.nih.gov/protein/MBP7071572.1?report=genbank&amp;log$=prottop&amp;blast_rank=52&amp;RID=92DR1CFD013","MBP7071572.1")</f>
        <v>MBP7071572.1</v>
      </c>
    </row>
    <row r="86" spans="1:6">
      <c r="A86" s="4" t="s">
        <v>1111</v>
      </c>
      <c r="B86" s="9">
        <v>0.98</v>
      </c>
      <c r="C86" s="10">
        <v>1E-127</v>
      </c>
      <c r="D86" s="5">
        <v>43.59</v>
      </c>
      <c r="E86" s="5">
        <v>300</v>
      </c>
      <c r="F86" s="5" t="str">
        <f>HYPERLINK("https://www.ncbi.nlm.nih.gov/protein/HET7271540.1?report=genbank&amp;log$=prottop&amp;blast_rank=43&amp;RID=92DR1CFD013","HET7271540.1")</f>
        <v>HET7271540.1</v>
      </c>
    </row>
    <row r="87" spans="1:6">
      <c r="A87" s="4" t="s">
        <v>666</v>
      </c>
      <c r="B87" s="9">
        <v>0.97</v>
      </c>
      <c r="C87" s="10">
        <v>3.0000000000000001E-127</v>
      </c>
      <c r="D87" s="5">
        <v>43.54</v>
      </c>
      <c r="E87" s="5">
        <v>301</v>
      </c>
      <c r="F87" s="5" t="str">
        <f>HYPERLINK("https://www.ncbi.nlm.nih.gov/protein/HET8579358.1?report=genbank&amp;log$=prottop&amp;blast_rank=44&amp;RID=92DR1CFD013","HET8579358.1")</f>
        <v>HET8579358.1</v>
      </c>
    </row>
    <row r="88" spans="1:6">
      <c r="A88" s="4" t="s">
        <v>1127</v>
      </c>
      <c r="B88" s="9">
        <v>0.96</v>
      </c>
      <c r="C88" s="10">
        <v>1.9999999999999999E-112</v>
      </c>
      <c r="D88" s="5">
        <v>43.54</v>
      </c>
      <c r="E88" s="5">
        <v>267</v>
      </c>
      <c r="F88" s="5" t="str">
        <f>HYPERLINK("https://www.ncbi.nlm.nih.gov/protein/WP_311682628.1?report=genbank&amp;log$=prottop&amp;blast_rank=88&amp;RID=92DR1CFD013","WP_311682628.1")</f>
        <v>WP_311682628.1</v>
      </c>
    </row>
    <row r="89" spans="1:6">
      <c r="A89" s="4" t="s">
        <v>84</v>
      </c>
      <c r="B89" s="9">
        <v>0.96</v>
      </c>
      <c r="C89" s="10">
        <v>2.0000000000000001E-110</v>
      </c>
      <c r="D89" s="5">
        <v>43.54</v>
      </c>
      <c r="E89" s="5">
        <v>270</v>
      </c>
      <c r="F89" s="5" t="str">
        <f>HYPERLINK("https://www.ncbi.nlm.nih.gov/protein/WP_348033115.1?report=genbank&amp;log$=prottop&amp;blast_rank=100&amp;RID=92DR1CFD013","WP_348033115.1")</f>
        <v>WP_348033115.1</v>
      </c>
    </row>
    <row r="90" spans="1:6">
      <c r="A90" s="4" t="s">
        <v>1128</v>
      </c>
      <c r="B90" s="9">
        <v>0.96</v>
      </c>
      <c r="C90" s="10">
        <v>1E-108</v>
      </c>
      <c r="D90" s="5">
        <v>43.54</v>
      </c>
      <c r="E90" s="5">
        <v>269</v>
      </c>
      <c r="F90" s="5" t="str">
        <f>HYPERLINK("https://www.ncbi.nlm.nih.gov/protein/WP_051227924.1?report=genbank&amp;log$=prottop&amp;blast_rank=106&amp;RID=92DR1CFD013","WP_051227924.1")</f>
        <v>WP_051227924.1</v>
      </c>
    </row>
    <row r="91" spans="1:6">
      <c r="A91" s="4" t="s">
        <v>122</v>
      </c>
      <c r="B91" s="9">
        <v>0.98</v>
      </c>
      <c r="C91" s="10">
        <v>5.0000000000000003E-111</v>
      </c>
      <c r="D91" s="5">
        <v>43.53</v>
      </c>
      <c r="E91" s="5">
        <v>272</v>
      </c>
      <c r="F91" s="5" t="str">
        <f>HYPERLINK("https://www.ncbi.nlm.nih.gov/protein/MEA1875010.1?report=genbank&amp;log$=prottop&amp;blast_rank=96&amp;RID=92DR1CFD013","MEA1875010.1")</f>
        <v>MEA1875010.1</v>
      </c>
    </row>
    <row r="92" spans="1:6">
      <c r="A92" s="4" t="s">
        <v>1129</v>
      </c>
      <c r="B92" s="9">
        <v>0.99</v>
      </c>
      <c r="C92" s="10">
        <v>1.9999999999999999E-112</v>
      </c>
      <c r="D92" s="5">
        <v>43.37</v>
      </c>
      <c r="E92" s="5">
        <v>269</v>
      </c>
      <c r="F92" s="5" t="str">
        <f>HYPERLINK("https://www.ncbi.nlm.nih.gov/protein/WP_132003630.1?report=genbank&amp;log$=prottop&amp;blast_rank=90&amp;RID=92DR1CFD013","WP_132003630.1")</f>
        <v>WP_132003630.1</v>
      </c>
    </row>
    <row r="93" spans="1:6">
      <c r="A93" s="4" t="s">
        <v>1125</v>
      </c>
      <c r="B93" s="9">
        <v>0.96</v>
      </c>
      <c r="C93" s="10">
        <v>2E-109</v>
      </c>
      <c r="D93" s="5">
        <v>43.33</v>
      </c>
      <c r="E93" s="5">
        <v>265</v>
      </c>
      <c r="F93" s="5" t="str">
        <f>HYPERLINK("https://www.ncbi.nlm.nih.gov/protein/AXB55220.1?report=genbank&amp;log$=prottop&amp;blast_rank=102&amp;RID=92DR1CFD013","AXB55220.1")</f>
        <v>AXB55220.1</v>
      </c>
    </row>
    <row r="94" spans="1:6">
      <c r="A94" s="4" t="s">
        <v>425</v>
      </c>
      <c r="B94" s="9">
        <v>0.99</v>
      </c>
      <c r="C94" s="10">
        <v>4.0000000000000001E-127</v>
      </c>
      <c r="D94" s="5">
        <v>43.27</v>
      </c>
      <c r="E94" s="5">
        <v>274</v>
      </c>
      <c r="F94" s="5" t="str">
        <f>HYPERLINK("https://www.ncbi.nlm.nih.gov/protein/MCA9966194.1?report=genbank&amp;log$=prottop&amp;blast_rank=45&amp;RID=92DR1CFD013","MCA9966194.1")</f>
        <v>MCA9966194.1</v>
      </c>
    </row>
    <row r="95" spans="1:6">
      <c r="A95" s="4" t="s">
        <v>112</v>
      </c>
      <c r="B95" s="9">
        <v>0.97</v>
      </c>
      <c r="C95" s="10">
        <v>2.0000000000000001E-110</v>
      </c>
      <c r="D95" s="5">
        <v>43.22</v>
      </c>
      <c r="E95" s="5">
        <v>269</v>
      </c>
      <c r="F95" s="5" t="str">
        <f>HYPERLINK("https://www.ncbi.nlm.nih.gov/protein/MDZ4204500.1?report=genbank&amp;log$=prottop&amp;blast_rank=99&amp;RID=92DR1CFD013","MDZ4204500.1")</f>
        <v>MDZ4204500.1</v>
      </c>
    </row>
    <row r="96" spans="1:6">
      <c r="A96" s="4" t="s">
        <v>34</v>
      </c>
      <c r="B96" s="9">
        <v>0.99</v>
      </c>
      <c r="C96" s="10">
        <v>9.9999999999999993E-130</v>
      </c>
      <c r="D96" s="5">
        <v>43.07</v>
      </c>
      <c r="E96" s="5">
        <v>279</v>
      </c>
      <c r="F96" s="5" t="str">
        <f>HYPERLINK("https://www.ncbi.nlm.nih.gov/protein/HUT54535.1?report=genbank&amp;log$=prottop&amp;blast_rank=37&amp;RID=92DR1CFD013","HUT54535.1")</f>
        <v>HUT54535.1</v>
      </c>
    </row>
    <row r="97" spans="1:6">
      <c r="A97" s="4" t="s">
        <v>1130</v>
      </c>
      <c r="B97" s="9">
        <v>0.97</v>
      </c>
      <c r="C97" s="10">
        <v>3.9999999999999998E-112</v>
      </c>
      <c r="D97" s="5">
        <v>43.07</v>
      </c>
      <c r="E97" s="5">
        <v>274</v>
      </c>
      <c r="F97" s="5" t="str">
        <f>HYPERLINK("https://www.ncbi.nlm.nih.gov/protein/WP_072972293.1?report=genbank&amp;log$=prottop&amp;blast_rank=91&amp;RID=92DR1CFD013","WP_072972293.1")</f>
        <v>WP_072972293.1</v>
      </c>
    </row>
    <row r="98" spans="1:6">
      <c r="A98" s="4" t="s">
        <v>112</v>
      </c>
      <c r="B98" s="9">
        <v>0.97</v>
      </c>
      <c r="C98" s="10">
        <v>6.9999999999999997E-109</v>
      </c>
      <c r="D98" s="5">
        <v>42.86</v>
      </c>
      <c r="E98" s="5">
        <v>272</v>
      </c>
      <c r="F98" s="5" t="str">
        <f>HYPERLINK("https://www.ncbi.nlm.nih.gov/protein/MBE0638213.1?report=genbank&amp;log$=prottop&amp;blast_rank=103&amp;RID=92DR1CFD013","MBE0638213.1")</f>
        <v>MBE0638213.1</v>
      </c>
    </row>
    <row r="99" spans="1:6">
      <c r="A99" s="4" t="s">
        <v>380</v>
      </c>
      <c r="B99" s="9">
        <v>0.98</v>
      </c>
      <c r="C99" s="10">
        <v>3.0000000000000002E-126</v>
      </c>
      <c r="D99" s="5">
        <v>42.65</v>
      </c>
      <c r="E99" s="5">
        <v>273</v>
      </c>
      <c r="F99" s="5" t="str">
        <f>HYPERLINK("https://www.ncbi.nlm.nih.gov/protein/MCL4299550.1?report=genbank&amp;log$=prottop&amp;blast_rank=50&amp;RID=92DR1CFD013","MCL4299550.1")</f>
        <v>MCL4299550.1</v>
      </c>
    </row>
    <row r="100" spans="1:6">
      <c r="A100" s="4" t="s">
        <v>1131</v>
      </c>
      <c r="B100" s="9">
        <v>0.96</v>
      </c>
      <c r="C100" s="10">
        <v>4.0000000000000004E-111</v>
      </c>
      <c r="D100" s="5">
        <v>42.64</v>
      </c>
      <c r="E100" s="5">
        <v>274</v>
      </c>
      <c r="F100" s="5" t="str">
        <f>HYPERLINK("https://www.ncbi.nlm.nih.gov/protein/WP_249444382.1?report=genbank&amp;log$=prottop&amp;blast_rank=95&amp;RID=92DR1CFD013","WP_249444382.1")</f>
        <v>WP_249444382.1</v>
      </c>
    </row>
    <row r="101" spans="1:6">
      <c r="A101" s="4" t="s">
        <v>1116</v>
      </c>
      <c r="B101" s="9">
        <v>0.97</v>
      </c>
      <c r="C101" s="10">
        <v>1E-119</v>
      </c>
      <c r="D101" s="5">
        <v>42.54</v>
      </c>
      <c r="E101" s="5">
        <v>272</v>
      </c>
      <c r="F101" s="5" t="str">
        <f>HYPERLINK("https://www.ncbi.nlm.nih.gov/protein/MBN1483825.1?report=genbank&amp;log$=prottop&amp;blast_rank=70&amp;RID=92DR1CFD013","MBN1483825.1")</f>
        <v>MBN1483825.1</v>
      </c>
    </row>
    <row r="102" spans="1:6">
      <c r="A102" s="4" t="s">
        <v>122</v>
      </c>
      <c r="B102" s="9">
        <v>0.99</v>
      </c>
      <c r="C102" s="10">
        <v>6.0000000000000002E-105</v>
      </c>
      <c r="D102" s="5">
        <v>42.29</v>
      </c>
      <c r="E102" s="5">
        <v>272</v>
      </c>
      <c r="F102" s="5" t="str">
        <f>HYPERLINK("https://www.ncbi.nlm.nih.gov/protein/MES2805673.1?report=genbank&amp;log$=prottop&amp;blast_rank=110&amp;RID=92DR1CFD013","MES2805673.1")</f>
        <v>MES2805673.1</v>
      </c>
    </row>
    <row r="103" spans="1:6">
      <c r="A103" s="4" t="s">
        <v>199</v>
      </c>
      <c r="B103" s="9">
        <v>0.96</v>
      </c>
      <c r="C103" s="10">
        <v>1E-119</v>
      </c>
      <c r="D103" s="5">
        <v>42.11</v>
      </c>
      <c r="E103" s="5">
        <v>278</v>
      </c>
      <c r="F103" s="5" t="str">
        <f>HYPERLINK("https://www.ncbi.nlm.nih.gov/protein/MCX5676480.1?report=genbank&amp;log$=prottop&amp;blast_rank=69&amp;RID=92DR1CFD013","MCX5676480.1")</f>
        <v>MCX5676480.1</v>
      </c>
    </row>
    <row r="104" spans="1:6">
      <c r="A104" s="4" t="s">
        <v>188</v>
      </c>
      <c r="B104" s="9">
        <v>0.98</v>
      </c>
      <c r="C104" s="10">
        <v>9.9999999999999994E-107</v>
      </c>
      <c r="D104" s="5">
        <v>42.09</v>
      </c>
      <c r="E104" s="5">
        <v>268</v>
      </c>
      <c r="F104" s="5" t="str">
        <f>HYPERLINK("https://www.ncbi.nlm.nih.gov/protein/MEA4986169.1?report=genbank&amp;log$=prottop&amp;blast_rank=108&amp;RID=92DR1CFD013","MEA4986169.1")</f>
        <v>MEA4986169.1</v>
      </c>
    </row>
    <row r="105" spans="1:6">
      <c r="A105" s="4" t="s">
        <v>1116</v>
      </c>
      <c r="B105" s="9">
        <v>0.99</v>
      </c>
      <c r="C105" s="10">
        <v>6.0000000000000003E-114</v>
      </c>
      <c r="D105" s="5">
        <v>42.03</v>
      </c>
      <c r="E105" s="5">
        <v>281</v>
      </c>
      <c r="F105" s="5" t="str">
        <f>HYPERLINK("https://www.ncbi.nlm.nih.gov/protein/HKP54947.1?report=genbank&amp;log$=prottop&amp;blast_rank=86&amp;RID=92DR1CFD013","HKP54947.1")</f>
        <v>HKP54947.1</v>
      </c>
    </row>
    <row r="106" spans="1:6">
      <c r="A106" s="4" t="s">
        <v>433</v>
      </c>
      <c r="B106" s="9">
        <v>0.8</v>
      </c>
      <c r="C106" s="10">
        <v>9.9999999999999998E-86</v>
      </c>
      <c r="D106" s="5">
        <v>41.96</v>
      </c>
      <c r="E106" s="5">
        <v>223</v>
      </c>
      <c r="F106" s="5" t="str">
        <f>HYPERLINK("https://www.ncbi.nlm.nih.gov/protein/MBF6615088.1?report=genbank&amp;log$=prottop&amp;blast_rank=213&amp;RID=92DR1CFD013","MBF6615088.1")</f>
        <v>MBF6615088.1</v>
      </c>
    </row>
    <row r="107" spans="1:6">
      <c r="A107" s="4" t="s">
        <v>1132</v>
      </c>
      <c r="B107" s="9">
        <v>0.99</v>
      </c>
      <c r="C107" s="10">
        <v>8.0000000000000007E-111</v>
      </c>
      <c r="D107" s="5">
        <v>41.94</v>
      </c>
      <c r="E107" s="5">
        <v>269</v>
      </c>
      <c r="F107" s="5" t="str">
        <f>HYPERLINK("https://www.ncbi.nlm.nih.gov/protein/WP_147673238.1?report=genbank&amp;log$=prottop&amp;blast_rank=97&amp;RID=92DR1CFD013","WP_147673238.1")</f>
        <v>WP_147673238.1</v>
      </c>
    </row>
    <row r="108" spans="1:6">
      <c r="A108" s="4" t="s">
        <v>89</v>
      </c>
      <c r="B108" s="9">
        <v>0.98</v>
      </c>
      <c r="C108" s="10">
        <v>5.0000000000000004E-112</v>
      </c>
      <c r="D108" s="5">
        <v>41.88</v>
      </c>
      <c r="E108" s="5">
        <v>272</v>
      </c>
      <c r="F108" s="5" t="str">
        <f>HYPERLINK("https://www.ncbi.nlm.nih.gov/protein/HEX9828380.1?report=genbank&amp;log$=prottop&amp;blast_rank=92&amp;RID=92DR1CFD013","HEX9828380.1")</f>
        <v>HEX9828380.1</v>
      </c>
    </row>
    <row r="109" spans="1:6">
      <c r="A109" s="4" t="s">
        <v>34</v>
      </c>
      <c r="B109" s="9">
        <v>0.96</v>
      </c>
      <c r="C109" s="10">
        <v>1E-108</v>
      </c>
      <c r="D109" s="5">
        <v>41.85</v>
      </c>
      <c r="E109" s="5">
        <v>269</v>
      </c>
      <c r="F109" s="5" t="str">
        <f>HYPERLINK("https://www.ncbi.nlm.nih.gov/protein/MBL7994387.1?report=genbank&amp;log$=prottop&amp;blast_rank=104&amp;RID=92DR1CFD013","MBL7994387.1")</f>
        <v>MBL7994387.1</v>
      </c>
    </row>
    <row r="110" spans="1:6">
      <c r="A110" s="4" t="s">
        <v>310</v>
      </c>
      <c r="B110" s="9">
        <v>0.97</v>
      </c>
      <c r="C110" s="10">
        <v>8.0000000000000005E-123</v>
      </c>
      <c r="D110" s="5">
        <v>41.64</v>
      </c>
      <c r="E110" s="5">
        <v>272</v>
      </c>
      <c r="F110" s="5" t="str">
        <f>HYPERLINK("https://www.ncbi.nlm.nih.gov/protein/UCG12723.1?report=genbank&amp;log$=prottop&amp;blast_rank=62&amp;RID=92DR1CFD013","UCG12723.1")</f>
        <v>UCG12723.1</v>
      </c>
    </row>
    <row r="111" spans="1:6">
      <c r="A111" s="4" t="s">
        <v>1116</v>
      </c>
      <c r="B111" s="9">
        <v>0.83</v>
      </c>
      <c r="C111" s="10">
        <v>3.0000000000000002E-114</v>
      </c>
      <c r="D111" s="5">
        <v>41.48</v>
      </c>
      <c r="E111" s="5">
        <v>233</v>
      </c>
      <c r="F111" s="5" t="str">
        <f>HYPERLINK("https://www.ncbi.nlm.nih.gov/protein/HET6313972.1?report=genbank&amp;log$=prottop&amp;blast_rank=84&amp;RID=92DR1CFD013","HET6313972.1")</f>
        <v>HET6313972.1</v>
      </c>
    </row>
    <row r="112" spans="1:6">
      <c r="A112" s="4" t="s">
        <v>122</v>
      </c>
      <c r="B112" s="9">
        <v>1</v>
      </c>
      <c r="C112" s="10">
        <v>9.0000000000000003E-107</v>
      </c>
      <c r="D112" s="5">
        <v>41.28</v>
      </c>
      <c r="E112" s="5">
        <v>269</v>
      </c>
      <c r="F112" s="5" t="str">
        <f>HYPERLINK("https://www.ncbi.nlm.nih.gov/protein/MCX6280483.1?report=genbank&amp;log$=prottop&amp;blast_rank=107&amp;RID=92DR1CFD013","MCX6280483.1")</f>
        <v>MCX6280483.1</v>
      </c>
    </row>
    <row r="113" spans="1:6">
      <c r="A113" s="4" t="s">
        <v>674</v>
      </c>
      <c r="B113" s="9">
        <v>0.97</v>
      </c>
      <c r="C113" s="10">
        <v>3.0000000000000002E-104</v>
      </c>
      <c r="D113" s="5">
        <v>40.29</v>
      </c>
      <c r="E113" s="5">
        <v>269</v>
      </c>
      <c r="F113" s="5" t="str">
        <f>HYPERLINK("https://www.ncbi.nlm.nih.gov/protein/MDD5360778.1?report=genbank&amp;log$=prottop&amp;blast_rank=112&amp;RID=92DR1CFD013","MDD5360778.1")</f>
        <v>MDD5360778.1</v>
      </c>
    </row>
    <row r="114" spans="1:6">
      <c r="A114" s="4" t="s">
        <v>234</v>
      </c>
      <c r="B114" s="9">
        <v>0.88</v>
      </c>
      <c r="C114" s="10">
        <v>3.0000000000000001E-96</v>
      </c>
      <c r="D114" s="5">
        <v>40.159999999999997</v>
      </c>
      <c r="E114" s="5">
        <v>253</v>
      </c>
      <c r="F114" s="5" t="str">
        <f>HYPERLINK("https://www.ncbi.nlm.nih.gov/protein/MDH7514173.1?report=genbank&amp;log$=prottop&amp;blast_rank=155&amp;RID=92DR1CFD013","MDH7514173.1")</f>
        <v>MDH7514173.1</v>
      </c>
    </row>
    <row r="115" spans="1:6">
      <c r="A115" s="4" t="s">
        <v>1133</v>
      </c>
      <c r="B115" s="9">
        <v>1</v>
      </c>
      <c r="C115" s="10">
        <v>9.9999999999999993E-105</v>
      </c>
      <c r="D115" s="5">
        <v>40</v>
      </c>
      <c r="E115" s="5">
        <v>274</v>
      </c>
      <c r="F115" s="5" t="str">
        <f>HYPERLINK("https://www.ncbi.nlm.nih.gov/protein/WP_286336825.1?report=genbank&amp;log$=prottop&amp;blast_rank=111&amp;RID=92DR1CFD013","WP_286336825.1")</f>
        <v>WP_286336825.1</v>
      </c>
    </row>
    <row r="116" spans="1:6">
      <c r="A116" s="4" t="s">
        <v>1116</v>
      </c>
      <c r="B116" s="9">
        <v>0.97</v>
      </c>
      <c r="C116" s="10">
        <v>3.0000000000000002E-97</v>
      </c>
      <c r="D116" s="5">
        <v>39.630000000000003</v>
      </c>
      <c r="E116" s="5">
        <v>277</v>
      </c>
      <c r="F116" s="5" t="str">
        <f>HYPERLINK("https://www.ncbi.nlm.nih.gov/protein/HET9496477.1?report=genbank&amp;log$=prottop&amp;blast_rank=148&amp;RID=92DR1CFD013","HET9496477.1")</f>
        <v>HET9496477.1</v>
      </c>
    </row>
    <row r="117" spans="1:6">
      <c r="A117" s="4" t="s">
        <v>1116</v>
      </c>
      <c r="B117" s="9">
        <v>0.97</v>
      </c>
      <c r="C117" s="10">
        <v>2.9999999999999999E-110</v>
      </c>
      <c r="D117" s="5">
        <v>39.340000000000003</v>
      </c>
      <c r="E117" s="5">
        <v>309</v>
      </c>
      <c r="F117" s="5" t="str">
        <f>HYPERLINK("https://www.ncbi.nlm.nih.gov/protein/HKP53639.1?report=genbank&amp;log$=prottop&amp;blast_rank=101&amp;RID=92DR1CFD013","HKP53639.1")</f>
        <v>HKP53639.1</v>
      </c>
    </row>
    <row r="118" spans="1:6">
      <c r="A118" s="4" t="s">
        <v>433</v>
      </c>
      <c r="B118" s="9">
        <v>0.88</v>
      </c>
      <c r="C118" s="10">
        <v>6.0000000000000001E-99</v>
      </c>
      <c r="D118" s="5">
        <v>39.020000000000003</v>
      </c>
      <c r="E118" s="5">
        <v>244</v>
      </c>
      <c r="F118" s="5" t="str">
        <f>HYPERLINK("https://www.ncbi.nlm.nih.gov/protein/MEO8287352.1?report=genbank&amp;log$=prottop&amp;blast_rank=140&amp;RID=92DR1CFD013","MEO8287352.1")</f>
        <v>MEO8287352.1</v>
      </c>
    </row>
    <row r="119" spans="1:6">
      <c r="A119" s="4" t="s">
        <v>1134</v>
      </c>
      <c r="B119" s="9">
        <v>0.93</v>
      </c>
      <c r="C119" s="10">
        <v>3.0000000000000001E-94</v>
      </c>
      <c r="D119" s="5">
        <v>38.67</v>
      </c>
      <c r="E119" s="5">
        <v>272</v>
      </c>
      <c r="F119" s="5" t="str">
        <f>HYPERLINK("https://www.ncbi.nlm.nih.gov/protein/MDU8350300.1?report=genbank&amp;log$=prottop&amp;blast_rank=167&amp;RID=92DR1CFD013","MDU8350300.1")</f>
        <v>MDU8350300.1</v>
      </c>
    </row>
    <row r="120" spans="1:6">
      <c r="A120" s="4" t="s">
        <v>724</v>
      </c>
      <c r="B120" s="9">
        <v>0.99</v>
      </c>
      <c r="C120" s="10">
        <v>1E-108</v>
      </c>
      <c r="D120" s="5">
        <v>38.630000000000003</v>
      </c>
      <c r="E120" s="5">
        <v>272</v>
      </c>
      <c r="F120" s="5" t="str">
        <f>HYPERLINK("https://www.ncbi.nlm.nih.gov/protein/HVM61669.1?report=genbank&amp;log$=prottop&amp;blast_rank=105&amp;RID=92DR1CFD013","HVM61669.1")</f>
        <v>HVM61669.1</v>
      </c>
    </row>
    <row r="121" spans="1:6">
      <c r="A121" s="4" t="s">
        <v>1135</v>
      </c>
      <c r="B121" s="9">
        <v>0.96</v>
      </c>
      <c r="C121" s="10">
        <v>1E-100</v>
      </c>
      <c r="D121" s="5">
        <v>38.43</v>
      </c>
      <c r="E121" s="5">
        <v>256</v>
      </c>
      <c r="F121" s="5" t="str">
        <f>HYPERLINK("https://www.ncbi.nlm.nih.gov/protein/WP_269688288.1?report=genbank&amp;log$=prottop&amp;blast_rank=131&amp;RID=92DR1CFD013","WP_269688288.1")</f>
        <v>WP_269688288.1</v>
      </c>
    </row>
    <row r="122" spans="1:6">
      <c r="A122" s="4" t="s">
        <v>1136</v>
      </c>
      <c r="B122" s="9">
        <v>0.97</v>
      </c>
      <c r="C122" s="10">
        <v>9E-102</v>
      </c>
      <c r="D122" s="5">
        <v>38.35</v>
      </c>
      <c r="E122" s="5">
        <v>292</v>
      </c>
      <c r="F122" s="5" t="str">
        <f>HYPERLINK("https://www.ncbi.nlm.nih.gov/protein/OHE22264.1?report=genbank&amp;log$=prottop&amp;blast_rank=123&amp;RID=92DR1CFD013","OHE22264.1")</f>
        <v>OHE22264.1</v>
      </c>
    </row>
    <row r="123" spans="1:6">
      <c r="A123" s="4" t="s">
        <v>368</v>
      </c>
      <c r="B123" s="9">
        <v>0.98</v>
      </c>
      <c r="C123" s="10">
        <v>9.0000000000000004E-96</v>
      </c>
      <c r="D123" s="5">
        <v>38.35</v>
      </c>
      <c r="E123" s="5">
        <v>293</v>
      </c>
      <c r="F123" s="5" t="str">
        <f>HYPERLINK("https://www.ncbi.nlm.nih.gov/protein/MDD8020084.1?report=genbank&amp;log$=prottop&amp;blast_rank=157&amp;RID=92DR1CFD013","MDD8020084.1")</f>
        <v>MDD8020084.1</v>
      </c>
    </row>
    <row r="124" spans="1:6">
      <c r="A124" s="4" t="s">
        <v>310</v>
      </c>
      <c r="B124" s="9">
        <v>0.99</v>
      </c>
      <c r="C124" s="10">
        <v>9.9999999999999999E-119</v>
      </c>
      <c r="D124" s="5">
        <v>38.130000000000003</v>
      </c>
      <c r="E124" s="5">
        <v>290</v>
      </c>
      <c r="F124" s="5" t="str">
        <f>HYPERLINK("https://www.ncbi.nlm.nih.gov/protein/MBW2078232.1?report=genbank&amp;log$=prottop&amp;blast_rank=75&amp;RID=92DR1CFD013","MBW2078232.1")</f>
        <v>MBW2078232.1</v>
      </c>
    </row>
    <row r="125" spans="1:6">
      <c r="A125" s="4" t="s">
        <v>1137</v>
      </c>
      <c r="B125" s="9">
        <v>0.95</v>
      </c>
      <c r="C125" s="10">
        <v>9.9999999999999999E-96</v>
      </c>
      <c r="D125" s="5">
        <v>38.1</v>
      </c>
      <c r="E125" s="5">
        <v>272</v>
      </c>
      <c r="F125" s="5" t="str">
        <f>HYPERLINK("https://www.ncbi.nlm.nih.gov/protein/WP_081181016.1?report=genbank&amp;log$=prottop&amp;blast_rank=159&amp;RID=92DR1CFD013","WP_081181016.1")</f>
        <v>WP_081181016.1</v>
      </c>
    </row>
    <row r="126" spans="1:6">
      <c r="A126" s="4" t="s">
        <v>673</v>
      </c>
      <c r="B126" s="9">
        <v>0.97</v>
      </c>
      <c r="C126" s="10">
        <v>9.0000000000000004E-96</v>
      </c>
      <c r="D126" s="5">
        <v>37.92</v>
      </c>
      <c r="E126" s="5">
        <v>349</v>
      </c>
      <c r="F126" s="5" t="str">
        <f>HYPERLINK("https://www.ncbi.nlm.nih.gov/protein/MBI9101359.1?report=genbank&amp;log$=prottop&amp;blast_rank=156&amp;RID=92DR1CFD013","MBI9101359.1")</f>
        <v>MBI9101359.1</v>
      </c>
    </row>
    <row r="127" spans="1:6">
      <c r="A127" s="4" t="s">
        <v>18</v>
      </c>
      <c r="B127" s="9">
        <v>0.96</v>
      </c>
      <c r="C127" s="10">
        <v>8.0000000000000004E-101</v>
      </c>
      <c r="D127" s="5">
        <v>37.590000000000003</v>
      </c>
      <c r="E127" s="5">
        <v>254</v>
      </c>
      <c r="F127" s="5" t="str">
        <f>HYPERLINK("https://www.ncbi.nlm.nih.gov/protein/HAS6083235.1?report=genbank&amp;log$=prottop&amp;blast_rank=129&amp;RID=92DR1CFD013","HAS6083235.1")</f>
        <v>HAS6083235.1</v>
      </c>
    </row>
    <row r="128" spans="1:6">
      <c r="A128" s="4" t="s">
        <v>1138</v>
      </c>
      <c r="B128" s="9">
        <v>0.98</v>
      </c>
      <c r="C128" s="10">
        <v>6.0000000000000003E-95</v>
      </c>
      <c r="D128" s="5">
        <v>37.5</v>
      </c>
      <c r="E128" s="5">
        <v>292</v>
      </c>
      <c r="F128" s="5" t="str">
        <f>HYPERLINK("https://www.ncbi.nlm.nih.gov/protein/WOF82057.1?report=genbank&amp;log$=prottop&amp;blast_rank=166&amp;RID=92DR1CFD013","WOF82057.1")</f>
        <v>WOF82057.1</v>
      </c>
    </row>
    <row r="129" spans="1:6">
      <c r="A129" s="4" t="s">
        <v>15</v>
      </c>
      <c r="B129" s="9">
        <v>0.96</v>
      </c>
      <c r="C129" s="10">
        <v>3.9999999999999997E-104</v>
      </c>
      <c r="D129" s="5">
        <v>37.450000000000003</v>
      </c>
      <c r="E129" s="5">
        <v>256</v>
      </c>
      <c r="F129" s="5" t="str">
        <f>HYPERLINK("https://www.ncbi.nlm.nih.gov/protein/EJL6405721.1?report=genbank&amp;log$=prottop&amp;blast_rank=113&amp;RID=92DR1CFD013","EJL6405721.1")</f>
        <v>EJL6405721.1</v>
      </c>
    </row>
    <row r="130" spans="1:6">
      <c r="A130" s="4" t="s">
        <v>15</v>
      </c>
      <c r="B130" s="9">
        <v>0.96</v>
      </c>
      <c r="C130" s="10">
        <v>3.9999999999999998E-103</v>
      </c>
      <c r="D130" s="5">
        <v>37.450000000000003</v>
      </c>
      <c r="E130" s="5">
        <v>256</v>
      </c>
      <c r="F130" s="5" t="str">
        <f>HYPERLINK("https://www.ncbi.nlm.nih.gov/protein/HCM1285112.1?report=genbank&amp;log$=prottop&amp;blast_rank=116&amp;RID=92DR1CFD013","HCM1285112.1")</f>
        <v>HCM1285112.1</v>
      </c>
    </row>
    <row r="131" spans="1:6">
      <c r="A131" s="4" t="s">
        <v>18</v>
      </c>
      <c r="B131" s="9">
        <v>0.96</v>
      </c>
      <c r="C131" s="10">
        <v>2.0000000000000001E-101</v>
      </c>
      <c r="D131" s="5">
        <v>37.450000000000003</v>
      </c>
      <c r="E131" s="5">
        <v>256</v>
      </c>
      <c r="F131" s="5" t="str">
        <f>HYPERLINK("https://www.ncbi.nlm.nih.gov/protein/WP_130350006.1?report=genbank&amp;log$=prottop&amp;blast_rank=124&amp;RID=92DR1CFD013","WP_130350006.1")</f>
        <v>WP_130350006.1</v>
      </c>
    </row>
    <row r="132" spans="1:6">
      <c r="A132" s="4" t="s">
        <v>1083</v>
      </c>
      <c r="B132" s="9">
        <v>0.96</v>
      </c>
      <c r="C132" s="10">
        <v>6.0000000000000006E-101</v>
      </c>
      <c r="D132" s="5">
        <v>37.090000000000003</v>
      </c>
      <c r="E132" s="5">
        <v>272</v>
      </c>
      <c r="F132" s="5" t="str">
        <f>HYPERLINK("https://www.ncbi.nlm.nih.gov/protein/MCK5194210.1?report=genbank&amp;log$=prottop&amp;blast_rank=128&amp;RID=92DR1CFD013","MCK5194210.1")</f>
        <v>MCK5194210.1</v>
      </c>
    </row>
    <row r="133" spans="1:6">
      <c r="A133" s="4" t="s">
        <v>18</v>
      </c>
      <c r="B133" s="9">
        <v>0.96</v>
      </c>
      <c r="C133" s="10">
        <v>7.0000000000000006E-104</v>
      </c>
      <c r="D133" s="5">
        <v>37.08</v>
      </c>
      <c r="E133" s="5">
        <v>256</v>
      </c>
      <c r="F133" s="5" t="str">
        <f>HYPERLINK("https://www.ncbi.nlm.nih.gov/protein/WP_045609829.1?report=genbank&amp;log$=prottop&amp;blast_rank=114&amp;RID=92DR1CFD013","WP_045609829.1")</f>
        <v>WP_045609829.1</v>
      </c>
    </row>
    <row r="134" spans="1:6">
      <c r="A134" s="4" t="s">
        <v>114</v>
      </c>
      <c r="B134" s="9">
        <v>0.96</v>
      </c>
      <c r="C134" s="10">
        <v>7.0000000000000003E-103</v>
      </c>
      <c r="D134" s="5">
        <v>37.08</v>
      </c>
      <c r="E134" s="5">
        <v>256</v>
      </c>
      <c r="F134" s="5" t="str">
        <f>HYPERLINK("https://www.ncbi.nlm.nih.gov/protein/WP_063345489.1?report=genbank&amp;log$=prottop&amp;blast_rank=117&amp;RID=92DR1CFD013","WP_063345489.1")</f>
        <v>WP_063345489.1</v>
      </c>
    </row>
    <row r="135" spans="1:6">
      <c r="A135" s="4" t="s">
        <v>1139</v>
      </c>
      <c r="B135" s="9">
        <v>0.8</v>
      </c>
      <c r="C135" s="10">
        <v>2E-92</v>
      </c>
      <c r="D135" s="5">
        <v>37.049999999999997</v>
      </c>
      <c r="E135" s="5">
        <v>225</v>
      </c>
      <c r="F135" s="5" t="str">
        <f>HYPERLINK("https://www.ncbi.nlm.nih.gov/protein/WP_045147927.1?report=genbank&amp;log$=prottop&amp;blast_rank=180&amp;RID=92DR1CFD013","WP_045147927.1")</f>
        <v>WP_045147927.1</v>
      </c>
    </row>
    <row r="136" spans="1:6">
      <c r="A136" s="4" t="s">
        <v>310</v>
      </c>
      <c r="B136" s="9">
        <v>0.89</v>
      </c>
      <c r="C136" s="10">
        <v>9.0000000000000004E-96</v>
      </c>
      <c r="D136" s="5">
        <v>36.950000000000003</v>
      </c>
      <c r="E136" s="5">
        <v>253</v>
      </c>
      <c r="F136" s="5" t="str">
        <f>HYPERLINK("https://www.ncbi.nlm.nih.gov/protein/MBN1833466.1?report=genbank&amp;log$=prottop&amp;blast_rank=158&amp;RID=92DR1CFD013","MBN1833466.1")</f>
        <v>MBN1833466.1</v>
      </c>
    </row>
    <row r="137" spans="1:6">
      <c r="A137" s="4" t="s">
        <v>34</v>
      </c>
      <c r="B137" s="9">
        <v>0.98</v>
      </c>
      <c r="C137" s="10">
        <v>1E-97</v>
      </c>
      <c r="D137" s="5">
        <v>36.86</v>
      </c>
      <c r="E137" s="5">
        <v>271</v>
      </c>
      <c r="F137" s="5" t="str">
        <f>HYPERLINK("https://www.ncbi.nlm.nih.gov/protein/HNW83562.1?report=genbank&amp;log$=prottop&amp;blast_rank=147&amp;RID=92DR1CFD013","HNW83562.1")</f>
        <v>HNW83562.1</v>
      </c>
    </row>
    <row r="138" spans="1:6">
      <c r="A138" s="4" t="s">
        <v>1116</v>
      </c>
      <c r="B138" s="9">
        <v>0.98</v>
      </c>
      <c r="C138" s="10">
        <v>6.0000000000000003E-115</v>
      </c>
      <c r="D138" s="5">
        <v>36.76</v>
      </c>
      <c r="E138" s="5">
        <v>286</v>
      </c>
      <c r="F138" s="5" t="str">
        <f>HYPERLINK("https://www.ncbi.nlm.nih.gov/protein/HEY0072341.1?report=genbank&amp;log$=prottop&amp;blast_rank=83&amp;RID=92DR1CFD013","HEY0072341.1")</f>
        <v>HEY0072341.1</v>
      </c>
    </row>
    <row r="139" spans="1:6">
      <c r="A139" s="4" t="s">
        <v>122</v>
      </c>
      <c r="B139" s="9">
        <v>0.95</v>
      </c>
      <c r="C139" s="10">
        <v>2E-95</v>
      </c>
      <c r="D139" s="5">
        <v>36.74</v>
      </c>
      <c r="E139" s="5">
        <v>256</v>
      </c>
      <c r="F139" s="5" t="str">
        <f>HYPERLINK("https://www.ncbi.nlm.nih.gov/protein/MBC8147926.1?report=genbank&amp;log$=prottop&amp;blast_rank=160&amp;RID=92DR1CFD013","MBC8147926.1")</f>
        <v>MBC8147926.1</v>
      </c>
    </row>
    <row r="140" spans="1:6">
      <c r="A140" s="4" t="s">
        <v>1100</v>
      </c>
      <c r="B140" s="9">
        <v>0.98</v>
      </c>
      <c r="C140" s="10">
        <v>2.0000000000000001E-110</v>
      </c>
      <c r="D140" s="5">
        <v>36.619999999999997</v>
      </c>
      <c r="E140" s="5">
        <v>298</v>
      </c>
      <c r="F140" s="5" t="str">
        <f>HYPERLINK("https://www.ncbi.nlm.nih.gov/protein/MCI0486021.1?report=genbank&amp;log$=prottop&amp;blast_rank=98&amp;RID=92DR1CFD013","MCI0486021.1")</f>
        <v>MCI0486021.1</v>
      </c>
    </row>
    <row r="141" spans="1:6">
      <c r="A141" s="4" t="s">
        <v>452</v>
      </c>
      <c r="B141" s="9">
        <v>0.98</v>
      </c>
      <c r="C141" s="10">
        <v>9.9999999999999998E-86</v>
      </c>
      <c r="D141" s="5">
        <v>36.53</v>
      </c>
      <c r="E141" s="5">
        <v>262</v>
      </c>
      <c r="F141" s="5" t="str">
        <f>HYPERLINK("https://www.ncbi.nlm.nih.gov/protein/MBU6430935.1?report=genbank&amp;log$=prottop&amp;blast_rank=214&amp;RID=92DR1CFD013","MBU6430935.1")</f>
        <v>MBU6430935.1</v>
      </c>
    </row>
    <row r="142" spans="1:6">
      <c r="A142" s="4" t="s">
        <v>1116</v>
      </c>
      <c r="B142" s="9">
        <v>0.98</v>
      </c>
      <c r="C142" s="10">
        <v>4.0000000000000001E-117</v>
      </c>
      <c r="D142" s="5">
        <v>36.5</v>
      </c>
      <c r="E142" s="5">
        <v>275</v>
      </c>
      <c r="F142" s="5" t="str">
        <f>HYPERLINK("https://www.ncbi.nlm.nih.gov/protein/HVF99553.1?report=genbank&amp;log$=prottop&amp;blast_rank=78&amp;RID=92DR1CFD013","HVF99553.1")</f>
        <v>HVF99553.1</v>
      </c>
    </row>
    <row r="143" spans="1:6">
      <c r="A143" s="4" t="s">
        <v>671</v>
      </c>
      <c r="B143" s="9">
        <v>0.99</v>
      </c>
      <c r="C143" s="10">
        <v>6E-98</v>
      </c>
      <c r="D143" s="5">
        <v>36.46</v>
      </c>
      <c r="E143" s="5">
        <v>271</v>
      </c>
      <c r="F143" s="5" t="str">
        <f>HYPERLINK("https://www.ncbi.nlm.nih.gov/protein/MCG9875389.1?report=genbank&amp;log$=prottop&amp;blast_rank=146&amp;RID=92DR1CFD013","MCG9875389.1")</f>
        <v>MCG9875389.1</v>
      </c>
    </row>
    <row r="144" spans="1:6">
      <c r="A144" s="4" t="s">
        <v>1116</v>
      </c>
      <c r="B144" s="9">
        <v>0.98</v>
      </c>
      <c r="C144" s="10">
        <v>4.9999999999999999E-119</v>
      </c>
      <c r="D144" s="5">
        <v>36.4</v>
      </c>
      <c r="E144" s="5">
        <v>275</v>
      </c>
      <c r="F144" s="5" t="str">
        <f>HYPERLINK("https://www.ncbi.nlm.nih.gov/protein/HEX8217902.1?report=genbank&amp;log$=prottop&amp;blast_rank=72&amp;RID=92DR1CFD013","HEX8217902.1")</f>
        <v>HEX8217902.1</v>
      </c>
    </row>
    <row r="145" spans="1:6">
      <c r="A145" s="4" t="s">
        <v>686</v>
      </c>
      <c r="B145" s="9">
        <v>0.99</v>
      </c>
      <c r="C145" s="10">
        <v>2E-92</v>
      </c>
      <c r="D145" s="5">
        <v>36</v>
      </c>
      <c r="E145" s="5">
        <v>267</v>
      </c>
      <c r="F145" s="5" t="str">
        <f>HYPERLINK("https://www.ncbi.nlm.nih.gov/protein/MBM3251824.1?report=genbank&amp;log$=prottop&amp;blast_rank=178&amp;RID=92DR1CFD013","MBM3251824.1")</f>
        <v>MBM3251824.1</v>
      </c>
    </row>
    <row r="146" spans="1:6">
      <c r="A146" s="4" t="s">
        <v>310</v>
      </c>
      <c r="B146" s="9">
        <v>0.97</v>
      </c>
      <c r="C146" s="10">
        <v>3.9999999999999997E-102</v>
      </c>
      <c r="D146" s="5">
        <v>35.93</v>
      </c>
      <c r="E146" s="5">
        <v>274</v>
      </c>
      <c r="F146" s="5" t="str">
        <f>HYPERLINK("https://www.ncbi.nlm.nih.gov/protein/MBW1721134.1?report=genbank&amp;log$=prottop&amp;blast_rank=122&amp;RID=92DR1CFD013","MBW1721134.1")</f>
        <v>MBW1721134.1</v>
      </c>
    </row>
    <row r="147" spans="1:6">
      <c r="A147" s="4" t="s">
        <v>1140</v>
      </c>
      <c r="B147" s="9">
        <v>0.93</v>
      </c>
      <c r="C147" s="10">
        <v>9.0000000000000003E-84</v>
      </c>
      <c r="D147" s="5">
        <v>35.799999999999997</v>
      </c>
      <c r="E147" s="5">
        <v>249</v>
      </c>
      <c r="F147" s="5" t="str">
        <f>HYPERLINK("https://www.ncbi.nlm.nih.gov/protein/HLD38060.1?report=genbank&amp;log$=prottop&amp;blast_rank=220&amp;RID=92DR1CFD013","HLD38060.1")</f>
        <v>HLD38060.1</v>
      </c>
    </row>
    <row r="148" spans="1:6">
      <c r="A148" s="4" t="s">
        <v>1141</v>
      </c>
      <c r="B148" s="9">
        <v>0.89</v>
      </c>
      <c r="C148" s="10">
        <v>1.9999999999999999E-80</v>
      </c>
      <c r="D148" s="5">
        <v>35.74</v>
      </c>
      <c r="E148" s="5">
        <v>304</v>
      </c>
      <c r="F148" s="5" t="str">
        <f>HYPERLINK("https://www.ncbi.nlm.nih.gov/protein/WP_320502438.1?report=genbank&amp;log$=prottop&amp;blast_rank=227&amp;RID=92DR1CFD013","WP_320502438.1")</f>
        <v>WP_320502438.1</v>
      </c>
    </row>
    <row r="149" spans="1:6">
      <c r="A149" s="4" t="s">
        <v>1142</v>
      </c>
      <c r="B149" s="9">
        <v>0.85</v>
      </c>
      <c r="C149" s="10">
        <v>9.999999999999999E-94</v>
      </c>
      <c r="D149" s="5">
        <v>35.590000000000003</v>
      </c>
      <c r="E149" s="5">
        <v>245</v>
      </c>
      <c r="F149" s="5" t="str">
        <f>HYPERLINK("https://www.ncbi.nlm.nih.gov/protein/MCI0562389.1?report=genbank&amp;log$=prottop&amp;blast_rank=174&amp;RID=92DR1CFD013","MCI0562389.1")</f>
        <v>MCI0562389.1</v>
      </c>
    </row>
    <row r="150" spans="1:6">
      <c r="A150" s="4" t="s">
        <v>34</v>
      </c>
      <c r="B150" s="9">
        <v>0.98</v>
      </c>
      <c r="C150" s="10">
        <v>4.0000000000000001E-87</v>
      </c>
      <c r="D150" s="5">
        <v>35.51</v>
      </c>
      <c r="E150" s="5">
        <v>271</v>
      </c>
      <c r="F150" s="5" t="str">
        <f>HYPERLINK("https://www.ncbi.nlm.nih.gov/protein/MBP7433543.1?report=genbank&amp;log$=prottop&amp;blast_rank=202&amp;RID=92DR1CFD013","MBP7433543.1")</f>
        <v>MBP7433543.1</v>
      </c>
    </row>
    <row r="151" spans="1:6">
      <c r="A151" s="4" t="s">
        <v>1143</v>
      </c>
      <c r="B151" s="9">
        <v>0.98</v>
      </c>
      <c r="C151" s="10">
        <v>8.9999999999999997E-101</v>
      </c>
      <c r="D151" s="5">
        <v>35.42</v>
      </c>
      <c r="E151" s="5">
        <v>268</v>
      </c>
      <c r="F151" s="5" t="str">
        <f>HYPERLINK("https://www.ncbi.nlm.nih.gov/protein/MCJ7714805.1?report=genbank&amp;log$=prottop&amp;blast_rank=130&amp;RID=92DR1CFD013","MCJ7714805.1")</f>
        <v>MCJ7714805.1</v>
      </c>
    </row>
    <row r="152" spans="1:6">
      <c r="A152" s="4" t="s">
        <v>1144</v>
      </c>
      <c r="B152" s="9">
        <v>0.96</v>
      </c>
      <c r="C152" s="10">
        <v>9.9999999999999993E-89</v>
      </c>
      <c r="D152" s="5">
        <v>35.340000000000003</v>
      </c>
      <c r="E152" s="5">
        <v>257</v>
      </c>
      <c r="F152" s="5" t="str">
        <f>HYPERLINK("https://www.ncbi.nlm.nih.gov/protein/MDD3985642.1?report=genbank&amp;log$=prottop&amp;blast_rank=196&amp;RID=92DR1CFD013","MDD3985642.1")</f>
        <v>MDD3985642.1</v>
      </c>
    </row>
    <row r="153" spans="1:6">
      <c r="A153" s="4" t="s">
        <v>1145</v>
      </c>
      <c r="B153" s="9">
        <v>0.96</v>
      </c>
      <c r="C153" s="10">
        <v>9.0000000000000004E-93</v>
      </c>
      <c r="D153" s="5">
        <v>35.229999999999997</v>
      </c>
      <c r="E153" s="5">
        <v>257</v>
      </c>
      <c r="F153" s="5" t="str">
        <f>HYPERLINK("https://www.ncbi.nlm.nih.gov/protein/HRW99356.1?report=genbank&amp;log$=prottop&amp;blast_rank=177&amp;RID=92DR1CFD013","HRW99356.1")</f>
        <v>HRW99356.1</v>
      </c>
    </row>
    <row r="154" spans="1:6">
      <c r="A154" s="4" t="s">
        <v>1146</v>
      </c>
      <c r="B154" s="9">
        <v>0.97</v>
      </c>
      <c r="C154" s="10">
        <v>3.0000000000000001E-96</v>
      </c>
      <c r="D154" s="5">
        <v>35.14</v>
      </c>
      <c r="E154" s="5">
        <v>278</v>
      </c>
      <c r="F154" s="5" t="str">
        <f>HYPERLINK("https://www.ncbi.nlm.nih.gov/protein/MCC6282602.1?report=genbank&amp;log$=prottop&amp;blast_rank=154&amp;RID=92DR1CFD013","MCC6282602.1")</f>
        <v>MCC6282602.1</v>
      </c>
    </row>
    <row r="155" spans="1:6">
      <c r="A155" s="4" t="s">
        <v>1007</v>
      </c>
      <c r="B155" s="9">
        <v>0.96</v>
      </c>
      <c r="C155" s="10">
        <v>3E-102</v>
      </c>
      <c r="D155" s="5">
        <v>35.07</v>
      </c>
      <c r="E155" s="5">
        <v>256</v>
      </c>
      <c r="F155" s="5" t="str">
        <f>HYPERLINK("https://www.ncbi.nlm.nih.gov/protein/WP_037022439.1?report=genbank&amp;log$=prottop&amp;blast_rank=120&amp;RID=92DR1CFD013","WP_037022439.1")</f>
        <v>WP_037022439.1</v>
      </c>
    </row>
    <row r="156" spans="1:6">
      <c r="A156" s="4" t="s">
        <v>595</v>
      </c>
      <c r="B156" s="9">
        <v>0.96</v>
      </c>
      <c r="C156" s="10">
        <v>4.0000000000000001E-100</v>
      </c>
      <c r="D156" s="5">
        <v>35.07</v>
      </c>
      <c r="E156" s="5">
        <v>256</v>
      </c>
      <c r="F156" s="5" t="str">
        <f>HYPERLINK("https://www.ncbi.nlm.nih.gov/protein/NLY14458.1?report=genbank&amp;log$=prottop&amp;blast_rank=134&amp;RID=92DR1CFD013","NLY14458.1")</f>
        <v>NLY14458.1</v>
      </c>
    </row>
    <row r="157" spans="1:6">
      <c r="A157" s="4" t="s">
        <v>1147</v>
      </c>
      <c r="B157" s="9">
        <v>0.96</v>
      </c>
      <c r="C157" s="10">
        <v>1E-89</v>
      </c>
      <c r="D157" s="5">
        <v>34.96</v>
      </c>
      <c r="E157" s="5">
        <v>266</v>
      </c>
      <c r="F157" s="5" t="str">
        <f>HYPERLINK("https://www.ncbi.nlm.nih.gov/protein/WP_258629261.1?report=genbank&amp;log$=prottop&amp;blast_rank=191&amp;RID=92DR1CFD013","WP_258629261.1")</f>
        <v>WP_258629261.1</v>
      </c>
    </row>
    <row r="158" spans="1:6">
      <c r="A158" s="4" t="s">
        <v>1148</v>
      </c>
      <c r="B158" s="9">
        <v>0.99</v>
      </c>
      <c r="C158" s="10">
        <v>2E-99</v>
      </c>
      <c r="D158" s="5">
        <v>34.909999999999997</v>
      </c>
      <c r="E158" s="5">
        <v>272</v>
      </c>
      <c r="F158" s="5" t="str">
        <f>HYPERLINK("https://www.ncbi.nlm.nih.gov/protein/MBN2187643.1?report=genbank&amp;log$=prottop&amp;blast_rank=138&amp;RID=92DR1CFD013","MBN2187643.1")</f>
        <v>MBN2187643.1</v>
      </c>
    </row>
    <row r="159" spans="1:6">
      <c r="A159" s="4" t="s">
        <v>1149</v>
      </c>
      <c r="B159" s="9">
        <v>0.99</v>
      </c>
      <c r="C159" s="10">
        <v>2.0000000000000001E-89</v>
      </c>
      <c r="D159" s="5">
        <v>34.909999999999997</v>
      </c>
      <c r="E159" s="5">
        <v>259</v>
      </c>
      <c r="F159" s="5" t="str">
        <f>HYPERLINK("https://www.ncbi.nlm.nih.gov/protein/HCU22674.1?report=genbank&amp;log$=prottop&amp;blast_rank=194&amp;RID=92DR1CFD013","HCU22674.1")</f>
        <v>HCU22674.1</v>
      </c>
    </row>
    <row r="160" spans="1:6">
      <c r="A160" s="4" t="s">
        <v>1146</v>
      </c>
      <c r="B160" s="9">
        <v>0.96</v>
      </c>
      <c r="C160" s="10">
        <v>6.0000000000000005E-76</v>
      </c>
      <c r="D160" s="5">
        <v>34.83</v>
      </c>
      <c r="E160" s="5">
        <v>272</v>
      </c>
      <c r="F160" s="5" t="str">
        <f>HYPERLINK("https://www.ncbi.nlm.nih.gov/protein/HLF64471.1?report=genbank&amp;log$=prottop&amp;blast_rank=239&amp;RID=92DR1CFD013","HLF64471.1")</f>
        <v>HLF64471.1</v>
      </c>
    </row>
    <row r="161" spans="1:6">
      <c r="A161" s="4" t="s">
        <v>1150</v>
      </c>
      <c r="B161" s="9">
        <v>0.98</v>
      </c>
      <c r="C161" s="10">
        <v>2E-95</v>
      </c>
      <c r="D161" s="5">
        <v>34.799999999999997</v>
      </c>
      <c r="E161" s="5">
        <v>265</v>
      </c>
      <c r="F161" s="5" t="str">
        <f>HYPERLINK("https://www.ncbi.nlm.nih.gov/protein/WP_063555990.1?report=genbank&amp;log$=prottop&amp;blast_rank=161&amp;RID=92DR1CFD013","WP_063555990.1")</f>
        <v>WP_063555990.1</v>
      </c>
    </row>
    <row r="162" spans="1:6">
      <c r="A162" s="4" t="s">
        <v>829</v>
      </c>
      <c r="B162" s="9">
        <v>0.96</v>
      </c>
      <c r="C162" s="10">
        <v>3E-102</v>
      </c>
      <c r="D162" s="5">
        <v>34.700000000000003</v>
      </c>
      <c r="E162" s="5">
        <v>256</v>
      </c>
      <c r="F162" s="5" t="str">
        <f>HYPERLINK("https://www.ncbi.nlm.nih.gov/protein/WP_312842268.1?report=genbank&amp;log$=prottop&amp;blast_rank=121&amp;RID=92DR1CFD013","WP_312842268.1")</f>
        <v>WP_312842268.1</v>
      </c>
    </row>
    <row r="163" spans="1:6">
      <c r="A163" s="4" t="s">
        <v>112</v>
      </c>
      <c r="B163" s="9">
        <v>0.99</v>
      </c>
      <c r="C163" s="10">
        <v>5.0000000000000001E-100</v>
      </c>
      <c r="D163" s="5">
        <v>34.67</v>
      </c>
      <c r="E163" s="5">
        <v>263</v>
      </c>
      <c r="F163" s="5" t="str">
        <f>HYPERLINK("https://www.ncbi.nlm.nih.gov/protein/MDO9579265.1?report=genbank&amp;log$=prottop&amp;blast_rank=136&amp;RID=92DR1CFD013","MDO9579265.1")</f>
        <v>MDO9579265.1</v>
      </c>
    </row>
    <row r="164" spans="1:6">
      <c r="A164" s="4" t="s">
        <v>1151</v>
      </c>
      <c r="B164" s="9">
        <v>0.93</v>
      </c>
      <c r="C164" s="10">
        <v>4.9999999999999995E-94</v>
      </c>
      <c r="D164" s="5">
        <v>34.630000000000003</v>
      </c>
      <c r="E164" s="5">
        <v>257</v>
      </c>
      <c r="F164" s="5" t="str">
        <f>HYPERLINK("https://www.ncbi.nlm.nih.gov/protein/WP_341678739.1?report=genbank&amp;log$=prottop&amp;blast_rank=170&amp;RID=92DR1CFD013","WP_341678739.1")</f>
        <v>WP_341678739.1</v>
      </c>
    </row>
    <row r="165" spans="1:6">
      <c r="A165" s="4" t="s">
        <v>1152</v>
      </c>
      <c r="B165" s="9">
        <v>0.97</v>
      </c>
      <c r="C165" s="10">
        <v>5.0000000000000001E-101</v>
      </c>
      <c r="D165" s="5">
        <v>34.57</v>
      </c>
      <c r="E165" s="5">
        <v>265</v>
      </c>
      <c r="F165" s="5" t="str">
        <f>HYPERLINK("https://www.ncbi.nlm.nih.gov/protein/OYT41994.1?report=genbank&amp;log$=prottop&amp;blast_rank=127&amp;RID=92DR1CFD013","OYT41994.1")</f>
        <v>OYT41994.1</v>
      </c>
    </row>
    <row r="166" spans="1:6">
      <c r="A166" s="4" t="s">
        <v>1146</v>
      </c>
      <c r="B166" s="9">
        <v>0.98</v>
      </c>
      <c r="C166" s="10">
        <v>3.9999999999999998E-80</v>
      </c>
      <c r="D166" s="5">
        <v>34.53</v>
      </c>
      <c r="E166" s="5">
        <v>267</v>
      </c>
      <c r="F166" s="5" t="str">
        <f>HYPERLINK("https://www.ncbi.nlm.nih.gov/protein/MBK8854958.1?report=genbank&amp;log$=prottop&amp;blast_rank=229&amp;RID=92DR1CFD013","MBK8854958.1")</f>
        <v>MBK8854958.1</v>
      </c>
    </row>
    <row r="167" spans="1:6">
      <c r="A167" s="4" t="s">
        <v>1153</v>
      </c>
      <c r="B167" s="9">
        <v>0.96</v>
      </c>
      <c r="C167" s="10">
        <v>1.9999999999999998E-93</v>
      </c>
      <c r="D167" s="5">
        <v>34.21</v>
      </c>
      <c r="E167" s="5">
        <v>256</v>
      </c>
      <c r="F167" s="5" t="str">
        <f>HYPERLINK("https://www.ncbi.nlm.nih.gov/protein/KHO52170.1?report=genbank&amp;log$=prottop&amp;blast_rank=176&amp;RID=92DR1CFD013","KHO52170.1")</f>
        <v>KHO52170.1</v>
      </c>
    </row>
    <row r="168" spans="1:6">
      <c r="A168" s="4" t="s">
        <v>595</v>
      </c>
      <c r="B168" s="9">
        <v>0.97</v>
      </c>
      <c r="C168" s="10">
        <v>8.0000000000000002E-99</v>
      </c>
      <c r="D168" s="5">
        <v>34.200000000000003</v>
      </c>
      <c r="E168" s="5">
        <v>258</v>
      </c>
      <c r="F168" s="5" t="str">
        <f>HYPERLINK("https://www.ncbi.nlm.nih.gov/protein/PID63580.1?report=genbank&amp;log$=prottop&amp;blast_rank=142&amp;RID=92DR1CFD013","PID63580.1")</f>
        <v>PID63580.1</v>
      </c>
    </row>
    <row r="169" spans="1:6">
      <c r="A169" s="4" t="s">
        <v>452</v>
      </c>
      <c r="B169" s="9">
        <v>0.98</v>
      </c>
      <c r="C169" s="10">
        <v>3.0000000000000002E-97</v>
      </c>
      <c r="D169" s="5">
        <v>34.07</v>
      </c>
      <c r="E169" s="5">
        <v>263</v>
      </c>
      <c r="F169" s="5" t="str">
        <f>HYPERLINK("https://www.ncbi.nlm.nih.gov/protein/HUD19233.1?report=genbank&amp;log$=prottop&amp;blast_rank=149&amp;RID=92DR1CFD013","HUD19233.1")</f>
        <v>HUD19233.1</v>
      </c>
    </row>
    <row r="170" spans="1:6">
      <c r="A170" s="4" t="s">
        <v>890</v>
      </c>
      <c r="B170" s="9">
        <v>0.94</v>
      </c>
      <c r="C170" s="10">
        <v>9.0000000000000001E-92</v>
      </c>
      <c r="D170" s="5">
        <v>33.97</v>
      </c>
      <c r="E170" s="5">
        <v>255</v>
      </c>
      <c r="F170" s="5" t="str">
        <f>HYPERLINK("https://www.ncbi.nlm.nih.gov/protein/HUQ68751.1?report=genbank&amp;log$=prottop&amp;blast_rank=184&amp;RID=92DR1CFD013","HUQ68751.1")</f>
        <v>HUQ68751.1</v>
      </c>
    </row>
    <row r="171" spans="1:6">
      <c r="A171" s="4" t="s">
        <v>1154</v>
      </c>
      <c r="B171" s="9">
        <v>0.96</v>
      </c>
      <c r="C171" s="10">
        <v>9.0000000000000006E-79</v>
      </c>
      <c r="D171" s="5">
        <v>33.96</v>
      </c>
      <c r="E171" s="5">
        <v>265</v>
      </c>
      <c r="F171" s="5" t="str">
        <f>HYPERLINK("https://www.ncbi.nlm.nih.gov/protein/HIP15104.1?report=genbank&amp;log$=prottop&amp;blast_rank=236&amp;RID=92DR1CFD013","HIP15104.1")</f>
        <v>HIP15104.1</v>
      </c>
    </row>
    <row r="172" spans="1:6">
      <c r="A172" s="4" t="s">
        <v>666</v>
      </c>
      <c r="B172" s="9">
        <v>0.99</v>
      </c>
      <c r="C172" s="10">
        <v>7E-94</v>
      </c>
      <c r="D172" s="5">
        <v>33.94</v>
      </c>
      <c r="E172" s="5">
        <v>260</v>
      </c>
      <c r="F172" s="5" t="str">
        <f>HYPERLINK("https://www.ncbi.nlm.nih.gov/protein/RJQ56801.1?report=genbank&amp;log$=prottop&amp;blast_rank=171&amp;RID=92DR1CFD013","RJQ56801.1")</f>
        <v>RJQ56801.1</v>
      </c>
    </row>
    <row r="173" spans="1:6">
      <c r="A173" s="4" t="s">
        <v>1155</v>
      </c>
      <c r="B173" s="9">
        <v>0.98</v>
      </c>
      <c r="C173" s="10">
        <v>9.9999999999999993E-103</v>
      </c>
      <c r="D173" s="5">
        <v>33.700000000000003</v>
      </c>
      <c r="E173" s="5">
        <v>265</v>
      </c>
      <c r="F173" s="5" t="str">
        <f>HYPERLINK("https://www.ncbi.nlm.nih.gov/protein/MCD6207071.1?report=genbank&amp;log$=prottop&amp;blast_rank=118&amp;RID=92DR1CFD013","MCD6207071.1")</f>
        <v>MCD6207071.1</v>
      </c>
    </row>
    <row r="174" spans="1:6">
      <c r="A174" s="4" t="s">
        <v>425</v>
      </c>
      <c r="B174" s="9">
        <v>0.97</v>
      </c>
      <c r="C174" s="10">
        <v>2.0000000000000001E-101</v>
      </c>
      <c r="D174" s="5">
        <v>33.700000000000003</v>
      </c>
      <c r="E174" s="5">
        <v>274</v>
      </c>
      <c r="F174" s="5" t="str">
        <f>HYPERLINK("https://www.ncbi.nlm.nih.gov/protein/MCA9896616.1?report=genbank&amp;log$=prottop&amp;blast_rank=125&amp;RID=92DR1CFD013","MCA9896616.1")</f>
        <v>MCA9896616.1</v>
      </c>
    </row>
    <row r="175" spans="1:6">
      <c r="A175" s="4" t="s">
        <v>380</v>
      </c>
      <c r="B175" s="9">
        <v>0.96</v>
      </c>
      <c r="C175" s="10">
        <v>8.9999999999999992E-87</v>
      </c>
      <c r="D175" s="5">
        <v>33.33</v>
      </c>
      <c r="E175" s="5">
        <v>258</v>
      </c>
      <c r="F175" s="5" t="str">
        <f>HYPERLINK("https://www.ncbi.nlm.nih.gov/protein/MCO5188860.1?report=genbank&amp;log$=prottop&amp;blast_rank=207&amp;RID=92DR1CFD013","MCO5188860.1")</f>
        <v>MCO5188860.1</v>
      </c>
    </row>
    <row r="176" spans="1:6">
      <c r="A176" s="4" t="s">
        <v>1156</v>
      </c>
      <c r="B176" s="9">
        <v>0.94</v>
      </c>
      <c r="C176" s="10">
        <v>7.0000000000000002E-84</v>
      </c>
      <c r="D176" s="5">
        <v>33.33</v>
      </c>
      <c r="E176" s="5">
        <v>252</v>
      </c>
      <c r="F176" s="5" t="str">
        <f>HYPERLINK("https://www.ncbi.nlm.nih.gov/protein/MBE0472001.1?report=genbank&amp;log$=prottop&amp;blast_rank=219&amp;RID=92DR1CFD013","MBE0472001.1")</f>
        <v>MBE0472001.1</v>
      </c>
    </row>
    <row r="177" spans="1:6">
      <c r="A177" s="4" t="s">
        <v>1157</v>
      </c>
      <c r="B177" s="9">
        <v>0.98</v>
      </c>
      <c r="C177" s="10">
        <v>2.0000000000000001E-101</v>
      </c>
      <c r="D177" s="5">
        <v>33.21</v>
      </c>
      <c r="E177" s="5">
        <v>267</v>
      </c>
      <c r="F177" s="5" t="str">
        <f>HYPERLINK("https://www.ncbi.nlm.nih.gov/protein/CAD6491687.1?report=genbank&amp;log$=prottop&amp;blast_rank=126&amp;RID=92DR1CFD013","CAD6491687.1")</f>
        <v>CAD6491687.1</v>
      </c>
    </row>
    <row r="178" spans="1:6">
      <c r="A178" s="4" t="s">
        <v>674</v>
      </c>
      <c r="B178" s="9">
        <v>0.99</v>
      </c>
      <c r="C178" s="10">
        <v>7E-94</v>
      </c>
      <c r="D178" s="5">
        <v>33.21</v>
      </c>
      <c r="E178" s="5">
        <v>261</v>
      </c>
      <c r="F178" s="5" t="str">
        <f>HYPERLINK("https://www.ncbi.nlm.nih.gov/protein/HED05988.1?report=genbank&amp;log$=prottop&amp;blast_rank=172&amp;RID=92DR1CFD013","HED05988.1")</f>
        <v>HED05988.1</v>
      </c>
    </row>
    <row r="179" spans="1:6">
      <c r="A179" s="4" t="s">
        <v>1158</v>
      </c>
      <c r="B179" s="9">
        <v>0.99</v>
      </c>
      <c r="C179" s="10">
        <v>2E-90</v>
      </c>
      <c r="D179" s="5">
        <v>33.21</v>
      </c>
      <c r="E179" s="5">
        <v>260</v>
      </c>
      <c r="F179" s="5" t="str">
        <f>HYPERLINK("https://www.ncbi.nlm.nih.gov/protein/MBP8017158.1?report=genbank&amp;log$=prottop&amp;blast_rank=186&amp;RID=92DR1CFD013","MBP8017158.1")</f>
        <v>MBP8017158.1</v>
      </c>
    </row>
    <row r="180" spans="1:6">
      <c r="A180" s="4" t="s">
        <v>1146</v>
      </c>
      <c r="B180" s="9">
        <v>0.98</v>
      </c>
      <c r="C180" s="10">
        <v>9.9999999999999993E-89</v>
      </c>
      <c r="D180" s="5">
        <v>33.090000000000003</v>
      </c>
      <c r="E180" s="5">
        <v>284</v>
      </c>
      <c r="F180" s="5" t="str">
        <f>HYPERLINK("https://www.ncbi.nlm.nih.gov/protein/MCC6411100.1?report=genbank&amp;log$=prottop&amp;blast_rank=197&amp;RID=92DR1CFD013","MCC6411100.1")</f>
        <v>MCC6411100.1</v>
      </c>
    </row>
    <row r="181" spans="1:6">
      <c r="A181" s="4" t="s">
        <v>276</v>
      </c>
      <c r="B181" s="9">
        <v>0.96</v>
      </c>
      <c r="C181" s="10">
        <v>4.9999999999999995E-97</v>
      </c>
      <c r="D181" s="5">
        <v>33.08</v>
      </c>
      <c r="E181" s="5">
        <v>263</v>
      </c>
      <c r="F181" s="5" t="str">
        <f>HYPERLINK("https://www.ncbi.nlm.nih.gov/protein/MCJ7957795.1?report=genbank&amp;log$=prottop&amp;blast_rank=152&amp;RID=92DR1CFD013","MCJ7957795.1")</f>
        <v>MCJ7957795.1</v>
      </c>
    </row>
    <row r="182" spans="1:6">
      <c r="A182" s="4" t="s">
        <v>1159</v>
      </c>
      <c r="B182" s="9">
        <v>0.99</v>
      </c>
      <c r="C182" s="10">
        <v>4.0000000000000001E-99</v>
      </c>
      <c r="D182" s="5">
        <v>32.97</v>
      </c>
      <c r="E182" s="5">
        <v>258</v>
      </c>
      <c r="F182" s="5" t="str">
        <f>HYPERLINK("https://www.ncbi.nlm.nih.gov/protein/SEQ85094.1?report=genbank&amp;log$=prottop&amp;blast_rank=139&amp;RID=92DR1CFD013","SEQ85094.1")</f>
        <v>SEQ85094.1</v>
      </c>
    </row>
    <row r="183" spans="1:6">
      <c r="A183" s="4" t="s">
        <v>1160</v>
      </c>
      <c r="B183" s="9">
        <v>0.95</v>
      </c>
      <c r="C183" s="10">
        <v>3.0000000000000002E-90</v>
      </c>
      <c r="D183" s="5">
        <v>32.950000000000003</v>
      </c>
      <c r="E183" s="5">
        <v>257</v>
      </c>
      <c r="F183" s="5" t="str">
        <f>HYPERLINK("https://www.ncbi.nlm.nih.gov/protein/WP_291808339.1?report=genbank&amp;log$=prottop&amp;blast_rank=187&amp;RID=92DR1CFD013","WP_291808339.1")</f>
        <v>WP_291808339.1</v>
      </c>
    </row>
    <row r="184" spans="1:6">
      <c r="A184" s="4" t="s">
        <v>1161</v>
      </c>
      <c r="B184" s="9">
        <v>0.87</v>
      </c>
      <c r="C184" s="10">
        <v>6.0000000000000002E-83</v>
      </c>
      <c r="D184" s="5">
        <v>32.78</v>
      </c>
      <c r="E184" s="5">
        <v>288</v>
      </c>
      <c r="F184" s="5" t="str">
        <f>HYPERLINK("https://www.ncbi.nlm.nih.gov/protein/TVM03714.1?report=genbank&amp;log$=prottop&amp;blast_rank=222&amp;RID=92DR1CFD013","TVM03714.1")</f>
        <v>TVM03714.1</v>
      </c>
    </row>
    <row r="185" spans="1:6">
      <c r="A185" s="4" t="s">
        <v>122</v>
      </c>
      <c r="B185" s="9">
        <v>0.99</v>
      </c>
      <c r="C185" s="10">
        <v>3E-102</v>
      </c>
      <c r="D185" s="5">
        <v>32.729999999999997</v>
      </c>
      <c r="E185" s="5">
        <v>268</v>
      </c>
      <c r="F185" s="5" t="str">
        <f>HYPERLINK("https://www.ncbi.nlm.nih.gov/protein/MBE9484239.1?report=genbank&amp;log$=prottop&amp;blast_rank=119&amp;RID=92DR1CFD013","MBE9484239.1")</f>
        <v>MBE9484239.1</v>
      </c>
    </row>
    <row r="186" spans="1:6">
      <c r="A186" s="4" t="s">
        <v>1162</v>
      </c>
      <c r="B186" s="9">
        <v>0.98</v>
      </c>
      <c r="C186" s="10">
        <v>3.9999999999999998E-98</v>
      </c>
      <c r="D186" s="5">
        <v>32.61</v>
      </c>
      <c r="E186" s="5">
        <v>269</v>
      </c>
      <c r="F186" s="5" t="str">
        <f>HYPERLINK("https://www.ncbi.nlm.nih.gov/protein/WP_307642483.1?report=genbank&amp;log$=prottop&amp;blast_rank=144&amp;RID=92DR1CFD013","WP_307642483.1")</f>
        <v>WP_307642483.1</v>
      </c>
    </row>
    <row r="187" spans="1:6">
      <c r="A187" s="4" t="s">
        <v>1163</v>
      </c>
      <c r="B187" s="9">
        <v>0.99</v>
      </c>
      <c r="C187" s="10">
        <v>2.9999999999999999E-81</v>
      </c>
      <c r="D187" s="5">
        <v>32.6</v>
      </c>
      <c r="E187" s="5">
        <v>269</v>
      </c>
      <c r="F187" s="5" t="str">
        <f>HYPERLINK("https://www.ncbi.nlm.nih.gov/protein/KKU68400.1?report=genbank&amp;log$=prottop&amp;blast_rank=225&amp;RID=92DR1CFD013","KKU68400.1")</f>
        <v>KKU68400.1</v>
      </c>
    </row>
    <row r="188" spans="1:6">
      <c r="A188" s="4" t="s">
        <v>310</v>
      </c>
      <c r="B188" s="9">
        <v>0.98</v>
      </c>
      <c r="C188" s="10">
        <v>4.0000000000000001E-87</v>
      </c>
      <c r="D188" s="5">
        <v>32.35</v>
      </c>
      <c r="E188" s="5">
        <v>264</v>
      </c>
      <c r="F188" s="5" t="str">
        <f>HYPERLINK("https://www.ncbi.nlm.nih.gov/protein/HIJ56421.1?report=genbank&amp;log$=prottop&amp;blast_rank=203&amp;RID=92DR1CFD013","HIJ56421.1")</f>
        <v>HIJ56421.1</v>
      </c>
    </row>
    <row r="189" spans="1:6">
      <c r="A189" s="4" t="s">
        <v>1164</v>
      </c>
      <c r="B189" s="9">
        <v>1</v>
      </c>
      <c r="C189" s="10">
        <v>6.0000000000000003E-95</v>
      </c>
      <c r="D189" s="5">
        <v>32.25</v>
      </c>
      <c r="E189" s="5">
        <v>263</v>
      </c>
      <c r="F189" s="5" t="str">
        <f>HYPERLINK("https://www.ncbi.nlm.nih.gov/protein/CAB1060126.1?report=genbank&amp;log$=prottop&amp;blast_rank=165&amp;RID=92DR1CFD013","CAB1060126.1")</f>
        <v>CAB1060126.1</v>
      </c>
    </row>
    <row r="190" spans="1:6">
      <c r="A190" s="4" t="s">
        <v>246</v>
      </c>
      <c r="B190" s="9">
        <v>0.97</v>
      </c>
      <c r="C190" s="10">
        <v>3.9999999999999998E-98</v>
      </c>
      <c r="D190" s="5">
        <v>32.229999999999997</v>
      </c>
      <c r="E190" s="5">
        <v>265</v>
      </c>
      <c r="F190" s="5" t="str">
        <f>HYPERLINK("https://www.ncbi.nlm.nih.gov/protein/DAV32493.1?report=genbank&amp;log$=prottop&amp;blast_rank=145&amp;RID=92DR1CFD013","DAV32493.1")</f>
        <v>DAV32493.1</v>
      </c>
    </row>
    <row r="191" spans="1:6">
      <c r="A191" s="4" t="s">
        <v>1165</v>
      </c>
      <c r="B191" s="9">
        <v>0.98</v>
      </c>
      <c r="C191" s="10">
        <v>3.0000000000000002E-87</v>
      </c>
      <c r="D191" s="5">
        <v>32.229999999999997</v>
      </c>
      <c r="E191" s="5">
        <v>266</v>
      </c>
      <c r="F191" s="5" t="str">
        <f>HYPERLINK("https://www.ncbi.nlm.nih.gov/protein/MBN1325742.1?report=genbank&amp;log$=prottop&amp;blast_rank=201&amp;RID=92DR1CFD013","MBN1325742.1")</f>
        <v>MBN1325742.1</v>
      </c>
    </row>
    <row r="192" spans="1:6">
      <c r="A192" s="4" t="s">
        <v>1166</v>
      </c>
      <c r="B192" s="9">
        <v>0.97</v>
      </c>
      <c r="C192" s="10">
        <v>2E-100</v>
      </c>
      <c r="D192" s="5">
        <v>32.090000000000003</v>
      </c>
      <c r="E192" s="5">
        <v>267</v>
      </c>
      <c r="F192" s="5" t="str">
        <f>HYPERLINK("https://www.ncbi.nlm.nih.gov/protein/MEA1870375.1?report=genbank&amp;log$=prottop&amp;blast_rank=132&amp;RID=92DR1CFD013","MEA1870375.1")</f>
        <v>MEA1870375.1</v>
      </c>
    </row>
    <row r="193" spans="1:6">
      <c r="A193" s="4" t="s">
        <v>583</v>
      </c>
      <c r="B193" s="9">
        <v>0.98</v>
      </c>
      <c r="C193" s="10">
        <v>9.999999999999999E-94</v>
      </c>
      <c r="D193" s="5">
        <v>32</v>
      </c>
      <c r="E193" s="5">
        <v>269</v>
      </c>
      <c r="F193" s="5" t="str">
        <f>HYPERLINK("https://www.ncbi.nlm.nih.gov/protein/MBQ6414533.1?report=genbank&amp;log$=prottop&amp;blast_rank=175&amp;RID=92DR1CFD013","MBQ6414533.1")</f>
        <v>MBQ6414533.1</v>
      </c>
    </row>
    <row r="194" spans="1:6">
      <c r="A194" s="4" t="s">
        <v>310</v>
      </c>
      <c r="B194" s="9">
        <v>0.93</v>
      </c>
      <c r="C194" s="10">
        <v>4.9999999999999995E-97</v>
      </c>
      <c r="D194" s="5">
        <v>31.78</v>
      </c>
      <c r="E194" s="5">
        <v>246</v>
      </c>
      <c r="F194" s="5" t="str">
        <f>HYPERLINK("https://www.ncbi.nlm.nih.gov/protein/MCX5882712.1?report=genbank&amp;log$=prottop&amp;blast_rank=151&amp;RID=92DR1CFD013","MCX5882712.1")</f>
        <v>MCX5882712.1</v>
      </c>
    </row>
    <row r="195" spans="1:6">
      <c r="A195" s="4" t="s">
        <v>373</v>
      </c>
      <c r="B195" s="9">
        <v>0.85</v>
      </c>
      <c r="C195" s="10">
        <v>3.0000000000000001E-86</v>
      </c>
      <c r="D195" s="5">
        <v>31.78</v>
      </c>
      <c r="E195" s="5">
        <v>240</v>
      </c>
      <c r="F195" s="5" t="str">
        <f>HYPERLINK("https://www.ncbi.nlm.nih.gov/protein/WP_143485568.1?report=genbank&amp;log$=prottop&amp;blast_rank=210&amp;RID=92DR1CFD013","WP_143485568.1")</f>
        <v>WP_143485568.1</v>
      </c>
    </row>
    <row r="196" spans="1:6">
      <c r="A196" s="4" t="s">
        <v>234</v>
      </c>
      <c r="B196" s="9">
        <v>0.96</v>
      </c>
      <c r="C196" s="10">
        <v>2E-79</v>
      </c>
      <c r="D196" s="5">
        <v>31.7</v>
      </c>
      <c r="E196" s="5">
        <v>257</v>
      </c>
      <c r="F196" s="5" t="str">
        <f>HYPERLINK("https://www.ncbi.nlm.nih.gov/protein/MDR3263194.1?report=genbank&amp;log$=prottop&amp;blast_rank=232&amp;RID=92DR1CFD013","MDR3263194.1")</f>
        <v>MDR3263194.1</v>
      </c>
    </row>
    <row r="197" spans="1:6">
      <c r="A197" s="4" t="s">
        <v>1167</v>
      </c>
      <c r="B197" s="9">
        <v>0.98</v>
      </c>
      <c r="C197" s="10">
        <v>6.0000000000000003E-87</v>
      </c>
      <c r="D197" s="5">
        <v>31.62</v>
      </c>
      <c r="E197" s="5">
        <v>262</v>
      </c>
      <c r="F197" s="5" t="str">
        <f>HYPERLINK("https://www.ncbi.nlm.nih.gov/protein/WP_073476301.1?report=genbank&amp;log$=prottop&amp;blast_rank=204&amp;RID=92DR1CFD013","WP_073476301.1")</f>
        <v>WP_073476301.1</v>
      </c>
    </row>
    <row r="198" spans="1:6">
      <c r="A198" s="4" t="s">
        <v>310</v>
      </c>
      <c r="B198" s="9">
        <v>1</v>
      </c>
      <c r="C198" s="10">
        <v>3.9999999999999998E-94</v>
      </c>
      <c r="D198" s="5">
        <v>31.52</v>
      </c>
      <c r="E198" s="5">
        <v>263</v>
      </c>
      <c r="F198" s="5" t="str">
        <f>HYPERLINK("https://www.ncbi.nlm.nih.gov/protein/MBW1694371.1?report=genbank&amp;log$=prottop&amp;blast_rank=169&amp;RID=92DR1CFD013","MBW1694371.1")</f>
        <v>MBW1694371.1</v>
      </c>
    </row>
    <row r="199" spans="1:6">
      <c r="A199" s="4" t="s">
        <v>1168</v>
      </c>
      <c r="B199" s="9">
        <v>0.98</v>
      </c>
      <c r="C199" s="10">
        <v>3.0000000000000001E-84</v>
      </c>
      <c r="D199" s="5">
        <v>31.49</v>
      </c>
      <c r="E199" s="5">
        <v>301</v>
      </c>
      <c r="F199" s="5" t="str">
        <f>HYPERLINK("https://www.ncbi.nlm.nih.gov/protein/WP_316979806.1?report=genbank&amp;log$=prottop&amp;blast_rank=217&amp;RID=92DR1CFD013","WP_316979806.1")</f>
        <v>WP_316979806.1</v>
      </c>
    </row>
    <row r="200" spans="1:6">
      <c r="A200" s="4" t="s">
        <v>504</v>
      </c>
      <c r="B200" s="9">
        <v>0.98</v>
      </c>
      <c r="C200" s="10">
        <v>9.9999999999999993E-89</v>
      </c>
      <c r="D200" s="5">
        <v>31.48</v>
      </c>
      <c r="E200" s="5">
        <v>260</v>
      </c>
      <c r="F200" s="5" t="str">
        <f>HYPERLINK("https://www.ncbi.nlm.nih.gov/protein/MDP3385956.1?report=genbank&amp;log$=prottop&amp;blast_rank=195&amp;RID=92DR1CFD013","MDP3385956.1")</f>
        <v>MDP3385956.1</v>
      </c>
    </row>
    <row r="201" spans="1:6">
      <c r="A201" s="4" t="s">
        <v>1169</v>
      </c>
      <c r="B201" s="9">
        <v>0.99</v>
      </c>
      <c r="C201" s="10">
        <v>3.0000000000000001E-95</v>
      </c>
      <c r="D201" s="5">
        <v>31.39</v>
      </c>
      <c r="E201" s="5">
        <v>265</v>
      </c>
      <c r="F201" s="5" t="str">
        <f>HYPERLINK("https://www.ncbi.nlm.nih.gov/protein/WP_048043188.1?report=genbank&amp;log$=prottop&amp;blast_rank=163&amp;RID=92DR1CFD013","WP_048043188.1")</f>
        <v>WP_048043188.1</v>
      </c>
    </row>
    <row r="202" spans="1:6">
      <c r="A202" s="4" t="s">
        <v>1170</v>
      </c>
      <c r="B202" s="9">
        <v>0.96</v>
      </c>
      <c r="C202" s="10">
        <v>6.0000000000000004E-90</v>
      </c>
      <c r="D202" s="5">
        <v>31.37</v>
      </c>
      <c r="E202" s="5">
        <v>263</v>
      </c>
      <c r="F202" s="5" t="str">
        <f>HYPERLINK("https://www.ncbi.nlm.nih.gov/protein/WP_337368046.1?report=genbank&amp;log$=prottop&amp;blast_rank=188&amp;RID=92DR1CFD013","WP_337368046.1")</f>
        <v>WP_337368046.1</v>
      </c>
    </row>
    <row r="203" spans="1:6">
      <c r="A203" s="4" t="s">
        <v>1171</v>
      </c>
      <c r="B203" s="9">
        <v>1</v>
      </c>
      <c r="C203" s="10">
        <v>2.0000000000000002E-86</v>
      </c>
      <c r="D203" s="5">
        <v>31.32</v>
      </c>
      <c r="E203" s="5">
        <v>266</v>
      </c>
      <c r="F203" s="5" t="str">
        <f>HYPERLINK("https://www.ncbi.nlm.nih.gov/protein/WP_120658434.1?report=genbank&amp;log$=prottop&amp;blast_rank=208&amp;RID=92DR1CFD013","WP_120658434.1")</f>
        <v>WP_120658434.1</v>
      </c>
    </row>
    <row r="204" spans="1:6">
      <c r="A204" s="4" t="s">
        <v>514</v>
      </c>
      <c r="B204" s="9">
        <v>0.97</v>
      </c>
      <c r="C204" s="10">
        <v>6.9999999999999997E-99</v>
      </c>
      <c r="D204" s="5">
        <v>31.25</v>
      </c>
      <c r="E204" s="5">
        <v>267</v>
      </c>
      <c r="F204" s="5" t="str">
        <f>HYPERLINK("https://www.ncbi.nlm.nih.gov/protein/MDD3308090.1?report=genbank&amp;log$=prottop&amp;blast_rank=141&amp;RID=92DR1CFD013","MDD3308090.1")</f>
        <v>MDD3308090.1</v>
      </c>
    </row>
    <row r="205" spans="1:6">
      <c r="A205" s="4" t="s">
        <v>1172</v>
      </c>
      <c r="B205" s="9">
        <v>0.96</v>
      </c>
      <c r="C205" s="10">
        <v>3.0000000000000002E-87</v>
      </c>
      <c r="D205" s="5">
        <v>31.2</v>
      </c>
      <c r="E205" s="5">
        <v>259</v>
      </c>
      <c r="F205" s="5" t="str">
        <f>HYPERLINK("https://www.ncbi.nlm.nih.gov/protein/MDO9546549.1?report=genbank&amp;log$=prottop&amp;blast_rank=200&amp;RID=92DR1CFD013","MDO9546549.1")</f>
        <v>MDO9546549.1</v>
      </c>
    </row>
    <row r="206" spans="1:6">
      <c r="A206" s="4" t="s">
        <v>1173</v>
      </c>
      <c r="B206" s="9">
        <v>1</v>
      </c>
      <c r="C206" s="10">
        <v>7.9999999999999998E-85</v>
      </c>
      <c r="D206" s="5">
        <v>31.05</v>
      </c>
      <c r="E206" s="5">
        <v>271</v>
      </c>
      <c r="F206" s="5" t="str">
        <f>HYPERLINK("https://www.ncbi.nlm.nih.gov/protein/VVB65628.1?report=genbank&amp;log$=prottop&amp;blast_rank=215&amp;RID=92DR1CFD013","VVB65628.1")</f>
        <v>VVB65628.1</v>
      </c>
    </row>
    <row r="207" spans="1:6">
      <c r="A207" s="4" t="s">
        <v>1174</v>
      </c>
      <c r="B207" s="9">
        <v>0.98</v>
      </c>
      <c r="C207" s="10">
        <v>2E-79</v>
      </c>
      <c r="D207" s="5">
        <v>31.02</v>
      </c>
      <c r="E207" s="5">
        <v>283</v>
      </c>
      <c r="F207" s="5" t="str">
        <f>HYPERLINK("https://www.ncbi.nlm.nih.gov/protein/MCP4352095.1?report=genbank&amp;log$=prottop&amp;blast_rank=233&amp;RID=92DR1CFD013","MCP4352095.1")</f>
        <v>MCP4352095.1</v>
      </c>
    </row>
    <row r="208" spans="1:6">
      <c r="A208" s="4" t="s">
        <v>486</v>
      </c>
      <c r="B208" s="9">
        <v>0.97</v>
      </c>
      <c r="C208" s="10">
        <v>3.0000000000000001E-100</v>
      </c>
      <c r="D208" s="5">
        <v>30.88</v>
      </c>
      <c r="E208" s="5">
        <v>264</v>
      </c>
      <c r="F208" s="5" t="str">
        <f>HYPERLINK("https://www.ncbi.nlm.nih.gov/protein/WP_308037589.1?report=genbank&amp;log$=prottop&amp;blast_rank=133&amp;RID=92DR1CFD013","WP_308037589.1")</f>
        <v>WP_308037589.1</v>
      </c>
    </row>
    <row r="209" spans="1:6">
      <c r="A209" s="4" t="s">
        <v>1175</v>
      </c>
      <c r="B209" s="9">
        <v>0.97</v>
      </c>
      <c r="C209" s="10">
        <v>4.0000000000000001E-100</v>
      </c>
      <c r="D209" s="5">
        <v>30.88</v>
      </c>
      <c r="E209" s="5">
        <v>264</v>
      </c>
      <c r="F209" s="5" t="str">
        <f>HYPERLINK("https://www.ncbi.nlm.nih.gov/protein/NLP45265.1?report=genbank&amp;log$=prottop&amp;blast_rank=135&amp;RID=92DR1CFD013","NLP45265.1")</f>
        <v>NLP45265.1</v>
      </c>
    </row>
    <row r="210" spans="1:6">
      <c r="A210" s="4" t="s">
        <v>34</v>
      </c>
      <c r="B210" s="9">
        <v>0.96</v>
      </c>
      <c r="C210" s="10">
        <v>1E-89</v>
      </c>
      <c r="D210" s="5">
        <v>30.86</v>
      </c>
      <c r="E210" s="5">
        <v>260</v>
      </c>
      <c r="F210" s="5" t="str">
        <f>HYPERLINK("https://www.ncbi.nlm.nih.gov/protein/MBX7152901.1?report=genbank&amp;log$=prottop&amp;blast_rank=192&amp;RID=92DR1CFD013","MBX7152901.1")</f>
        <v>MBX7152901.1</v>
      </c>
    </row>
    <row r="211" spans="1:6">
      <c r="A211" s="4" t="s">
        <v>505</v>
      </c>
      <c r="B211" s="9">
        <v>0.98</v>
      </c>
      <c r="C211" s="10">
        <v>7.9999999999999999E-92</v>
      </c>
      <c r="D211" s="5">
        <v>30.8</v>
      </c>
      <c r="E211" s="5">
        <v>267</v>
      </c>
      <c r="F211" s="5" t="str">
        <f>HYPERLINK("https://www.ncbi.nlm.nih.gov/protein/MBD9212447.1?report=genbank&amp;log$=prottop&amp;blast_rank=183&amp;RID=92DR1CFD013","MBD9212447.1")</f>
        <v>MBD9212447.1</v>
      </c>
    </row>
    <row r="212" spans="1:6">
      <c r="A212" s="4" t="s">
        <v>1018</v>
      </c>
      <c r="B212" s="9">
        <v>0.95</v>
      </c>
      <c r="C212" s="10">
        <v>8E-90</v>
      </c>
      <c r="D212" s="5">
        <v>30.8</v>
      </c>
      <c r="E212" s="5">
        <v>256</v>
      </c>
      <c r="F212" s="5" t="str">
        <f>HYPERLINK("https://www.ncbi.nlm.nih.gov/protein/WP_023124086.1?report=genbank&amp;log$=prottop&amp;blast_rank=190&amp;RID=92DR1CFD013","WP_023124086.1")</f>
        <v>WP_023124086.1</v>
      </c>
    </row>
    <row r="213" spans="1:6">
      <c r="A213" s="4" t="s">
        <v>138</v>
      </c>
      <c r="B213" s="9">
        <v>0.97</v>
      </c>
      <c r="C213" s="10">
        <v>8.0000000000000001E-87</v>
      </c>
      <c r="D213" s="5">
        <v>30.74</v>
      </c>
      <c r="E213" s="5">
        <v>262</v>
      </c>
      <c r="F213" s="5" t="str">
        <f>HYPERLINK("https://www.ncbi.nlm.nih.gov/protein/HYG17107.1?report=genbank&amp;log$=prottop&amp;blast_rank=206&amp;RID=92DR1CFD013","HYG17107.1")</f>
        <v>HYG17107.1</v>
      </c>
    </row>
    <row r="214" spans="1:6">
      <c r="A214" s="4" t="s">
        <v>505</v>
      </c>
      <c r="B214" s="9">
        <v>0.98</v>
      </c>
      <c r="C214" s="10">
        <v>3.0000000000000001E-92</v>
      </c>
      <c r="D214" s="5">
        <v>30.69</v>
      </c>
      <c r="E214" s="5">
        <v>267</v>
      </c>
      <c r="F214" s="5" t="str">
        <f>HYPERLINK("https://www.ncbi.nlm.nih.gov/protein/HCJ91729.1?report=genbank&amp;log$=prottop&amp;blast_rank=181&amp;RID=92DR1CFD013","HCJ91729.1")</f>
        <v>HCJ91729.1</v>
      </c>
    </row>
    <row r="215" spans="1:6">
      <c r="A215" s="4" t="s">
        <v>1176</v>
      </c>
      <c r="B215" s="9">
        <v>0.98</v>
      </c>
      <c r="C215" s="10">
        <v>6.9999999999999997E-92</v>
      </c>
      <c r="D215" s="5">
        <v>30.69</v>
      </c>
      <c r="E215" s="5">
        <v>267</v>
      </c>
      <c r="F215" s="5" t="str">
        <f>HYPERLINK("https://www.ncbi.nlm.nih.gov/protein/MEE0478799.1?report=genbank&amp;log$=prottop&amp;blast_rank=182&amp;RID=92DR1CFD013","MEE0478799.1")</f>
        <v>MEE0478799.1</v>
      </c>
    </row>
    <row r="216" spans="1:6">
      <c r="A216" s="4" t="s">
        <v>29</v>
      </c>
      <c r="B216" s="9">
        <v>0.96</v>
      </c>
      <c r="C216" s="10">
        <v>2E-87</v>
      </c>
      <c r="D216" s="5">
        <v>30.63</v>
      </c>
      <c r="E216" s="5">
        <v>263</v>
      </c>
      <c r="F216" s="5" t="str">
        <f>HYPERLINK("https://www.ncbi.nlm.nih.gov/protein/WP_293638008.1?report=genbank&amp;log$=prottop&amp;blast_rank=199&amp;RID=92DR1CFD013","WP_293638008.1")</f>
        <v>WP_293638008.1</v>
      </c>
    </row>
    <row r="217" spans="1:6">
      <c r="A217" s="4" t="s">
        <v>373</v>
      </c>
      <c r="B217" s="9">
        <v>0.91</v>
      </c>
      <c r="C217" s="10">
        <v>7.0000000000000002E-87</v>
      </c>
      <c r="D217" s="5">
        <v>30.56</v>
      </c>
      <c r="E217" s="5">
        <v>242</v>
      </c>
      <c r="F217" s="5" t="str">
        <f>HYPERLINK("https://www.ncbi.nlm.nih.gov/protein/WP_210773341.1?report=genbank&amp;log$=prottop&amp;blast_rank=205&amp;RID=92DR1CFD013","WP_210773341.1")</f>
        <v>WP_210773341.1</v>
      </c>
    </row>
    <row r="218" spans="1:6">
      <c r="A218" s="4" t="s">
        <v>1177</v>
      </c>
      <c r="B218" s="9">
        <v>0.89</v>
      </c>
      <c r="C218" s="10">
        <v>7.0000000000000001E-65</v>
      </c>
      <c r="D218" s="5">
        <v>30.56</v>
      </c>
      <c r="E218" s="5">
        <v>274</v>
      </c>
      <c r="F218" s="5" t="str">
        <f>HYPERLINK("https://www.ncbi.nlm.nih.gov/protein/QQG46547.1?report=genbank&amp;log$=prottop&amp;blast_rank=256&amp;RID=92DR1CFD013","QQG46547.1")</f>
        <v>QQG46547.1</v>
      </c>
    </row>
    <row r="219" spans="1:6">
      <c r="A219" s="4" t="s">
        <v>1178</v>
      </c>
      <c r="B219" s="9">
        <v>0.98</v>
      </c>
      <c r="C219" s="10">
        <v>7.0000000000000004E-97</v>
      </c>
      <c r="D219" s="5">
        <v>30.55</v>
      </c>
      <c r="E219" s="5">
        <v>280</v>
      </c>
      <c r="F219" s="5" t="str">
        <f>HYPERLINK("https://www.ncbi.nlm.nih.gov/protein/WP_118720975.1?report=genbank&amp;log$=prottop&amp;blast_rank=153&amp;RID=92DR1CFD013","WP_118720975.1")</f>
        <v>WP_118720975.1</v>
      </c>
    </row>
    <row r="220" spans="1:6">
      <c r="A220" s="4" t="s">
        <v>1179</v>
      </c>
      <c r="B220" s="9">
        <v>0.99</v>
      </c>
      <c r="C220" s="10">
        <v>8.9999999999999997E-82</v>
      </c>
      <c r="D220" s="5">
        <v>30.55</v>
      </c>
      <c r="E220" s="5">
        <v>267</v>
      </c>
      <c r="F220" s="5" t="str">
        <f>HYPERLINK("https://www.ncbi.nlm.nih.gov/protein/OGF46489.1?report=genbank&amp;log$=prottop&amp;blast_rank=223&amp;RID=92DR1CFD013","OGF46489.1")</f>
        <v>OGF46489.1</v>
      </c>
    </row>
    <row r="221" spans="1:6">
      <c r="A221" s="4" t="s">
        <v>1167</v>
      </c>
      <c r="B221" s="9">
        <v>0.98</v>
      </c>
      <c r="C221" s="10">
        <v>2.0000000000000002E-86</v>
      </c>
      <c r="D221" s="5">
        <v>30.51</v>
      </c>
      <c r="E221" s="5">
        <v>262</v>
      </c>
      <c r="F221" s="5" t="str">
        <f>HYPERLINK("https://www.ncbi.nlm.nih.gov/protein/WP_073479155.1?report=genbank&amp;log$=prottop&amp;blast_rank=209&amp;RID=92DR1CFD013","WP_073479155.1")</f>
        <v>WP_073479155.1</v>
      </c>
    </row>
    <row r="222" spans="1:6">
      <c r="A222" s="4" t="s">
        <v>234</v>
      </c>
      <c r="B222" s="9">
        <v>0.96</v>
      </c>
      <c r="C222" s="10">
        <v>7.9999999999999997E-72</v>
      </c>
      <c r="D222" s="5">
        <v>30.47</v>
      </c>
      <c r="E222" s="5">
        <v>285</v>
      </c>
      <c r="F222" s="5" t="str">
        <f>HYPERLINK("https://www.ncbi.nlm.nih.gov/protein/MCI6215006.1?report=genbank&amp;log$=prottop&amp;blast_rank=247&amp;RID=92DR1CFD013","MCI6215006.1")</f>
        <v>MCI6215006.1</v>
      </c>
    </row>
    <row r="223" spans="1:6">
      <c r="A223" s="4" t="s">
        <v>234</v>
      </c>
      <c r="B223" s="9">
        <v>0.96</v>
      </c>
      <c r="C223" s="10">
        <v>9.9999999999999992E-72</v>
      </c>
      <c r="D223" s="5">
        <v>30.47</v>
      </c>
      <c r="E223" s="5">
        <v>285</v>
      </c>
      <c r="F223" s="5" t="str">
        <f>HYPERLINK("https://www.ncbi.nlm.nih.gov/protein/HCX95255.1?report=genbank&amp;log$=prottop&amp;blast_rank=248&amp;RID=92DR1CFD013","HCX95255.1")</f>
        <v>HCX95255.1</v>
      </c>
    </row>
    <row r="224" spans="1:6">
      <c r="A224" s="4" t="s">
        <v>373</v>
      </c>
      <c r="B224" s="9">
        <v>0.95</v>
      </c>
      <c r="C224" s="10">
        <v>2.0000000000000001E-89</v>
      </c>
      <c r="D224" s="5">
        <v>30.42</v>
      </c>
      <c r="E224" s="5">
        <v>256</v>
      </c>
      <c r="F224" s="5" t="str">
        <f>HYPERLINK("https://www.ncbi.nlm.nih.gov/protein/WP_235374856.1?report=genbank&amp;log$=prottop&amp;blast_rank=193&amp;RID=92DR1CFD013","WP_235374856.1")</f>
        <v>WP_235374856.1</v>
      </c>
    </row>
    <row r="225" spans="1:6">
      <c r="A225" s="4" t="s">
        <v>505</v>
      </c>
      <c r="B225" s="9">
        <v>0.98</v>
      </c>
      <c r="C225" s="10">
        <v>2E-91</v>
      </c>
      <c r="D225" s="5">
        <v>30.32</v>
      </c>
      <c r="E225" s="5">
        <v>267</v>
      </c>
      <c r="F225" s="5" t="str">
        <f>HYPERLINK("https://www.ncbi.nlm.nih.gov/protein/MCI6970050.1?report=genbank&amp;log$=prottop&amp;blast_rank=185&amp;RID=92DR1CFD013","MCI6970050.1")</f>
        <v>MCI6970050.1</v>
      </c>
    </row>
    <row r="226" spans="1:6">
      <c r="A226" s="4" t="s">
        <v>246</v>
      </c>
      <c r="B226" s="9">
        <v>0.97</v>
      </c>
      <c r="C226" s="10">
        <v>4.9999999999999995E-97</v>
      </c>
      <c r="D226" s="5">
        <v>30.29</v>
      </c>
      <c r="E226" s="5">
        <v>265</v>
      </c>
      <c r="F226" s="5" t="str">
        <f>HYPERLINK("https://www.ncbi.nlm.nih.gov/protein/DAK79969.1?report=genbank&amp;log$=prottop&amp;blast_rank=150&amp;RID=92DR1CFD013","DAK79969.1")</f>
        <v>DAK79969.1</v>
      </c>
    </row>
    <row r="227" spans="1:6">
      <c r="A227" s="4" t="s">
        <v>1180</v>
      </c>
      <c r="B227" s="9">
        <v>0.98</v>
      </c>
      <c r="C227" s="10">
        <v>9.999999999999999E-94</v>
      </c>
      <c r="D227" s="5">
        <v>30.15</v>
      </c>
      <c r="E227" s="5">
        <v>260</v>
      </c>
      <c r="F227" s="5" t="str">
        <f>HYPERLINK("https://www.ncbi.nlm.nih.gov/protein/MBO5589934.1?report=genbank&amp;log$=prottop&amp;blast_rank=173&amp;RID=92DR1CFD013","MBO5589934.1")</f>
        <v>MBO5589934.1</v>
      </c>
    </row>
    <row r="228" spans="1:6">
      <c r="A228" s="4" t="s">
        <v>1181</v>
      </c>
      <c r="B228" s="9">
        <v>0.99</v>
      </c>
      <c r="C228" s="10">
        <v>8E-90</v>
      </c>
      <c r="D228" s="5">
        <v>30.11</v>
      </c>
      <c r="E228" s="5">
        <v>263</v>
      </c>
      <c r="F228" s="5" t="str">
        <f>HYPERLINK("https://www.ncbi.nlm.nih.gov/protein/WP_026658195.1?report=genbank&amp;log$=prottop&amp;blast_rank=189&amp;RID=92DR1CFD013","WP_026658195.1")</f>
        <v>WP_026658195.1</v>
      </c>
    </row>
    <row r="229" spans="1:6">
      <c r="A229" s="4" t="s">
        <v>34</v>
      </c>
      <c r="B229" s="9">
        <v>0.98</v>
      </c>
      <c r="C229" s="10">
        <v>9.9999999999999996E-75</v>
      </c>
      <c r="D229" s="5">
        <v>30.04</v>
      </c>
      <c r="E229" s="5">
        <v>327</v>
      </c>
      <c r="F229" s="5" t="str">
        <f>HYPERLINK("https://www.ncbi.nlm.nih.gov/protein/MDO4963827.1?report=genbank&amp;log$=prottop&amp;blast_rank=243&amp;RID=92DR1CFD013","MDO4963827.1")</f>
        <v>MDO4963827.1</v>
      </c>
    </row>
    <row r="230" spans="1:6">
      <c r="A230" s="4" t="s">
        <v>25</v>
      </c>
      <c r="B230" s="9">
        <v>0.98</v>
      </c>
      <c r="C230" s="10">
        <v>2E-99</v>
      </c>
      <c r="D230" s="5">
        <v>29.96</v>
      </c>
      <c r="E230" s="5">
        <v>264</v>
      </c>
      <c r="F230" s="5" t="str">
        <f>HYPERLINK("https://www.ncbi.nlm.nih.gov/protein/MDY4096959.1?report=genbank&amp;log$=prottop&amp;blast_rank=137&amp;RID=92DR1CFD013","MDY4096959.1")</f>
        <v>MDY4096959.1</v>
      </c>
    </row>
    <row r="231" spans="1:6">
      <c r="A231" s="4" t="s">
        <v>552</v>
      </c>
      <c r="B231" s="9">
        <v>0.99</v>
      </c>
      <c r="C231" s="10">
        <v>3.9999999999999998E-98</v>
      </c>
      <c r="D231" s="5">
        <v>29.86</v>
      </c>
      <c r="E231" s="5">
        <v>266</v>
      </c>
      <c r="F231" s="5" t="str">
        <f>HYPERLINK("https://www.ncbi.nlm.nih.gov/protein/NLD45584.1?report=genbank&amp;log$=prottop&amp;blast_rank=143&amp;RID=92DR1CFD013","NLD45584.1")</f>
        <v>NLD45584.1</v>
      </c>
    </row>
    <row r="232" spans="1:6">
      <c r="A232" s="4" t="s">
        <v>505</v>
      </c>
      <c r="B232" s="9">
        <v>0.97</v>
      </c>
      <c r="C232" s="10">
        <v>6.0000000000000001E-80</v>
      </c>
      <c r="D232" s="5">
        <v>29.85</v>
      </c>
      <c r="E232" s="5">
        <v>272</v>
      </c>
      <c r="F232" s="5" t="str">
        <f>HYPERLINK("https://www.ncbi.nlm.nih.gov/protein/MCL1793941.1?report=genbank&amp;log$=prottop&amp;blast_rank=230&amp;RID=92DR1CFD013","MCL1793941.1")</f>
        <v>MCL1793941.1</v>
      </c>
    </row>
    <row r="233" spans="1:6">
      <c r="A233" s="4" t="s">
        <v>1182</v>
      </c>
      <c r="B233" s="9">
        <v>0.97</v>
      </c>
      <c r="C233" s="10">
        <v>7.9999999999999996E-57</v>
      </c>
      <c r="D233" s="5">
        <v>29.83</v>
      </c>
      <c r="E233" s="5">
        <v>318</v>
      </c>
      <c r="F233" s="5" t="str">
        <f>HYPERLINK("https://www.ncbi.nlm.nih.gov/protein/WP_289569150.1?report=genbank&amp;log$=prottop&amp;blast_rank=270&amp;RID=92DR1CFD013","WP_289569150.1")</f>
        <v>WP_289569150.1</v>
      </c>
    </row>
    <row r="234" spans="1:6">
      <c r="A234" s="4" t="s">
        <v>1167</v>
      </c>
      <c r="B234" s="9">
        <v>0.98</v>
      </c>
      <c r="C234" s="10">
        <v>4.0000000000000003E-86</v>
      </c>
      <c r="D234" s="5">
        <v>29.78</v>
      </c>
      <c r="E234" s="5">
        <v>262</v>
      </c>
      <c r="F234" s="5" t="str">
        <f>HYPERLINK("https://www.ncbi.nlm.nih.gov/protein/WP_073479049.1?report=genbank&amp;log$=prottop&amp;blast_rank=211&amp;RID=92DR1CFD013","WP_073479049.1")</f>
        <v>WP_073479049.1</v>
      </c>
    </row>
    <row r="235" spans="1:6">
      <c r="A235" s="4" t="s">
        <v>612</v>
      </c>
      <c r="B235" s="9">
        <v>0.98</v>
      </c>
      <c r="C235" s="10">
        <v>5E-79</v>
      </c>
      <c r="D235" s="5">
        <v>29.71</v>
      </c>
      <c r="E235" s="5">
        <v>304</v>
      </c>
      <c r="F235" s="5" t="str">
        <f>HYPERLINK("https://www.ncbi.nlm.nih.gov/protein/MBQ9683356.1?report=genbank&amp;log$=prottop&amp;blast_rank=235&amp;RID=92DR1CFD013","MBQ9683356.1")</f>
        <v>MBQ9683356.1</v>
      </c>
    </row>
    <row r="236" spans="1:6">
      <c r="A236" s="4" t="s">
        <v>1183</v>
      </c>
      <c r="B236" s="9">
        <v>0.98</v>
      </c>
      <c r="C236" s="10">
        <v>3.0000000000000001E-94</v>
      </c>
      <c r="D236" s="5">
        <v>29.67</v>
      </c>
      <c r="E236" s="5">
        <v>261</v>
      </c>
      <c r="F236" s="5" t="str">
        <f>HYPERLINK("https://www.ncbi.nlm.nih.gov/protein/MBE5918513.1?report=genbank&amp;log$=prottop&amp;blast_rank=168&amp;RID=92DR1CFD013","MBE5918513.1")</f>
        <v>MBE5918513.1</v>
      </c>
    </row>
    <row r="237" spans="1:6">
      <c r="A237" s="4" t="s">
        <v>1183</v>
      </c>
      <c r="B237" s="9">
        <v>0.98</v>
      </c>
      <c r="C237" s="10">
        <v>2E-92</v>
      </c>
      <c r="D237" s="5">
        <v>29.67</v>
      </c>
      <c r="E237" s="5">
        <v>261</v>
      </c>
      <c r="F237" s="5" t="str">
        <f>HYPERLINK("https://www.ncbi.nlm.nih.gov/protein/MBE5916389.1?report=genbank&amp;log$=prottop&amp;blast_rank=179&amp;RID=92DR1CFD013","MBE5916389.1")</f>
        <v>MBE5916389.1</v>
      </c>
    </row>
    <row r="238" spans="1:6">
      <c r="A238" s="4" t="s">
        <v>122</v>
      </c>
      <c r="B238" s="9">
        <v>0.98</v>
      </c>
      <c r="C238" s="10">
        <v>1.9999999999999999E-69</v>
      </c>
      <c r="D238" s="5">
        <v>29.6</v>
      </c>
      <c r="E238" s="5">
        <v>271</v>
      </c>
      <c r="F238" s="5" t="str">
        <f>HYPERLINK("https://www.ncbi.nlm.nih.gov/protein/MCE1166278.1?report=genbank&amp;log$=prottop&amp;blast_rank=250&amp;RID=92DR1CFD013","MCE1166278.1")</f>
        <v>MCE1166278.1</v>
      </c>
    </row>
    <row r="239" spans="1:6">
      <c r="A239" s="4" t="s">
        <v>1184</v>
      </c>
      <c r="B239" s="9">
        <v>0.96</v>
      </c>
      <c r="C239" s="10">
        <v>5.9999999999999997E-75</v>
      </c>
      <c r="D239" s="5">
        <v>29.56</v>
      </c>
      <c r="E239" s="5">
        <v>274</v>
      </c>
      <c r="F239" s="5" t="str">
        <f>HYPERLINK("https://www.ncbi.nlm.nih.gov/protein/WP_165018355.1?report=genbank&amp;log$=prottop&amp;blast_rank=242&amp;RID=92DR1CFD013","WP_165018355.1")</f>
        <v>WP_165018355.1</v>
      </c>
    </row>
    <row r="240" spans="1:6">
      <c r="A240" s="4" t="s">
        <v>1185</v>
      </c>
      <c r="B240" s="9">
        <v>0.98</v>
      </c>
      <c r="C240" s="10">
        <v>4E-95</v>
      </c>
      <c r="D240" s="5">
        <v>29.35</v>
      </c>
      <c r="E240" s="5">
        <v>266</v>
      </c>
      <c r="F240" s="5" t="str">
        <f>HYPERLINK("https://www.ncbi.nlm.nih.gov/protein/WP_297709051.1?report=genbank&amp;log$=prottop&amp;blast_rank=164&amp;RID=92DR1CFD013","WP_297709051.1")</f>
        <v>WP_297709051.1</v>
      </c>
    </row>
    <row r="241" spans="1:6">
      <c r="A241" s="4" t="s">
        <v>1186</v>
      </c>
      <c r="B241" s="9">
        <v>0.99</v>
      </c>
      <c r="C241" s="10">
        <v>4.9999999999999999E-86</v>
      </c>
      <c r="D241" s="5">
        <v>29.14</v>
      </c>
      <c r="E241" s="5">
        <v>277</v>
      </c>
      <c r="F241" s="5" t="str">
        <f>HYPERLINK("https://www.ncbi.nlm.nih.gov/protein/WP_073116323.1?report=genbank&amp;log$=prottop&amp;blast_rank=212&amp;RID=92DR1CFD013","WP_073116323.1")</f>
        <v>WP_073116323.1</v>
      </c>
    </row>
    <row r="242" spans="1:6">
      <c r="A242" s="4" t="s">
        <v>29</v>
      </c>
      <c r="B242" s="9">
        <v>0.99</v>
      </c>
      <c r="C242" s="10">
        <v>4.0000000000000001E-84</v>
      </c>
      <c r="D242" s="5">
        <v>28.94</v>
      </c>
      <c r="E242" s="5">
        <v>259</v>
      </c>
      <c r="F242" s="5" t="str">
        <f>HYPERLINK("https://www.ncbi.nlm.nih.gov/protein/HRR77848.1?report=genbank&amp;log$=prottop&amp;blast_rank=218&amp;RID=92DR1CFD013","HRR77848.1")</f>
        <v>HRR77848.1</v>
      </c>
    </row>
    <row r="243" spans="1:6">
      <c r="A243" s="4" t="s">
        <v>29</v>
      </c>
      <c r="B243" s="9">
        <v>0.99</v>
      </c>
      <c r="C243" s="10">
        <v>2.0000000000000001E-83</v>
      </c>
      <c r="D243" s="5">
        <v>28.94</v>
      </c>
      <c r="E243" s="5">
        <v>264</v>
      </c>
      <c r="F243" s="5" t="str">
        <f>HYPERLINK("https://www.ncbi.nlm.nih.gov/protein/MBR3901805.1?report=genbank&amp;log$=prottop&amp;blast_rank=221&amp;RID=92DR1CFD013","MBR3901805.1")</f>
        <v>MBR3901805.1</v>
      </c>
    </row>
    <row r="244" spans="1:6">
      <c r="A244" s="4" t="s">
        <v>37</v>
      </c>
      <c r="B244" s="9">
        <v>0.98</v>
      </c>
      <c r="C244" s="10">
        <v>1.9999999999999999E-81</v>
      </c>
      <c r="D244" s="5">
        <v>28.47</v>
      </c>
      <c r="E244" s="5">
        <v>265</v>
      </c>
      <c r="F244" s="5" t="str">
        <f>HYPERLINK("https://www.ncbi.nlm.nih.gov/protein/MCR5623531.1?report=genbank&amp;log$=prottop&amp;blast_rank=224&amp;RID=92DR1CFD013","MCR5623531.1")</f>
        <v>MCR5623531.1</v>
      </c>
    </row>
    <row r="245" spans="1:6">
      <c r="A245" s="4" t="s">
        <v>1187</v>
      </c>
      <c r="B245" s="9">
        <v>1</v>
      </c>
      <c r="C245" s="10">
        <v>2.0000000000000001E-84</v>
      </c>
      <c r="D245" s="5">
        <v>28.28</v>
      </c>
      <c r="E245" s="5">
        <v>315</v>
      </c>
      <c r="F245" s="5" t="str">
        <f>HYPERLINK("https://www.ncbi.nlm.nih.gov/protein/WP_298370433.1?report=genbank&amp;log$=prottop&amp;blast_rank=216&amp;RID=92DR1CFD013","WP_298370433.1")</f>
        <v>WP_298370433.1</v>
      </c>
    </row>
    <row r="246" spans="1:6">
      <c r="A246" s="4" t="s">
        <v>612</v>
      </c>
      <c r="B246" s="9">
        <v>0.98</v>
      </c>
      <c r="C246" s="10">
        <v>6.9999999999999999E-78</v>
      </c>
      <c r="D246" s="5">
        <v>28.26</v>
      </c>
      <c r="E246" s="5">
        <v>304</v>
      </c>
      <c r="F246" s="5" t="str">
        <f>HYPERLINK("https://www.ncbi.nlm.nih.gov/protein/MBR3481975.1?report=genbank&amp;log$=prottop&amp;blast_rank=238&amp;RID=92DR1CFD013","MBR3481975.1")</f>
        <v>MBR3481975.1</v>
      </c>
    </row>
    <row r="247" spans="1:6">
      <c r="A247" s="4" t="s">
        <v>21</v>
      </c>
      <c r="B247" s="9">
        <v>0.97</v>
      </c>
      <c r="C247" s="10">
        <v>7.0000000000000003E-74</v>
      </c>
      <c r="D247" s="5">
        <v>28.25</v>
      </c>
      <c r="E247" s="5">
        <v>259</v>
      </c>
      <c r="F247" s="5" t="str">
        <f>HYPERLINK("https://www.ncbi.nlm.nih.gov/protein/MBQ7599036.1?report=genbank&amp;log$=prottop&amp;blast_rank=245&amp;RID=92DR1CFD013","MBQ7599036.1")</f>
        <v>MBQ7599036.1</v>
      </c>
    </row>
    <row r="248" spans="1:6">
      <c r="A248" s="4" t="s">
        <v>504</v>
      </c>
      <c r="B248" s="9">
        <v>0.96</v>
      </c>
      <c r="C248" s="10">
        <v>4E-79</v>
      </c>
      <c r="D248" s="5">
        <v>28.2</v>
      </c>
      <c r="E248" s="5">
        <v>259</v>
      </c>
      <c r="F248" s="5" t="str">
        <f>HYPERLINK("https://www.ncbi.nlm.nih.gov/protein/MDY3256015.1?report=genbank&amp;log$=prottop&amp;blast_rank=234&amp;RID=92DR1CFD013","MDY3256015.1")</f>
        <v>MDY3256015.1</v>
      </c>
    </row>
    <row r="249" spans="1:6">
      <c r="A249" s="4" t="s">
        <v>1188</v>
      </c>
      <c r="B249" s="9">
        <v>0.94</v>
      </c>
      <c r="C249" s="10">
        <v>9.9999999999999996E-75</v>
      </c>
      <c r="D249" s="5">
        <v>28.09</v>
      </c>
      <c r="E249" s="5">
        <v>257</v>
      </c>
      <c r="F249" s="5" t="str">
        <f>HYPERLINK("https://www.ncbi.nlm.nih.gov/protein/WP_204574151.1?report=genbank&amp;log$=prottop&amp;blast_rank=244&amp;RID=92DR1CFD013","WP_204574151.1")</f>
        <v>WP_204574151.1</v>
      </c>
    </row>
    <row r="250" spans="1:6">
      <c r="A250" s="4" t="s">
        <v>1146</v>
      </c>
      <c r="B250" s="9">
        <v>0.96</v>
      </c>
      <c r="C250" s="10">
        <v>1.9999999999999999E-75</v>
      </c>
      <c r="D250" s="5">
        <v>27.88</v>
      </c>
      <c r="E250" s="5">
        <v>267</v>
      </c>
      <c r="F250" s="5" t="str">
        <f>HYPERLINK("https://www.ncbi.nlm.nih.gov/protein/HKK87565.1?report=genbank&amp;log$=prottop&amp;blast_rank=240&amp;RID=92DR1CFD013","HKK87565.1")</f>
        <v>HKK87565.1</v>
      </c>
    </row>
    <row r="251" spans="1:6">
      <c r="A251" s="4" t="s">
        <v>21</v>
      </c>
      <c r="B251" s="9">
        <v>0.99</v>
      </c>
      <c r="C251" s="10">
        <v>1.9999999999999999E-80</v>
      </c>
      <c r="D251" s="5">
        <v>27.84</v>
      </c>
      <c r="E251" s="5">
        <v>259</v>
      </c>
      <c r="F251" s="5" t="str">
        <f>HYPERLINK("https://www.ncbi.nlm.nih.gov/protein/MCQ2462709.1?report=genbank&amp;log$=prottop&amp;blast_rank=228&amp;RID=92DR1CFD013","MCQ2462709.1")</f>
        <v>MCQ2462709.1</v>
      </c>
    </row>
    <row r="252" spans="1:6">
      <c r="A252" s="4" t="s">
        <v>430</v>
      </c>
      <c r="B252" s="9">
        <v>0.93</v>
      </c>
      <c r="C252" s="10">
        <v>3.9999999999999999E-66</v>
      </c>
      <c r="D252" s="5">
        <v>27.68</v>
      </c>
      <c r="E252" s="5">
        <v>270</v>
      </c>
      <c r="F252" s="5" t="str">
        <f>HYPERLINK("https://www.ncbi.nlm.nih.gov/protein/HBO58912.1?report=genbank&amp;log$=prottop&amp;blast_rank=253&amp;RID=92DR1CFD013","HBO58912.1")</f>
        <v>HBO58912.1</v>
      </c>
    </row>
    <row r="253" spans="1:6">
      <c r="A253" s="4" t="s">
        <v>1188</v>
      </c>
      <c r="B253" s="9">
        <v>1</v>
      </c>
      <c r="C253" s="10">
        <v>4E-78</v>
      </c>
      <c r="D253" s="5">
        <v>27.66</v>
      </c>
      <c r="E253" s="5">
        <v>271</v>
      </c>
      <c r="F253" s="5" t="str">
        <f>HYPERLINK("https://www.ncbi.nlm.nih.gov/protein/MBM6943367.1?report=genbank&amp;log$=prottop&amp;blast_rank=237&amp;RID=92DR1CFD013","MBM6943367.1")</f>
        <v>MBM6943367.1</v>
      </c>
    </row>
    <row r="254" spans="1:6">
      <c r="A254" s="4" t="s">
        <v>1164</v>
      </c>
      <c r="B254" s="9">
        <v>0.96</v>
      </c>
      <c r="C254" s="10">
        <v>1.9999999999999999E-60</v>
      </c>
      <c r="D254" s="5">
        <v>27.61</v>
      </c>
      <c r="E254" s="5">
        <v>266</v>
      </c>
      <c r="F254" s="5" t="str">
        <f>HYPERLINK("https://www.ncbi.nlm.nih.gov/protein/CAB1060135.1?report=genbank&amp;log$=prottop&amp;blast_rank=266&amp;RID=92DR1CFD013","CAB1060135.1")</f>
        <v>CAB1060135.1</v>
      </c>
    </row>
    <row r="255" spans="1:6">
      <c r="A255" s="4" t="s">
        <v>234</v>
      </c>
      <c r="B255" s="9">
        <v>0.96</v>
      </c>
      <c r="C255" s="10">
        <v>1E-79</v>
      </c>
      <c r="D255" s="5">
        <v>27.44</v>
      </c>
      <c r="E255" s="5">
        <v>257</v>
      </c>
      <c r="F255" s="5" t="str">
        <f>HYPERLINK("https://www.ncbi.nlm.nih.gov/protein/HCE34329.1?report=genbank&amp;log$=prottop&amp;blast_rank=231&amp;RID=92DR1CFD013","HCE34329.1")</f>
        <v>HCE34329.1</v>
      </c>
    </row>
    <row r="256" spans="1:6">
      <c r="A256" s="4" t="s">
        <v>1189</v>
      </c>
      <c r="B256" s="9">
        <v>0.88</v>
      </c>
      <c r="C256" s="10">
        <v>9.9999999999999996E-81</v>
      </c>
      <c r="D256" s="5">
        <v>27.42</v>
      </c>
      <c r="E256" s="5">
        <v>240</v>
      </c>
      <c r="F256" s="5" t="str">
        <f>HYPERLINK("https://www.ncbi.nlm.nih.gov/protein/WP_290760520.1?report=genbank&amp;log$=prottop&amp;blast_rank=226&amp;RID=92DR1CFD013","WP_290760520.1")</f>
        <v>WP_290760520.1</v>
      </c>
    </row>
    <row r="257" spans="1:6">
      <c r="A257" s="4" t="s">
        <v>430</v>
      </c>
      <c r="B257" s="9">
        <v>0.84</v>
      </c>
      <c r="C257" s="10">
        <v>7.0000000000000006E-61</v>
      </c>
      <c r="D257" s="5">
        <v>27.31</v>
      </c>
      <c r="E257" s="5">
        <v>283</v>
      </c>
      <c r="F257" s="5" t="str">
        <f>HYPERLINK("https://www.ncbi.nlm.nih.gov/protein/MBQ9271057.1?report=genbank&amp;log$=prottop&amp;blast_rank=265&amp;RID=92DR1CFD013","MBQ9271057.1")</f>
        <v>MBQ9271057.1</v>
      </c>
    </row>
    <row r="258" spans="1:6">
      <c r="A258" s="4" t="s">
        <v>27</v>
      </c>
      <c r="B258" s="9">
        <v>0.96</v>
      </c>
      <c r="C258" s="10">
        <v>2.0000000000000001E-63</v>
      </c>
      <c r="D258" s="5">
        <v>27.17</v>
      </c>
      <c r="E258" s="5">
        <v>374</v>
      </c>
      <c r="F258" s="5" t="str">
        <f>HYPERLINK("https://www.ncbi.nlm.nih.gov/protein/WP_118009447.1?report=genbank&amp;log$=prottop&amp;blast_rank=261&amp;RID=92DR1CFD013","WP_118009447.1")</f>
        <v>WP_118009447.1</v>
      </c>
    </row>
    <row r="259" spans="1:6">
      <c r="A259" s="4" t="s">
        <v>1190</v>
      </c>
      <c r="B259" s="9">
        <v>0.96</v>
      </c>
      <c r="C259" s="10">
        <v>2.9999999999999999E-88</v>
      </c>
      <c r="D259" s="5">
        <v>27.04</v>
      </c>
      <c r="E259" s="5">
        <v>266</v>
      </c>
      <c r="F259" s="5" t="str">
        <f>HYPERLINK("https://www.ncbi.nlm.nih.gov/protein/WP_088660633.1?report=genbank&amp;log$=prottop&amp;blast_rank=198&amp;RID=92DR1CFD013","WP_088660633.1")</f>
        <v>WP_088660633.1</v>
      </c>
    </row>
    <row r="260" spans="1:6">
      <c r="A260" s="4" t="s">
        <v>1089</v>
      </c>
      <c r="B260" s="9">
        <v>0.97</v>
      </c>
      <c r="C260" s="10">
        <v>1.0000000000000001E-68</v>
      </c>
      <c r="D260" s="5">
        <v>27.01</v>
      </c>
      <c r="E260" s="5">
        <v>265</v>
      </c>
      <c r="F260" s="5" t="str">
        <f>HYPERLINK("https://www.ncbi.nlm.nih.gov/protein/MBS1261856.1?report=genbank&amp;log$=prottop&amp;blast_rank=251&amp;RID=92DR1CFD013","MBS1261856.1")</f>
        <v>MBS1261856.1</v>
      </c>
    </row>
    <row r="261" spans="1:6">
      <c r="A261" s="4" t="s">
        <v>1191</v>
      </c>
      <c r="B261" s="9">
        <v>0.97</v>
      </c>
      <c r="C261" s="10">
        <v>5.9999999999999997E-75</v>
      </c>
      <c r="D261" s="5">
        <v>26.87</v>
      </c>
      <c r="E261" s="5">
        <v>258</v>
      </c>
      <c r="F261" s="5" t="str">
        <f>HYPERLINK("https://www.ncbi.nlm.nih.gov/protein/OPZ33094.1?report=genbank&amp;log$=prottop&amp;blast_rank=241&amp;RID=92DR1CFD013","OPZ33094.1")</f>
        <v>OPZ33094.1</v>
      </c>
    </row>
    <row r="262" spans="1:6">
      <c r="A262" s="4" t="s">
        <v>505</v>
      </c>
      <c r="B262" s="9">
        <v>0.96</v>
      </c>
      <c r="C262" s="10">
        <v>8E-55</v>
      </c>
      <c r="D262" s="5">
        <v>26.87</v>
      </c>
      <c r="E262" s="5">
        <v>292</v>
      </c>
      <c r="F262" s="5" t="str">
        <f>HYPERLINK("https://www.ncbi.nlm.nih.gov/protein/MBE6814200.1?report=genbank&amp;log$=prottop&amp;blast_rank=273&amp;RID=92DR1CFD013","MBE6814200.1")</f>
        <v>MBE6814200.1</v>
      </c>
    </row>
    <row r="263" spans="1:6">
      <c r="A263" s="4" t="s">
        <v>1192</v>
      </c>
      <c r="B263" s="9">
        <v>0.99</v>
      </c>
      <c r="C263" s="10">
        <v>5E-56</v>
      </c>
      <c r="D263" s="5">
        <v>26.79</v>
      </c>
      <c r="E263" s="5">
        <v>268</v>
      </c>
      <c r="F263" s="5" t="str">
        <f>HYPERLINK("https://www.ncbi.nlm.nih.gov/protein/WP_075425865.1?report=genbank&amp;log$=prottop&amp;blast_rank=271&amp;RID=92DR1CFD013","WP_075425865.1")</f>
        <v>WP_075425865.1</v>
      </c>
    </row>
    <row r="264" spans="1:6">
      <c r="A264" s="4" t="s">
        <v>430</v>
      </c>
      <c r="B264" s="9">
        <v>0.95</v>
      </c>
      <c r="C264" s="10">
        <v>8.0000000000000005E-63</v>
      </c>
      <c r="D264" s="5">
        <v>26.57</v>
      </c>
      <c r="E264" s="5">
        <v>271</v>
      </c>
      <c r="F264" s="5" t="str">
        <f>HYPERLINK("https://www.ncbi.nlm.nih.gov/protein/MBR1945185.1?report=genbank&amp;log$=prottop&amp;blast_rank=263&amp;RID=92DR1CFD013","MBR1945185.1")</f>
        <v>MBR1945185.1</v>
      </c>
    </row>
    <row r="265" spans="1:6">
      <c r="A265" s="4" t="s">
        <v>1169</v>
      </c>
      <c r="B265" s="9">
        <v>0.9</v>
      </c>
      <c r="C265" s="10">
        <v>4.0000000000000001E-59</v>
      </c>
      <c r="D265" s="5">
        <v>26.42</v>
      </c>
      <c r="E265" s="5">
        <v>344</v>
      </c>
      <c r="F265" s="5" t="str">
        <f>HYPERLINK("https://www.ncbi.nlm.nih.gov/protein/WP_048047155.1?report=genbank&amp;log$=prottop&amp;blast_rank=268&amp;RID=92DR1CFD013","WP_048047155.1")</f>
        <v>WP_048047155.1</v>
      </c>
    </row>
    <row r="266" spans="1:6">
      <c r="A266" s="4" t="s">
        <v>430</v>
      </c>
      <c r="B266" s="9">
        <v>0.97</v>
      </c>
      <c r="C266" s="10">
        <v>1E-70</v>
      </c>
      <c r="D266" s="5">
        <v>26.24</v>
      </c>
      <c r="E266" s="5">
        <v>303</v>
      </c>
      <c r="F266" s="5" t="str">
        <f>HYPERLINK("https://www.ncbi.nlm.nih.gov/protein/MBO4520558.1?report=genbank&amp;log$=prottop&amp;blast_rank=249&amp;RID=92DR1CFD013","MBO4520558.1")</f>
        <v>MBO4520558.1</v>
      </c>
    </row>
    <row r="267" spans="1:6">
      <c r="A267" s="4" t="s">
        <v>430</v>
      </c>
      <c r="B267" s="9">
        <v>0.96</v>
      </c>
      <c r="C267" s="10">
        <v>4.9999999999999998E-73</v>
      </c>
      <c r="D267" s="5">
        <v>26.09</v>
      </c>
      <c r="E267" s="5">
        <v>270</v>
      </c>
      <c r="F267" s="5" t="str">
        <f>HYPERLINK("https://www.ncbi.nlm.nih.gov/protein/HAW34170.1?report=genbank&amp;log$=prottop&amp;blast_rank=246&amp;RID=92DR1CFD013","HAW34170.1")</f>
        <v>HAW34170.1</v>
      </c>
    </row>
    <row r="268" spans="1:6">
      <c r="A268" s="4" t="s">
        <v>29</v>
      </c>
      <c r="B268" s="9">
        <v>0.99</v>
      </c>
      <c r="C268" s="10">
        <v>4.0000000000000002E-62</v>
      </c>
      <c r="D268" s="5">
        <v>25.81</v>
      </c>
      <c r="E268" s="5">
        <v>267</v>
      </c>
      <c r="F268" s="5" t="str">
        <f>HYPERLINK("https://www.ncbi.nlm.nih.gov/protein/MCR5112153.1?report=genbank&amp;log$=prottop&amp;blast_rank=264&amp;RID=92DR1CFD013","MCR5112153.1")</f>
        <v>MCR5112153.1</v>
      </c>
    </row>
    <row r="269" spans="1:6">
      <c r="A269" s="4" t="s">
        <v>29</v>
      </c>
      <c r="B269" s="9">
        <v>0.92</v>
      </c>
      <c r="C269" s="10">
        <v>9.0000000000000004E-49</v>
      </c>
      <c r="D269" s="5">
        <v>25.74</v>
      </c>
      <c r="E269" s="5">
        <v>289</v>
      </c>
      <c r="F269" s="5" t="str">
        <f>HYPERLINK("https://www.ncbi.nlm.nih.gov/protein/MDD6058843.1?report=genbank&amp;log$=prottop&amp;blast_rank=277&amp;RID=92DR1CFD013","MDD6058843.1")</f>
        <v>MDD6058843.1</v>
      </c>
    </row>
    <row r="270" spans="1:6">
      <c r="A270" s="4" t="s">
        <v>430</v>
      </c>
      <c r="B270" s="9">
        <v>0.9</v>
      </c>
      <c r="C270" s="10">
        <v>3.0000000000000003E-39</v>
      </c>
      <c r="D270" s="5">
        <v>25.27</v>
      </c>
      <c r="E270" s="5">
        <v>315</v>
      </c>
      <c r="F270" s="5" t="str">
        <f>HYPERLINK("https://www.ncbi.nlm.nih.gov/protein/MBR3501821.1?report=genbank&amp;log$=prottop&amp;blast_rank=287&amp;RID=92DR1CFD013","MBR3501821.1")</f>
        <v>MBR3501821.1</v>
      </c>
    </row>
    <row r="271" spans="1:6">
      <c r="A271" s="4" t="s">
        <v>430</v>
      </c>
      <c r="B271" s="9">
        <v>0.95</v>
      </c>
      <c r="C271" s="10">
        <v>7.9999999999999998E-66</v>
      </c>
      <c r="D271" s="5">
        <v>25.26</v>
      </c>
      <c r="E271" s="5">
        <v>292</v>
      </c>
      <c r="F271" s="5" t="str">
        <f>HYPERLINK("https://www.ncbi.nlm.nih.gov/protein/MBQ8481086.1?report=genbank&amp;log$=prottop&amp;blast_rank=255&amp;RID=92DR1CFD013","MBQ8481086.1")</f>
        <v>MBQ8481086.1</v>
      </c>
    </row>
    <row r="272" spans="1:6">
      <c r="A272" s="4" t="s">
        <v>21</v>
      </c>
      <c r="B272" s="9">
        <v>0.98</v>
      </c>
      <c r="C272" s="10">
        <v>6.9999999999999996E-56</v>
      </c>
      <c r="D272" s="5">
        <v>25.17</v>
      </c>
      <c r="E272" s="5">
        <v>372</v>
      </c>
      <c r="F272" s="5" t="str">
        <f>HYPERLINK("https://www.ncbi.nlm.nih.gov/protein/MBO4554930.1?report=genbank&amp;log$=prottop&amp;blast_rank=272&amp;RID=92DR1CFD013","MBO4554930.1")</f>
        <v>MBO4554930.1</v>
      </c>
    </row>
    <row r="273" spans="1:6">
      <c r="A273" s="4" t="s">
        <v>34</v>
      </c>
      <c r="B273" s="9">
        <v>0.95</v>
      </c>
      <c r="C273" s="10">
        <v>2.9999999999999999E-46</v>
      </c>
      <c r="D273" s="5">
        <v>25.09</v>
      </c>
      <c r="E273" s="5">
        <v>268</v>
      </c>
      <c r="F273" s="5" t="str">
        <f>HYPERLINK("https://www.ncbi.nlm.nih.gov/protein/MBO5948083.1?report=genbank&amp;log$=prottop&amp;blast_rank=281&amp;RID=92DR1CFD013","MBO5948083.1")</f>
        <v>MBO5948083.1</v>
      </c>
    </row>
    <row r="274" spans="1:6">
      <c r="A274" s="4" t="s">
        <v>430</v>
      </c>
      <c r="B274" s="9">
        <v>0.96</v>
      </c>
      <c r="C274" s="10">
        <v>4.9999999999999996E-66</v>
      </c>
      <c r="D274" s="5">
        <v>24.74</v>
      </c>
      <c r="E274" s="5">
        <v>285</v>
      </c>
      <c r="F274" s="5" t="str">
        <f>HYPERLINK("https://www.ncbi.nlm.nih.gov/protein/MBQ9235393.1?report=genbank&amp;log$=prottop&amp;blast_rank=254&amp;RID=92DR1CFD013","MBQ9235393.1")</f>
        <v>MBQ9235393.1</v>
      </c>
    </row>
    <row r="275" spans="1:6">
      <c r="A275" s="4" t="s">
        <v>34</v>
      </c>
      <c r="B275" s="9">
        <v>0.96</v>
      </c>
      <c r="C275" s="10">
        <v>1E-41</v>
      </c>
      <c r="D275" s="5">
        <v>24.39</v>
      </c>
      <c r="E275" s="5">
        <v>296</v>
      </c>
      <c r="F275" s="5" t="str">
        <f>HYPERLINK("https://www.ncbi.nlm.nih.gov/protein/MDX2078356.1?report=genbank&amp;log$=prottop&amp;blast_rank=286&amp;RID=92DR1CFD013","MDX2078356.1")</f>
        <v>MDX2078356.1</v>
      </c>
    </row>
    <row r="276" spans="1:6">
      <c r="A276" s="4" t="s">
        <v>1143</v>
      </c>
      <c r="B276" s="9">
        <v>0.81</v>
      </c>
      <c r="C276" s="10">
        <v>1.9999999999999999E-11</v>
      </c>
      <c r="D276" s="5">
        <v>24.35</v>
      </c>
      <c r="E276" s="5">
        <v>213</v>
      </c>
      <c r="F276" s="5" t="str">
        <f>HYPERLINK("https://www.ncbi.nlm.nih.gov/protein/MBS7648987.1?report=genbank&amp;log$=prottop&amp;blast_rank=323&amp;RID=92DR1CFD013","MBS7648987.1")</f>
        <v>MBS7648987.1</v>
      </c>
    </row>
    <row r="277" spans="1:6">
      <c r="A277" s="4" t="s">
        <v>380</v>
      </c>
      <c r="B277" s="9">
        <v>0.99</v>
      </c>
      <c r="C277" s="10">
        <v>3.0000000000000002E-66</v>
      </c>
      <c r="D277" s="5">
        <v>24.33</v>
      </c>
      <c r="E277" s="5">
        <v>296</v>
      </c>
      <c r="F277" s="5" t="str">
        <f>HYPERLINK("https://www.ncbi.nlm.nih.gov/protein/MBZ0293641.1?report=genbank&amp;log$=prottop&amp;blast_rank=252&amp;RID=92DR1CFD013","MBZ0293641.1")</f>
        <v>MBZ0293641.1</v>
      </c>
    </row>
    <row r="278" spans="1:6">
      <c r="A278" s="4" t="s">
        <v>1193</v>
      </c>
      <c r="B278" s="9">
        <v>0.84</v>
      </c>
      <c r="C278" s="10">
        <v>2.9999999999999999E-35</v>
      </c>
      <c r="D278" s="5">
        <v>24.28</v>
      </c>
      <c r="E278" s="5">
        <v>287</v>
      </c>
      <c r="F278" s="5" t="str">
        <f>HYPERLINK("https://www.ncbi.nlm.nih.gov/protein/HME53290.1?report=genbank&amp;log$=prottop&amp;blast_rank=290&amp;RID=92DR1CFD013","HME53290.1")</f>
        <v>HME53290.1</v>
      </c>
    </row>
    <row r="279" spans="1:6">
      <c r="A279" s="4" t="s">
        <v>1194</v>
      </c>
      <c r="B279" s="9">
        <v>0.98</v>
      </c>
      <c r="C279" s="10">
        <v>1.9999999999999999E-64</v>
      </c>
      <c r="D279" s="5">
        <v>24.2</v>
      </c>
      <c r="E279" s="5">
        <v>271</v>
      </c>
      <c r="F279" s="5" t="str">
        <f>HYPERLINK("https://www.ncbi.nlm.nih.gov/protein/WP_303847927.1?report=genbank&amp;log$=prottop&amp;blast_rank=257&amp;RID=92DR1CFD013","WP_303847927.1")</f>
        <v>WP_303847927.1</v>
      </c>
    </row>
    <row r="280" spans="1:6">
      <c r="A280" s="4" t="s">
        <v>1195</v>
      </c>
      <c r="B280" s="9">
        <v>0.98</v>
      </c>
      <c r="C280" s="10">
        <v>7.0000000000000006E-64</v>
      </c>
      <c r="D280" s="5">
        <v>24.2</v>
      </c>
      <c r="E280" s="5">
        <v>271</v>
      </c>
      <c r="F280" s="5" t="str">
        <f>HYPERLINK("https://www.ncbi.nlm.nih.gov/protein/WP_299801717.1?report=genbank&amp;log$=prottop&amp;blast_rank=258&amp;RID=92DR1CFD013","WP_299801717.1")</f>
        <v>WP_299801717.1</v>
      </c>
    </row>
    <row r="281" spans="1:6">
      <c r="A281" s="4" t="s">
        <v>29</v>
      </c>
      <c r="B281" s="9">
        <v>0.98</v>
      </c>
      <c r="C281" s="10">
        <v>7.0000000000000006E-64</v>
      </c>
      <c r="D281" s="5">
        <v>24.2</v>
      </c>
      <c r="E281" s="5">
        <v>271</v>
      </c>
      <c r="F281" s="5" t="str">
        <f>HYPERLINK("https://www.ncbi.nlm.nih.gov/protein/MCR5110989.1?report=genbank&amp;log$=prottop&amp;blast_rank=259&amp;RID=92DR1CFD013","MCR5110989.1")</f>
        <v>MCR5110989.1</v>
      </c>
    </row>
    <row r="282" spans="1:6">
      <c r="A282" s="4" t="s">
        <v>1196</v>
      </c>
      <c r="B282" s="9">
        <v>0.98</v>
      </c>
      <c r="C282" s="10">
        <v>7.0000000000000006E-64</v>
      </c>
      <c r="D282" s="5">
        <v>24.2</v>
      </c>
      <c r="E282" s="5">
        <v>271</v>
      </c>
      <c r="F282" s="5" t="str">
        <f>HYPERLINK("https://www.ncbi.nlm.nih.gov/protein/WP_117734046.1?report=genbank&amp;log$=prottop&amp;blast_rank=260&amp;RID=92DR1CFD013","WP_117734046.1")</f>
        <v>WP_117734046.1</v>
      </c>
    </row>
    <row r="283" spans="1:6">
      <c r="A283" s="4" t="s">
        <v>1197</v>
      </c>
      <c r="B283" s="9">
        <v>0.89</v>
      </c>
      <c r="C283" s="10">
        <v>3E-37</v>
      </c>
      <c r="D283" s="5">
        <v>24.07</v>
      </c>
      <c r="E283" s="5">
        <v>357</v>
      </c>
      <c r="F283" s="5" t="str">
        <f>HYPERLINK("https://www.ncbi.nlm.nih.gov/protein/MEQ8676150.1?report=genbank&amp;log$=prottop&amp;blast_rank=288&amp;RID=92DR1CFD013","MEQ8676150.1")</f>
        <v>MEQ8676150.1</v>
      </c>
    </row>
    <row r="284" spans="1:6">
      <c r="A284" s="4" t="s">
        <v>505</v>
      </c>
      <c r="B284" s="9">
        <v>0.87</v>
      </c>
      <c r="C284" s="10">
        <v>2.9999999999999999E-48</v>
      </c>
      <c r="D284" s="5">
        <v>24</v>
      </c>
      <c r="E284" s="5">
        <v>275</v>
      </c>
      <c r="F284" s="5" t="str">
        <f>HYPERLINK("https://www.ncbi.nlm.nih.gov/protein/MBE7029582.1?report=genbank&amp;log$=prottop&amp;blast_rank=278&amp;RID=92DR1CFD013","MBE7029582.1")</f>
        <v>MBE7029582.1</v>
      </c>
    </row>
    <row r="285" spans="1:6">
      <c r="A285" s="4" t="s">
        <v>430</v>
      </c>
      <c r="B285" s="9">
        <v>0.97</v>
      </c>
      <c r="C285" s="10">
        <v>2.0000000000000002E-31</v>
      </c>
      <c r="D285" s="5">
        <v>23.63</v>
      </c>
      <c r="E285" s="5">
        <v>305</v>
      </c>
      <c r="F285" s="5" t="str">
        <f>HYPERLINK("https://www.ncbi.nlm.nih.gov/protein/MBO6290037.1?report=genbank&amp;log$=prottop&amp;blast_rank=296&amp;RID=92DR1CFD013","MBO6290037.1")</f>
        <v>MBO6290037.1</v>
      </c>
    </row>
    <row r="286" spans="1:6">
      <c r="A286" s="4" t="s">
        <v>29</v>
      </c>
      <c r="B286" s="9">
        <v>0.9</v>
      </c>
      <c r="C286" s="10">
        <v>5.9999999999999998E-48</v>
      </c>
      <c r="D286" s="5">
        <v>23.62</v>
      </c>
      <c r="E286" s="5">
        <v>278</v>
      </c>
      <c r="F286" s="5" t="str">
        <f>HYPERLINK("https://www.ncbi.nlm.nih.gov/protein/MCI1268597.1?report=genbank&amp;log$=prottop&amp;blast_rank=279&amp;RID=92DR1CFD013","MCI1268597.1")</f>
        <v>MCI1268597.1</v>
      </c>
    </row>
    <row r="287" spans="1:6">
      <c r="A287" s="4" t="s">
        <v>206</v>
      </c>
      <c r="B287" s="9">
        <v>0.82</v>
      </c>
      <c r="C287" s="10">
        <v>1.0000000000000001E-33</v>
      </c>
      <c r="D287" s="5">
        <v>23.53</v>
      </c>
      <c r="E287" s="5">
        <v>277</v>
      </c>
      <c r="F287" s="5" t="str">
        <f>HYPERLINK("https://www.ncbi.nlm.nih.gov/protein/MDY2942385.1?report=genbank&amp;log$=prottop&amp;blast_rank=292&amp;RID=92DR1CFD013","MDY2942385.1")</f>
        <v>MDY2942385.1</v>
      </c>
    </row>
    <row r="288" spans="1:6">
      <c r="A288" s="4" t="s">
        <v>1198</v>
      </c>
      <c r="B288" s="9">
        <v>0.96</v>
      </c>
      <c r="C288" s="10">
        <v>9.9999999999999995E-45</v>
      </c>
      <c r="D288" s="5">
        <v>22.93</v>
      </c>
      <c r="E288" s="5">
        <v>339</v>
      </c>
      <c r="F288" s="5" t="str">
        <f>HYPERLINK("https://www.ncbi.nlm.nih.gov/protein/WP_126980102.1?report=genbank&amp;log$=prottop&amp;blast_rank=282&amp;RID=92DR1CFD013","WP_126980102.1")</f>
        <v>WP_126980102.1</v>
      </c>
    </row>
    <row r="289" spans="1:6">
      <c r="A289" s="4" t="s">
        <v>1199</v>
      </c>
      <c r="B289" s="9">
        <v>0.99</v>
      </c>
      <c r="C289" s="10">
        <v>4.0000000000000003E-63</v>
      </c>
      <c r="D289" s="5">
        <v>22.89</v>
      </c>
      <c r="E289" s="5">
        <v>270</v>
      </c>
      <c r="F289" s="5" t="str">
        <f>HYPERLINK("https://www.ncbi.nlm.nih.gov/protein/WP_024859210.1?report=genbank&amp;log$=prottop&amp;blast_rank=262&amp;RID=92DR1CFD013","WP_024859210.1")</f>
        <v>WP_024859210.1</v>
      </c>
    </row>
    <row r="290" spans="1:6">
      <c r="A290" s="4" t="s">
        <v>1200</v>
      </c>
      <c r="B290" s="9">
        <v>0.93</v>
      </c>
      <c r="C290" s="10">
        <v>1.9999999999999999E-29</v>
      </c>
      <c r="D290" s="5">
        <v>22.68</v>
      </c>
      <c r="E290" s="5">
        <v>290</v>
      </c>
      <c r="F290" s="5" t="str">
        <f>HYPERLINK("https://www.ncbi.nlm.nih.gov/protein/NLT01234.1?report=genbank&amp;log$=prottop&amp;blast_rank=298&amp;RID=92DR1CFD013","NLT01234.1")</f>
        <v>NLT01234.1</v>
      </c>
    </row>
    <row r="291" spans="1:6">
      <c r="A291" s="4" t="s">
        <v>29</v>
      </c>
      <c r="B291" s="9">
        <v>0.99</v>
      </c>
      <c r="C291" s="10">
        <v>8E-55</v>
      </c>
      <c r="D291" s="5">
        <v>22.58</v>
      </c>
      <c r="E291" s="5">
        <v>436</v>
      </c>
      <c r="F291" s="5" t="str">
        <f>HYPERLINK("https://www.ncbi.nlm.nih.gov/protein/WP_295069692.1?report=genbank&amp;log$=prottop&amp;blast_rank=274&amp;RID=92DR1CFD013","WP_295069692.1")</f>
        <v>WP_295069692.1</v>
      </c>
    </row>
    <row r="292" spans="1:6">
      <c r="A292" s="4" t="s">
        <v>1201</v>
      </c>
      <c r="B292" s="9">
        <v>0.88</v>
      </c>
      <c r="C292" s="10">
        <v>4.0000000000000002E-32</v>
      </c>
      <c r="D292" s="5">
        <v>22.52</v>
      </c>
      <c r="E292" s="5">
        <v>374</v>
      </c>
      <c r="F292" s="5" t="str">
        <f>HYPERLINK("https://www.ncbi.nlm.nih.gov/protein/MBP7509187.1?report=genbank&amp;log$=prottop&amp;blast_rank=294&amp;RID=92DR1CFD013","MBP7509187.1")</f>
        <v>MBP7509187.1</v>
      </c>
    </row>
    <row r="293" spans="1:6">
      <c r="A293" s="4" t="s">
        <v>1202</v>
      </c>
      <c r="B293" s="9">
        <v>0.94</v>
      </c>
      <c r="C293" s="10">
        <v>3E-51</v>
      </c>
      <c r="D293" s="5">
        <v>22.34</v>
      </c>
      <c r="E293" s="5">
        <v>266</v>
      </c>
      <c r="F293" s="5" t="str">
        <f>HYPERLINK("https://www.ncbi.nlm.nih.gov/protein/NLB04549.1?report=genbank&amp;log$=prottop&amp;blast_rank=275&amp;RID=92DR1CFD013","NLB04549.1")</f>
        <v>NLB04549.1</v>
      </c>
    </row>
    <row r="294" spans="1:6">
      <c r="A294" s="4" t="s">
        <v>234</v>
      </c>
      <c r="B294" s="9">
        <v>0.94</v>
      </c>
      <c r="C294" s="10">
        <v>6.9999999999999999E-50</v>
      </c>
      <c r="D294" s="5">
        <v>22.34</v>
      </c>
      <c r="E294" s="5">
        <v>266</v>
      </c>
      <c r="F294" s="5" t="str">
        <f>HYPERLINK("https://www.ncbi.nlm.nih.gov/protein/MBS5570683.1?report=genbank&amp;log$=prottop&amp;blast_rank=276&amp;RID=92DR1CFD013","MBS5570683.1")</f>
        <v>MBS5570683.1</v>
      </c>
    </row>
    <row r="295" spans="1:6">
      <c r="A295" s="4" t="s">
        <v>1198</v>
      </c>
      <c r="B295" s="9">
        <v>0.96</v>
      </c>
      <c r="C295" s="10">
        <v>6.9999999999999999E-43</v>
      </c>
      <c r="D295" s="5">
        <v>22.29</v>
      </c>
      <c r="E295" s="5">
        <v>339</v>
      </c>
      <c r="F295" s="5" t="str">
        <f>HYPERLINK("https://www.ncbi.nlm.nih.gov/protein/WP_339804619.1?report=genbank&amp;log$=prottop&amp;blast_rank=284&amp;RID=92DR1CFD013","WP_339804619.1")</f>
        <v>WP_339804619.1</v>
      </c>
    </row>
    <row r="296" spans="1:6">
      <c r="A296" s="4" t="s">
        <v>1203</v>
      </c>
      <c r="B296" s="9">
        <v>0.83</v>
      </c>
      <c r="C296" s="10">
        <v>1.9999999999999998E-21</v>
      </c>
      <c r="D296" s="5">
        <v>22.08</v>
      </c>
      <c r="E296" s="5">
        <v>264</v>
      </c>
      <c r="F296" s="5" t="str">
        <f>HYPERLINK("https://www.ncbi.nlm.nih.gov/protein/WP_253960994.1?report=genbank&amp;log$=prottop&amp;blast_rank=308&amp;RID=92DR1CFD013","WP_253960994.1")</f>
        <v>WP_253960994.1</v>
      </c>
    </row>
    <row r="297" spans="1:6">
      <c r="A297" s="4" t="s">
        <v>1195</v>
      </c>
      <c r="B297" s="9">
        <v>0.99</v>
      </c>
      <c r="C297" s="10">
        <v>2.0000000000000001E-58</v>
      </c>
      <c r="D297" s="5">
        <v>22.03</v>
      </c>
      <c r="E297" s="5">
        <v>271</v>
      </c>
      <c r="F297" s="5" t="str">
        <f>HYPERLINK("https://www.ncbi.nlm.nih.gov/protein/WP_294483865.1?report=genbank&amp;log$=prottop&amp;blast_rank=269&amp;RID=92DR1CFD013","WP_294483865.1")</f>
        <v>WP_294483865.1</v>
      </c>
    </row>
    <row r="298" spans="1:6">
      <c r="A298" s="4" t="s">
        <v>29</v>
      </c>
      <c r="B298" s="9">
        <v>0.98</v>
      </c>
      <c r="C298" s="10">
        <v>6E-37</v>
      </c>
      <c r="D298" s="5">
        <v>21.53</v>
      </c>
      <c r="E298" s="5">
        <v>277</v>
      </c>
      <c r="F298" s="5" t="str">
        <f>HYPERLINK("https://www.ncbi.nlm.nih.gov/protein/MBR3668231.1?report=genbank&amp;log$=prottop&amp;blast_rank=289&amp;RID=92DR1CFD013","MBR3668231.1")</f>
        <v>MBR3668231.1</v>
      </c>
    </row>
    <row r="299" spans="1:6">
      <c r="A299" s="4" t="s">
        <v>21</v>
      </c>
      <c r="B299" s="9">
        <v>0.93</v>
      </c>
      <c r="C299" s="10">
        <v>4.0000000000000002E-25</v>
      </c>
      <c r="D299" s="5">
        <v>21.43</v>
      </c>
      <c r="E299" s="5">
        <v>278</v>
      </c>
      <c r="F299" s="5" t="str">
        <f>HYPERLINK("https://www.ncbi.nlm.nih.gov/protein/MBO5280485.1?report=genbank&amp;log$=prottop&amp;blast_rank=302&amp;RID=92DR1CFD013","MBO5280485.1")</f>
        <v>MBO5280485.1</v>
      </c>
    </row>
    <row r="300" spans="1:6">
      <c r="A300" s="4" t="s">
        <v>1204</v>
      </c>
      <c r="B300" s="9">
        <v>0.82</v>
      </c>
      <c r="C300" s="10">
        <v>3E-43</v>
      </c>
      <c r="D300" s="5">
        <v>21.4</v>
      </c>
      <c r="E300" s="5">
        <v>235</v>
      </c>
      <c r="F300" s="5" t="str">
        <f>HYPERLINK("https://www.ncbi.nlm.nih.gov/protein/OPZ20059.1?report=genbank&amp;log$=prottop&amp;blast_rank=283&amp;RID=92DR1CFD013","OPZ20059.1")</f>
        <v>OPZ20059.1</v>
      </c>
    </row>
    <row r="301" spans="1:6">
      <c r="A301" s="4" t="s">
        <v>37</v>
      </c>
      <c r="B301" s="9">
        <v>0.93</v>
      </c>
      <c r="C301" s="10">
        <v>3.9999999999999997E-34</v>
      </c>
      <c r="D301" s="5">
        <v>21.32</v>
      </c>
      <c r="E301" s="5">
        <v>281</v>
      </c>
      <c r="F301" s="5" t="str">
        <f>HYPERLINK("https://www.ncbi.nlm.nih.gov/protein/MBR3542691.1?report=genbank&amp;log$=prottop&amp;blast_rank=291&amp;RID=92DR1CFD013","MBR3542691.1")</f>
        <v>MBR3542691.1</v>
      </c>
    </row>
    <row r="302" spans="1:6">
      <c r="A302" s="4" t="s">
        <v>552</v>
      </c>
      <c r="B302" s="9">
        <v>0.92</v>
      </c>
      <c r="C302" s="10">
        <v>9.0000000000000005E-43</v>
      </c>
      <c r="D302" s="5">
        <v>21.13</v>
      </c>
      <c r="E302" s="5">
        <v>266</v>
      </c>
      <c r="F302" s="5" t="str">
        <f>HYPERLINK("https://www.ncbi.nlm.nih.gov/protein/HHT95920.1?report=genbank&amp;log$=prottop&amp;blast_rank=285&amp;RID=92DR1CFD013","HHT95920.1")</f>
        <v>HHT95920.1</v>
      </c>
    </row>
    <row r="303" spans="1:6">
      <c r="A303" s="4" t="s">
        <v>21</v>
      </c>
      <c r="B303" s="9">
        <v>0.96</v>
      </c>
      <c r="C303" s="10">
        <v>3.9999999999999999E-47</v>
      </c>
      <c r="D303" s="5">
        <v>21.09</v>
      </c>
      <c r="E303" s="5">
        <v>269</v>
      </c>
      <c r="F303" s="5" t="str">
        <f>HYPERLINK("https://www.ncbi.nlm.nih.gov/protein/MBR3094380.1?report=genbank&amp;log$=prottop&amp;blast_rank=280&amp;RID=92DR1CFD013","MBR3094380.1")</f>
        <v>MBR3094380.1</v>
      </c>
    </row>
    <row r="304" spans="1:6">
      <c r="A304" s="4" t="s">
        <v>21</v>
      </c>
      <c r="B304" s="9">
        <v>0.88</v>
      </c>
      <c r="C304" s="10">
        <v>6.0000000000000001E-32</v>
      </c>
      <c r="D304" s="5">
        <v>21.07</v>
      </c>
      <c r="E304" s="5">
        <v>256</v>
      </c>
      <c r="F304" s="5" t="str">
        <f>HYPERLINK("https://www.ncbi.nlm.nih.gov/protein/MBQ9460373.1?report=genbank&amp;log$=prottop&amp;blast_rank=295&amp;RID=92DR1CFD013","MBQ9460373.1")</f>
        <v>MBQ9460373.1</v>
      </c>
    </row>
    <row r="305" spans="1:6">
      <c r="A305" s="4" t="s">
        <v>505</v>
      </c>
      <c r="B305" s="9">
        <v>0.91</v>
      </c>
      <c r="C305" s="10">
        <v>4.0000000000000003E-30</v>
      </c>
      <c r="D305" s="5">
        <v>20.99</v>
      </c>
      <c r="E305" s="5">
        <v>271</v>
      </c>
      <c r="F305" s="5" t="str">
        <f>HYPERLINK("https://www.ncbi.nlm.nih.gov/protein/MDE6087874.1?report=genbank&amp;log$=prottop&amp;blast_rank=297&amp;RID=92DR1CFD013","MDE6087874.1")</f>
        <v>MDE6087874.1</v>
      </c>
    </row>
    <row r="306" spans="1:6">
      <c r="A306" s="4" t="s">
        <v>425</v>
      </c>
      <c r="B306" s="9">
        <v>0.88</v>
      </c>
      <c r="C306" s="10">
        <v>2.9999999999999998E-25</v>
      </c>
      <c r="D306" s="5">
        <v>20.99</v>
      </c>
      <c r="E306" s="5">
        <v>495</v>
      </c>
      <c r="F306" s="5" t="str">
        <f>HYPERLINK("https://www.ncbi.nlm.nih.gov/protein/MBN1230434.1?report=genbank&amp;log$=prottop&amp;blast_rank=301&amp;RID=92DR1CFD013","MBN1230434.1")</f>
        <v>MBN1230434.1</v>
      </c>
    </row>
    <row r="307" spans="1:6">
      <c r="A307" s="4" t="s">
        <v>1205</v>
      </c>
      <c r="B307" s="9">
        <v>0.97</v>
      </c>
      <c r="C307" s="10">
        <v>8.9999999999999998E-33</v>
      </c>
      <c r="D307" s="5">
        <v>20.89</v>
      </c>
      <c r="E307" s="5">
        <v>296</v>
      </c>
      <c r="F307" s="5" t="str">
        <f>HYPERLINK("https://www.ncbi.nlm.nih.gov/protein/MDZ4672729.1?report=genbank&amp;log$=prottop&amp;blast_rank=293&amp;RID=92DR1CFD013","MDZ4672729.1")</f>
        <v>MDZ4672729.1</v>
      </c>
    </row>
    <row r="308" spans="1:6">
      <c r="A308" s="4" t="s">
        <v>606</v>
      </c>
      <c r="B308" s="9">
        <v>0.87</v>
      </c>
      <c r="C308" s="10">
        <v>7.9999999999999997E-23</v>
      </c>
      <c r="D308" s="5">
        <v>20.89</v>
      </c>
      <c r="E308" s="5">
        <v>311</v>
      </c>
      <c r="F308" s="5" t="str">
        <f>HYPERLINK("https://www.ncbi.nlm.nih.gov/protein/MBE6133939.1?report=genbank&amp;log$=prottop&amp;blast_rank=307&amp;RID=92DR1CFD013","MBE6133939.1")</f>
        <v>MBE6133939.1</v>
      </c>
    </row>
    <row r="309" spans="1:6">
      <c r="A309" s="4" t="s">
        <v>1206</v>
      </c>
      <c r="B309" s="9">
        <v>0.82</v>
      </c>
      <c r="C309" s="10">
        <v>3.0000000000000001E-26</v>
      </c>
      <c r="D309" s="5">
        <v>20.82</v>
      </c>
      <c r="E309" s="5">
        <v>336</v>
      </c>
      <c r="F309" s="5" t="str">
        <f>HYPERLINK("https://www.ncbi.nlm.nih.gov/protein/WP_289510312.1?report=genbank&amp;log$=prottop&amp;blast_rank=300&amp;RID=92DR1CFD013","WP_289510312.1")</f>
        <v>WP_289510312.1</v>
      </c>
    </row>
    <row r="310" spans="1:6">
      <c r="A310" s="4" t="s">
        <v>36</v>
      </c>
      <c r="B310" s="9">
        <v>0.96</v>
      </c>
      <c r="C310" s="10">
        <v>7.0000000000000007E-21</v>
      </c>
      <c r="D310" s="5">
        <v>20.75</v>
      </c>
      <c r="E310" s="5">
        <v>300</v>
      </c>
      <c r="F310" s="5" t="str">
        <f>HYPERLINK("https://www.ncbi.nlm.nih.gov/protein/WP_217821412.1?report=genbank&amp;log$=prottop&amp;blast_rank=311&amp;RID=92DR1CFD013","WP_217821412.1")</f>
        <v>WP_217821412.1</v>
      </c>
    </row>
    <row r="311" spans="1:6">
      <c r="A311" s="4" t="s">
        <v>1207</v>
      </c>
      <c r="B311" s="9">
        <v>0.82</v>
      </c>
      <c r="C311" s="10">
        <v>1E-8</v>
      </c>
      <c r="D311" s="5">
        <v>20.6</v>
      </c>
      <c r="E311" s="5">
        <v>213</v>
      </c>
      <c r="F311" s="5" t="str">
        <f>HYPERLINK("https://www.ncbi.nlm.nih.gov/protein/MCD6513723.1?report=genbank&amp;log$=prottop&amp;blast_rank=331&amp;RID=92DR1CFD013","MCD6513723.1")</f>
        <v>MCD6513723.1</v>
      </c>
    </row>
    <row r="312" spans="1:6">
      <c r="A312" s="4" t="s">
        <v>1208</v>
      </c>
      <c r="B312" s="9">
        <v>0.83</v>
      </c>
      <c r="C312" s="10">
        <v>2E-8</v>
      </c>
      <c r="D312" s="5">
        <v>20.59</v>
      </c>
      <c r="E312" s="5">
        <v>213</v>
      </c>
      <c r="F312" s="5" t="str">
        <f>HYPERLINK("https://www.ncbi.nlm.nih.gov/protein/MDO8045375.1?report=genbank&amp;log$=prottop&amp;blast_rank=332&amp;RID=92DR1CFD013","MDO8045375.1")</f>
        <v>MDO8045375.1</v>
      </c>
    </row>
    <row r="313" spans="1:6">
      <c r="A313" s="4" t="s">
        <v>1209</v>
      </c>
      <c r="B313" s="9">
        <v>0.82</v>
      </c>
      <c r="C313" s="10">
        <v>2.9999999999999998E-13</v>
      </c>
      <c r="D313" s="5">
        <v>20.54</v>
      </c>
      <c r="E313" s="5">
        <v>329</v>
      </c>
      <c r="F313" s="5" t="str">
        <f>HYPERLINK("https://www.ncbi.nlm.nih.gov/protein/WP_301720495.1?report=genbank&amp;log$=prottop&amp;blast_rank=316&amp;RID=92DR1CFD013","WP_301720495.1")</f>
        <v>WP_301720495.1</v>
      </c>
    </row>
    <row r="314" spans="1:6">
      <c r="A314" s="4" t="s">
        <v>611</v>
      </c>
      <c r="B314" s="9">
        <v>0.83</v>
      </c>
      <c r="C314" s="10">
        <v>5.9999999999999998E-21</v>
      </c>
      <c r="D314" s="5">
        <v>20.45</v>
      </c>
      <c r="E314" s="5">
        <v>289</v>
      </c>
      <c r="F314" s="5" t="str">
        <f>HYPERLINK("https://www.ncbi.nlm.nih.gov/protein/MDY3899719.1?report=genbank&amp;log$=prottop&amp;blast_rank=310&amp;RID=92DR1CFD013","MDY3899719.1")</f>
        <v>MDY3899719.1</v>
      </c>
    </row>
    <row r="315" spans="1:6">
      <c r="A315" s="4" t="s">
        <v>1210</v>
      </c>
      <c r="B315" s="9">
        <v>0.89</v>
      </c>
      <c r="C315" s="10">
        <v>2E-12</v>
      </c>
      <c r="D315" s="5">
        <v>20.420000000000002</v>
      </c>
      <c r="E315" s="5">
        <v>327</v>
      </c>
      <c r="F315" s="5" t="str">
        <f>HYPERLINK("https://www.ncbi.nlm.nih.gov/protein/WP_173578723.1?report=genbank&amp;log$=prottop&amp;blast_rank=319&amp;RID=92DR1CFD013","WP_173578723.1")</f>
        <v>WP_173578723.1</v>
      </c>
    </row>
    <row r="316" spans="1:6">
      <c r="A316" s="4" t="s">
        <v>1199</v>
      </c>
      <c r="B316" s="9">
        <v>0.99</v>
      </c>
      <c r="C316" s="10">
        <v>3.0000000000000001E-59</v>
      </c>
      <c r="D316" s="5">
        <v>20.36</v>
      </c>
      <c r="E316" s="5">
        <v>266</v>
      </c>
      <c r="F316" s="5" t="str">
        <f>HYPERLINK("https://www.ncbi.nlm.nih.gov/protein/WP_013497817.1?report=genbank&amp;log$=prottop&amp;blast_rank=267&amp;RID=92DR1CFD013","WP_013497817.1")</f>
        <v>WP_013497817.1</v>
      </c>
    </row>
    <row r="317" spans="1:6">
      <c r="A317" s="4" t="s">
        <v>1211</v>
      </c>
      <c r="B317" s="9">
        <v>0.82</v>
      </c>
      <c r="C317" s="10">
        <v>3E-10</v>
      </c>
      <c r="D317" s="5">
        <v>20.16</v>
      </c>
      <c r="E317" s="5">
        <v>326</v>
      </c>
      <c r="F317" s="5" t="str">
        <f>HYPERLINK("https://www.ncbi.nlm.nih.gov/protein/WP_126754178.1?report=genbank&amp;log$=prottop&amp;blast_rank=327&amp;RID=92DR1CFD013","WP_126754178.1")</f>
        <v>WP_126754178.1</v>
      </c>
    </row>
    <row r="318" spans="1:6">
      <c r="A318" s="4" t="s">
        <v>728</v>
      </c>
      <c r="B318" s="9">
        <v>0.95</v>
      </c>
      <c r="C318" s="10">
        <v>2.9999999999999997E-8</v>
      </c>
      <c r="D318" s="5">
        <v>19.86</v>
      </c>
      <c r="E318" s="5">
        <v>273</v>
      </c>
      <c r="F318" s="5" t="str">
        <f>HYPERLINK("https://www.ncbi.nlm.nih.gov/protein/MDY0138197.1?report=genbank&amp;log$=prottop&amp;blast_rank=334&amp;RID=92DR1CFD013","MDY0138197.1")</f>
        <v>MDY0138197.1</v>
      </c>
    </row>
    <row r="319" spans="1:6">
      <c r="A319" s="4" t="s">
        <v>1212</v>
      </c>
      <c r="B319" s="9">
        <v>0.87</v>
      </c>
      <c r="C319" s="10">
        <v>5.0000000000000002E-11</v>
      </c>
      <c r="D319" s="5">
        <v>19.62</v>
      </c>
      <c r="E319" s="5">
        <v>274</v>
      </c>
      <c r="F319" s="5" t="str">
        <f>HYPERLINK("https://www.ncbi.nlm.nih.gov/protein/WP_214174204.1?report=genbank&amp;log$=prottop&amp;blast_rank=324&amp;RID=92DR1CFD013","WP_214174204.1")</f>
        <v>WP_214174204.1</v>
      </c>
    </row>
    <row r="320" spans="1:6">
      <c r="A320" s="4" t="s">
        <v>34</v>
      </c>
      <c r="B320" s="9">
        <v>0.93</v>
      </c>
      <c r="C320" s="10">
        <v>1.9999999999999999E-23</v>
      </c>
      <c r="D320" s="5">
        <v>19.48</v>
      </c>
      <c r="E320" s="5">
        <v>274</v>
      </c>
      <c r="F320" s="5" t="str">
        <f>HYPERLINK("https://www.ncbi.nlm.nih.gov/protein/MBD5405450.1?report=genbank&amp;log$=prottop&amp;blast_rank=306&amp;RID=92DR1CFD013","MBD5405450.1")</f>
        <v>MBD5405450.1</v>
      </c>
    </row>
    <row r="321" spans="1:6">
      <c r="A321" s="4" t="s">
        <v>25</v>
      </c>
      <c r="B321" s="9">
        <v>0.84</v>
      </c>
      <c r="C321" s="10">
        <v>3E-28</v>
      </c>
      <c r="D321" s="5">
        <v>19.34</v>
      </c>
      <c r="E321" s="5">
        <v>311</v>
      </c>
      <c r="F321" s="5" t="str">
        <f>HYPERLINK("https://www.ncbi.nlm.nih.gov/protein/MCR5331047.1?report=genbank&amp;log$=prottop&amp;blast_rank=299&amp;RID=92DR1CFD013","MCR5331047.1")</f>
        <v>MCR5331047.1</v>
      </c>
    </row>
    <row r="322" spans="1:6">
      <c r="A322" s="4" t="s">
        <v>1167</v>
      </c>
      <c r="B322" s="9">
        <v>0.84</v>
      </c>
      <c r="C322" s="10">
        <v>5E-15</v>
      </c>
      <c r="D322" s="5">
        <v>19.34</v>
      </c>
      <c r="E322" s="5">
        <v>243</v>
      </c>
      <c r="F322" s="5" t="str">
        <f>HYPERLINK("https://www.ncbi.nlm.nih.gov/protein/WP_073479152.1?report=genbank&amp;log$=prottop&amp;blast_rank=315&amp;RID=92DR1CFD013","WP_073479152.1")</f>
        <v>WP_073479152.1</v>
      </c>
    </row>
    <row r="323" spans="1:6">
      <c r="A323" s="4" t="s">
        <v>1213</v>
      </c>
      <c r="B323" s="9">
        <v>0.82</v>
      </c>
      <c r="C323" s="10">
        <v>4.9999999999999998E-8</v>
      </c>
      <c r="D323" s="5">
        <v>19.309999999999999</v>
      </c>
      <c r="E323" s="5">
        <v>208</v>
      </c>
      <c r="F323" s="5" t="str">
        <f>HYPERLINK("https://www.ncbi.nlm.nih.gov/protein/OYT35341.1?report=genbank&amp;log$=prottop&amp;blast_rank=335&amp;RID=92DR1CFD013","OYT35341.1")</f>
        <v>OYT35341.1</v>
      </c>
    </row>
    <row r="324" spans="1:6">
      <c r="A324" s="4" t="s">
        <v>1110</v>
      </c>
      <c r="B324" s="9">
        <v>0.87</v>
      </c>
      <c r="C324" s="10">
        <v>1E-10</v>
      </c>
      <c r="D324" s="5">
        <v>18.88</v>
      </c>
      <c r="E324" s="5">
        <v>275</v>
      </c>
      <c r="F324" s="5" t="str">
        <f>HYPERLINK("https://www.ncbi.nlm.nih.gov/protein/MDX9879891.1?report=genbank&amp;log$=prottop&amp;blast_rank=325&amp;RID=92DR1CFD013","MDX9879891.1")</f>
        <v>MDX9879891.1</v>
      </c>
    </row>
    <row r="325" spans="1:6">
      <c r="A325" s="4" t="s">
        <v>29</v>
      </c>
      <c r="B325" s="9">
        <v>0.91</v>
      </c>
      <c r="C325" s="10">
        <v>4.9999999999999999E-20</v>
      </c>
      <c r="D325" s="5">
        <v>18.55</v>
      </c>
      <c r="E325" s="5">
        <v>313</v>
      </c>
      <c r="F325" s="5" t="str">
        <f>HYPERLINK("https://www.ncbi.nlm.nih.gov/protein/MCR5817036.1?report=genbank&amp;log$=prottop&amp;blast_rank=312&amp;RID=92DR1CFD013","MCR5817036.1")</f>
        <v>MCR5817036.1</v>
      </c>
    </row>
    <row r="326" spans="1:6">
      <c r="A326" s="4" t="s">
        <v>1214</v>
      </c>
      <c r="B326" s="9">
        <v>0.91</v>
      </c>
      <c r="C326" s="10">
        <v>6.0000000000000006E-20</v>
      </c>
      <c r="D326" s="5">
        <v>18.55</v>
      </c>
      <c r="E326" s="5">
        <v>313</v>
      </c>
      <c r="F326" s="5" t="str">
        <f>HYPERLINK("https://www.ncbi.nlm.nih.gov/protein/WP_028511419.1?report=genbank&amp;log$=prottop&amp;blast_rank=313&amp;RID=92DR1CFD013","WP_028511419.1")</f>
        <v>WP_028511419.1</v>
      </c>
    </row>
    <row r="327" spans="1:6">
      <c r="A327" s="4" t="s">
        <v>89</v>
      </c>
      <c r="B327" s="9">
        <v>0.88</v>
      </c>
      <c r="C327" s="10">
        <v>1.0000000000000001E-9</v>
      </c>
      <c r="D327" s="5">
        <v>18.399999999999999</v>
      </c>
      <c r="E327" s="5">
        <v>275</v>
      </c>
      <c r="F327" s="5" t="str">
        <f>HYPERLINK("https://www.ncbi.nlm.nih.gov/protein/MCB0458533.1?report=genbank&amp;log$=prottop&amp;blast_rank=330&amp;RID=92DR1CFD013","MCB0458533.1")</f>
        <v>MCB0458533.1</v>
      </c>
    </row>
    <row r="328" spans="1:6">
      <c r="A328" s="4" t="s">
        <v>1215</v>
      </c>
      <c r="B328" s="9">
        <v>0.8</v>
      </c>
      <c r="C328" s="10">
        <v>2.0000000000000001E-10</v>
      </c>
      <c r="D328" s="5">
        <v>18.34</v>
      </c>
      <c r="E328" s="5">
        <v>278</v>
      </c>
      <c r="F328" s="5" t="str">
        <f>HYPERLINK("https://www.ncbi.nlm.nih.gov/protein/WP_054033632.1?report=genbank&amp;log$=prottop&amp;blast_rank=326&amp;RID=92DR1CFD013","WP_054033632.1")</f>
        <v>WP_054033632.1</v>
      </c>
    </row>
    <row r="329" spans="1:6">
      <c r="A329" s="4" t="s">
        <v>1215</v>
      </c>
      <c r="B329" s="9">
        <v>0.8</v>
      </c>
      <c r="C329" s="10">
        <v>6.9999999999999996E-10</v>
      </c>
      <c r="D329" s="5">
        <v>18.34</v>
      </c>
      <c r="E329" s="5">
        <v>308</v>
      </c>
      <c r="F329" s="5" t="str">
        <f>HYPERLINK("https://www.ncbi.nlm.nih.gov/protein/WP_054029998.1?report=genbank&amp;log$=prottop&amp;blast_rank=328&amp;RID=92DR1CFD013","WP_054029998.1")</f>
        <v>WP_054029998.1</v>
      </c>
    </row>
    <row r="330" spans="1:6">
      <c r="A330" s="4" t="s">
        <v>29</v>
      </c>
      <c r="B330" s="9">
        <v>0.96</v>
      </c>
      <c r="C330" s="10">
        <v>2.9999999999999999E-21</v>
      </c>
      <c r="D330" s="5">
        <v>18.329999999999998</v>
      </c>
      <c r="E330" s="5">
        <v>301</v>
      </c>
      <c r="F330" s="5" t="str">
        <f>HYPERLINK("https://www.ncbi.nlm.nih.gov/protein/HRU96473.1?report=genbank&amp;log$=prottop&amp;blast_rank=309&amp;RID=92DR1CFD013","HRU96473.1")</f>
        <v>HRU96473.1</v>
      </c>
    </row>
    <row r="331" spans="1:6">
      <c r="A331" s="4" t="s">
        <v>646</v>
      </c>
      <c r="B331" s="9">
        <v>0.84</v>
      </c>
      <c r="C331" s="10">
        <v>9.9999999999999992E-25</v>
      </c>
      <c r="D331" s="5">
        <v>18.25</v>
      </c>
      <c r="E331" s="5">
        <v>303</v>
      </c>
      <c r="F331" s="5" t="str">
        <f>HYPERLINK("https://www.ncbi.nlm.nih.gov/protein/WP_296711382.1?report=genbank&amp;log$=prottop&amp;blast_rank=303&amp;RID=92DR1CFD013","WP_296711382.1")</f>
        <v>WP_296711382.1</v>
      </c>
    </row>
    <row r="332" spans="1:6">
      <c r="A332" s="4" t="s">
        <v>1216</v>
      </c>
      <c r="B332" s="9">
        <v>0.84</v>
      </c>
      <c r="C332" s="10">
        <v>3E-24</v>
      </c>
      <c r="D332" s="5">
        <v>18.25</v>
      </c>
      <c r="E332" s="5">
        <v>303</v>
      </c>
      <c r="F332" s="5" t="str">
        <f>HYPERLINK("https://www.ncbi.nlm.nih.gov/protein/WP_078766765.1?report=genbank&amp;log$=prottop&amp;blast_rank=304&amp;RID=92DR1CFD013","WP_078766765.1")</f>
        <v>WP_078766765.1</v>
      </c>
    </row>
    <row r="333" spans="1:6">
      <c r="A333" s="4" t="s">
        <v>1217</v>
      </c>
      <c r="B333" s="9">
        <v>0.84</v>
      </c>
      <c r="C333" s="10">
        <v>3E-24</v>
      </c>
      <c r="D333" s="5">
        <v>18.25</v>
      </c>
      <c r="E333" s="5">
        <v>303</v>
      </c>
      <c r="F333" s="5" t="str">
        <f>HYPERLINK("https://www.ncbi.nlm.nih.gov/protein/WP_288887276.1?report=genbank&amp;log$=prottop&amp;blast_rank=305&amp;RID=92DR1CFD013","WP_288887276.1")</f>
        <v>WP_288887276.1</v>
      </c>
    </row>
    <row r="334" spans="1:6">
      <c r="A334" s="4" t="s">
        <v>1218</v>
      </c>
      <c r="B334" s="9">
        <v>0.82</v>
      </c>
      <c r="C334" s="10">
        <v>2.9999999999999997E-8</v>
      </c>
      <c r="D334" s="5">
        <v>18.22</v>
      </c>
      <c r="E334" s="5">
        <v>210</v>
      </c>
      <c r="F334" s="5" t="str">
        <f>HYPERLINK("https://www.ncbi.nlm.nih.gov/protein/MCD6483123.1?report=genbank&amp;log$=prottop&amp;blast_rank=333&amp;RID=92DR1CFD013","MCD6483123.1")</f>
        <v>MCD6483123.1</v>
      </c>
    </row>
    <row r="335" spans="1:6">
      <c r="A335" s="4" t="s">
        <v>1167</v>
      </c>
      <c r="B335" s="9">
        <v>0.8</v>
      </c>
      <c r="C335" s="10">
        <v>8.0000000000000002E-13</v>
      </c>
      <c r="D335" s="5">
        <v>18.14</v>
      </c>
      <c r="E335" s="5">
        <v>243</v>
      </c>
      <c r="F335" s="5" t="str">
        <f>HYPERLINK("https://www.ncbi.nlm.nih.gov/protein/WP_073479052.1?report=genbank&amp;log$=prottop&amp;blast_rank=317&amp;RID=92DR1CFD013","WP_073479052.1")</f>
        <v>WP_073479052.1</v>
      </c>
    </row>
    <row r="336" spans="1:6">
      <c r="A336" s="4" t="s">
        <v>703</v>
      </c>
      <c r="B336" s="9">
        <v>0.9</v>
      </c>
      <c r="C336" s="10">
        <v>9E-13</v>
      </c>
      <c r="D336" s="5">
        <v>17.91</v>
      </c>
      <c r="E336" s="5">
        <v>371</v>
      </c>
      <c r="F336" s="5" t="str">
        <f>HYPERLINK("https://www.ncbi.nlm.nih.gov/protein/WP_302972114.1?report=genbank&amp;log$=prottop&amp;blast_rank=318&amp;RID=92DR1CFD013","WP_302972114.1")</f>
        <v>WP_302972114.1</v>
      </c>
    </row>
    <row r="337" spans="1:6">
      <c r="A337" s="4" t="s">
        <v>1195</v>
      </c>
      <c r="B337" s="9">
        <v>0.94</v>
      </c>
      <c r="C337" s="10">
        <v>2E-12</v>
      </c>
      <c r="D337" s="5">
        <v>17.559999999999999</v>
      </c>
      <c r="E337" s="5">
        <v>326</v>
      </c>
      <c r="F337" s="5" t="str">
        <f>HYPERLINK("https://www.ncbi.nlm.nih.gov/protein/WP_302696820.1?report=genbank&amp;log$=prottop&amp;blast_rank=320&amp;RID=92DR1CFD013","WP_302696820.1")</f>
        <v>WP_302696820.1</v>
      </c>
    </row>
    <row r="338" spans="1:6">
      <c r="A338" s="4" t="s">
        <v>1195</v>
      </c>
      <c r="B338" s="9">
        <v>0.94</v>
      </c>
      <c r="C338" s="10">
        <v>3.0000000000000001E-12</v>
      </c>
      <c r="D338" s="5">
        <v>17.559999999999999</v>
      </c>
      <c r="E338" s="5">
        <v>326</v>
      </c>
      <c r="F338" s="5" t="str">
        <f>HYPERLINK("https://www.ncbi.nlm.nih.gov/protein/WP_302350571.1?report=genbank&amp;log$=prottop&amp;blast_rank=321&amp;RID=92DR1CFD013","WP_302350571.1")</f>
        <v>WP_302350571.1</v>
      </c>
    </row>
    <row r="339" spans="1:6">
      <c r="A339" s="4" t="s">
        <v>1219</v>
      </c>
      <c r="B339" s="9">
        <v>0.8</v>
      </c>
      <c r="C339" s="10">
        <v>6.9999999999999996E-10</v>
      </c>
      <c r="D339" s="5">
        <v>17.32</v>
      </c>
      <c r="E339" s="5">
        <v>266</v>
      </c>
      <c r="F339" s="5" t="str">
        <f>HYPERLINK("https://www.ncbi.nlm.nih.gov/protein/MDR2491820.1?report=genbank&amp;log$=prottop&amp;blast_rank=329&amp;RID=92DR1CFD013","MDR2491820.1")</f>
        <v>MDR2491820.1</v>
      </c>
    </row>
    <row r="340" spans="1:6">
      <c r="A340" s="4" t="s">
        <v>1195</v>
      </c>
      <c r="B340" s="9">
        <v>0.89</v>
      </c>
      <c r="C340" s="10">
        <v>4.0000000000000003E-15</v>
      </c>
      <c r="D340" s="5">
        <v>16.61</v>
      </c>
      <c r="E340" s="5">
        <v>318</v>
      </c>
      <c r="F340" s="5" t="str">
        <f>HYPERLINK("https://www.ncbi.nlm.nih.gov/protein/WP_294754361.1?report=genbank&amp;log$=prottop&amp;blast_rank=314&amp;RID=92DR1CFD013","WP_294754361.1")</f>
        <v>WP_294754361.1</v>
      </c>
    </row>
    <row r="341" spans="1:6">
      <c r="A341" s="4" t="s">
        <v>505</v>
      </c>
      <c r="B341" s="9">
        <v>0.81</v>
      </c>
      <c r="C341" s="10">
        <v>9.9999999999999994E-12</v>
      </c>
      <c r="D341" s="5">
        <v>16.27</v>
      </c>
      <c r="E341" s="5">
        <v>345</v>
      </c>
      <c r="F341" s="5" t="str">
        <f>HYPERLINK("https://www.ncbi.nlm.nih.gov/protein/MBR2086267.1?report=genbank&amp;log$=prottop&amp;blast_rank=322&amp;RID=92DR1CFD013","MBR2086267.1")</f>
        <v>MBR2086267.1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EB80B-4F37-2B44-813F-43F088BB70CC}">
  <dimension ref="A1:E249"/>
  <sheetViews>
    <sheetView workbookViewId="0">
      <selection activeCell="A5" sqref="A5:XFD5"/>
    </sheetView>
  </sheetViews>
  <sheetFormatPr baseColWidth="10" defaultRowHeight="16"/>
  <cols>
    <col min="1" max="1" width="32.83203125" style="4" customWidth="1"/>
    <col min="2" max="4" width="30.83203125" style="5" customWidth="1"/>
    <col min="5" max="5" width="30.83203125" style="4" customWidth="1"/>
  </cols>
  <sheetData>
    <row r="1" spans="1:5" s="28" customFormat="1" ht="19">
      <c r="A1" s="26" t="s">
        <v>5</v>
      </c>
      <c r="B1" s="27"/>
      <c r="C1" s="27"/>
      <c r="D1" s="27"/>
      <c r="E1" s="26"/>
    </row>
    <row r="2" spans="1:5" s="28" customFormat="1" ht="19">
      <c r="A2" s="29" t="s">
        <v>0</v>
      </c>
      <c r="B2" s="27"/>
      <c r="C2" s="27"/>
      <c r="D2" s="27"/>
      <c r="E2" s="26"/>
    </row>
    <row r="3" spans="1:5" s="28" customFormat="1" ht="19">
      <c r="A3" s="29" t="s">
        <v>1</v>
      </c>
      <c r="B3" s="27"/>
      <c r="C3" s="27"/>
      <c r="D3" s="27"/>
      <c r="E3" s="26"/>
    </row>
    <row r="6" spans="1:5" s="13" customFormat="1">
      <c r="A6" s="7" t="s">
        <v>10</v>
      </c>
      <c r="B6" s="8" t="s">
        <v>11</v>
      </c>
      <c r="C6" s="8" t="s">
        <v>12</v>
      </c>
      <c r="D6" s="8" t="s">
        <v>13</v>
      </c>
      <c r="E6" s="7" t="s">
        <v>14</v>
      </c>
    </row>
    <row r="7" spans="1:5">
      <c r="A7" s="4" t="s">
        <v>15</v>
      </c>
      <c r="B7" s="9">
        <v>1</v>
      </c>
      <c r="C7" s="10">
        <v>8.0000000000000003E-56</v>
      </c>
      <c r="D7" s="5">
        <v>100</v>
      </c>
      <c r="E7" s="4" t="str">
        <f>HYPERLINK("https://www.ncbi.nlm.nih.gov/protein/ARC19819.1?report=genbank&amp;log$=prottop&amp;blast_rank=1&amp;RID=8XR20NMX013","ARC19819.1")</f>
        <v>ARC19819.1</v>
      </c>
    </row>
    <row r="8" spans="1:5">
      <c r="A8" s="4" t="s">
        <v>15</v>
      </c>
      <c r="B8" s="9">
        <v>0.97</v>
      </c>
      <c r="C8" s="10">
        <v>5E-53</v>
      </c>
      <c r="D8" s="5">
        <v>100</v>
      </c>
      <c r="E8" s="4" t="str">
        <f>HYPERLINK("https://www.ncbi.nlm.nih.gov/protein/WP_229651164.1?report=genbank&amp;log$=prottop&amp;blast_rank=4&amp;RID=8XR20NMX013","WP_229651164.1")</f>
        <v>WP_229651164.1</v>
      </c>
    </row>
    <row r="9" spans="1:5">
      <c r="A9" s="4" t="s">
        <v>15</v>
      </c>
      <c r="B9" s="9">
        <v>0.89</v>
      </c>
      <c r="C9" s="10">
        <v>2.0000000000000002E-43</v>
      </c>
      <c r="D9" s="5">
        <v>100</v>
      </c>
      <c r="E9" s="4" t="str">
        <f>HYPERLINK("https://www.ncbi.nlm.nih.gov/protein/WP_024699215.1?report=genbank&amp;log$=prottop&amp;blast_rank=9&amp;RID=8XR20NMX013","WP_024699215.1")</f>
        <v>WP_024699215.1</v>
      </c>
    </row>
    <row r="10" spans="1:5">
      <c r="A10" s="4" t="s">
        <v>15</v>
      </c>
      <c r="B10" s="9">
        <v>0.86</v>
      </c>
      <c r="C10" s="10">
        <v>7.0000000000000003E-40</v>
      </c>
      <c r="D10" s="5">
        <v>100</v>
      </c>
      <c r="E10" s="4" t="str">
        <f>HYPERLINK("https://www.ncbi.nlm.nih.gov/protein/MCF9531577.1?report=genbank&amp;log$=prottop&amp;blast_rank=32&amp;RID=8XR20NMX013","MCF9531577.1")</f>
        <v>MCF9531577.1</v>
      </c>
    </row>
    <row r="11" spans="1:5">
      <c r="A11" s="4" t="s">
        <v>15</v>
      </c>
      <c r="B11" s="9">
        <v>1</v>
      </c>
      <c r="C11" s="10">
        <v>9.9999999999999999E-56</v>
      </c>
      <c r="D11" s="5">
        <v>99.39</v>
      </c>
      <c r="E11" s="4" t="str">
        <f>HYPERLINK("https://www.ncbi.nlm.nih.gov/protein/MBM5323077.1?report=genbank&amp;log$=prottop&amp;blast_rank=2&amp;RID=8XR20NMX013","MBM5323077.1")</f>
        <v>MBM5323077.1</v>
      </c>
    </row>
    <row r="12" spans="1:5">
      <c r="A12" s="4" t="s">
        <v>15</v>
      </c>
      <c r="B12" s="9">
        <v>1</v>
      </c>
      <c r="C12" s="10">
        <v>2.0000000000000001E-54</v>
      </c>
      <c r="D12" s="5">
        <v>99.39</v>
      </c>
      <c r="E12" s="4" t="str">
        <f>HYPERLINK("https://www.ncbi.nlm.nih.gov/protein/HCH3309029.1?report=genbank&amp;log$=prottop&amp;blast_rank=3&amp;RID=8XR20NMX013","HCH3309029.1")</f>
        <v>HCH3309029.1</v>
      </c>
    </row>
    <row r="13" spans="1:5">
      <c r="A13" s="4" t="s">
        <v>15</v>
      </c>
      <c r="B13" s="9">
        <v>0.89</v>
      </c>
      <c r="C13" s="10">
        <v>1.0000000000000001E-43</v>
      </c>
      <c r="D13" s="5">
        <v>99.32</v>
      </c>
      <c r="E13" s="4" t="str">
        <f>HYPERLINK("https://www.ncbi.nlm.nih.gov/protein/WP_053321335.1?report=genbank&amp;log$=prottop&amp;blast_rank=8&amp;RID=8XR20NMX013","WP_053321335.1")</f>
        <v>WP_053321335.1</v>
      </c>
    </row>
    <row r="14" spans="1:5">
      <c r="A14" s="4" t="s">
        <v>954</v>
      </c>
      <c r="B14" s="9">
        <v>0.89</v>
      </c>
      <c r="C14" s="10">
        <v>2.0000000000000002E-43</v>
      </c>
      <c r="D14" s="5">
        <v>98.65</v>
      </c>
      <c r="E14" s="4" t="str">
        <f>HYPERLINK("https://www.ncbi.nlm.nih.gov/protein/WP_319554030.1?report=genbank&amp;log$=prottop&amp;blast_rank=10&amp;RID=8XR20NMX013","WP_319554030.1")</f>
        <v>WP_319554030.1</v>
      </c>
    </row>
    <row r="15" spans="1:5">
      <c r="A15" s="4" t="s">
        <v>15</v>
      </c>
      <c r="B15" s="9">
        <v>0.98</v>
      </c>
      <c r="C15" s="10">
        <v>1E-51</v>
      </c>
      <c r="D15" s="5">
        <v>97.53</v>
      </c>
      <c r="E15" s="4" t="str">
        <f>HYPERLINK("https://www.ncbi.nlm.nih.gov/protein/EGU9028681.1?report=genbank&amp;log$=prottop&amp;blast_rank=5&amp;RID=8XR20NMX013","EGU9028681.1")</f>
        <v>EGU9028681.1</v>
      </c>
    </row>
    <row r="16" spans="1:5">
      <c r="A16" s="4" t="s">
        <v>15</v>
      </c>
      <c r="B16" s="9">
        <v>0.98</v>
      </c>
      <c r="C16" s="10">
        <v>6E-51</v>
      </c>
      <c r="D16" s="5">
        <v>97.53</v>
      </c>
      <c r="E16" s="4" t="str">
        <f>HYPERLINK("https://www.ncbi.nlm.nih.gov/protein/WP_257972158.1?report=genbank&amp;log$=prottop&amp;blast_rank=6&amp;RID=8XR20NMX013","WP_257972158.1")</f>
        <v>WP_257972158.1</v>
      </c>
    </row>
    <row r="17" spans="1:5">
      <c r="A17" s="4" t="s">
        <v>15</v>
      </c>
      <c r="B17" s="9">
        <v>0.98</v>
      </c>
      <c r="C17" s="10">
        <v>8.9999999999999995E-51</v>
      </c>
      <c r="D17" s="5">
        <v>97.53</v>
      </c>
      <c r="E17" s="4" t="str">
        <f>HYPERLINK("https://www.ncbi.nlm.nih.gov/protein/TOI28022.1?report=genbank&amp;log$=prottop&amp;blast_rank=7&amp;RID=8XR20NMX013","TOI28022.1")</f>
        <v>TOI28022.1</v>
      </c>
    </row>
    <row r="18" spans="1:5">
      <c r="A18" s="4" t="s">
        <v>715</v>
      </c>
      <c r="B18" s="9">
        <v>0.89</v>
      </c>
      <c r="C18" s="10">
        <v>4.0000000000000003E-43</v>
      </c>
      <c r="D18" s="5">
        <v>97.3</v>
      </c>
      <c r="E18" s="4" t="str">
        <f>HYPERLINK("https://www.ncbi.nlm.nih.gov/protein/WP_255959590.1?report=genbank&amp;log$=prottop&amp;blast_rank=13&amp;RID=8XR20NMX013","WP_255959590.1")</f>
        <v>WP_255959590.1</v>
      </c>
    </row>
    <row r="19" spans="1:5">
      <c r="A19" s="4" t="s">
        <v>15</v>
      </c>
      <c r="B19" s="9">
        <v>0.89</v>
      </c>
      <c r="C19" s="10">
        <v>2.0000000000000002E-43</v>
      </c>
      <c r="D19" s="5">
        <v>95.95</v>
      </c>
      <c r="E19" s="4" t="str">
        <f>HYPERLINK("https://www.ncbi.nlm.nih.gov/protein/MBE4731063.1?report=genbank&amp;log$=prottop&amp;blast_rank=11&amp;RID=8XR20NMX013","MBE4731063.1")</f>
        <v>MBE4731063.1</v>
      </c>
    </row>
    <row r="20" spans="1:5">
      <c r="A20" s="4" t="s">
        <v>15</v>
      </c>
      <c r="B20" s="9">
        <v>0.89</v>
      </c>
      <c r="C20" s="10">
        <v>2.0000000000000002E-43</v>
      </c>
      <c r="D20" s="5">
        <v>95.27</v>
      </c>
      <c r="E20" s="4" t="str">
        <f>HYPERLINK("https://www.ncbi.nlm.nih.gov/protein/MDF4805207.1?report=genbank&amp;log$=prottop&amp;blast_rank=12&amp;RID=8XR20NMX013","MDF4805207.1")</f>
        <v>MDF4805207.1</v>
      </c>
    </row>
    <row r="21" spans="1:5">
      <c r="A21" s="4" t="s">
        <v>956</v>
      </c>
      <c r="B21" s="9">
        <v>0.88</v>
      </c>
      <c r="C21" s="10">
        <v>4.0000000000000002E-42</v>
      </c>
      <c r="D21" s="5">
        <v>73.97</v>
      </c>
      <c r="E21" s="4" t="str">
        <f>HYPERLINK("https://www.ncbi.nlm.nih.gov/protein/WP_325780608.1?report=genbank&amp;log$=prottop&amp;blast_rank=15&amp;RID=8XR20NMX013","WP_325780608.1")</f>
        <v>WP_325780608.1</v>
      </c>
    </row>
    <row r="22" spans="1:5">
      <c r="A22" s="4" t="s">
        <v>961</v>
      </c>
      <c r="B22" s="9">
        <v>0.89</v>
      </c>
      <c r="C22" s="10">
        <v>6.0000000000000004E-40</v>
      </c>
      <c r="D22" s="5">
        <v>73.650000000000006</v>
      </c>
      <c r="E22" s="4" t="str">
        <f>HYPERLINK("https://www.ncbi.nlm.nih.gov/protein/WP_009842434.1?report=genbank&amp;log$=prottop&amp;blast_rank=30&amp;RID=8XR20NMX013","WP_009842434.1")</f>
        <v>WP_009842434.1</v>
      </c>
    </row>
    <row r="23" spans="1:5">
      <c r="A23" s="4" t="s">
        <v>973</v>
      </c>
      <c r="B23" s="9">
        <v>0.89</v>
      </c>
      <c r="C23" s="10">
        <v>1E-35</v>
      </c>
      <c r="D23" s="5">
        <v>42.95</v>
      </c>
      <c r="E23" s="4" t="str">
        <f>HYPERLINK("https://www.ncbi.nlm.nih.gov/protein/WP_011866651.1?report=genbank&amp;log$=prottop&amp;blast_rank=63&amp;RID=8XR20NMX013","WP_011866651.1")</f>
        <v>WP_011866651.1</v>
      </c>
    </row>
    <row r="24" spans="1:5">
      <c r="A24" s="4" t="s">
        <v>975</v>
      </c>
      <c r="B24" s="9">
        <v>0.89</v>
      </c>
      <c r="C24" s="10">
        <v>4E-35</v>
      </c>
      <c r="D24" s="5">
        <v>42.95</v>
      </c>
      <c r="E24" s="4" t="str">
        <f>HYPERLINK("https://www.ncbi.nlm.nih.gov/protein/WP_281212885.1?report=genbank&amp;log$=prottop&amp;blast_rank=66&amp;RID=8XR20NMX013","WP_281212885.1")</f>
        <v>WP_281212885.1</v>
      </c>
    </row>
    <row r="25" spans="1:5">
      <c r="A25" s="4" t="s">
        <v>969</v>
      </c>
      <c r="B25" s="9">
        <v>0.89</v>
      </c>
      <c r="C25" s="10">
        <v>1.9999999999999999E-36</v>
      </c>
      <c r="D25" s="5">
        <v>42.31</v>
      </c>
      <c r="E25" s="4" t="str">
        <f>HYPERLINK("https://www.ncbi.nlm.nih.gov/protein/WP_248140573.1?report=genbank&amp;log$=prottop&amp;blast_rank=57&amp;RID=8XR20NMX013","WP_248140573.1")</f>
        <v>WP_248140573.1</v>
      </c>
    </row>
    <row r="26" spans="1:5">
      <c r="A26" s="4" t="s">
        <v>996</v>
      </c>
      <c r="B26" s="9">
        <v>0.87</v>
      </c>
      <c r="C26" s="10">
        <v>1.0000000000000001E-30</v>
      </c>
      <c r="D26" s="5">
        <v>40.520000000000003</v>
      </c>
      <c r="E26" s="4" t="str">
        <f>HYPERLINK("https://www.ncbi.nlm.nih.gov/protein/WP_345010277.1?report=genbank&amp;log$=prottop&amp;blast_rank=99&amp;RID=8XR20NMX013","WP_345010277.1")</f>
        <v>WP_345010277.1</v>
      </c>
    </row>
    <row r="27" spans="1:5">
      <c r="A27" s="4" t="s">
        <v>968</v>
      </c>
      <c r="B27" s="9">
        <v>0.89</v>
      </c>
      <c r="C27" s="10">
        <v>1.9999999999999999E-36</v>
      </c>
      <c r="D27" s="5">
        <v>40.380000000000003</v>
      </c>
      <c r="E27" s="4" t="str">
        <f>HYPERLINK("https://www.ncbi.nlm.nih.gov/protein/WP_239979874.1?report=genbank&amp;log$=prottop&amp;blast_rank=56&amp;RID=8XR20NMX013","WP_239979874.1")</f>
        <v>WP_239979874.1</v>
      </c>
    </row>
    <row r="28" spans="1:5">
      <c r="A28" s="4" t="s">
        <v>958</v>
      </c>
      <c r="B28" s="9">
        <v>0.87</v>
      </c>
      <c r="C28" s="10">
        <v>3.9999999999999997E-34</v>
      </c>
      <c r="D28" s="5">
        <v>37.5</v>
      </c>
      <c r="E28" s="4" t="str">
        <f>HYPERLINK("https://www.ncbi.nlm.nih.gov/protein/WP_323898398.1?report=genbank&amp;log$=prottop&amp;blast_rank=72&amp;RID=8XR20NMX013","WP_323898398.1")</f>
        <v>WP_323898398.1</v>
      </c>
    </row>
    <row r="29" spans="1:5">
      <c r="A29" s="4" t="s">
        <v>978</v>
      </c>
      <c r="B29" s="9">
        <v>0.85</v>
      </c>
      <c r="C29" s="10">
        <v>3E-34</v>
      </c>
      <c r="D29" s="5">
        <v>36.24</v>
      </c>
      <c r="E29" s="4" t="str">
        <f>HYPERLINK("https://www.ncbi.nlm.nih.gov/protein/MAP34741.1?report=genbank&amp;log$=prottop&amp;blast_rank=69&amp;RID=8XR20NMX013","MAP34741.1")</f>
        <v>MAP34741.1</v>
      </c>
    </row>
    <row r="30" spans="1:5">
      <c r="A30" s="4" t="s">
        <v>981</v>
      </c>
      <c r="B30" s="9">
        <v>0.85</v>
      </c>
      <c r="C30" s="10">
        <v>1.0000000000000001E-33</v>
      </c>
      <c r="D30" s="5">
        <v>36.24</v>
      </c>
      <c r="E30" s="4" t="str">
        <f>HYPERLINK("https://www.ncbi.nlm.nih.gov/protein/WP_206558194.1?report=genbank&amp;log$=prottop&amp;blast_rank=74&amp;RID=8XR20NMX013","WP_206558194.1")</f>
        <v>WP_206558194.1</v>
      </c>
    </row>
    <row r="31" spans="1:5">
      <c r="A31" s="4" t="s">
        <v>987</v>
      </c>
      <c r="B31" s="9">
        <v>0.87</v>
      </c>
      <c r="C31" s="10">
        <v>1.0000000000000001E-32</v>
      </c>
      <c r="D31" s="5">
        <v>36.18</v>
      </c>
      <c r="E31" s="4" t="str">
        <f>HYPERLINK("https://www.ncbi.nlm.nih.gov/protein/WP_323926283.1?report=genbank&amp;log$=prottop&amp;blast_rank=82&amp;RID=8XR20NMX013","WP_323926283.1")</f>
        <v>WP_323926283.1</v>
      </c>
    </row>
    <row r="32" spans="1:5">
      <c r="A32" s="4" t="s">
        <v>987</v>
      </c>
      <c r="B32" s="9">
        <v>0.87</v>
      </c>
      <c r="C32" s="10">
        <v>2.0000000000000001E-32</v>
      </c>
      <c r="D32" s="5">
        <v>36.18</v>
      </c>
      <c r="E32" s="4" t="str">
        <f>HYPERLINK("https://www.ncbi.nlm.nih.gov/protein/WP_323897919.1?report=genbank&amp;log$=prottop&amp;blast_rank=86&amp;RID=8XR20NMX013","WP_323897919.1")</f>
        <v>WP_323897919.1</v>
      </c>
    </row>
    <row r="33" spans="1:5">
      <c r="A33" s="4" t="s">
        <v>993</v>
      </c>
      <c r="B33" s="9">
        <v>0.85</v>
      </c>
      <c r="C33" s="10">
        <v>2.9999999999999998E-31</v>
      </c>
      <c r="D33" s="5">
        <v>35.1</v>
      </c>
      <c r="E33" s="4" t="str">
        <f>HYPERLINK("https://www.ncbi.nlm.nih.gov/protein/MDD2468169.1?report=genbank&amp;log$=prottop&amp;blast_rank=93&amp;RID=8XR20NMX013","MDD2468169.1")</f>
        <v>MDD2468169.1</v>
      </c>
    </row>
    <row r="34" spans="1:5">
      <c r="A34" s="4" t="s">
        <v>989</v>
      </c>
      <c r="B34" s="9">
        <v>0.89</v>
      </c>
      <c r="C34" s="10">
        <v>2.0000000000000001E-32</v>
      </c>
      <c r="D34" s="5">
        <v>34.840000000000003</v>
      </c>
      <c r="E34" s="4" t="str">
        <f>HYPERLINK("https://www.ncbi.nlm.nih.gov/protein/WP_212601868.1?report=genbank&amp;log$=prottop&amp;blast_rank=85&amp;RID=8XR20NMX013","WP_212601868.1")</f>
        <v>WP_212601868.1</v>
      </c>
    </row>
    <row r="35" spans="1:5">
      <c r="A35" s="4" t="s">
        <v>18</v>
      </c>
      <c r="B35" s="9">
        <v>0.88</v>
      </c>
      <c r="C35" s="10">
        <v>3.0000000000000003E-29</v>
      </c>
      <c r="D35" s="5">
        <v>34.42</v>
      </c>
      <c r="E35" s="4" t="str">
        <f>HYPERLINK("https://www.ncbi.nlm.nih.gov/protein/WP_044023861.1?report=genbank&amp;log$=prottop&amp;blast_rank=108&amp;RID=8XR20NMX013","WP_044023861.1")</f>
        <v>WP_044023861.1</v>
      </c>
    </row>
    <row r="36" spans="1:5">
      <c r="A36" s="4" t="s">
        <v>965</v>
      </c>
      <c r="B36" s="9">
        <v>0.89</v>
      </c>
      <c r="C36" s="10">
        <v>7.9999999999999994E-39</v>
      </c>
      <c r="D36" s="5">
        <v>34.19</v>
      </c>
      <c r="E36" s="4" t="str">
        <f>HYPERLINK("https://www.ncbi.nlm.nih.gov/protein/WP_076718572.1?report=genbank&amp;log$=prottop&amp;blast_rank=44&amp;RID=8XR20NMX013","WP_076718572.1")</f>
        <v>WP_076718572.1</v>
      </c>
    </row>
    <row r="37" spans="1:5">
      <c r="A37" s="4" t="s">
        <v>1004</v>
      </c>
      <c r="B37" s="9">
        <v>0.87</v>
      </c>
      <c r="C37" s="10">
        <v>1.9999999999999999E-28</v>
      </c>
      <c r="D37" s="5">
        <v>33.770000000000003</v>
      </c>
      <c r="E37" s="4" t="str">
        <f>HYPERLINK("https://www.ncbi.nlm.nih.gov/protein/WP_051012347.1?report=genbank&amp;log$=prottop&amp;blast_rank=119&amp;RID=8XR20NMX013","WP_051012347.1")</f>
        <v>WP_051012347.1</v>
      </c>
    </row>
    <row r="38" spans="1:5">
      <c r="A38" s="4" t="s">
        <v>967</v>
      </c>
      <c r="B38" s="9">
        <v>0.89</v>
      </c>
      <c r="C38" s="10">
        <v>2.0000000000000001E-37</v>
      </c>
      <c r="D38" s="5">
        <v>32.9</v>
      </c>
      <c r="E38" s="4" t="str">
        <f>HYPERLINK("https://www.ncbi.nlm.nih.gov/protein/WP_208124946.1?report=genbank&amp;log$=prottop&amp;blast_rank=55&amp;RID=8XR20NMX013","WP_208124946.1")</f>
        <v>WP_208124946.1</v>
      </c>
    </row>
    <row r="39" spans="1:5">
      <c r="A39" s="4" t="s">
        <v>995</v>
      </c>
      <c r="B39" s="9">
        <v>0.88</v>
      </c>
      <c r="C39" s="10">
        <v>6.9999999999999997E-31</v>
      </c>
      <c r="D39" s="5">
        <v>30.52</v>
      </c>
      <c r="E39" s="4" t="str">
        <f>HYPERLINK("https://www.ncbi.nlm.nih.gov/protein/WP_297310898.1?report=genbank&amp;log$=prottop&amp;blast_rank=97&amp;RID=8XR20NMX013","WP_297310898.1")</f>
        <v>WP_297310898.1</v>
      </c>
    </row>
    <row r="40" spans="1:5">
      <c r="A40" s="4" t="s">
        <v>15</v>
      </c>
      <c r="B40" s="9">
        <v>0.85</v>
      </c>
      <c r="C40" s="10">
        <v>6.9999999999999993E-24</v>
      </c>
      <c r="D40" s="5">
        <v>28.77</v>
      </c>
      <c r="E40" s="4" t="str">
        <f>HYPERLINK("https://www.ncbi.nlm.nih.gov/protein/MBE4467556.1?report=genbank&amp;log$=prottop&amp;blast_rank=149&amp;RID=8XR20NMX013","MBE4467556.1")</f>
        <v>MBE4467556.1</v>
      </c>
    </row>
    <row r="41" spans="1:5">
      <c r="A41" s="4" t="s">
        <v>1022</v>
      </c>
      <c r="B41" s="9">
        <v>0.81</v>
      </c>
      <c r="C41" s="10">
        <v>8.0000000000000004E-22</v>
      </c>
      <c r="D41" s="5">
        <v>28.57</v>
      </c>
      <c r="E41" s="4" t="str">
        <f>HYPERLINK("https://www.ncbi.nlm.nih.gov/protein/PIS70095.1?report=genbank&amp;log$=prottop&amp;blast_rank=161&amp;RID=8XR20NMX013","PIS70095.1")</f>
        <v>PIS70095.1</v>
      </c>
    </row>
    <row r="42" spans="1:5">
      <c r="A42" s="4" t="s">
        <v>958</v>
      </c>
      <c r="B42" s="9">
        <v>0.87</v>
      </c>
      <c r="C42" s="10">
        <v>2E-41</v>
      </c>
      <c r="D42" s="5">
        <v>28.47</v>
      </c>
      <c r="E42" s="4" t="str">
        <f>HYPERLINK("https://www.ncbi.nlm.nih.gov/protein/WP_211067447.1?report=genbank&amp;log$=prottop&amp;blast_rank=19&amp;RID=8XR20NMX013","WP_211067447.1")</f>
        <v>WP_211067447.1</v>
      </c>
    </row>
    <row r="43" spans="1:5">
      <c r="A43" s="4" t="s">
        <v>958</v>
      </c>
      <c r="B43" s="9">
        <v>0.87</v>
      </c>
      <c r="C43" s="10">
        <v>4E-41</v>
      </c>
      <c r="D43" s="5">
        <v>28.47</v>
      </c>
      <c r="E43" s="4" t="str">
        <f>HYPERLINK("https://www.ncbi.nlm.nih.gov/protein/WP_168756545.1?report=genbank&amp;log$=prottop&amp;blast_rank=21&amp;RID=8XR20NMX013","WP_168756545.1")</f>
        <v>WP_168756545.1</v>
      </c>
    </row>
    <row r="44" spans="1:5">
      <c r="A44" s="4" t="s">
        <v>962</v>
      </c>
      <c r="B44" s="9">
        <v>0.87</v>
      </c>
      <c r="C44" s="10">
        <v>9.9999999999999993E-40</v>
      </c>
      <c r="D44" s="5">
        <v>28.47</v>
      </c>
      <c r="E44" s="4" t="str">
        <f>HYPERLINK("https://www.ncbi.nlm.nih.gov/protein/WP_171696257.1?report=genbank&amp;log$=prottop&amp;blast_rank=38&amp;RID=8XR20NMX013","WP_171696257.1")</f>
        <v>WP_171696257.1</v>
      </c>
    </row>
    <row r="45" spans="1:5">
      <c r="A45" s="4" t="s">
        <v>960</v>
      </c>
      <c r="B45" s="9">
        <v>0.84</v>
      </c>
      <c r="C45" s="10">
        <v>1.9999999999999999E-40</v>
      </c>
      <c r="D45" s="5">
        <v>28.06</v>
      </c>
      <c r="E45" s="4" t="str">
        <f>HYPERLINK("https://www.ncbi.nlm.nih.gov/protein/WP_338212542.1?report=genbank&amp;log$=prottop&amp;blast_rank=26&amp;RID=8XR20NMX013","WP_338212542.1")</f>
        <v>WP_338212542.1</v>
      </c>
    </row>
    <row r="46" spans="1:5">
      <c r="A46" s="4" t="s">
        <v>980</v>
      </c>
      <c r="B46" s="9">
        <v>0.84</v>
      </c>
      <c r="C46" s="10">
        <v>3E-34</v>
      </c>
      <c r="D46" s="5">
        <v>28.06</v>
      </c>
      <c r="E46" s="4" t="str">
        <f>HYPERLINK("https://www.ncbi.nlm.nih.gov/protein/WP_350978746.1?report=genbank&amp;log$=prottop&amp;blast_rank=71&amp;RID=8XR20NMX013","WP_350978746.1")</f>
        <v>WP_350978746.1</v>
      </c>
    </row>
    <row r="47" spans="1:5">
      <c r="A47" s="4" t="s">
        <v>56</v>
      </c>
      <c r="B47" s="9">
        <v>0.84</v>
      </c>
      <c r="C47" s="10">
        <v>3.0000000000000002E-40</v>
      </c>
      <c r="D47" s="5">
        <v>27.86</v>
      </c>
      <c r="E47" s="4" t="str">
        <f>HYPERLINK("https://www.ncbi.nlm.nih.gov/protein/WP_053044373.1?report=genbank&amp;log$=prottop&amp;blast_rank=28&amp;RID=8XR20NMX013","WP_053044373.1")</f>
        <v>WP_053044373.1</v>
      </c>
    </row>
    <row r="48" spans="1:5">
      <c r="A48" s="4" t="s">
        <v>56</v>
      </c>
      <c r="B48" s="9">
        <v>0.8</v>
      </c>
      <c r="C48" s="10">
        <v>7.9999999999999994E-34</v>
      </c>
      <c r="D48" s="5">
        <v>27.82</v>
      </c>
      <c r="E48" s="4" t="str">
        <f>HYPERLINK("https://www.ncbi.nlm.nih.gov/protein/WP_011261674.1?report=genbank&amp;log$=prottop&amp;blast_rank=73&amp;RID=8XR20NMX013","WP_011261674.1")</f>
        <v>WP_011261674.1</v>
      </c>
    </row>
    <row r="49" spans="1:5">
      <c r="A49" s="4" t="s">
        <v>998</v>
      </c>
      <c r="B49" s="9">
        <v>0.87</v>
      </c>
      <c r="C49" s="10">
        <v>4.0000000000000003E-30</v>
      </c>
      <c r="D49" s="5">
        <v>27.63</v>
      </c>
      <c r="E49" s="4" t="str">
        <f>HYPERLINK("https://www.ncbi.nlm.nih.gov/protein/WP_038637705.1?report=genbank&amp;log$=prottop&amp;blast_rank=101&amp;RID=8XR20NMX013","WP_038637705.1")</f>
        <v>WP_038637705.1</v>
      </c>
    </row>
    <row r="50" spans="1:5">
      <c r="A50" s="4" t="s">
        <v>15</v>
      </c>
      <c r="B50" s="9">
        <v>0.89</v>
      </c>
      <c r="C50" s="10">
        <v>1E-26</v>
      </c>
      <c r="D50" s="5">
        <v>27.56</v>
      </c>
      <c r="E50" s="4" t="str">
        <f>HYPERLINK("https://www.ncbi.nlm.nih.gov/protein/WP_274060066.1?report=genbank&amp;log$=prottop&amp;blast_rank=129&amp;RID=8XR20NMX013","WP_274060066.1")</f>
        <v>WP_274060066.1</v>
      </c>
    </row>
    <row r="51" spans="1:5">
      <c r="A51" s="4" t="s">
        <v>15</v>
      </c>
      <c r="B51" s="9">
        <v>0.85</v>
      </c>
      <c r="C51" s="10">
        <v>9.9999999999999992E-25</v>
      </c>
      <c r="D51" s="5">
        <v>27.4</v>
      </c>
      <c r="E51" s="4" t="str">
        <f>HYPERLINK("https://www.ncbi.nlm.nih.gov/protein/WP_180777405.1?report=genbank&amp;log$=prottop&amp;blast_rank=141&amp;RID=8XR20NMX013","WP_180777405.1")</f>
        <v>WP_180777405.1</v>
      </c>
    </row>
    <row r="52" spans="1:5">
      <c r="A52" s="4" t="s">
        <v>959</v>
      </c>
      <c r="B52" s="9">
        <v>0.89</v>
      </c>
      <c r="C52" s="10">
        <v>1.9999999999999999E-40</v>
      </c>
      <c r="D52" s="5">
        <v>27.21</v>
      </c>
      <c r="E52" s="4" t="str">
        <f>HYPERLINK("https://www.ncbi.nlm.nih.gov/protein/WP_152136725.1?report=genbank&amp;log$=prottop&amp;blast_rank=25&amp;RID=8XR20NMX013","WP_152136725.1")</f>
        <v>WP_152136725.1</v>
      </c>
    </row>
    <row r="53" spans="1:5">
      <c r="A53" s="4" t="s">
        <v>53</v>
      </c>
      <c r="B53" s="9">
        <v>0.87</v>
      </c>
      <c r="C53" s="10">
        <v>1.9999999999999999E-39</v>
      </c>
      <c r="D53" s="5">
        <v>27.21</v>
      </c>
      <c r="E53" s="4" t="str">
        <f>HYPERLINK("https://www.ncbi.nlm.nih.gov/protein/WP_060994166.1?report=genbank&amp;log$=prottop&amp;blast_rank=40&amp;RID=8XR20NMX013","WP_060994166.1")</f>
        <v>WP_060994166.1</v>
      </c>
    </row>
    <row r="54" spans="1:5">
      <c r="A54" s="4" t="s">
        <v>242</v>
      </c>
      <c r="B54" s="9">
        <v>0.87</v>
      </c>
      <c r="C54" s="10">
        <v>3.0000000000000002E-36</v>
      </c>
      <c r="D54" s="5">
        <v>26.9</v>
      </c>
      <c r="E54" s="4" t="str">
        <f>HYPERLINK("https://www.ncbi.nlm.nih.gov/protein/WP_061011848.1?report=genbank&amp;log$=prottop&amp;blast_rank=59&amp;RID=8XR20NMX013","WP_061011848.1")</f>
        <v>WP_061011848.1</v>
      </c>
    </row>
    <row r="55" spans="1:5">
      <c r="A55" s="4" t="s">
        <v>974</v>
      </c>
      <c r="B55" s="9">
        <v>0.87</v>
      </c>
      <c r="C55" s="10">
        <v>4E-35</v>
      </c>
      <c r="D55" s="5">
        <v>26.9</v>
      </c>
      <c r="E55" s="4" t="str">
        <f>HYPERLINK("https://www.ncbi.nlm.nih.gov/protein/WP_059747203.1?report=genbank&amp;log$=prottop&amp;blast_rank=65&amp;RID=8XR20NMX013","WP_059747203.1")</f>
        <v>WP_059747203.1</v>
      </c>
    </row>
    <row r="56" spans="1:5">
      <c r="A56" s="4" t="s">
        <v>588</v>
      </c>
      <c r="B56" s="9">
        <v>0.85</v>
      </c>
      <c r="C56" s="10">
        <v>7.9999999999999997E-23</v>
      </c>
      <c r="D56" s="5">
        <v>26.71</v>
      </c>
      <c r="E56" s="4" t="str">
        <f>HYPERLINK("https://www.ncbi.nlm.nih.gov/protein/WP_041155326.1?report=genbank&amp;log$=prottop&amp;blast_rank=156&amp;RID=8XR20NMX013","WP_041155326.1")</f>
        <v>WP_041155326.1</v>
      </c>
    </row>
    <row r="57" spans="1:5">
      <c r="A57" s="4" t="s">
        <v>959</v>
      </c>
      <c r="B57" s="9">
        <v>0.89</v>
      </c>
      <c r="C57" s="10">
        <v>1.9999999999999999E-39</v>
      </c>
      <c r="D57" s="5">
        <v>26.53</v>
      </c>
      <c r="E57" s="4" t="str">
        <f>HYPERLINK("https://www.ncbi.nlm.nih.gov/protein/WP_302982537.1?report=genbank&amp;log$=prottop&amp;blast_rank=42&amp;RID=8XR20NMX013","WP_302982537.1")</f>
        <v>WP_302982537.1</v>
      </c>
    </row>
    <row r="58" spans="1:5">
      <c r="A58" s="4" t="s">
        <v>957</v>
      </c>
      <c r="B58" s="9">
        <v>0.84</v>
      </c>
      <c r="C58" s="10">
        <v>1E-41</v>
      </c>
      <c r="D58" s="5">
        <v>26.43</v>
      </c>
      <c r="E58" s="4" t="str">
        <f>HYPERLINK("https://www.ncbi.nlm.nih.gov/protein/WP_220720550.1?report=genbank&amp;log$=prottop&amp;blast_rank=17&amp;RID=8XR20NMX013","WP_220720550.1")</f>
        <v>WP_220720550.1</v>
      </c>
    </row>
    <row r="59" spans="1:5">
      <c r="A59" s="4" t="s">
        <v>958</v>
      </c>
      <c r="B59" s="9">
        <v>0.84</v>
      </c>
      <c r="C59" s="10">
        <v>6.9999999999999999E-41</v>
      </c>
      <c r="D59" s="5">
        <v>26.43</v>
      </c>
      <c r="E59" s="4" t="str">
        <f>HYPERLINK("https://www.ncbi.nlm.nih.gov/protein/WP_041215967.1?report=genbank&amp;log$=prottop&amp;blast_rank=22&amp;RID=8XR20NMX013","WP_041215967.1")</f>
        <v>WP_041215967.1</v>
      </c>
    </row>
    <row r="60" spans="1:5">
      <c r="A60" s="4" t="s">
        <v>958</v>
      </c>
      <c r="B60" s="9">
        <v>0.84</v>
      </c>
      <c r="C60" s="10">
        <v>9.9999999999999993E-41</v>
      </c>
      <c r="D60" s="5">
        <v>26.43</v>
      </c>
      <c r="E60" s="4" t="str">
        <f>HYPERLINK("https://www.ncbi.nlm.nih.gov/protein/TNJ17189.1?report=genbank&amp;log$=prottop&amp;blast_rank=23&amp;RID=8XR20NMX013","TNJ17189.1")</f>
        <v>TNJ17189.1</v>
      </c>
    </row>
    <row r="61" spans="1:5">
      <c r="A61" s="4" t="s">
        <v>958</v>
      </c>
      <c r="B61" s="9">
        <v>0.84</v>
      </c>
      <c r="C61" s="10">
        <v>9.9999999999999993E-41</v>
      </c>
      <c r="D61" s="5">
        <v>26.43</v>
      </c>
      <c r="E61" s="4" t="str">
        <f>HYPERLINK("https://www.ncbi.nlm.nih.gov/protein/WP_060389355.1?report=genbank&amp;log$=prottop&amp;blast_rank=24&amp;RID=8XR20NMX013","WP_060389355.1")</f>
        <v>WP_060389355.1</v>
      </c>
    </row>
    <row r="62" spans="1:5">
      <c r="A62" s="4" t="s">
        <v>1030</v>
      </c>
      <c r="B62" s="9">
        <v>0.84</v>
      </c>
      <c r="C62" s="10">
        <v>3.0000000000000003E-20</v>
      </c>
      <c r="D62" s="5">
        <v>25.9</v>
      </c>
      <c r="E62" s="4" t="str">
        <f>HYPERLINK("https://www.ncbi.nlm.nih.gov/protein/WP_297396595.1?report=genbank&amp;log$=prottop&amp;blast_rank=177&amp;RID=8XR20NMX013","WP_297396595.1")</f>
        <v>WP_297396595.1</v>
      </c>
    </row>
    <row r="63" spans="1:5">
      <c r="A63" s="4" t="s">
        <v>959</v>
      </c>
      <c r="B63" s="9">
        <v>0.89</v>
      </c>
      <c r="C63" s="10">
        <v>9.0000000000000002E-40</v>
      </c>
      <c r="D63" s="5">
        <v>25.85</v>
      </c>
      <c r="E63" s="4" t="str">
        <f>HYPERLINK("https://www.ncbi.nlm.nih.gov/protein/WP_152135814.1?report=genbank&amp;log$=prottop&amp;blast_rank=36&amp;RID=8XR20NMX013","WP_152135814.1")</f>
        <v>WP_152135814.1</v>
      </c>
    </row>
    <row r="64" spans="1:5">
      <c r="A64" s="4" t="s">
        <v>958</v>
      </c>
      <c r="B64" s="9">
        <v>0.84</v>
      </c>
      <c r="C64" s="10">
        <v>7.9999999999999994E-40</v>
      </c>
      <c r="D64" s="5">
        <v>25.71</v>
      </c>
      <c r="E64" s="4" t="str">
        <f>HYPERLINK("https://www.ncbi.nlm.nih.gov/protein/WP_201356010.1?report=genbank&amp;log$=prottop&amp;blast_rank=34&amp;RID=8XR20NMX013","WP_201356010.1")</f>
        <v>WP_201356010.1</v>
      </c>
    </row>
    <row r="65" spans="1:5">
      <c r="A65" s="4" t="s">
        <v>963</v>
      </c>
      <c r="B65" s="9">
        <v>0.84</v>
      </c>
      <c r="C65" s="10">
        <v>1.9999999999999999E-39</v>
      </c>
      <c r="D65" s="5">
        <v>25.71</v>
      </c>
      <c r="E65" s="4" t="str">
        <f>HYPERLINK("https://www.ncbi.nlm.nih.gov/protein/WP_160483332.1?report=genbank&amp;log$=prottop&amp;blast_rank=39&amp;RID=8XR20NMX013","WP_160483332.1")</f>
        <v>WP_160483332.1</v>
      </c>
    </row>
    <row r="66" spans="1:5">
      <c r="A66" s="4" t="s">
        <v>984</v>
      </c>
      <c r="B66" s="9">
        <v>0.84</v>
      </c>
      <c r="C66" s="10">
        <v>3.0000000000000002E-33</v>
      </c>
      <c r="D66" s="5">
        <v>25.71</v>
      </c>
      <c r="E66" s="4" t="str">
        <f>HYPERLINK("https://www.ncbi.nlm.nih.gov/protein/WP_321406141.1?report=genbank&amp;log$=prottop&amp;blast_rank=78&amp;RID=8XR20NMX013","WP_321406141.1")</f>
        <v>WP_321406141.1</v>
      </c>
    </row>
    <row r="67" spans="1:5">
      <c r="A67" s="4" t="s">
        <v>955</v>
      </c>
      <c r="B67" s="9">
        <v>0.87</v>
      </c>
      <c r="C67" s="10">
        <v>2.0000000000000001E-42</v>
      </c>
      <c r="D67" s="5">
        <v>25.69</v>
      </c>
      <c r="E67" s="4" t="str">
        <f>HYPERLINK("https://www.ncbi.nlm.nih.gov/protein/WP_303509751.1?report=genbank&amp;log$=prottop&amp;blast_rank=14&amp;RID=8XR20NMX013","WP_303509751.1")</f>
        <v>WP_303509751.1</v>
      </c>
    </row>
    <row r="68" spans="1:5">
      <c r="A68" s="4" t="s">
        <v>977</v>
      </c>
      <c r="B68" s="9">
        <v>0.84</v>
      </c>
      <c r="C68" s="10">
        <v>1.9999999999999999E-34</v>
      </c>
      <c r="D68" s="5">
        <v>25.18</v>
      </c>
      <c r="E68" s="4" t="str">
        <f>HYPERLINK("https://www.ncbi.nlm.nih.gov/protein/WP_108538064.1?report=genbank&amp;log$=prottop&amp;blast_rank=68&amp;RID=8XR20NMX013","WP_108538064.1")</f>
        <v>WP_108538064.1</v>
      </c>
    </row>
    <row r="69" spans="1:5">
      <c r="A69" s="4" t="s">
        <v>19</v>
      </c>
      <c r="B69" s="9">
        <v>0.87</v>
      </c>
      <c r="C69" s="10">
        <v>2.9999999999999999E-38</v>
      </c>
      <c r="D69" s="5">
        <v>25</v>
      </c>
      <c r="E69" s="4" t="str">
        <f>HYPERLINK("https://www.ncbi.nlm.nih.gov/protein/WP_208736228.1?report=genbank&amp;log$=prottop&amp;blast_rank=48&amp;RID=8XR20NMX013","WP_208736228.1")</f>
        <v>WP_208736228.1</v>
      </c>
    </row>
    <row r="70" spans="1:5">
      <c r="A70" s="4" t="s">
        <v>979</v>
      </c>
      <c r="B70" s="9">
        <v>0.87</v>
      </c>
      <c r="C70" s="10">
        <v>3E-34</v>
      </c>
      <c r="D70" s="5">
        <v>24.83</v>
      </c>
      <c r="E70" s="4" t="str">
        <f>HYPERLINK("https://www.ncbi.nlm.nih.gov/protein/EHA1079465.1?report=genbank&amp;log$=prottop&amp;blast_rank=70&amp;RID=8XR20NMX013","EHA1079465.1")</f>
        <v>EHA1079465.1</v>
      </c>
    </row>
    <row r="71" spans="1:5">
      <c r="A71" s="4" t="s">
        <v>971</v>
      </c>
      <c r="B71" s="9">
        <v>0.86</v>
      </c>
      <c r="C71" s="10">
        <v>3.9999999999999998E-36</v>
      </c>
      <c r="D71" s="5">
        <v>24.65</v>
      </c>
      <c r="E71" s="4" t="str">
        <f>HYPERLINK("https://www.ncbi.nlm.nih.gov/protein/WP_069529480.1?report=genbank&amp;log$=prottop&amp;blast_rank=61&amp;RID=8XR20NMX013","WP_069529480.1")</f>
        <v>WP_069529480.1</v>
      </c>
    </row>
    <row r="72" spans="1:5">
      <c r="A72" s="4" t="s">
        <v>966</v>
      </c>
      <c r="B72" s="9">
        <v>0.87</v>
      </c>
      <c r="C72" s="10">
        <v>1.0000000000000001E-37</v>
      </c>
      <c r="D72" s="5">
        <v>24.31</v>
      </c>
      <c r="E72" s="4" t="str">
        <f>HYPERLINK("https://www.ncbi.nlm.nih.gov/protein/WP_179901826.1?report=genbank&amp;log$=prottop&amp;blast_rank=53&amp;RID=8XR20NMX013","WP_179901826.1")</f>
        <v>WP_179901826.1</v>
      </c>
    </row>
    <row r="73" spans="1:5">
      <c r="A73" s="4" t="s">
        <v>958</v>
      </c>
      <c r="B73" s="9">
        <v>0.87</v>
      </c>
      <c r="C73" s="10">
        <v>2E-35</v>
      </c>
      <c r="D73" s="5">
        <v>24.31</v>
      </c>
      <c r="E73" s="4" t="str">
        <f>HYPERLINK("https://www.ncbi.nlm.nih.gov/protein/ENC6659405.1?report=genbank&amp;log$=prottop&amp;blast_rank=64&amp;RID=8XR20NMX013","ENC6659405.1")</f>
        <v>ENC6659405.1</v>
      </c>
    </row>
    <row r="74" spans="1:5">
      <c r="A74" s="4" t="s">
        <v>966</v>
      </c>
      <c r="B74" s="9">
        <v>0.84</v>
      </c>
      <c r="C74" s="10">
        <v>3.0000000000000002E-36</v>
      </c>
      <c r="D74" s="5">
        <v>24.29</v>
      </c>
      <c r="E74" s="4" t="str">
        <f>HYPERLINK("https://www.ncbi.nlm.nih.gov/protein/WP_236322216.1?report=genbank&amp;log$=prottop&amp;blast_rank=58&amp;RID=8XR20NMX013","WP_236322216.1")</f>
        <v>WP_236322216.1</v>
      </c>
    </row>
    <row r="75" spans="1:5">
      <c r="A75" s="4" t="s">
        <v>892</v>
      </c>
      <c r="B75" s="9">
        <v>0.85</v>
      </c>
      <c r="C75" s="10">
        <v>5.0000000000000004E-32</v>
      </c>
      <c r="D75" s="5">
        <v>23.94</v>
      </c>
      <c r="E75" s="4" t="str">
        <f>HYPERLINK("https://www.ncbi.nlm.nih.gov/protein/WP_157031468.1?report=genbank&amp;log$=prottop&amp;blast_rank=88&amp;RID=8XR20NMX013","WP_157031468.1")</f>
        <v>WP_157031468.1</v>
      </c>
    </row>
    <row r="76" spans="1:5">
      <c r="A76" s="4" t="s">
        <v>1027</v>
      </c>
      <c r="B76" s="9">
        <v>0.82</v>
      </c>
      <c r="C76" s="10">
        <v>4.9999999999999997E-21</v>
      </c>
      <c r="D76" s="5">
        <v>23.91</v>
      </c>
      <c r="E76" s="4" t="str">
        <f>HYPERLINK("https://www.ncbi.nlm.nih.gov/protein/WP_178905441.1?report=genbank&amp;log$=prottop&amp;blast_rank=168&amp;RID=8XR20NMX013","WP_178905441.1")</f>
        <v>WP_178905441.1</v>
      </c>
    </row>
    <row r="77" spans="1:5">
      <c r="A77" s="4" t="s">
        <v>1005</v>
      </c>
      <c r="B77" s="9">
        <v>0.81</v>
      </c>
      <c r="C77" s="10">
        <v>3E-28</v>
      </c>
      <c r="D77" s="5">
        <v>23.88</v>
      </c>
      <c r="E77" s="4" t="str">
        <f>HYPERLINK("https://www.ncbi.nlm.nih.gov/protein/WP_260036573.1?report=genbank&amp;log$=prottop&amp;blast_rank=120&amp;RID=8XR20NMX013","WP_260036573.1")</f>
        <v>WP_260036573.1</v>
      </c>
    </row>
    <row r="78" spans="1:5">
      <c r="A78" s="4" t="s">
        <v>976</v>
      </c>
      <c r="B78" s="9">
        <v>0.84</v>
      </c>
      <c r="C78" s="10">
        <v>5.9999999999999998E-35</v>
      </c>
      <c r="D78" s="5">
        <v>23.74</v>
      </c>
      <c r="E78" s="4" t="str">
        <f>HYPERLINK("https://www.ncbi.nlm.nih.gov/protein/WP_321269652.1?report=genbank&amp;log$=prottop&amp;blast_rank=67&amp;RID=8XR20NMX013","WP_321269652.1")</f>
        <v>WP_321269652.1</v>
      </c>
    </row>
    <row r="79" spans="1:5">
      <c r="A79" s="4" t="s">
        <v>970</v>
      </c>
      <c r="B79" s="9">
        <v>0.89</v>
      </c>
      <c r="C79" s="10">
        <v>3.0000000000000002E-36</v>
      </c>
      <c r="D79" s="5">
        <v>23.65</v>
      </c>
      <c r="E79" s="4" t="str">
        <f>HYPERLINK("https://www.ncbi.nlm.nih.gov/protein/WP_178862332.1?report=genbank&amp;log$=prottop&amp;blast_rank=60&amp;RID=8XR20NMX013","WP_178862332.1")</f>
        <v>WP_178862332.1</v>
      </c>
    </row>
    <row r="80" spans="1:5">
      <c r="A80" s="4" t="s">
        <v>15</v>
      </c>
      <c r="B80" s="9">
        <v>0.87</v>
      </c>
      <c r="C80" s="10">
        <v>5.0000000000000003E-38</v>
      </c>
      <c r="D80" s="5">
        <v>23.61</v>
      </c>
      <c r="E80" s="4" t="str">
        <f>HYPERLINK("https://www.ncbi.nlm.nih.gov/protein/HBC3859490.1?report=genbank&amp;log$=prottop&amp;blast_rank=50&amp;RID=8XR20NMX013","HBC3859490.1")</f>
        <v>HBC3859490.1</v>
      </c>
    </row>
    <row r="81" spans="1:5">
      <c r="A81" s="4" t="s">
        <v>43</v>
      </c>
      <c r="B81" s="9">
        <v>0.84</v>
      </c>
      <c r="C81" s="10">
        <v>3.9999999999999998E-38</v>
      </c>
      <c r="D81" s="5">
        <v>23.57</v>
      </c>
      <c r="E81" s="4" t="str">
        <f>HYPERLINK("https://www.ncbi.nlm.nih.gov/protein/WP_000435401.1?report=genbank&amp;log$=prottop&amp;blast_rank=49&amp;RID=8XR20NMX013","WP_000435401.1")</f>
        <v>WP_000435401.1</v>
      </c>
    </row>
    <row r="82" spans="1:5">
      <c r="A82" s="4" t="s">
        <v>237</v>
      </c>
      <c r="B82" s="9">
        <v>0.84</v>
      </c>
      <c r="C82" s="10">
        <v>5.9999999999999998E-38</v>
      </c>
      <c r="D82" s="5">
        <v>23.57</v>
      </c>
      <c r="E82" s="4" t="str">
        <f>HYPERLINK("https://www.ncbi.nlm.nih.gov/protein/WP_172789839.1?report=genbank&amp;log$=prottop&amp;blast_rank=51&amp;RID=8XR20NMX013","WP_172789839.1")</f>
        <v>WP_172789839.1</v>
      </c>
    </row>
    <row r="83" spans="1:5">
      <c r="A83" s="4" t="s">
        <v>15</v>
      </c>
      <c r="B83" s="9">
        <v>0.88</v>
      </c>
      <c r="C83" s="10">
        <v>1.9999999999999999E-38</v>
      </c>
      <c r="D83" s="5">
        <v>23.29</v>
      </c>
      <c r="E83" s="4" t="str">
        <f>HYPERLINK("https://www.ncbi.nlm.nih.gov/protein/WP_273975438.1?report=genbank&amp;log$=prottop&amp;blast_rank=47&amp;RID=8XR20NMX013","WP_273975438.1")</f>
        <v>WP_273975438.1</v>
      </c>
    </row>
    <row r="84" spans="1:5">
      <c r="A84" s="4" t="s">
        <v>966</v>
      </c>
      <c r="B84" s="9">
        <v>0.86</v>
      </c>
      <c r="C84" s="10">
        <v>1.0000000000000001E-37</v>
      </c>
      <c r="D84" s="5">
        <v>23.29</v>
      </c>
      <c r="E84" s="4" t="str">
        <f>HYPERLINK("https://www.ncbi.nlm.nih.gov/protein/WP_278166680.1?report=genbank&amp;log$=prottop&amp;blast_rank=52&amp;RID=8XR20NMX013","WP_278166680.1")</f>
        <v>WP_278166680.1</v>
      </c>
    </row>
    <row r="85" spans="1:5">
      <c r="A85" s="4" t="s">
        <v>972</v>
      </c>
      <c r="B85" s="9">
        <v>0.84</v>
      </c>
      <c r="C85" s="10">
        <v>3.9999999999999998E-36</v>
      </c>
      <c r="D85" s="5">
        <v>23.02</v>
      </c>
      <c r="E85" s="4" t="str">
        <f>HYPERLINK("https://www.ncbi.nlm.nih.gov/protein/WP_318644656.1?report=genbank&amp;log$=prottop&amp;blast_rank=62&amp;RID=8XR20NMX013","WP_318644656.1")</f>
        <v>WP_318644656.1</v>
      </c>
    </row>
    <row r="86" spans="1:5">
      <c r="A86" s="4" t="s">
        <v>1011</v>
      </c>
      <c r="B86" s="9">
        <v>0.87</v>
      </c>
      <c r="C86" s="10">
        <v>3.0000000000000001E-26</v>
      </c>
      <c r="D86" s="5">
        <v>22.76</v>
      </c>
      <c r="E86" s="4" t="str">
        <f>HYPERLINK("https://www.ncbi.nlm.nih.gov/protein/WP_284217050.1?report=genbank&amp;log$=prottop&amp;blast_rank=131&amp;RID=8XR20NMX013","WP_284217050.1")</f>
        <v>WP_284217050.1</v>
      </c>
    </row>
    <row r="87" spans="1:5">
      <c r="A87" s="4" t="s">
        <v>1011</v>
      </c>
      <c r="B87" s="9">
        <v>0.87</v>
      </c>
      <c r="C87" s="10">
        <v>1E-25</v>
      </c>
      <c r="D87" s="5">
        <v>22.76</v>
      </c>
      <c r="E87" s="4" t="str">
        <f>HYPERLINK("https://www.ncbi.nlm.nih.gov/protein/GLR70770.1?report=genbank&amp;log$=prottop&amp;blast_rank=134&amp;RID=8XR20NMX013","GLR70770.1")</f>
        <v>GLR70770.1</v>
      </c>
    </row>
    <row r="88" spans="1:5">
      <c r="A88" s="4" t="s">
        <v>43</v>
      </c>
      <c r="B88" s="9">
        <v>0.87</v>
      </c>
      <c r="C88" s="10">
        <v>7.9999999999999994E-40</v>
      </c>
      <c r="D88" s="5">
        <v>22.45</v>
      </c>
      <c r="E88" s="4" t="str">
        <f>HYPERLINK("https://www.ncbi.nlm.nih.gov/protein/WP_123768147.1?report=genbank&amp;log$=prottop&amp;blast_rank=33&amp;RID=8XR20NMX013","WP_123768147.1")</f>
        <v>WP_123768147.1</v>
      </c>
    </row>
    <row r="89" spans="1:5">
      <c r="A89" s="4" t="s">
        <v>964</v>
      </c>
      <c r="B89" s="9">
        <v>0.87</v>
      </c>
      <c r="C89" s="10">
        <v>1.9999999999999999E-39</v>
      </c>
      <c r="D89" s="5">
        <v>22.45</v>
      </c>
      <c r="E89" s="4" t="str">
        <f>HYPERLINK("https://www.ncbi.nlm.nih.gov/protein/CAH1539938.1?report=genbank&amp;log$=prottop&amp;blast_rank=41&amp;RID=8XR20NMX013","CAH1539938.1")</f>
        <v>CAH1539938.1</v>
      </c>
    </row>
    <row r="90" spans="1:5">
      <c r="A90" s="4" t="s">
        <v>1003</v>
      </c>
      <c r="B90" s="9">
        <v>0.84</v>
      </c>
      <c r="C90" s="10">
        <v>1.9999999999999999E-28</v>
      </c>
      <c r="D90" s="5">
        <v>22.3</v>
      </c>
      <c r="E90" s="4" t="str">
        <f>HYPERLINK("https://www.ncbi.nlm.nih.gov/protein/WP_036314901.1?report=genbank&amp;log$=prottop&amp;blast_rank=118&amp;RID=8XR20NMX013","WP_036314901.1")</f>
        <v>WP_036314901.1</v>
      </c>
    </row>
    <row r="91" spans="1:5">
      <c r="A91" s="4" t="s">
        <v>15</v>
      </c>
      <c r="B91" s="9">
        <v>0.93</v>
      </c>
      <c r="C91" s="10">
        <v>2E-41</v>
      </c>
      <c r="D91" s="5">
        <v>22.29</v>
      </c>
      <c r="E91" s="4" t="str">
        <f>HYPERLINK("https://www.ncbi.nlm.nih.gov/protein/TNZ67332.1?report=genbank&amp;log$=prottop&amp;blast_rank=18&amp;RID=8XR20NMX013","TNZ67332.1")</f>
        <v>TNZ67332.1</v>
      </c>
    </row>
    <row r="92" spans="1:5">
      <c r="A92" s="4" t="s">
        <v>990</v>
      </c>
      <c r="B92" s="9">
        <v>0.87</v>
      </c>
      <c r="C92" s="10">
        <v>4.9999999999999996E-25</v>
      </c>
      <c r="D92" s="5">
        <v>22.22</v>
      </c>
      <c r="E92" s="4" t="str">
        <f>HYPERLINK("https://www.ncbi.nlm.nih.gov/protein/ASI21496.1?report=genbank&amp;log$=prottop&amp;blast_rank=137&amp;RID=8XR20NMX013","ASI21496.1")</f>
        <v>ASI21496.1</v>
      </c>
    </row>
    <row r="93" spans="1:5">
      <c r="A93" s="4" t="s">
        <v>987</v>
      </c>
      <c r="B93" s="9">
        <v>0.87</v>
      </c>
      <c r="C93" s="10">
        <v>5.9999999999999995E-25</v>
      </c>
      <c r="D93" s="5">
        <v>22.22</v>
      </c>
      <c r="E93" s="4" t="str">
        <f>HYPERLINK("https://www.ncbi.nlm.nih.gov/protein/BDT52220.1?report=genbank&amp;log$=prottop&amp;blast_rank=138&amp;RID=8XR20NMX013","BDT52220.1")</f>
        <v>BDT52220.1</v>
      </c>
    </row>
    <row r="94" spans="1:5">
      <c r="A94" s="4" t="s">
        <v>15</v>
      </c>
      <c r="B94" s="9">
        <v>0.89</v>
      </c>
      <c r="C94" s="10">
        <v>8.0000000000000003E-42</v>
      </c>
      <c r="D94" s="5">
        <v>22</v>
      </c>
      <c r="E94" s="4" t="str">
        <f>HYPERLINK("https://www.ncbi.nlm.nih.gov/protein/WP_219624728.1?report=genbank&amp;log$=prottop&amp;blast_rank=16&amp;RID=8XR20NMX013","WP_219624728.1")</f>
        <v>WP_219624728.1</v>
      </c>
    </row>
    <row r="95" spans="1:5">
      <c r="A95" s="4" t="s">
        <v>15</v>
      </c>
      <c r="B95" s="9">
        <v>0.89</v>
      </c>
      <c r="C95" s="10">
        <v>2.9999999999999999E-41</v>
      </c>
      <c r="D95" s="5">
        <v>22</v>
      </c>
      <c r="E95" s="4" t="str">
        <f>HYPERLINK("https://www.ncbi.nlm.nih.gov/protein/WP_219605107.1?report=genbank&amp;log$=prottop&amp;blast_rank=20&amp;RID=8XR20NMX013","WP_219605107.1")</f>
        <v>WP_219605107.1</v>
      </c>
    </row>
    <row r="96" spans="1:5">
      <c r="A96" s="4" t="s">
        <v>43</v>
      </c>
      <c r="B96" s="9">
        <v>0.87</v>
      </c>
      <c r="C96" s="10">
        <v>3.0000000000000002E-40</v>
      </c>
      <c r="D96" s="5">
        <v>21.77</v>
      </c>
      <c r="E96" s="4" t="str">
        <f>HYPERLINK("https://www.ncbi.nlm.nih.gov/protein/WP_025818672.1?report=genbank&amp;log$=prottop&amp;blast_rank=27&amp;RID=8XR20NMX013","WP_025818672.1")</f>
        <v>WP_025818672.1</v>
      </c>
    </row>
    <row r="97" spans="1:5">
      <c r="A97" s="4" t="s">
        <v>15</v>
      </c>
      <c r="B97" s="9">
        <v>0.87</v>
      </c>
      <c r="C97" s="10">
        <v>4.9999999999999996E-40</v>
      </c>
      <c r="D97" s="5">
        <v>21.77</v>
      </c>
      <c r="E97" s="4" t="str">
        <f>HYPERLINK("https://www.ncbi.nlm.nih.gov/protein/WP_180697617.1?report=genbank&amp;log$=prottop&amp;blast_rank=29&amp;RID=8XR20NMX013","WP_180697617.1")</f>
        <v>WP_180697617.1</v>
      </c>
    </row>
    <row r="98" spans="1:5">
      <c r="A98" s="4" t="s">
        <v>15</v>
      </c>
      <c r="B98" s="9">
        <v>0.87</v>
      </c>
      <c r="C98" s="10">
        <v>6.0000000000000004E-40</v>
      </c>
      <c r="D98" s="5">
        <v>21.77</v>
      </c>
      <c r="E98" s="4" t="str">
        <f>HYPERLINK("https://www.ncbi.nlm.nih.gov/protein/WP_069504434.1?report=genbank&amp;log$=prottop&amp;blast_rank=31&amp;RID=8XR20NMX013","WP_069504434.1")</f>
        <v>WP_069504434.1</v>
      </c>
    </row>
    <row r="99" spans="1:5">
      <c r="A99" s="4" t="s">
        <v>15</v>
      </c>
      <c r="B99" s="9">
        <v>0.87</v>
      </c>
      <c r="C99" s="10">
        <v>7.9999999999999994E-40</v>
      </c>
      <c r="D99" s="5">
        <v>21.77</v>
      </c>
      <c r="E99" s="4" t="str">
        <f>HYPERLINK("https://www.ncbi.nlm.nih.gov/protein/WP_273993066.1?report=genbank&amp;log$=prottop&amp;blast_rank=35&amp;RID=8XR20NMX013","WP_273993066.1")</f>
        <v>WP_273993066.1</v>
      </c>
    </row>
    <row r="100" spans="1:5">
      <c r="A100" s="4" t="s">
        <v>15</v>
      </c>
      <c r="B100" s="9">
        <v>0.87</v>
      </c>
      <c r="C100" s="10">
        <v>9.0000000000000002E-40</v>
      </c>
      <c r="D100" s="5">
        <v>21.77</v>
      </c>
      <c r="E100" s="4" t="str">
        <f>HYPERLINK("https://www.ncbi.nlm.nih.gov/protein/WP_270944442.1?report=genbank&amp;log$=prottop&amp;blast_rank=37&amp;RID=8XR20NMX013","WP_270944442.1")</f>
        <v>WP_270944442.1</v>
      </c>
    </row>
    <row r="101" spans="1:5">
      <c r="A101" s="4" t="s">
        <v>240</v>
      </c>
      <c r="B101" s="9">
        <v>0.87</v>
      </c>
      <c r="C101" s="10">
        <v>3.0000000000000003E-39</v>
      </c>
      <c r="D101" s="5">
        <v>21.77</v>
      </c>
      <c r="E101" s="4" t="str">
        <f>HYPERLINK("https://www.ncbi.nlm.nih.gov/protein/WP_143682548.1?report=genbank&amp;log$=prottop&amp;blast_rank=43&amp;RID=8XR20NMX013","WP_143682548.1")</f>
        <v>WP_143682548.1</v>
      </c>
    </row>
    <row r="102" spans="1:5">
      <c r="A102" s="4" t="s">
        <v>1052</v>
      </c>
      <c r="B102" s="9">
        <v>0.81</v>
      </c>
      <c r="C102" s="10">
        <v>9.9999999999999994E-12</v>
      </c>
      <c r="D102" s="5">
        <v>21.77</v>
      </c>
      <c r="E102" s="4" t="str">
        <f>HYPERLINK("https://www.ncbi.nlm.nih.gov/protein/WP_161680545.1?report=genbank&amp;log$=prottop&amp;blast_rank=213&amp;RID=8XR20NMX013","WP_161680545.1")</f>
        <v>WP_161680545.1</v>
      </c>
    </row>
    <row r="103" spans="1:5">
      <c r="A103" s="4" t="s">
        <v>982</v>
      </c>
      <c r="B103" s="9">
        <v>0.84</v>
      </c>
      <c r="C103" s="10">
        <v>2.0000000000000001E-33</v>
      </c>
      <c r="D103" s="5">
        <v>21.58</v>
      </c>
      <c r="E103" s="4" t="str">
        <f>HYPERLINK("https://www.ncbi.nlm.nih.gov/protein/ABO92608.1?report=genbank&amp;log$=prottop&amp;blast_rank=76&amp;RID=8XR20NMX013","ABO92608.1")</f>
        <v>ABO92608.1</v>
      </c>
    </row>
    <row r="104" spans="1:5">
      <c r="A104" s="4" t="s">
        <v>595</v>
      </c>
      <c r="B104" s="9">
        <v>0.84</v>
      </c>
      <c r="C104" s="10">
        <v>5.9999999999999996E-31</v>
      </c>
      <c r="D104" s="5">
        <v>21.58</v>
      </c>
      <c r="E104" s="4" t="str">
        <f>HYPERLINK("https://www.ncbi.nlm.nih.gov/protein/THB68733.1?report=genbank&amp;log$=prottop&amp;blast_rank=96&amp;RID=8XR20NMX013","THB68733.1")</f>
        <v>THB68733.1</v>
      </c>
    </row>
    <row r="105" spans="1:5">
      <c r="A105" s="4" t="s">
        <v>15</v>
      </c>
      <c r="B105" s="9">
        <v>0.87</v>
      </c>
      <c r="C105" s="10">
        <v>9.9999999999999996E-39</v>
      </c>
      <c r="D105" s="5">
        <v>21.53</v>
      </c>
      <c r="E105" s="4" t="str">
        <f>HYPERLINK("https://www.ncbi.nlm.nih.gov/protein/MBE4047342.1?report=genbank&amp;log$=prottop&amp;blast_rank=45&amp;RID=8XR20NMX013","MBE4047342.1")</f>
        <v>MBE4047342.1</v>
      </c>
    </row>
    <row r="106" spans="1:5">
      <c r="A106" s="4" t="s">
        <v>966</v>
      </c>
      <c r="B106" s="9">
        <v>0.87</v>
      </c>
      <c r="C106" s="10">
        <v>5.0000000000000004E-32</v>
      </c>
      <c r="D106" s="5">
        <v>21.53</v>
      </c>
      <c r="E106" s="4" t="str">
        <f>HYPERLINK("https://www.ncbi.nlm.nih.gov/protein/OLF57014.1?report=genbank&amp;log$=prottop&amp;blast_rank=89&amp;RID=8XR20NMX013","OLF57014.1")</f>
        <v>OLF57014.1</v>
      </c>
    </row>
    <row r="107" spans="1:5">
      <c r="A107" s="4" t="s">
        <v>18</v>
      </c>
      <c r="B107" s="9">
        <v>0.8</v>
      </c>
      <c r="C107" s="10">
        <v>4.0000000000000001E-13</v>
      </c>
      <c r="D107" s="5">
        <v>21.38</v>
      </c>
      <c r="E107" s="4" t="str">
        <f>HYPERLINK("https://www.ncbi.nlm.nih.gov/protein/WP_337834775.1?report=genbank&amp;log$=prottop&amp;blast_rank=199&amp;RID=8XR20NMX013","WP_337834775.1")</f>
        <v>WP_337834775.1</v>
      </c>
    </row>
    <row r="108" spans="1:5">
      <c r="A108" s="4" t="s">
        <v>15</v>
      </c>
      <c r="B108" s="9">
        <v>0.8</v>
      </c>
      <c r="C108" s="10">
        <v>4.9999999999999999E-13</v>
      </c>
      <c r="D108" s="5">
        <v>21.38</v>
      </c>
      <c r="E108" s="4" t="str">
        <f>HYPERLINK("https://www.ncbi.nlm.nih.gov/protein/EGQ9060168.1?report=genbank&amp;log$=prottop&amp;blast_rank=200&amp;RID=8XR20NMX013","EGQ9060168.1")</f>
        <v>EGQ9060168.1</v>
      </c>
    </row>
    <row r="109" spans="1:5">
      <c r="A109" s="4" t="s">
        <v>990</v>
      </c>
      <c r="B109" s="9">
        <v>0.86</v>
      </c>
      <c r="C109" s="10">
        <v>4.0000000000000002E-32</v>
      </c>
      <c r="D109" s="5">
        <v>21.13</v>
      </c>
      <c r="E109" s="4" t="str">
        <f>HYPERLINK("https://www.ncbi.nlm.nih.gov/protein/ORJ13083.1?report=genbank&amp;log$=prottop&amp;blast_rank=87&amp;RID=8XR20NMX013","ORJ13083.1")</f>
        <v>ORJ13083.1</v>
      </c>
    </row>
    <row r="110" spans="1:5">
      <c r="A110" s="4" t="s">
        <v>990</v>
      </c>
      <c r="B110" s="9">
        <v>0.86</v>
      </c>
      <c r="C110" s="10">
        <v>8.0000000000000004E-32</v>
      </c>
      <c r="D110" s="5">
        <v>21.13</v>
      </c>
      <c r="E110" s="4" t="str">
        <f>HYPERLINK("https://www.ncbi.nlm.nih.gov/protein/WP_206780172.1?report=genbank&amp;log$=prottop&amp;blast_rank=91&amp;RID=8XR20NMX013","WP_206780172.1")</f>
        <v>WP_206780172.1</v>
      </c>
    </row>
    <row r="111" spans="1:5">
      <c r="A111" s="4" t="s">
        <v>15</v>
      </c>
      <c r="B111" s="9">
        <v>0.87</v>
      </c>
      <c r="C111" s="10">
        <v>9.9999999999999996E-39</v>
      </c>
      <c r="D111" s="5">
        <v>21.09</v>
      </c>
      <c r="E111" s="4" t="str">
        <f>HYPERLINK("https://www.ncbi.nlm.nih.gov/protein/MBE4009495.1?report=genbank&amp;log$=prottop&amp;blast_rank=46&amp;RID=8XR20NMX013","MBE4009495.1")</f>
        <v>MBE4009495.1</v>
      </c>
    </row>
    <row r="112" spans="1:5">
      <c r="A112" s="4" t="s">
        <v>15</v>
      </c>
      <c r="B112" s="9">
        <v>0.87</v>
      </c>
      <c r="C112" s="10">
        <v>2.0000000000000001E-37</v>
      </c>
      <c r="D112" s="5">
        <v>21.09</v>
      </c>
      <c r="E112" s="4" t="str">
        <f>HYPERLINK("https://www.ncbi.nlm.nih.gov/protein/WP_025611515.1?report=genbank&amp;log$=prottop&amp;blast_rank=54&amp;RID=8XR20NMX013","WP_025611515.1")</f>
        <v>WP_025611515.1</v>
      </c>
    </row>
    <row r="113" spans="1:5">
      <c r="A113" s="4" t="s">
        <v>985</v>
      </c>
      <c r="B113" s="9">
        <v>0.87</v>
      </c>
      <c r="C113" s="10">
        <v>4.0000000000000002E-33</v>
      </c>
      <c r="D113" s="5">
        <v>20.83</v>
      </c>
      <c r="E113" s="4" t="str">
        <f>HYPERLINK("https://www.ncbi.nlm.nih.gov/protein/ASD49332.1?report=genbank&amp;log$=prottop&amp;blast_rank=79&amp;RID=8XR20NMX013","ASD49332.1")</f>
        <v>ASD49332.1</v>
      </c>
    </row>
    <row r="114" spans="1:5">
      <c r="A114" s="4" t="s">
        <v>986</v>
      </c>
      <c r="B114" s="9">
        <v>0.87</v>
      </c>
      <c r="C114" s="10">
        <v>6.0000000000000003E-33</v>
      </c>
      <c r="D114" s="5">
        <v>20.83</v>
      </c>
      <c r="E114" s="4" t="str">
        <f>HYPERLINK("https://www.ncbi.nlm.nih.gov/protein/EHI50050.1?report=genbank&amp;log$=prottop&amp;blast_rank=80&amp;RID=8XR20NMX013","EHI50050.1")</f>
        <v>EHI50050.1</v>
      </c>
    </row>
    <row r="115" spans="1:5">
      <c r="A115" s="4" t="s">
        <v>990</v>
      </c>
      <c r="B115" s="9">
        <v>0.87</v>
      </c>
      <c r="C115" s="10">
        <v>5.0000000000000002E-28</v>
      </c>
      <c r="D115" s="5">
        <v>20.83</v>
      </c>
      <c r="E115" s="4" t="str">
        <f>HYPERLINK("https://www.ncbi.nlm.nih.gov/protein/WP_149604794.1?report=genbank&amp;log$=prottop&amp;blast_rank=122&amp;RID=8XR20NMX013","WP_149604794.1")</f>
        <v>WP_149604794.1</v>
      </c>
    </row>
    <row r="116" spans="1:5">
      <c r="A116" s="4" t="s">
        <v>1008</v>
      </c>
      <c r="B116" s="9">
        <v>0.87</v>
      </c>
      <c r="C116" s="10">
        <v>3.0000000000000001E-27</v>
      </c>
      <c r="D116" s="5">
        <v>20.83</v>
      </c>
      <c r="E116" s="4" t="str">
        <f>HYPERLINK("https://www.ncbi.nlm.nih.gov/protein/WP_232790179.1?report=genbank&amp;log$=prottop&amp;blast_rank=127&amp;RID=8XR20NMX013","WP_232790179.1")</f>
        <v>WP_232790179.1</v>
      </c>
    </row>
    <row r="117" spans="1:5">
      <c r="A117" s="4" t="s">
        <v>990</v>
      </c>
      <c r="B117" s="9">
        <v>0.87</v>
      </c>
      <c r="C117" s="10">
        <v>6.0000000000000002E-26</v>
      </c>
      <c r="D117" s="5">
        <v>20.83</v>
      </c>
      <c r="E117" s="4" t="str">
        <f>HYPERLINK("https://www.ncbi.nlm.nih.gov/protein/WP_237709763.1?report=genbank&amp;log$=prottop&amp;blast_rank=133&amp;RID=8XR20NMX013","WP_237709763.1")</f>
        <v>WP_237709763.1</v>
      </c>
    </row>
    <row r="118" spans="1:5">
      <c r="A118" s="4" t="s">
        <v>985</v>
      </c>
      <c r="B118" s="9">
        <v>0.87</v>
      </c>
      <c r="C118" s="10">
        <v>7.0000000000000004E-25</v>
      </c>
      <c r="D118" s="5">
        <v>20.83</v>
      </c>
      <c r="E118" s="4" t="str">
        <f>HYPERLINK("https://www.ncbi.nlm.nih.gov/protein/ASD49399.1?report=genbank&amp;log$=prottop&amp;blast_rank=139&amp;RID=8XR20NMX013","ASD49399.1")</f>
        <v>ASD49399.1</v>
      </c>
    </row>
    <row r="119" spans="1:5">
      <c r="A119" s="4" t="s">
        <v>990</v>
      </c>
      <c r="B119" s="9">
        <v>0.87</v>
      </c>
      <c r="C119" s="10">
        <v>5.9999999999999999E-24</v>
      </c>
      <c r="D119" s="5">
        <v>20.83</v>
      </c>
      <c r="E119" s="4" t="str">
        <f>HYPERLINK("https://www.ncbi.nlm.nih.gov/protein/ELY1972840.1?report=genbank&amp;log$=prottop&amp;blast_rank=147&amp;RID=8XR20NMX013","ELY1972840.1")</f>
        <v>ELY1972840.1</v>
      </c>
    </row>
    <row r="120" spans="1:5">
      <c r="A120" s="4" t="s">
        <v>400</v>
      </c>
      <c r="B120" s="9">
        <v>0.81</v>
      </c>
      <c r="C120" s="10">
        <v>3E-23</v>
      </c>
      <c r="D120" s="5">
        <v>20.83</v>
      </c>
      <c r="E120" s="4" t="str">
        <f>HYPERLINK("https://www.ncbi.nlm.nih.gov/protein/WP_221535029.1?report=genbank&amp;log$=prottop&amp;blast_rank=155&amp;RID=8XR20NMX013","WP_221535029.1")</f>
        <v>WP_221535029.1</v>
      </c>
    </row>
    <row r="121" spans="1:5">
      <c r="A121" s="4" t="s">
        <v>1043</v>
      </c>
      <c r="B121" s="9">
        <v>0.8</v>
      </c>
      <c r="C121" s="10">
        <v>9.9999999999999998E-13</v>
      </c>
      <c r="D121" s="5">
        <v>20.69</v>
      </c>
      <c r="E121" s="4" t="str">
        <f>HYPERLINK("https://www.ncbi.nlm.nih.gov/protein/ETZ12540.1?report=genbank&amp;log$=prottop&amp;blast_rank=202&amp;RID=8XR20NMX013","ETZ12540.1")</f>
        <v>ETZ12540.1</v>
      </c>
    </row>
    <row r="122" spans="1:5">
      <c r="A122" s="4" t="s">
        <v>15</v>
      </c>
      <c r="B122" s="9">
        <v>0.8</v>
      </c>
      <c r="C122" s="10">
        <v>9.9999999999999994E-12</v>
      </c>
      <c r="D122" s="5">
        <v>20.69</v>
      </c>
      <c r="E122" s="4" t="str">
        <f>HYPERLINK("https://www.ncbi.nlm.nih.gov/protein/HAS6765863.1?report=genbank&amp;log$=prottop&amp;blast_rank=214&amp;RID=8XR20NMX013","HAS6765863.1")</f>
        <v>HAS6765863.1</v>
      </c>
    </row>
    <row r="123" spans="1:5">
      <c r="A123" s="4" t="s">
        <v>18</v>
      </c>
      <c r="B123" s="9">
        <v>0.8</v>
      </c>
      <c r="C123" s="10">
        <v>3E-11</v>
      </c>
      <c r="D123" s="5">
        <v>20.69</v>
      </c>
      <c r="E123" s="4" t="str">
        <f>HYPERLINK("https://www.ncbi.nlm.nih.gov/protein/WP_240115518.1?report=genbank&amp;log$=prottop&amp;blast_rank=217&amp;RID=8XR20NMX013","WP_240115518.1")</f>
        <v>WP_240115518.1</v>
      </c>
    </row>
    <row r="124" spans="1:5">
      <c r="A124" s="4" t="s">
        <v>15</v>
      </c>
      <c r="B124" s="9">
        <v>0.8</v>
      </c>
      <c r="C124" s="10">
        <v>1E-10</v>
      </c>
      <c r="D124" s="5">
        <v>20.69</v>
      </c>
      <c r="E124" s="4" t="str">
        <f>HYPERLINK("https://www.ncbi.nlm.nih.gov/protein/EHR7166307.1?report=genbank&amp;log$=prottop&amp;blast_rank=219&amp;RID=8XR20NMX013","EHR7166307.1")</f>
        <v>EHR7166307.1</v>
      </c>
    </row>
    <row r="125" spans="1:5">
      <c r="A125" s="4" t="s">
        <v>242</v>
      </c>
      <c r="B125" s="9">
        <v>0.8</v>
      </c>
      <c r="C125" s="10">
        <v>4.0000000000000001E-8</v>
      </c>
      <c r="D125" s="5">
        <v>20.69</v>
      </c>
      <c r="E125" s="4" t="str">
        <f>HYPERLINK("https://www.ncbi.nlm.nih.gov/protein/WP_318453114.1?report=genbank&amp;log$=prottop&amp;blast_rank=237&amp;RID=8XR20NMX013","WP_318453114.1")</f>
        <v>WP_318453114.1</v>
      </c>
    </row>
    <row r="126" spans="1:5">
      <c r="A126" s="4" t="s">
        <v>831</v>
      </c>
      <c r="B126" s="9">
        <v>0.86</v>
      </c>
      <c r="C126" s="10">
        <v>2.0000000000000001E-10</v>
      </c>
      <c r="D126" s="5">
        <v>20.65</v>
      </c>
      <c r="E126" s="4" t="str">
        <f>HYPERLINK("https://www.ncbi.nlm.nih.gov/protein/WP_102339191.1?report=genbank&amp;log$=prottop&amp;blast_rank=227&amp;RID=8XR20NMX013","WP_102339191.1")</f>
        <v>WP_102339191.1</v>
      </c>
    </row>
    <row r="127" spans="1:5">
      <c r="A127" s="4" t="s">
        <v>1013</v>
      </c>
      <c r="B127" s="9">
        <v>0.85</v>
      </c>
      <c r="C127" s="10">
        <v>2.0000000000000001E-25</v>
      </c>
      <c r="D127" s="5">
        <v>20.57</v>
      </c>
      <c r="E127" s="4" t="str">
        <f>HYPERLINK("https://www.ncbi.nlm.nih.gov/protein/WP_211456522.1?report=genbank&amp;log$=prottop&amp;blast_rank=135&amp;RID=8XR20NMX013","WP_211456522.1")</f>
        <v>WP_211456522.1</v>
      </c>
    </row>
    <row r="128" spans="1:5">
      <c r="A128" s="4" t="s">
        <v>15</v>
      </c>
      <c r="B128" s="9">
        <v>0.92</v>
      </c>
      <c r="C128" s="10">
        <v>5.0000000000000004E-19</v>
      </c>
      <c r="D128" s="5">
        <v>20.36</v>
      </c>
      <c r="E128" s="4" t="str">
        <f>HYPERLINK("https://www.ncbi.nlm.nih.gov/protein/EIU7005295.1?report=genbank&amp;log$=prottop&amp;blast_rank=186&amp;RID=8XR20NMX013","EIU7005295.1")</f>
        <v>EIU7005295.1</v>
      </c>
    </row>
    <row r="129" spans="1:5">
      <c r="A129" s="4" t="s">
        <v>15</v>
      </c>
      <c r="B129" s="9">
        <v>0.92</v>
      </c>
      <c r="C129" s="10">
        <v>5.9999999999999999E-19</v>
      </c>
      <c r="D129" s="5">
        <v>20.36</v>
      </c>
      <c r="E129" s="4" t="str">
        <f>HYPERLINK("https://www.ncbi.nlm.nih.gov/protein/WP_237771687.1?report=genbank&amp;log$=prottop&amp;blast_rank=187&amp;RID=8XR20NMX013","WP_237771687.1")</f>
        <v>WP_237771687.1</v>
      </c>
    </row>
    <row r="130" spans="1:5">
      <c r="A130" s="4" t="s">
        <v>1034</v>
      </c>
      <c r="B130" s="9">
        <v>0.92</v>
      </c>
      <c r="C130" s="10">
        <v>7.9999999999999998E-19</v>
      </c>
      <c r="D130" s="5">
        <v>20.36</v>
      </c>
      <c r="E130" s="4" t="str">
        <f>HYPERLINK("https://www.ncbi.nlm.nih.gov/protein/OQK10775.1?report=genbank&amp;log$=prottop&amp;blast_rank=188&amp;RID=8XR20NMX013","OQK10775.1")</f>
        <v>OQK10775.1</v>
      </c>
    </row>
    <row r="131" spans="1:5">
      <c r="A131" s="4" t="s">
        <v>983</v>
      </c>
      <c r="B131" s="9">
        <v>0.84</v>
      </c>
      <c r="C131" s="10">
        <v>3.0000000000000002E-33</v>
      </c>
      <c r="D131" s="5">
        <v>20.14</v>
      </c>
      <c r="E131" s="4" t="str">
        <f>HYPERLINK("https://www.ncbi.nlm.nih.gov/protein/WP_256605140.1?report=genbank&amp;log$=prottop&amp;blast_rank=77&amp;RID=8XR20NMX013","WP_256605140.1")</f>
        <v>WP_256605140.1</v>
      </c>
    </row>
    <row r="132" spans="1:5">
      <c r="A132" s="4" t="s">
        <v>1015</v>
      </c>
      <c r="B132" s="9">
        <v>0.81</v>
      </c>
      <c r="C132" s="10">
        <v>3.9999999999999997E-24</v>
      </c>
      <c r="D132" s="5">
        <v>20.14</v>
      </c>
      <c r="E132" s="4" t="str">
        <f>HYPERLINK("https://www.ncbi.nlm.nih.gov/protein/WP_323150693.1?report=genbank&amp;log$=prottop&amp;blast_rank=144&amp;RID=8XR20NMX013","WP_323150693.1")</f>
        <v>WP_323150693.1</v>
      </c>
    </row>
    <row r="133" spans="1:5">
      <c r="A133" s="4" t="s">
        <v>988</v>
      </c>
      <c r="B133" s="9">
        <v>0.89</v>
      </c>
      <c r="C133" s="10">
        <v>1.0000000000000001E-32</v>
      </c>
      <c r="D133" s="5">
        <v>20.13</v>
      </c>
      <c r="E133" s="4" t="str">
        <f>HYPERLINK("https://www.ncbi.nlm.nih.gov/protein/WP_142995600.1?report=genbank&amp;log$=prottop&amp;blast_rank=83&amp;RID=8XR20NMX013","WP_142995600.1")</f>
        <v>WP_142995600.1</v>
      </c>
    </row>
    <row r="134" spans="1:5">
      <c r="A134" s="4" t="s">
        <v>1019</v>
      </c>
      <c r="B134" s="9">
        <v>0.81</v>
      </c>
      <c r="C134" s="10">
        <v>1.9999999999999999E-23</v>
      </c>
      <c r="D134" s="5">
        <v>20</v>
      </c>
      <c r="E134" s="4" t="str">
        <f>HYPERLINK("https://www.ncbi.nlm.nih.gov/protein/WP_142872151.1?report=genbank&amp;log$=prottop&amp;blast_rank=154&amp;RID=8XR20NMX013","WP_142872151.1")</f>
        <v>WP_142872151.1</v>
      </c>
    </row>
    <row r="135" spans="1:5">
      <c r="A135" s="4" t="s">
        <v>992</v>
      </c>
      <c r="B135" s="9">
        <v>0.8</v>
      </c>
      <c r="C135" s="10">
        <v>4.0000000000000001E-13</v>
      </c>
      <c r="D135" s="5">
        <v>20</v>
      </c>
      <c r="E135" s="4" t="str">
        <f>HYPERLINK("https://www.ncbi.nlm.nih.gov/protein/AVF95447.1?report=genbank&amp;log$=prottop&amp;blast_rank=198&amp;RID=8XR20NMX013","AVF95447.1")</f>
        <v>AVF95447.1</v>
      </c>
    </row>
    <row r="136" spans="1:5">
      <c r="A136" s="4" t="s">
        <v>17</v>
      </c>
      <c r="B136" s="9">
        <v>0.83</v>
      </c>
      <c r="C136" s="10">
        <v>1E-10</v>
      </c>
      <c r="D136" s="5">
        <v>20</v>
      </c>
      <c r="E136" s="4" t="str">
        <f>HYPERLINK("https://www.ncbi.nlm.nih.gov/protein/WP_210459061.1?report=genbank&amp;log$=prottop&amp;blast_rank=220&amp;RID=8XR20NMX013","WP_210459061.1")</f>
        <v>WP_210459061.1</v>
      </c>
    </row>
    <row r="137" spans="1:5">
      <c r="A137" s="4" t="s">
        <v>816</v>
      </c>
      <c r="B137" s="9">
        <v>0.83</v>
      </c>
      <c r="C137" s="10">
        <v>1E-10</v>
      </c>
      <c r="D137" s="5">
        <v>20</v>
      </c>
      <c r="E137" s="4" t="str">
        <f>HYPERLINK("https://www.ncbi.nlm.nih.gov/protein/WP_268662662.1?report=genbank&amp;log$=prottop&amp;blast_rank=221&amp;RID=8XR20NMX013","WP_268662662.1")</f>
        <v>WP_268662662.1</v>
      </c>
    </row>
    <row r="138" spans="1:5">
      <c r="A138" s="4" t="s">
        <v>831</v>
      </c>
      <c r="B138" s="9">
        <v>0.86</v>
      </c>
      <c r="C138" s="10">
        <v>2.0000000000000001E-10</v>
      </c>
      <c r="D138" s="5">
        <v>20</v>
      </c>
      <c r="E138" s="4" t="str">
        <f>HYPERLINK("https://www.ncbi.nlm.nih.gov/protein/WP_102267525.1?report=genbank&amp;log$=prottop&amp;blast_rank=224&amp;RID=8XR20NMX013","WP_102267525.1")</f>
        <v>WP_102267525.1</v>
      </c>
    </row>
    <row r="139" spans="1:5">
      <c r="A139" s="4" t="s">
        <v>1056</v>
      </c>
      <c r="B139" s="9">
        <v>0.83</v>
      </c>
      <c r="C139" s="10">
        <v>2.0000000000000001E-10</v>
      </c>
      <c r="D139" s="5">
        <v>20</v>
      </c>
      <c r="E139" s="4" t="str">
        <f>HYPERLINK("https://www.ncbi.nlm.nih.gov/protein/WP_332410068.1?report=genbank&amp;log$=prottop&amp;blast_rank=225&amp;RID=8XR20NMX013","WP_332410068.1")</f>
        <v>WP_332410068.1</v>
      </c>
    </row>
    <row r="140" spans="1:5">
      <c r="A140" s="4" t="s">
        <v>43</v>
      </c>
      <c r="B140" s="9">
        <v>0.83</v>
      </c>
      <c r="C140" s="10">
        <v>3E-10</v>
      </c>
      <c r="D140" s="5">
        <v>20</v>
      </c>
      <c r="E140" s="4" t="str">
        <f>HYPERLINK("https://www.ncbi.nlm.nih.gov/protein/WP_193846751.1?report=genbank&amp;log$=prottop&amp;blast_rank=228&amp;RID=8XR20NMX013","WP_193846751.1")</f>
        <v>WP_193846751.1</v>
      </c>
    </row>
    <row r="141" spans="1:5">
      <c r="A141" s="4" t="s">
        <v>15</v>
      </c>
      <c r="B141" s="9">
        <v>0.8</v>
      </c>
      <c r="C141" s="10">
        <v>1.0000000000000001E-9</v>
      </c>
      <c r="D141" s="5">
        <v>20</v>
      </c>
      <c r="E141" s="4" t="str">
        <f>HYPERLINK("https://www.ncbi.nlm.nih.gov/protein/WP_248385777.1?report=genbank&amp;log$=prottop&amp;blast_rank=230&amp;RID=8XR20NMX013","WP_248385777.1")</f>
        <v>WP_248385777.1</v>
      </c>
    </row>
    <row r="142" spans="1:5">
      <c r="A142" s="4" t="s">
        <v>1021</v>
      </c>
      <c r="B142" s="9">
        <v>0.89</v>
      </c>
      <c r="C142" s="10">
        <v>2.9999999999999999E-22</v>
      </c>
      <c r="D142" s="5">
        <v>19.61</v>
      </c>
      <c r="E142" s="4" t="str">
        <f>HYPERLINK("https://www.ncbi.nlm.nih.gov/protein/WP_321861290.1?report=genbank&amp;log$=prottop&amp;blast_rank=159&amp;RID=8XR20NMX013","WP_321861290.1")</f>
        <v>WP_321861290.1</v>
      </c>
    </row>
    <row r="143" spans="1:5">
      <c r="A143" s="4" t="s">
        <v>1025</v>
      </c>
      <c r="B143" s="9">
        <v>0.87</v>
      </c>
      <c r="C143" s="10">
        <v>2.9999999999999999E-21</v>
      </c>
      <c r="D143" s="5">
        <v>19.61</v>
      </c>
      <c r="E143" s="4" t="str">
        <f>HYPERLINK("https://www.ncbi.nlm.nih.gov/protein/WP_265385718.1?report=genbank&amp;log$=prottop&amp;blast_rank=165&amp;RID=8XR20NMX013","WP_265385718.1")</f>
        <v>WP_265385718.1</v>
      </c>
    </row>
    <row r="144" spans="1:5">
      <c r="A144" s="4" t="s">
        <v>339</v>
      </c>
      <c r="B144" s="9">
        <v>0.83</v>
      </c>
      <c r="C144" s="10">
        <v>9.9999999999999992E-25</v>
      </c>
      <c r="D144" s="5">
        <v>19.579999999999998</v>
      </c>
      <c r="E144" s="4" t="str">
        <f>HYPERLINK("https://www.ncbi.nlm.nih.gov/protein/PNF71531.1?report=genbank&amp;log$=prottop&amp;blast_rank=142&amp;RID=8XR20NMX013","PNF71531.1")</f>
        <v>PNF71531.1</v>
      </c>
    </row>
    <row r="145" spans="1:5">
      <c r="A145" s="4" t="s">
        <v>1017</v>
      </c>
      <c r="B145" s="9">
        <v>0.81</v>
      </c>
      <c r="C145" s="10">
        <v>9.9999999999999996E-24</v>
      </c>
      <c r="D145" s="5">
        <v>19.440000000000001</v>
      </c>
      <c r="E145" s="4" t="str">
        <f>HYPERLINK("https://www.ncbi.nlm.nih.gov/protein/AZF27677.1?report=genbank&amp;log$=prottop&amp;blast_rank=151&amp;RID=8XR20NMX013","AZF27677.1")</f>
        <v>AZF27677.1</v>
      </c>
    </row>
    <row r="146" spans="1:5">
      <c r="A146" s="4" t="s">
        <v>1039</v>
      </c>
      <c r="B146" s="9">
        <v>0.97</v>
      </c>
      <c r="C146" s="10">
        <v>7.9999999999999998E-16</v>
      </c>
      <c r="D146" s="5">
        <v>19.3</v>
      </c>
      <c r="E146" s="4" t="str">
        <f>HYPERLINK("https://www.ncbi.nlm.nih.gov/protein/NHI00821.1?report=genbank&amp;log$=prottop&amp;blast_rank=194&amp;RID=8XR20NMX013","NHI00821.1")</f>
        <v>NHI00821.1</v>
      </c>
    </row>
    <row r="147" spans="1:5">
      <c r="A147" s="4" t="s">
        <v>1036</v>
      </c>
      <c r="B147" s="9">
        <v>0.87</v>
      </c>
      <c r="C147" s="10">
        <v>6.9999999999999997E-18</v>
      </c>
      <c r="D147" s="5">
        <v>19.23</v>
      </c>
      <c r="E147" s="4" t="str">
        <f>HYPERLINK("https://www.ncbi.nlm.nih.gov/protein/WP_278032707.1?report=genbank&amp;log$=prottop&amp;blast_rank=190&amp;RID=8XR20NMX013","WP_278032707.1")</f>
        <v>WP_278032707.1</v>
      </c>
    </row>
    <row r="148" spans="1:5">
      <c r="A148" s="4" t="s">
        <v>1051</v>
      </c>
      <c r="B148" s="9">
        <v>0.86</v>
      </c>
      <c r="C148" s="10">
        <v>7.9999999999999998E-12</v>
      </c>
      <c r="D148" s="5">
        <v>18.95</v>
      </c>
      <c r="E148" s="4" t="str">
        <f>HYPERLINK("https://www.ncbi.nlm.nih.gov/protein/MBL73164.1?report=genbank&amp;log$=prottop&amp;blast_rank=211&amp;RID=8XR20NMX013","MBL73164.1")</f>
        <v>MBL73164.1</v>
      </c>
    </row>
    <row r="149" spans="1:5">
      <c r="A149" s="4" t="s">
        <v>991</v>
      </c>
      <c r="B149" s="9">
        <v>0.89</v>
      </c>
      <c r="C149" s="10">
        <v>8.0000000000000004E-32</v>
      </c>
      <c r="D149" s="5">
        <v>18.920000000000002</v>
      </c>
      <c r="E149" s="4" t="str">
        <f>HYPERLINK("https://www.ncbi.nlm.nih.gov/protein/WP_141202170.1?report=genbank&amp;log$=prottop&amp;blast_rank=90&amp;RID=8XR20NMX013","WP_141202170.1")</f>
        <v>WP_141202170.1</v>
      </c>
    </row>
    <row r="150" spans="1:5">
      <c r="A150" s="4" t="s">
        <v>240</v>
      </c>
      <c r="B150" s="9">
        <v>0.87</v>
      </c>
      <c r="C150" s="10">
        <v>2.9999999999999999E-22</v>
      </c>
      <c r="D150" s="5">
        <v>18.75</v>
      </c>
      <c r="E150" s="4" t="str">
        <f>HYPERLINK("https://www.ncbi.nlm.nih.gov/protein/EKO4001788.1?report=genbank&amp;log$=prottop&amp;blast_rank=160&amp;RID=8XR20NMX013","EKO4001788.1")</f>
        <v>EKO4001788.1</v>
      </c>
    </row>
    <row r="151" spans="1:5">
      <c r="A151" s="4" t="s">
        <v>1006</v>
      </c>
      <c r="B151" s="9">
        <v>0.84</v>
      </c>
      <c r="C151" s="10">
        <v>1E-27</v>
      </c>
      <c r="D151" s="5">
        <v>18.71</v>
      </c>
      <c r="E151" s="4" t="str">
        <f>HYPERLINK("https://www.ncbi.nlm.nih.gov/protein/WP_087082917.1?report=genbank&amp;log$=prottop&amp;blast_rank=124&amp;RID=8XR20NMX013","WP_087082917.1")</f>
        <v>WP_087082917.1</v>
      </c>
    </row>
    <row r="152" spans="1:5">
      <c r="A152" s="4" t="s">
        <v>976</v>
      </c>
      <c r="B152" s="9">
        <v>0.87</v>
      </c>
      <c r="C152" s="10">
        <v>9.9999999999999991E-22</v>
      </c>
      <c r="D152" s="5">
        <v>18.489999999999998</v>
      </c>
      <c r="E152" s="4" t="str">
        <f>HYPERLINK("https://www.ncbi.nlm.nih.gov/protein/WP_321239328.1?report=genbank&amp;log$=prottop&amp;blast_rank=162&amp;RID=8XR20NMX013","WP_321239328.1")</f>
        <v>WP_321239328.1</v>
      </c>
    </row>
    <row r="153" spans="1:5">
      <c r="A153" s="4" t="s">
        <v>1049</v>
      </c>
      <c r="B153" s="9">
        <v>0.88</v>
      </c>
      <c r="C153" s="10">
        <v>6.0000000000000003E-12</v>
      </c>
      <c r="D153" s="5">
        <v>18.420000000000002</v>
      </c>
      <c r="E153" s="4" t="str">
        <f>HYPERLINK("https://www.ncbi.nlm.nih.gov/protein/WP_239854519.1?report=genbank&amp;log$=prottop&amp;blast_rank=209&amp;RID=8XR20NMX013","WP_239854519.1")</f>
        <v>WP_239854519.1</v>
      </c>
    </row>
    <row r="154" spans="1:5">
      <c r="A154" s="4" t="s">
        <v>829</v>
      </c>
      <c r="B154" s="9">
        <v>0.83</v>
      </c>
      <c r="C154" s="10">
        <v>9.9999999999999992E-25</v>
      </c>
      <c r="D154" s="5">
        <v>18.18</v>
      </c>
      <c r="E154" s="4" t="str">
        <f>HYPERLINK("https://www.ncbi.nlm.nih.gov/protein/WP_313105028.1?report=genbank&amp;log$=prottop&amp;blast_rank=140&amp;RID=8XR20NMX013","WP_313105028.1")</f>
        <v>WP_313105028.1</v>
      </c>
    </row>
    <row r="155" spans="1:5">
      <c r="A155" s="4" t="s">
        <v>1065</v>
      </c>
      <c r="B155" s="9">
        <v>0.83</v>
      </c>
      <c r="C155" s="5">
        <v>2E-3</v>
      </c>
      <c r="D155" s="5">
        <v>18.12</v>
      </c>
      <c r="E155" s="4" t="str">
        <f>HYPERLINK("https://www.ncbi.nlm.nih.gov/protein/WP_216956262.1?report=genbank&amp;log$=prottop&amp;blast_rank=242&amp;RID=8XR20NMX013","WP_216956262.1")</f>
        <v>WP_216956262.1</v>
      </c>
    </row>
    <row r="156" spans="1:5">
      <c r="A156" s="4" t="s">
        <v>1039</v>
      </c>
      <c r="B156" s="9">
        <v>0.81</v>
      </c>
      <c r="C156" s="10">
        <v>8.0000000000000006E-15</v>
      </c>
      <c r="D156" s="5">
        <v>18.059999999999999</v>
      </c>
      <c r="E156" s="4" t="str">
        <f>HYPERLINK("https://www.ncbi.nlm.nih.gov/protein/WP_165661829.1?report=genbank&amp;log$=prottop&amp;blast_rank=196&amp;RID=8XR20NMX013","WP_165661829.1")</f>
        <v>WP_165661829.1</v>
      </c>
    </row>
    <row r="157" spans="1:5">
      <c r="A157" s="4" t="s">
        <v>997</v>
      </c>
      <c r="B157" s="9">
        <v>0.84</v>
      </c>
      <c r="C157" s="10">
        <v>1.0000000000000001E-30</v>
      </c>
      <c r="D157" s="5">
        <v>17.86</v>
      </c>
      <c r="E157" s="4" t="str">
        <f>HYPERLINK("https://www.ncbi.nlm.nih.gov/protein/WP_268854319.1?report=genbank&amp;log$=prottop&amp;blast_rank=100&amp;RID=8XR20NMX013","WP_268854319.1")</f>
        <v>WP_268854319.1</v>
      </c>
    </row>
    <row r="158" spans="1:5">
      <c r="A158" s="4" t="s">
        <v>15</v>
      </c>
      <c r="B158" s="9">
        <v>0.87</v>
      </c>
      <c r="C158" s="10">
        <v>4.9999999999999997E-30</v>
      </c>
      <c r="D158" s="5">
        <v>17.809999999999999</v>
      </c>
      <c r="E158" s="4" t="str">
        <f>HYPERLINK("https://www.ncbi.nlm.nih.gov/protein/EJE8522646.1?report=genbank&amp;log$=prottop&amp;blast_rank=103&amp;RID=8XR20NMX013","EJE8522646.1")</f>
        <v>EJE8522646.1</v>
      </c>
    </row>
    <row r="159" spans="1:5">
      <c r="A159" s="4" t="s">
        <v>829</v>
      </c>
      <c r="B159" s="9">
        <v>0.83</v>
      </c>
      <c r="C159" s="10">
        <v>8.9999999999999995E-23</v>
      </c>
      <c r="D159" s="5">
        <v>17.809999999999999</v>
      </c>
      <c r="E159" s="4" t="str">
        <f>HYPERLINK("https://www.ncbi.nlm.nih.gov/protein/WP_313128166.1?report=genbank&amp;log$=prottop&amp;blast_rank=157&amp;RID=8XR20NMX013","WP_313128166.1")</f>
        <v>WP_313128166.1</v>
      </c>
    </row>
    <row r="160" spans="1:5">
      <c r="A160" s="4" t="s">
        <v>1020</v>
      </c>
      <c r="B160" s="9">
        <v>0.89</v>
      </c>
      <c r="C160" s="10">
        <v>2.0000000000000001E-22</v>
      </c>
      <c r="D160" s="5">
        <v>17.760000000000002</v>
      </c>
      <c r="E160" s="4" t="str">
        <f>HYPERLINK("https://www.ncbi.nlm.nih.gov/protein/WP_152687661.1?report=genbank&amp;log$=prottop&amp;blast_rank=158&amp;RID=8XR20NMX013","WP_152687661.1")</f>
        <v>WP_152687661.1</v>
      </c>
    </row>
    <row r="161" spans="1:5">
      <c r="A161" s="4" t="s">
        <v>15</v>
      </c>
      <c r="B161" s="9">
        <v>0.87</v>
      </c>
      <c r="C161" s="10">
        <v>9.0000000000000008E-31</v>
      </c>
      <c r="D161" s="5">
        <v>17.690000000000001</v>
      </c>
      <c r="E161" s="4" t="str">
        <f>HYPERLINK("https://www.ncbi.nlm.nih.gov/protein/TOQ84425.1?report=genbank&amp;log$=prottop&amp;blast_rank=98&amp;RID=8XR20NMX013","TOQ84425.1")</f>
        <v>TOQ84425.1</v>
      </c>
    </row>
    <row r="162" spans="1:5">
      <c r="A162" s="4" t="s">
        <v>400</v>
      </c>
      <c r="B162" s="9">
        <v>0.87</v>
      </c>
      <c r="C162" s="10">
        <v>9.9999999999999998E-17</v>
      </c>
      <c r="D162" s="5">
        <v>17.649999999999999</v>
      </c>
      <c r="E162" s="4" t="str">
        <f>HYPERLINK("https://www.ncbi.nlm.nih.gov/protein/WP_323566202.1?report=genbank&amp;log$=prottop&amp;blast_rank=193&amp;RID=8XR20NMX013","WP_323566202.1")</f>
        <v>WP_323566202.1</v>
      </c>
    </row>
    <row r="163" spans="1:5">
      <c r="A163" s="4" t="s">
        <v>999</v>
      </c>
      <c r="B163" s="9">
        <v>0.87</v>
      </c>
      <c r="C163" s="10">
        <v>3.9999999999999998E-29</v>
      </c>
      <c r="D163" s="5">
        <v>17.53</v>
      </c>
      <c r="E163" s="4" t="str">
        <f>HYPERLINK("https://www.ncbi.nlm.nih.gov/protein/KTB54968.1?report=genbank&amp;log$=prottop&amp;blast_rank=109&amp;RID=8XR20NMX013","KTB54968.1")</f>
        <v>KTB54968.1</v>
      </c>
    </row>
    <row r="164" spans="1:5">
      <c r="A164" s="4" t="s">
        <v>279</v>
      </c>
      <c r="B164" s="9">
        <v>0.87</v>
      </c>
      <c r="C164" s="10">
        <v>4.9999999999999999E-29</v>
      </c>
      <c r="D164" s="5">
        <v>17.53</v>
      </c>
      <c r="E164" s="4" t="str">
        <f>HYPERLINK("https://www.ncbi.nlm.nih.gov/protein/WP_223113391.1?report=genbank&amp;log$=prottop&amp;blast_rank=110&amp;RID=8XR20NMX013","WP_223113391.1")</f>
        <v>WP_223113391.1</v>
      </c>
    </row>
    <row r="165" spans="1:5">
      <c r="A165" s="4" t="s">
        <v>829</v>
      </c>
      <c r="B165" s="9">
        <v>0.83</v>
      </c>
      <c r="C165" s="10">
        <v>9.9999999999999996E-24</v>
      </c>
      <c r="D165" s="5">
        <v>17.48</v>
      </c>
      <c r="E165" s="4" t="str">
        <f>HYPERLINK("https://www.ncbi.nlm.nih.gov/protein/WP_312374286.1?report=genbank&amp;log$=prottop&amp;blast_rank=150&amp;RID=8XR20NMX013","WP_312374286.1")</f>
        <v>WP_312374286.1</v>
      </c>
    </row>
    <row r="166" spans="1:5">
      <c r="A166" s="4" t="s">
        <v>994</v>
      </c>
      <c r="B166" s="9">
        <v>0.89</v>
      </c>
      <c r="C166" s="10">
        <v>2.9999999999999998E-31</v>
      </c>
      <c r="D166" s="5">
        <v>17.45</v>
      </c>
      <c r="E166" s="4" t="str">
        <f>HYPERLINK("https://www.ncbi.nlm.nih.gov/protein/MBM7422437.1?report=genbank&amp;log$=prottop&amp;blast_rank=94&amp;RID=8XR20NMX013","MBM7422437.1")</f>
        <v>MBM7422437.1</v>
      </c>
    </row>
    <row r="167" spans="1:5">
      <c r="A167" s="4" t="s">
        <v>1018</v>
      </c>
      <c r="B167" s="9">
        <v>0.81</v>
      </c>
      <c r="C167" s="10">
        <v>1.9999999999999999E-23</v>
      </c>
      <c r="D167" s="5">
        <v>17.36</v>
      </c>
      <c r="E167" s="4" t="str">
        <f>HYPERLINK("https://www.ncbi.nlm.nih.gov/protein/WP_210015026.1?report=genbank&amp;log$=prottop&amp;blast_rank=153&amp;RID=8XR20NMX013","WP_210015026.1")</f>
        <v>WP_210015026.1</v>
      </c>
    </row>
    <row r="168" spans="1:5">
      <c r="A168" s="4" t="s">
        <v>18</v>
      </c>
      <c r="B168" s="9">
        <v>0.87</v>
      </c>
      <c r="C168" s="10">
        <v>9.9999999999999995E-21</v>
      </c>
      <c r="D168" s="5">
        <v>17.36</v>
      </c>
      <c r="E168" s="4" t="str">
        <f>HYPERLINK("https://www.ncbi.nlm.nih.gov/protein/POC04366.1?report=genbank&amp;log$=prottop&amp;blast_rank=171&amp;RID=8XR20NMX013","POC04366.1")</f>
        <v>POC04366.1</v>
      </c>
    </row>
    <row r="169" spans="1:5">
      <c r="A169" s="4" t="s">
        <v>15</v>
      </c>
      <c r="B169" s="9">
        <v>0.87</v>
      </c>
      <c r="C169" s="10">
        <v>4.0000000000000003E-30</v>
      </c>
      <c r="D169" s="5">
        <v>17.12</v>
      </c>
      <c r="E169" s="4" t="str">
        <f>HYPERLINK("https://www.ncbi.nlm.nih.gov/protein/WP_029811088.1?report=genbank&amp;log$=prottop&amp;blast_rank=102&amp;RID=8XR20NMX013","WP_029811088.1")</f>
        <v>WP_029811088.1</v>
      </c>
    </row>
    <row r="170" spans="1:5">
      <c r="A170" s="4" t="s">
        <v>15</v>
      </c>
      <c r="B170" s="9">
        <v>0.87</v>
      </c>
      <c r="C170" s="10">
        <v>5.9999999999999998E-30</v>
      </c>
      <c r="D170" s="5">
        <v>17.12</v>
      </c>
      <c r="E170" s="4" t="str">
        <f>HYPERLINK("https://www.ncbi.nlm.nih.gov/protein/WP_140316607.1?report=genbank&amp;log$=prottop&amp;blast_rank=105&amp;RID=8XR20NMX013","WP_140316607.1")</f>
        <v>WP_140316607.1</v>
      </c>
    </row>
    <row r="171" spans="1:5">
      <c r="A171" s="4" t="s">
        <v>15</v>
      </c>
      <c r="B171" s="9">
        <v>0.87</v>
      </c>
      <c r="C171" s="10">
        <v>5.9999999999999998E-30</v>
      </c>
      <c r="D171" s="5">
        <v>17.12</v>
      </c>
      <c r="E171" s="4" t="str">
        <f>HYPERLINK("https://www.ncbi.nlm.nih.gov/protein/WP_078511383.1?report=genbank&amp;log$=prottop&amp;blast_rank=106&amp;RID=8XR20NMX013","WP_078511383.1")</f>
        <v>WP_078511383.1</v>
      </c>
    </row>
    <row r="172" spans="1:5">
      <c r="A172" s="4" t="s">
        <v>15</v>
      </c>
      <c r="B172" s="9">
        <v>0.87</v>
      </c>
      <c r="C172" s="10">
        <v>2.0000000000000001E-33</v>
      </c>
      <c r="D172" s="5">
        <v>17.010000000000002</v>
      </c>
      <c r="E172" s="4" t="str">
        <f>HYPERLINK("https://www.ncbi.nlm.nih.gov/protein/OOX68468.1?report=genbank&amp;log$=prottop&amp;blast_rank=75&amp;RID=8XR20NMX013","OOX68468.1")</f>
        <v>OOX68468.1</v>
      </c>
    </row>
    <row r="173" spans="1:5">
      <c r="A173" s="4" t="s">
        <v>1014</v>
      </c>
      <c r="B173" s="9">
        <v>0.83</v>
      </c>
      <c r="C173" s="10">
        <v>1.9999999999999998E-24</v>
      </c>
      <c r="D173" s="5">
        <v>17.010000000000002</v>
      </c>
      <c r="E173" s="4" t="str">
        <f>HYPERLINK("https://www.ncbi.nlm.nih.gov/protein/WP_282489676.1?report=genbank&amp;log$=prottop&amp;blast_rank=143&amp;RID=8XR20NMX013","WP_282489676.1")</f>
        <v>WP_282489676.1</v>
      </c>
    </row>
    <row r="174" spans="1:5">
      <c r="A174" s="4" t="s">
        <v>1023</v>
      </c>
      <c r="B174" s="9">
        <v>0.89</v>
      </c>
      <c r="C174" s="10">
        <v>9.9999999999999991E-22</v>
      </c>
      <c r="D174" s="5">
        <v>17.010000000000002</v>
      </c>
      <c r="E174" s="4" t="str">
        <f>HYPERLINK("https://www.ncbi.nlm.nih.gov/protein/OUR67035.1?report=genbank&amp;log$=prottop&amp;blast_rank=163&amp;RID=8XR20NMX013","OUR67035.1")</f>
        <v>OUR67035.1</v>
      </c>
    </row>
    <row r="175" spans="1:5">
      <c r="A175" s="4" t="s">
        <v>1000</v>
      </c>
      <c r="B175" s="9">
        <v>0.86</v>
      </c>
      <c r="C175" s="10">
        <v>4.9999999999999999E-29</v>
      </c>
      <c r="D175" s="5">
        <v>16.899999999999999</v>
      </c>
      <c r="E175" s="4" t="str">
        <f>HYPERLINK("https://www.ncbi.nlm.nih.gov/protein/WP_220767227.1?report=genbank&amp;log$=prottop&amp;blast_rank=112&amp;RID=8XR20NMX013","WP_220767227.1")</f>
        <v>WP_220767227.1</v>
      </c>
    </row>
    <row r="176" spans="1:5">
      <c r="A176" s="4" t="s">
        <v>1035</v>
      </c>
      <c r="B176" s="9">
        <v>0.88</v>
      </c>
      <c r="C176" s="10">
        <v>2.9999999999999998E-18</v>
      </c>
      <c r="D176" s="5">
        <v>16.89</v>
      </c>
      <c r="E176" s="4" t="str">
        <f>HYPERLINK("https://www.ncbi.nlm.nih.gov/protein/WP_237468161.1?report=genbank&amp;log$=prottop&amp;blast_rank=189&amp;RID=8XR20NMX013","WP_237468161.1")</f>
        <v>WP_237468161.1</v>
      </c>
    </row>
    <row r="177" spans="1:5">
      <c r="A177" s="4" t="s">
        <v>1059</v>
      </c>
      <c r="B177" s="9">
        <v>0.84</v>
      </c>
      <c r="C177" s="10">
        <v>2.0000000000000001E-9</v>
      </c>
      <c r="D177" s="5">
        <v>16.89</v>
      </c>
      <c r="E177" s="4" t="str">
        <f>HYPERLINK("https://www.ncbi.nlm.nih.gov/protein/WP_169968565.1?report=genbank&amp;log$=prottop&amp;blast_rank=233&amp;RID=8XR20NMX013","WP_169968565.1")</f>
        <v>WP_169968565.1</v>
      </c>
    </row>
    <row r="178" spans="1:5">
      <c r="A178" s="4" t="s">
        <v>240</v>
      </c>
      <c r="B178" s="9">
        <v>0.87</v>
      </c>
      <c r="C178" s="10">
        <v>3.9999999999999996E-21</v>
      </c>
      <c r="D178" s="5">
        <v>16.670000000000002</v>
      </c>
      <c r="E178" s="4" t="str">
        <f>HYPERLINK("https://www.ncbi.nlm.nih.gov/protein/WP_222740028.1?report=genbank&amp;log$=prottop&amp;blast_rank=166&amp;RID=8XR20NMX013","WP_222740028.1")</f>
        <v>WP_222740028.1</v>
      </c>
    </row>
    <row r="179" spans="1:5">
      <c r="A179" s="4" t="s">
        <v>322</v>
      </c>
      <c r="B179" s="9">
        <v>0.81</v>
      </c>
      <c r="C179" s="10">
        <v>3.0000000000000003E-20</v>
      </c>
      <c r="D179" s="5">
        <v>16.670000000000002</v>
      </c>
      <c r="E179" s="4" t="str">
        <f>HYPERLINK("https://www.ncbi.nlm.nih.gov/protein/MEE4668274.1?report=genbank&amp;log$=prottop&amp;blast_rank=178&amp;RID=8XR20NMX013","MEE4668274.1")</f>
        <v>MEE4668274.1</v>
      </c>
    </row>
    <row r="180" spans="1:5">
      <c r="A180" s="4" t="s">
        <v>1048</v>
      </c>
      <c r="B180" s="9">
        <v>0.83</v>
      </c>
      <c r="C180" s="10">
        <v>4.9999999999999997E-12</v>
      </c>
      <c r="D180" s="5">
        <v>16.670000000000002</v>
      </c>
      <c r="E180" s="4" t="str">
        <f>HYPERLINK("https://www.ncbi.nlm.nih.gov/protein/RYE71945.1?report=genbank&amp;log$=prottop&amp;blast_rank=208&amp;RID=8XR20NMX013","RYE71945.1")</f>
        <v>RYE71945.1</v>
      </c>
    </row>
    <row r="181" spans="1:5">
      <c r="A181" s="4" t="s">
        <v>364</v>
      </c>
      <c r="B181" s="9">
        <v>0.81</v>
      </c>
      <c r="C181" s="10">
        <v>9.9999999999999994E-12</v>
      </c>
      <c r="D181" s="5">
        <v>16.55</v>
      </c>
      <c r="E181" s="4" t="str">
        <f>HYPERLINK("https://www.ncbi.nlm.nih.gov/protein/WP_003207653.1?report=genbank&amp;log$=prottop&amp;blast_rank=212&amp;RID=8XR20NMX013","WP_003207653.1")</f>
        <v>WP_003207653.1</v>
      </c>
    </row>
    <row r="182" spans="1:5">
      <c r="A182" s="4" t="s">
        <v>15</v>
      </c>
      <c r="B182" s="9">
        <v>0.87</v>
      </c>
      <c r="C182" s="10">
        <v>4.9999999999999997E-30</v>
      </c>
      <c r="D182" s="5">
        <v>16.440000000000001</v>
      </c>
      <c r="E182" s="4" t="str">
        <f>HYPERLINK("https://www.ncbi.nlm.nih.gov/protein/MBE4089806.1?report=genbank&amp;log$=prottop&amp;blast_rank=104&amp;RID=8XR20NMX013","MBE4089806.1")</f>
        <v>MBE4089806.1</v>
      </c>
    </row>
    <row r="183" spans="1:5">
      <c r="A183" s="4" t="s">
        <v>15</v>
      </c>
      <c r="B183" s="9">
        <v>0.87</v>
      </c>
      <c r="C183" s="10">
        <v>8.9999999999999996E-29</v>
      </c>
      <c r="D183" s="5">
        <v>16.440000000000001</v>
      </c>
      <c r="E183" s="4" t="str">
        <f>HYPERLINK("https://www.ncbi.nlm.nih.gov/protein/HCG7990657.1?report=genbank&amp;log$=prottop&amp;blast_rank=116&amp;RID=8XR20NMX013","HCG7990657.1")</f>
        <v>HCG7990657.1</v>
      </c>
    </row>
    <row r="184" spans="1:5">
      <c r="A184" s="4" t="s">
        <v>1044</v>
      </c>
      <c r="B184" s="9">
        <v>0.81</v>
      </c>
      <c r="C184" s="10">
        <v>2E-12</v>
      </c>
      <c r="D184" s="5">
        <v>16.43</v>
      </c>
      <c r="E184" s="4" t="str">
        <f>HYPERLINK("https://www.ncbi.nlm.nih.gov/protein/WP_134326473.1?report=genbank&amp;log$=prottop&amp;blast_rank=204&amp;RID=8XR20NMX013","WP_134326473.1")</f>
        <v>WP_134326473.1</v>
      </c>
    </row>
    <row r="185" spans="1:5">
      <c r="A185" s="4" t="s">
        <v>1032</v>
      </c>
      <c r="B185" s="9">
        <v>0.87</v>
      </c>
      <c r="C185" s="10">
        <v>2E-19</v>
      </c>
      <c r="D185" s="5">
        <v>16.350000000000001</v>
      </c>
      <c r="E185" s="4" t="str">
        <f>HYPERLINK("https://www.ncbi.nlm.nih.gov/protein/WP_271105863.1?report=genbank&amp;log$=prottop&amp;blast_rank=182&amp;RID=8XR20NMX013","WP_271105863.1")</f>
        <v>WP_271105863.1</v>
      </c>
    </row>
    <row r="186" spans="1:5">
      <c r="A186" s="4" t="s">
        <v>15</v>
      </c>
      <c r="B186" s="9">
        <v>0.87</v>
      </c>
      <c r="C186" s="10">
        <v>1.0000000000000001E-32</v>
      </c>
      <c r="D186" s="5">
        <v>16.329999999999998</v>
      </c>
      <c r="E186" s="4" t="str">
        <f>HYPERLINK("https://www.ncbi.nlm.nih.gov/protein/TOM31844.1?report=genbank&amp;log$=prottop&amp;blast_rank=81&amp;RID=8XR20NMX013","TOM31844.1")</f>
        <v>TOM31844.1</v>
      </c>
    </row>
    <row r="187" spans="1:5">
      <c r="A187" s="4" t="s">
        <v>1012</v>
      </c>
      <c r="B187" s="9">
        <v>0.83</v>
      </c>
      <c r="C187" s="10">
        <v>6.0000000000000002E-26</v>
      </c>
      <c r="D187" s="5">
        <v>16.329999999999998</v>
      </c>
      <c r="E187" s="4" t="str">
        <f>HYPERLINK("https://www.ncbi.nlm.nih.gov/protein/WP_234561100.1?report=genbank&amp;log$=prottop&amp;blast_rank=132&amp;RID=8XR20NMX013","WP_234561100.1")</f>
        <v>WP_234561100.1</v>
      </c>
    </row>
    <row r="188" spans="1:5">
      <c r="A188" s="4" t="s">
        <v>1029</v>
      </c>
      <c r="B188" s="9">
        <v>0.87</v>
      </c>
      <c r="C188" s="10">
        <v>1.9999999999999999E-20</v>
      </c>
      <c r="D188" s="5">
        <v>16.23</v>
      </c>
      <c r="E188" s="4" t="str">
        <f>HYPERLINK("https://www.ncbi.nlm.nih.gov/protein/WP_253139640.1?report=genbank&amp;log$=prottop&amp;blast_rank=175&amp;RID=8XR20NMX013","WP_253139640.1")</f>
        <v>WP_253139640.1</v>
      </c>
    </row>
    <row r="189" spans="1:5">
      <c r="A189" s="4" t="s">
        <v>1058</v>
      </c>
      <c r="B189" s="9">
        <v>0.83</v>
      </c>
      <c r="C189" s="10">
        <v>1.0000000000000001E-9</v>
      </c>
      <c r="D189" s="5">
        <v>16.22</v>
      </c>
      <c r="E189" s="4" t="str">
        <f>HYPERLINK("https://www.ncbi.nlm.nih.gov/protein/WP_151808150.1?report=genbank&amp;log$=prottop&amp;blast_rank=231&amp;RID=8XR20NMX013","WP_151808150.1")</f>
        <v>WP_151808150.1</v>
      </c>
    </row>
    <row r="190" spans="1:5">
      <c r="A190" s="4" t="s">
        <v>1058</v>
      </c>
      <c r="B190" s="9">
        <v>0.83</v>
      </c>
      <c r="C190" s="10">
        <v>1.0000000000000001E-9</v>
      </c>
      <c r="D190" s="5">
        <v>16.22</v>
      </c>
      <c r="E190" s="4" t="str">
        <f>HYPERLINK("https://www.ncbi.nlm.nih.gov/protein/WP_049174017.1?report=genbank&amp;log$=prottop&amp;blast_rank=232&amp;RID=8XR20NMX013","WP_049174017.1")</f>
        <v>WP_049174017.1</v>
      </c>
    </row>
    <row r="191" spans="1:5">
      <c r="A191" s="4" t="s">
        <v>1040</v>
      </c>
      <c r="B191" s="9">
        <v>0.81</v>
      </c>
      <c r="C191" s="10">
        <v>1.0000000000000001E-15</v>
      </c>
      <c r="D191" s="5">
        <v>16.079999999999998</v>
      </c>
      <c r="E191" s="4" t="str">
        <f>HYPERLINK("https://www.ncbi.nlm.nih.gov/protein/WP_263939426.1?report=genbank&amp;log$=prottop&amp;blast_rank=195&amp;RID=8XR20NMX013","WP_263939426.1")</f>
        <v>WP_263939426.1</v>
      </c>
    </row>
    <row r="192" spans="1:5">
      <c r="A192" s="4" t="s">
        <v>1028</v>
      </c>
      <c r="B192" s="9">
        <v>0.81</v>
      </c>
      <c r="C192" s="10">
        <v>9.9999999999999995E-21</v>
      </c>
      <c r="D192" s="5">
        <v>15.97</v>
      </c>
      <c r="E192" s="4" t="str">
        <f>HYPERLINK("https://www.ncbi.nlm.nih.gov/protein/MBP1085401.1?report=genbank&amp;log$=prottop&amp;blast_rank=170&amp;RID=8XR20NMX013","MBP1085401.1")</f>
        <v>MBP1085401.1</v>
      </c>
    </row>
    <row r="193" spans="1:5">
      <c r="A193" s="4" t="s">
        <v>1031</v>
      </c>
      <c r="B193" s="9">
        <v>0.81</v>
      </c>
      <c r="C193" s="10">
        <v>7.0000000000000001E-20</v>
      </c>
      <c r="D193" s="5">
        <v>15.97</v>
      </c>
      <c r="E193" s="4" t="str">
        <f>HYPERLINK("https://www.ncbi.nlm.nih.gov/protein/WP_005743792.1?report=genbank&amp;log$=prottop&amp;blast_rank=181&amp;RID=8XR20NMX013","WP_005743792.1")</f>
        <v>WP_005743792.1</v>
      </c>
    </row>
    <row r="194" spans="1:5">
      <c r="A194" s="4" t="s">
        <v>279</v>
      </c>
      <c r="B194" s="9">
        <v>0.81</v>
      </c>
      <c r="C194" s="10">
        <v>5.0000000000000004E-19</v>
      </c>
      <c r="D194" s="5">
        <v>15.97</v>
      </c>
      <c r="E194" s="4" t="str">
        <f>HYPERLINK("https://www.ncbi.nlm.nih.gov/protein/WP_103693284.1?report=genbank&amp;log$=prottop&amp;blast_rank=185&amp;RID=8XR20NMX013","WP_103693284.1")</f>
        <v>WP_103693284.1</v>
      </c>
    </row>
    <row r="195" spans="1:5">
      <c r="A195" s="4" t="s">
        <v>1064</v>
      </c>
      <c r="B195" s="9">
        <v>0.89</v>
      </c>
      <c r="C195" s="10">
        <v>5.0000000000000002E-5</v>
      </c>
      <c r="D195" s="5">
        <v>15.92</v>
      </c>
      <c r="E195" s="4" t="str">
        <f>HYPERLINK("https://www.ncbi.nlm.nih.gov/protein/WP_192225039.1?report=genbank&amp;log$=prottop&amp;blast_rank=240&amp;RID=8XR20NMX013","WP_192225039.1")</f>
        <v>WP_192225039.1</v>
      </c>
    </row>
    <row r="196" spans="1:5">
      <c r="A196" s="4" t="s">
        <v>1060</v>
      </c>
      <c r="B196" s="9">
        <v>0.87</v>
      </c>
      <c r="C196" s="10">
        <v>6E-9</v>
      </c>
      <c r="D196" s="5">
        <v>15.89</v>
      </c>
      <c r="E196" s="4" t="str">
        <f>HYPERLINK("https://www.ncbi.nlm.nih.gov/protein/KZX71455.1?report=genbank&amp;log$=prottop&amp;blast_rank=234&amp;RID=8XR20NMX013","KZX71455.1")</f>
        <v>KZX71455.1</v>
      </c>
    </row>
    <row r="197" spans="1:5">
      <c r="A197" s="4" t="s">
        <v>1026</v>
      </c>
      <c r="B197" s="9">
        <v>0.84</v>
      </c>
      <c r="C197" s="10">
        <v>4.9999999999999997E-21</v>
      </c>
      <c r="D197" s="5">
        <v>15.83</v>
      </c>
      <c r="E197" s="4" t="str">
        <f>HYPERLINK("https://www.ncbi.nlm.nih.gov/protein/WP_284300513.1?report=genbank&amp;log$=prottop&amp;blast_rank=167&amp;RID=8XR20NMX013","WP_284300513.1")</f>
        <v>WP_284300513.1</v>
      </c>
    </row>
    <row r="198" spans="1:5">
      <c r="A198" s="4" t="s">
        <v>15</v>
      </c>
      <c r="B198" s="9">
        <v>0.87</v>
      </c>
      <c r="C198" s="10">
        <v>4.9999999999999999E-29</v>
      </c>
      <c r="D198" s="5">
        <v>15.75</v>
      </c>
      <c r="E198" s="4" t="str">
        <f>HYPERLINK("https://www.ncbi.nlm.nih.gov/protein/EGQ7855921.1?report=genbank&amp;log$=prottop&amp;blast_rank=111&amp;RID=8XR20NMX013","EGQ7855921.1")</f>
        <v>EGQ7855921.1</v>
      </c>
    </row>
    <row r="199" spans="1:5">
      <c r="A199" s="4" t="s">
        <v>238</v>
      </c>
      <c r="B199" s="9">
        <v>0.87</v>
      </c>
      <c r="C199" s="10">
        <v>6.0000000000000005E-29</v>
      </c>
      <c r="D199" s="5">
        <v>15.75</v>
      </c>
      <c r="E199" s="4" t="str">
        <f>HYPERLINK("https://www.ncbi.nlm.nih.gov/protein/WP_256896154.1?report=genbank&amp;log$=prottop&amp;blast_rank=113&amp;RID=8XR20NMX013","WP_256896154.1")</f>
        <v>WP_256896154.1</v>
      </c>
    </row>
    <row r="200" spans="1:5">
      <c r="A200" s="4" t="s">
        <v>15</v>
      </c>
      <c r="B200" s="9">
        <v>0.87</v>
      </c>
      <c r="C200" s="10">
        <v>6.9999999999999995E-29</v>
      </c>
      <c r="D200" s="5">
        <v>15.75</v>
      </c>
      <c r="E200" s="4" t="str">
        <f>HYPERLINK("https://www.ncbi.nlm.nih.gov/protein/WP_182020486.1?report=genbank&amp;log$=prottop&amp;blast_rank=115&amp;RID=8XR20NMX013","WP_182020486.1")</f>
        <v>WP_182020486.1</v>
      </c>
    </row>
    <row r="201" spans="1:5">
      <c r="A201" s="4" t="s">
        <v>1002</v>
      </c>
      <c r="B201" s="9">
        <v>0.87</v>
      </c>
      <c r="C201" s="10">
        <v>9.9999999999999997E-29</v>
      </c>
      <c r="D201" s="5">
        <v>15.75</v>
      </c>
      <c r="E201" s="4" t="str">
        <f>HYPERLINK("https://www.ncbi.nlm.nih.gov/protein/WP_237288149.1?report=genbank&amp;log$=prottop&amp;blast_rank=117&amp;RID=8XR20NMX013","WP_237288149.1")</f>
        <v>WP_237288149.1</v>
      </c>
    </row>
    <row r="202" spans="1:5">
      <c r="A202" s="4" t="s">
        <v>1007</v>
      </c>
      <c r="B202" s="9">
        <v>0.85</v>
      </c>
      <c r="C202" s="10">
        <v>1E-27</v>
      </c>
      <c r="D202" s="5">
        <v>15.75</v>
      </c>
      <c r="E202" s="4" t="str">
        <f>HYPERLINK("https://www.ncbi.nlm.nih.gov/protein/WP_125837198.1?report=genbank&amp;log$=prottop&amp;blast_rank=125&amp;RID=8XR20NMX013","WP_125837198.1")</f>
        <v>WP_125837198.1</v>
      </c>
    </row>
    <row r="203" spans="1:5">
      <c r="A203" s="4" t="s">
        <v>15</v>
      </c>
      <c r="B203" s="9">
        <v>0.87</v>
      </c>
      <c r="C203" s="10">
        <v>3.0000000000000001E-27</v>
      </c>
      <c r="D203" s="5">
        <v>15.75</v>
      </c>
      <c r="E203" s="4" t="str">
        <f>HYPERLINK("https://www.ncbi.nlm.nih.gov/protein/HBH7880235.1?report=genbank&amp;log$=prottop&amp;blast_rank=126&amp;RID=8XR20NMX013","HBH7880235.1")</f>
        <v>HBH7880235.1</v>
      </c>
    </row>
    <row r="204" spans="1:5">
      <c r="A204" s="4" t="s">
        <v>339</v>
      </c>
      <c r="B204" s="9">
        <v>0.85</v>
      </c>
      <c r="C204" s="10">
        <v>4.9999999999999998E-24</v>
      </c>
      <c r="D204" s="5">
        <v>15.75</v>
      </c>
      <c r="E204" s="4" t="str">
        <f>HYPERLINK("https://www.ncbi.nlm.nih.gov/protein/WP_279647561.1?report=genbank&amp;log$=prottop&amp;blast_rank=145&amp;RID=8XR20NMX013","WP_279647561.1")</f>
        <v>WP_279647561.1</v>
      </c>
    </row>
    <row r="205" spans="1:5">
      <c r="A205" s="4" t="s">
        <v>1016</v>
      </c>
      <c r="B205" s="9">
        <v>0.85</v>
      </c>
      <c r="C205" s="10">
        <v>6.9999999999999993E-24</v>
      </c>
      <c r="D205" s="5">
        <v>15.75</v>
      </c>
      <c r="E205" s="4" t="str">
        <f>HYPERLINK("https://www.ncbi.nlm.nih.gov/protein/WP_200628846.1?report=genbank&amp;log$=prottop&amp;blast_rank=148&amp;RID=8XR20NMX013","WP_200628846.1")</f>
        <v>WP_200628846.1</v>
      </c>
    </row>
    <row r="206" spans="1:5">
      <c r="A206" s="4" t="s">
        <v>1061</v>
      </c>
      <c r="B206" s="9">
        <v>0.83</v>
      </c>
      <c r="C206" s="10">
        <v>2E-8</v>
      </c>
      <c r="D206" s="5">
        <v>15.54</v>
      </c>
      <c r="E206" s="4" t="str">
        <f>HYPERLINK("https://www.ncbi.nlm.nih.gov/protein/WP_079201165.1?report=genbank&amp;log$=prottop&amp;blast_rank=236&amp;RID=8XR20NMX013","WP_079201165.1")</f>
        <v>WP_079201165.1</v>
      </c>
    </row>
    <row r="207" spans="1:5">
      <c r="A207" s="4" t="s">
        <v>1066</v>
      </c>
      <c r="B207" s="9">
        <v>0.83</v>
      </c>
      <c r="C207" s="5">
        <v>3.0000000000000001E-3</v>
      </c>
      <c r="D207" s="5">
        <v>15.54</v>
      </c>
      <c r="E207" s="4" t="str">
        <f>HYPERLINK("https://www.ncbi.nlm.nih.gov/protein/WP_309269020.1?report=genbank&amp;log$=prottop&amp;blast_rank=243&amp;RID=8XR20NMX013","WP_309269020.1")</f>
        <v>WP_309269020.1</v>
      </c>
    </row>
    <row r="208" spans="1:5">
      <c r="A208" s="4" t="s">
        <v>1045</v>
      </c>
      <c r="B208" s="9">
        <v>0.83</v>
      </c>
      <c r="C208" s="10">
        <v>3.0000000000000001E-12</v>
      </c>
      <c r="D208" s="5">
        <v>15.44</v>
      </c>
      <c r="E208" s="4" t="str">
        <f>HYPERLINK("https://www.ncbi.nlm.nih.gov/protein/WP_154129572.1?report=genbank&amp;log$=prottop&amp;blast_rank=205&amp;RID=8XR20NMX013","WP_154129572.1")</f>
        <v>WP_154129572.1</v>
      </c>
    </row>
    <row r="209" spans="1:5">
      <c r="A209" s="4" t="s">
        <v>1010</v>
      </c>
      <c r="B209" s="9">
        <v>0.83</v>
      </c>
      <c r="C209" s="10">
        <v>5.9999999999999999E-24</v>
      </c>
      <c r="D209" s="5">
        <v>15.38</v>
      </c>
      <c r="E209" s="4" t="str">
        <f>HYPERLINK("https://www.ncbi.nlm.nih.gov/protein/QGW22913.1?report=genbank&amp;log$=prottop&amp;blast_rank=146&amp;RID=8XR20NMX013","QGW22913.1")</f>
        <v>QGW22913.1</v>
      </c>
    </row>
    <row r="210" spans="1:5">
      <c r="A210" s="4" t="s">
        <v>1031</v>
      </c>
      <c r="B210" s="9">
        <v>0.81</v>
      </c>
      <c r="C210" s="10">
        <v>3.9999999999999998E-20</v>
      </c>
      <c r="D210" s="5">
        <v>15.28</v>
      </c>
      <c r="E210" s="4" t="str">
        <f>HYPERLINK("https://www.ncbi.nlm.nih.gov/protein/WP_219171316.1?report=genbank&amp;log$=prottop&amp;blast_rank=179&amp;RID=8XR20NMX013","WP_219171316.1")</f>
        <v>WP_219171316.1</v>
      </c>
    </row>
    <row r="211" spans="1:5">
      <c r="A211" s="4" t="s">
        <v>1041</v>
      </c>
      <c r="B211" s="9">
        <v>0.87</v>
      </c>
      <c r="C211" s="10">
        <v>2.0000000000000001E-13</v>
      </c>
      <c r="D211" s="5">
        <v>15.28</v>
      </c>
      <c r="E211" s="4" t="str">
        <f>HYPERLINK("https://www.ncbi.nlm.nih.gov/protein/WP_148049797.1?report=genbank&amp;log$=prottop&amp;blast_rank=197&amp;RID=8XR20NMX013","WP_148049797.1")</f>
        <v>WP_148049797.1</v>
      </c>
    </row>
    <row r="212" spans="1:5">
      <c r="A212" s="4" t="s">
        <v>338</v>
      </c>
      <c r="B212" s="9">
        <v>0.81</v>
      </c>
      <c r="C212" s="10">
        <v>6.0000000000000002E-5</v>
      </c>
      <c r="D212" s="5">
        <v>15.28</v>
      </c>
      <c r="E212" s="4" t="str">
        <f>HYPERLINK("https://www.ncbi.nlm.nih.gov/protein/WP_340246048.1?report=genbank&amp;log$=prottop&amp;blast_rank=241&amp;RID=8XR20NMX013","WP_340246048.1")</f>
        <v>WP_340246048.1</v>
      </c>
    </row>
    <row r="213" spans="1:5">
      <c r="A213" s="4" t="s">
        <v>1001</v>
      </c>
      <c r="B213" s="9">
        <v>0.83</v>
      </c>
      <c r="C213" s="10">
        <v>6.0000000000000005E-29</v>
      </c>
      <c r="D213" s="5">
        <v>15.22</v>
      </c>
      <c r="E213" s="4" t="str">
        <f>HYPERLINK("https://www.ncbi.nlm.nih.gov/protein/WP_125783665.1?report=genbank&amp;log$=prottop&amp;blast_rank=114&amp;RID=8XR20NMX013","WP_125783665.1")</f>
        <v>WP_125783665.1</v>
      </c>
    </row>
    <row r="214" spans="1:5">
      <c r="A214" s="4" t="s">
        <v>238</v>
      </c>
      <c r="B214" s="9">
        <v>0.83</v>
      </c>
      <c r="C214" s="10">
        <v>8.9999999999999996E-28</v>
      </c>
      <c r="D214" s="5">
        <v>15.22</v>
      </c>
      <c r="E214" s="4" t="str">
        <f>HYPERLINK("https://www.ncbi.nlm.nih.gov/protein/HCZ9540881.1?report=genbank&amp;log$=prottop&amp;blast_rank=123&amp;RID=8XR20NMX013","HCZ9540881.1")</f>
        <v>HCZ9540881.1</v>
      </c>
    </row>
    <row r="215" spans="1:5">
      <c r="A215" s="4" t="s">
        <v>816</v>
      </c>
      <c r="B215" s="9">
        <v>0.87</v>
      </c>
      <c r="C215" s="10">
        <v>8.0000000000000007E-30</v>
      </c>
      <c r="D215" s="5">
        <v>15.07</v>
      </c>
      <c r="E215" s="4" t="str">
        <f>HYPERLINK("https://www.ncbi.nlm.nih.gov/protein/CAH6845742.1?report=genbank&amp;log$=prottop&amp;blast_rank=107&amp;RID=8XR20NMX013","CAH6845742.1")</f>
        <v>CAH6845742.1</v>
      </c>
    </row>
    <row r="216" spans="1:5">
      <c r="A216" s="4" t="s">
        <v>238</v>
      </c>
      <c r="B216" s="9">
        <v>0.87</v>
      </c>
      <c r="C216" s="10">
        <v>3.9999999999999999E-28</v>
      </c>
      <c r="D216" s="5">
        <v>15.07</v>
      </c>
      <c r="E216" s="4" t="str">
        <f>HYPERLINK("https://www.ncbi.nlm.nih.gov/protein/EGQ9177308.1?report=genbank&amp;log$=prottop&amp;blast_rank=121&amp;RID=8XR20NMX013","EGQ9177308.1")</f>
        <v>EGQ9177308.1</v>
      </c>
    </row>
    <row r="217" spans="1:5">
      <c r="A217" s="4" t="s">
        <v>1054</v>
      </c>
      <c r="B217" s="9">
        <v>0.81</v>
      </c>
      <c r="C217" s="10">
        <v>1E-10</v>
      </c>
      <c r="D217" s="5">
        <v>15.07</v>
      </c>
      <c r="E217" s="4" t="str">
        <f>HYPERLINK("https://www.ncbi.nlm.nih.gov/protein/WP_151765712.1?report=genbank&amp;log$=prottop&amp;blast_rank=222&amp;RID=8XR20NMX013","WP_151765712.1")</f>
        <v>WP_151765712.1</v>
      </c>
    </row>
    <row r="218" spans="1:5">
      <c r="A218" s="4" t="s">
        <v>373</v>
      </c>
      <c r="B218" s="9">
        <v>0.87</v>
      </c>
      <c r="C218" s="10">
        <v>9.9999999999999995E-21</v>
      </c>
      <c r="D218" s="5">
        <v>15.03</v>
      </c>
      <c r="E218" s="4" t="str">
        <f>HYPERLINK("https://www.ncbi.nlm.nih.gov/protein/WP_139139672.1?report=genbank&amp;log$=prottop&amp;blast_rank=174&amp;RID=8XR20NMX013","WP_139139672.1")</f>
        <v>WP_139139672.1</v>
      </c>
    </row>
    <row r="219" spans="1:5">
      <c r="A219" s="4" t="s">
        <v>992</v>
      </c>
      <c r="B219" s="9">
        <v>0.84</v>
      </c>
      <c r="C219" s="10">
        <v>2.0000000000000002E-31</v>
      </c>
      <c r="D219" s="5">
        <v>15</v>
      </c>
      <c r="E219" s="4" t="str">
        <f>HYPERLINK("https://www.ncbi.nlm.nih.gov/protein/AVF93880.1?report=genbank&amp;log$=prottop&amp;blast_rank=92&amp;RID=8XR20NMX013","AVF93880.1")</f>
        <v>AVF93880.1</v>
      </c>
    </row>
    <row r="220" spans="1:5">
      <c r="A220" s="4" t="s">
        <v>238</v>
      </c>
      <c r="B220" s="9">
        <v>0.89</v>
      </c>
      <c r="C220" s="10">
        <v>2.0000000000000001E-32</v>
      </c>
      <c r="D220" s="5">
        <v>14.86</v>
      </c>
      <c r="E220" s="4" t="str">
        <f>HYPERLINK("https://www.ncbi.nlm.nih.gov/protein/ALR95475.1?report=genbank&amp;log$=prottop&amp;blast_rank=84&amp;RID=8XR20NMX013","ALR95475.1")</f>
        <v>ALR95475.1</v>
      </c>
    </row>
    <row r="221" spans="1:5">
      <c r="A221" s="4" t="s">
        <v>1062</v>
      </c>
      <c r="B221" s="9">
        <v>0.85</v>
      </c>
      <c r="C221" s="10">
        <v>1.9999999999999999E-7</v>
      </c>
      <c r="D221" s="5">
        <v>14.86</v>
      </c>
      <c r="E221" s="4" t="str">
        <f>HYPERLINK("https://www.ncbi.nlm.nih.gov/protein/WP_200915939.1?report=genbank&amp;log$=prottop&amp;blast_rank=238&amp;RID=8XR20NMX013","WP_200915939.1")</f>
        <v>WP_200915939.1</v>
      </c>
    </row>
    <row r="222" spans="1:5">
      <c r="A222" s="4" t="s">
        <v>1024</v>
      </c>
      <c r="B222" s="9">
        <v>0.85</v>
      </c>
      <c r="C222" s="10">
        <v>1.9999999999999998E-21</v>
      </c>
      <c r="D222" s="5">
        <v>14.67</v>
      </c>
      <c r="E222" s="4" t="str">
        <f>HYPERLINK("https://www.ncbi.nlm.nih.gov/protein/WP_090312013.1?report=genbank&amp;log$=prottop&amp;blast_rank=164&amp;RID=8XR20NMX013","WP_090312013.1")</f>
        <v>WP_090312013.1</v>
      </c>
    </row>
    <row r="223" spans="1:5">
      <c r="A223" s="4" t="s">
        <v>975</v>
      </c>
      <c r="B223" s="9">
        <v>0.84</v>
      </c>
      <c r="C223" s="10">
        <v>2.0000000000000001E-25</v>
      </c>
      <c r="D223" s="5">
        <v>14.57</v>
      </c>
      <c r="E223" s="4" t="str">
        <f>HYPERLINK("https://www.ncbi.nlm.nih.gov/protein/WP_239896323.1?report=genbank&amp;log$=prottop&amp;blast_rank=136&amp;RID=8XR20NMX013","WP_239896323.1")</f>
        <v>WP_239896323.1</v>
      </c>
    </row>
    <row r="224" spans="1:5">
      <c r="A224" s="4" t="s">
        <v>1058</v>
      </c>
      <c r="B224" s="9">
        <v>0.83</v>
      </c>
      <c r="C224" s="10">
        <v>6.9999999999999996E-10</v>
      </c>
      <c r="D224" s="5">
        <v>14.57</v>
      </c>
      <c r="E224" s="4" t="str">
        <f>HYPERLINK("https://www.ncbi.nlm.nih.gov/protein/WP_348895215.1?report=genbank&amp;log$=prottop&amp;blast_rank=229&amp;RID=8XR20NMX013","WP_348895215.1")</f>
        <v>WP_348895215.1</v>
      </c>
    </row>
    <row r="225" spans="1:5">
      <c r="A225" s="4" t="s">
        <v>130</v>
      </c>
      <c r="B225" s="9">
        <v>0.83</v>
      </c>
      <c r="C225" s="10">
        <v>2E-8</v>
      </c>
      <c r="D225" s="5">
        <v>14.57</v>
      </c>
      <c r="E225" s="4" t="str">
        <f>HYPERLINK("https://www.ncbi.nlm.nih.gov/protein/ENX53568.1?report=genbank&amp;log$=prottop&amp;blast_rank=235&amp;RID=8XR20NMX013","ENX53568.1")</f>
        <v>ENX53568.1</v>
      </c>
    </row>
    <row r="226" spans="1:5">
      <c r="A226" s="4" t="s">
        <v>1033</v>
      </c>
      <c r="B226" s="9">
        <v>0.9</v>
      </c>
      <c r="C226" s="10">
        <v>2E-19</v>
      </c>
      <c r="D226" s="5">
        <v>14.47</v>
      </c>
      <c r="E226" s="4" t="str">
        <f>HYPERLINK("https://www.ncbi.nlm.nih.gov/protein/WP_134677517.1?report=genbank&amp;log$=prottop&amp;blast_rank=184&amp;RID=8XR20NMX013","WP_134677517.1")</f>
        <v>WP_134677517.1</v>
      </c>
    </row>
    <row r="227" spans="1:5">
      <c r="A227" s="4" t="s">
        <v>1055</v>
      </c>
      <c r="B227" s="9">
        <v>0.83</v>
      </c>
      <c r="C227" s="10">
        <v>2.0000000000000001E-10</v>
      </c>
      <c r="D227" s="5">
        <v>14.47</v>
      </c>
      <c r="E227" s="4" t="str">
        <f>HYPERLINK("https://www.ncbi.nlm.nih.gov/protein/WP_005035237.1?report=genbank&amp;log$=prottop&amp;blast_rank=223&amp;RID=8XR20NMX013","WP_005035237.1")</f>
        <v>WP_005035237.1</v>
      </c>
    </row>
    <row r="228" spans="1:5">
      <c r="A228" s="4" t="s">
        <v>373</v>
      </c>
      <c r="B228" s="9">
        <v>0.87</v>
      </c>
      <c r="C228" s="10">
        <v>7.0000000000000007E-21</v>
      </c>
      <c r="D228" s="5">
        <v>14.38</v>
      </c>
      <c r="E228" s="4" t="str">
        <f>HYPERLINK("https://www.ncbi.nlm.nih.gov/protein/HEP9719008.1?report=genbank&amp;log$=prottop&amp;blast_rank=169&amp;RID=8XR20NMX013","HEP9719008.1")</f>
        <v>HEP9719008.1</v>
      </c>
    </row>
    <row r="229" spans="1:5">
      <c r="A229" s="4" t="s">
        <v>1018</v>
      </c>
      <c r="B229" s="9">
        <v>0.87</v>
      </c>
      <c r="C229" s="10">
        <v>9.9999999999999995E-21</v>
      </c>
      <c r="D229" s="5">
        <v>14.38</v>
      </c>
      <c r="E229" s="4" t="str">
        <f>HYPERLINK("https://www.ncbi.nlm.nih.gov/protein/WP_124081071.1?report=genbank&amp;log$=prottop&amp;blast_rank=172&amp;RID=8XR20NMX013","WP_124081071.1")</f>
        <v>WP_124081071.1</v>
      </c>
    </row>
    <row r="230" spans="1:5">
      <c r="A230" s="4" t="s">
        <v>373</v>
      </c>
      <c r="B230" s="9">
        <v>0.87</v>
      </c>
      <c r="C230" s="10">
        <v>9.9999999999999995E-21</v>
      </c>
      <c r="D230" s="5">
        <v>14.38</v>
      </c>
      <c r="E230" s="4" t="str">
        <f>HYPERLINK("https://www.ncbi.nlm.nih.gov/protein/WP_126071231.1?report=genbank&amp;log$=prottop&amp;blast_rank=173&amp;RID=8XR20NMX013","WP_126071231.1")</f>
        <v>WP_126071231.1</v>
      </c>
    </row>
    <row r="231" spans="1:5">
      <c r="A231" s="4" t="s">
        <v>373</v>
      </c>
      <c r="B231" s="9">
        <v>0.87</v>
      </c>
      <c r="C231" s="10">
        <v>3.0000000000000003E-20</v>
      </c>
      <c r="D231" s="5">
        <v>14.38</v>
      </c>
      <c r="E231" s="4" t="str">
        <f>HYPERLINK("https://www.ncbi.nlm.nih.gov/protein/WP_214417388.1?report=genbank&amp;log$=prottop&amp;blast_rank=176&amp;RID=8XR20NMX013","WP_214417388.1")</f>
        <v>WP_214417388.1</v>
      </c>
    </row>
    <row r="232" spans="1:5">
      <c r="A232" s="4" t="s">
        <v>373</v>
      </c>
      <c r="B232" s="9">
        <v>0.87</v>
      </c>
      <c r="C232" s="10">
        <v>3.9999999999999998E-20</v>
      </c>
      <c r="D232" s="5">
        <v>14.38</v>
      </c>
      <c r="E232" s="4" t="str">
        <f>HYPERLINK("https://www.ncbi.nlm.nih.gov/protein/WP_161397724.1?report=genbank&amp;log$=prottop&amp;blast_rank=180&amp;RID=8XR20NMX013","WP_161397724.1")</f>
        <v>WP_161397724.1</v>
      </c>
    </row>
    <row r="233" spans="1:5">
      <c r="A233" s="4" t="s">
        <v>373</v>
      </c>
      <c r="B233" s="9">
        <v>0.87</v>
      </c>
      <c r="C233" s="10">
        <v>2E-19</v>
      </c>
      <c r="D233" s="5">
        <v>14.38</v>
      </c>
      <c r="E233" s="4" t="str">
        <f>HYPERLINK("https://www.ncbi.nlm.nih.gov/protein/WP_273660668.1?report=genbank&amp;log$=prottop&amp;blast_rank=183&amp;RID=8XR20NMX013","WP_273660668.1")</f>
        <v>WP_273660668.1</v>
      </c>
    </row>
    <row r="234" spans="1:5">
      <c r="A234" s="4" t="s">
        <v>1042</v>
      </c>
      <c r="B234" s="9">
        <v>0.85</v>
      </c>
      <c r="C234" s="10">
        <v>5.9999999999999997E-13</v>
      </c>
      <c r="D234" s="5">
        <v>14.09</v>
      </c>
      <c r="E234" s="4" t="str">
        <f>HYPERLINK("https://www.ncbi.nlm.nih.gov/protein/WP_132294937.1?report=genbank&amp;log$=prottop&amp;blast_rank=201&amp;RID=8XR20NMX013","WP_132294937.1")</f>
        <v>WP_132294937.1</v>
      </c>
    </row>
    <row r="235" spans="1:5">
      <c r="A235" s="4" t="s">
        <v>1037</v>
      </c>
      <c r="B235" s="9">
        <v>0.8</v>
      </c>
      <c r="C235" s="10">
        <v>2.0000000000000001E-17</v>
      </c>
      <c r="D235" s="5">
        <v>14.08</v>
      </c>
      <c r="E235" s="4" t="str">
        <f>HYPERLINK("https://www.ncbi.nlm.nih.gov/protein/WP_169708303.1?report=genbank&amp;log$=prottop&amp;blast_rank=191&amp;RID=8XR20NMX013","WP_169708303.1")</f>
        <v>WP_169708303.1</v>
      </c>
    </row>
    <row r="236" spans="1:5">
      <c r="A236" s="4" t="s">
        <v>1053</v>
      </c>
      <c r="B236" s="9">
        <v>0.86</v>
      </c>
      <c r="C236" s="10">
        <v>3E-11</v>
      </c>
      <c r="D236" s="5">
        <v>13.91</v>
      </c>
      <c r="E236" s="4" t="str">
        <f>HYPERLINK("https://www.ncbi.nlm.nih.gov/protein/WP_337058278.1?report=genbank&amp;log$=prottop&amp;blast_rank=218&amp;RID=8XR20NMX013","WP_337058278.1")</f>
        <v>WP_337058278.1</v>
      </c>
    </row>
    <row r="237" spans="1:5">
      <c r="A237" s="4" t="s">
        <v>1063</v>
      </c>
      <c r="B237" s="9">
        <v>0.83</v>
      </c>
      <c r="C237" s="10">
        <v>4.9999999999999998E-7</v>
      </c>
      <c r="D237" s="5">
        <v>13.84</v>
      </c>
      <c r="E237" s="4" t="str">
        <f>HYPERLINK("https://www.ncbi.nlm.nih.gov/protein/WP_108581842.1?report=genbank&amp;log$=prottop&amp;blast_rank=239&amp;RID=8XR20NMX013","WP_108581842.1")</f>
        <v>WP_108581842.1</v>
      </c>
    </row>
    <row r="238" spans="1:5">
      <c r="A238" s="4" t="s">
        <v>1057</v>
      </c>
      <c r="B238" s="9">
        <v>0.83</v>
      </c>
      <c r="C238" s="10">
        <v>2.0000000000000001E-10</v>
      </c>
      <c r="D238" s="5">
        <v>13.82</v>
      </c>
      <c r="E238" s="4" t="str">
        <f>HYPERLINK("https://www.ncbi.nlm.nih.gov/protein/WP_086190491.1?report=genbank&amp;log$=prottop&amp;blast_rank=226&amp;RID=8XR20NMX013","WP_086190491.1")</f>
        <v>WP_086190491.1</v>
      </c>
    </row>
    <row r="239" spans="1:5">
      <c r="A239" s="4" t="s">
        <v>1010</v>
      </c>
      <c r="B239" s="9">
        <v>0.85</v>
      </c>
      <c r="C239" s="10">
        <v>1E-26</v>
      </c>
      <c r="D239" s="5">
        <v>13.7</v>
      </c>
      <c r="E239" s="4" t="str">
        <f>HYPERLINK("https://www.ncbi.nlm.nih.gov/protein/QCT96031.1?report=genbank&amp;log$=prottop&amp;blast_rank=130&amp;RID=8XR20NMX013","QCT96031.1")</f>
        <v>QCT96031.1</v>
      </c>
    </row>
    <row r="240" spans="1:5">
      <c r="A240" s="4" t="s">
        <v>1009</v>
      </c>
      <c r="B240" s="9">
        <v>0.84</v>
      </c>
      <c r="C240" s="10">
        <v>4.0000000000000002E-27</v>
      </c>
      <c r="D240" s="5">
        <v>13.67</v>
      </c>
      <c r="E240" s="4" t="str">
        <f>HYPERLINK("https://www.ncbi.nlm.nih.gov/protein/WP_121837779.1?report=genbank&amp;log$=prottop&amp;blast_rank=128&amp;RID=8XR20NMX013","WP_121837779.1")</f>
        <v>WP_121837779.1</v>
      </c>
    </row>
    <row r="241" spans="1:5">
      <c r="A241" s="4" t="s">
        <v>18</v>
      </c>
      <c r="B241" s="9">
        <v>0.84</v>
      </c>
      <c r="C241" s="10">
        <v>2.9999999999999998E-31</v>
      </c>
      <c r="D241" s="5">
        <v>13.57</v>
      </c>
      <c r="E241" s="4" t="str">
        <f>HYPERLINK("https://www.ncbi.nlm.nih.gov/protein/OUD79111.1?report=genbank&amp;log$=prottop&amp;blast_rank=95&amp;RID=8XR20NMX013","OUD79111.1")</f>
        <v>OUD79111.1</v>
      </c>
    </row>
    <row r="242" spans="1:5">
      <c r="A242" s="4" t="s">
        <v>1038</v>
      </c>
      <c r="B242" s="9">
        <v>0.83</v>
      </c>
      <c r="C242" s="10">
        <v>8.9999999999999996E-17</v>
      </c>
      <c r="D242" s="5">
        <v>13.33</v>
      </c>
      <c r="E242" s="4" t="str">
        <f>HYPERLINK("https://www.ncbi.nlm.nih.gov/protein/MCO6057303.1?report=genbank&amp;log$=prottop&amp;blast_rank=192&amp;RID=8XR20NMX013","MCO6057303.1")</f>
        <v>MCO6057303.1</v>
      </c>
    </row>
    <row r="243" spans="1:5">
      <c r="A243" s="4" t="s">
        <v>1046</v>
      </c>
      <c r="B243" s="9">
        <v>0.83</v>
      </c>
      <c r="C243" s="10">
        <v>3.0000000000000001E-12</v>
      </c>
      <c r="D243" s="5">
        <v>12.84</v>
      </c>
      <c r="E243" s="4" t="str">
        <f>HYPERLINK("https://www.ncbi.nlm.nih.gov/protein/WP_180130922.1?report=genbank&amp;log$=prottop&amp;blast_rank=206&amp;RID=8XR20NMX013","WP_180130922.1")</f>
        <v>WP_180130922.1</v>
      </c>
    </row>
    <row r="244" spans="1:5">
      <c r="A244" s="4" t="s">
        <v>1047</v>
      </c>
      <c r="B244" s="9">
        <v>0.83</v>
      </c>
      <c r="C244" s="10">
        <v>3.0000000000000001E-12</v>
      </c>
      <c r="D244" s="5">
        <v>12.84</v>
      </c>
      <c r="E244" s="4" t="str">
        <f>HYPERLINK("https://www.ncbi.nlm.nih.gov/protein/WP_249682487.1?report=genbank&amp;log$=prottop&amp;blast_rank=207&amp;RID=8XR20NMX013","WP_249682487.1")</f>
        <v>WP_249682487.1</v>
      </c>
    </row>
    <row r="245" spans="1:5">
      <c r="A245" s="4" t="s">
        <v>1050</v>
      </c>
      <c r="B245" s="9">
        <v>0.83</v>
      </c>
      <c r="C245" s="10">
        <v>7.9999999999999998E-12</v>
      </c>
      <c r="D245" s="5">
        <v>12.84</v>
      </c>
      <c r="E245" s="4" t="str">
        <f>HYPERLINK("https://www.ncbi.nlm.nih.gov/protein/WP_180085541.1?report=genbank&amp;log$=prottop&amp;blast_rank=210&amp;RID=8XR20NMX013","WP_180085541.1")</f>
        <v>WP_180085541.1</v>
      </c>
    </row>
    <row r="246" spans="1:5">
      <c r="A246" s="4" t="s">
        <v>155</v>
      </c>
      <c r="B246" s="9">
        <v>0.83</v>
      </c>
      <c r="C246" s="10">
        <v>1.9999999999999999E-11</v>
      </c>
      <c r="D246" s="5">
        <v>12.84</v>
      </c>
      <c r="E246" s="4" t="str">
        <f>HYPERLINK("https://www.ncbi.nlm.nih.gov/protein/WP_234951236.1?report=genbank&amp;log$=prottop&amp;blast_rank=215&amp;RID=8XR20NMX013","WP_234951236.1")</f>
        <v>WP_234951236.1</v>
      </c>
    </row>
    <row r="247" spans="1:5">
      <c r="A247" s="4" t="s">
        <v>155</v>
      </c>
      <c r="B247" s="9">
        <v>0.83</v>
      </c>
      <c r="C247" s="10">
        <v>1.9999999999999999E-11</v>
      </c>
      <c r="D247" s="5">
        <v>12.84</v>
      </c>
      <c r="E247" s="4" t="str">
        <f>HYPERLINK("https://www.ncbi.nlm.nih.gov/protein/WP_234954089.1?report=genbank&amp;log$=prottop&amp;blast_rank=216&amp;RID=8XR20NMX013","WP_234954089.1")</f>
        <v>WP_234954089.1</v>
      </c>
    </row>
    <row r="248" spans="1:5">
      <c r="A248" s="4" t="s">
        <v>1032</v>
      </c>
      <c r="B248" s="9">
        <v>0.87</v>
      </c>
      <c r="C248" s="10">
        <v>2E-12</v>
      </c>
      <c r="D248" s="5">
        <v>12.58</v>
      </c>
      <c r="E248" s="4" t="str">
        <f>HYPERLINK("https://www.ncbi.nlm.nih.gov/protein/WP_236207833.1?report=genbank&amp;log$=prottop&amp;blast_rank=203&amp;RID=8XR20NMX013","WP_236207833.1")</f>
        <v>WP_236207833.1</v>
      </c>
    </row>
    <row r="249" spans="1:5">
      <c r="A249" s="4" t="s">
        <v>1016</v>
      </c>
      <c r="B249" s="9">
        <v>0.85</v>
      </c>
      <c r="C249" s="10">
        <v>9.9999999999999996E-24</v>
      </c>
      <c r="D249" s="5">
        <v>12.33</v>
      </c>
      <c r="E249" s="4" t="str">
        <f>HYPERLINK("https://www.ncbi.nlm.nih.gov/protein/WP_313278096.1?report=genbank&amp;log$=prottop&amp;blast_rank=152&amp;RID=8XR20NMX013","WP_313278096.1")</f>
        <v>WP_313278096.1</v>
      </c>
    </row>
  </sheetData>
  <sortState xmlns:xlrd2="http://schemas.microsoft.com/office/spreadsheetml/2017/richdata2" ref="A7:E249">
    <sortCondition descending="1" ref="D7:D24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FB440-20ED-7445-AE3E-0952371E4E83}">
  <dimension ref="A1:E81"/>
  <sheetViews>
    <sheetView workbookViewId="0">
      <selection activeCell="A5" sqref="A5:XFD7"/>
    </sheetView>
  </sheetViews>
  <sheetFormatPr baseColWidth="10" defaultRowHeight="16"/>
  <cols>
    <col min="1" max="1" width="30.83203125" customWidth="1"/>
    <col min="2" max="5" width="30.83203125" style="1" customWidth="1"/>
  </cols>
  <sheetData>
    <row r="1" spans="1:5" s="28" customFormat="1" ht="19">
      <c r="A1" s="28" t="s">
        <v>2</v>
      </c>
      <c r="B1" s="32"/>
      <c r="C1" s="32"/>
      <c r="D1" s="32"/>
      <c r="E1" s="32"/>
    </row>
    <row r="2" spans="1:5" s="28" customFormat="1" ht="19">
      <c r="A2" s="31" t="s">
        <v>3</v>
      </c>
      <c r="B2" s="32"/>
      <c r="C2" s="32"/>
      <c r="D2" s="32"/>
      <c r="E2" s="32"/>
    </row>
    <row r="3" spans="1:5" s="28" customFormat="1" ht="19">
      <c r="A3" s="31" t="s">
        <v>4</v>
      </c>
      <c r="B3" s="32"/>
      <c r="C3" s="32"/>
      <c r="D3" s="32"/>
      <c r="E3" s="32"/>
    </row>
    <row r="6" spans="1:5" s="13" customFormat="1">
      <c r="A6" s="7" t="s">
        <v>10</v>
      </c>
      <c r="B6" s="8" t="s">
        <v>11</v>
      </c>
      <c r="C6" s="8" t="s">
        <v>12</v>
      </c>
      <c r="D6" s="8" t="s">
        <v>13</v>
      </c>
      <c r="E6" s="8" t="s">
        <v>14</v>
      </c>
    </row>
    <row r="7" spans="1:5">
      <c r="A7" s="4" t="s">
        <v>15</v>
      </c>
      <c r="B7" s="9">
        <v>1</v>
      </c>
      <c r="C7" s="10">
        <v>2.0000000000000001E-166</v>
      </c>
      <c r="D7" s="5">
        <v>100</v>
      </c>
      <c r="E7" s="5" t="str">
        <f>HYPERLINK("https://www.ncbi.nlm.nih.gov/protein/WP_237666972.1?report=genbank&amp;log$=prottop&amp;blast_rank=1&amp;RID=8XKC7BRC016","WP_237666972.1")</f>
        <v>WP_237666972.1</v>
      </c>
    </row>
    <row r="8" spans="1:5">
      <c r="A8" s="4" t="s">
        <v>15</v>
      </c>
      <c r="B8" s="9">
        <v>1</v>
      </c>
      <c r="C8" s="10">
        <v>3.0000000000000003E-166</v>
      </c>
      <c r="D8" s="5">
        <v>100</v>
      </c>
      <c r="E8" s="5" t="str">
        <f>HYPERLINK("https://www.ncbi.nlm.nih.gov/protein/WP_240496064.1?report=genbank&amp;log$=prottop&amp;blast_rank=2&amp;RID=8XKC7BRC016","WP_240496064.1")</f>
        <v>WP_240496064.1</v>
      </c>
    </row>
    <row r="9" spans="1:5">
      <c r="A9" s="4" t="s">
        <v>15</v>
      </c>
      <c r="B9" s="9">
        <v>1</v>
      </c>
      <c r="C9" s="10">
        <v>8.0000000000000003E-166</v>
      </c>
      <c r="D9" s="5">
        <v>100</v>
      </c>
      <c r="E9" s="5" t="str">
        <f>HYPERLINK("https://www.ncbi.nlm.nih.gov/protein/WP_254424604.1?report=genbank&amp;log$=prottop&amp;blast_rank=3&amp;RID=8XKC7BRC016","WP_254424604.1")</f>
        <v>WP_254424604.1</v>
      </c>
    </row>
    <row r="10" spans="1:5">
      <c r="A10" s="4" t="s">
        <v>15</v>
      </c>
      <c r="B10" s="9">
        <v>1</v>
      </c>
      <c r="C10" s="10">
        <v>2E-165</v>
      </c>
      <c r="D10" s="5">
        <v>100</v>
      </c>
      <c r="E10" s="5" t="str">
        <f>HYPERLINK("https://www.ncbi.nlm.nih.gov/protein/WP_005483289.1?report=genbank&amp;log$=prottop&amp;blast_rank=4&amp;RID=8XKC7BRC016","WP_005483289.1")</f>
        <v>WP_005483289.1</v>
      </c>
    </row>
    <row r="11" spans="1:5">
      <c r="A11" s="4" t="s">
        <v>15</v>
      </c>
      <c r="B11" s="9">
        <v>0.99</v>
      </c>
      <c r="C11" s="10">
        <v>1.9999999999999999E-164</v>
      </c>
      <c r="D11" s="5">
        <v>100</v>
      </c>
      <c r="E11" s="5" t="str">
        <f>HYPERLINK("https://www.ncbi.nlm.nih.gov/protein/WP_025581421.1?report=genbank&amp;log$=prottop&amp;blast_rank=8&amp;RID=8XKC7BRC016","WP_025581421.1")</f>
        <v>WP_025581421.1</v>
      </c>
    </row>
    <row r="12" spans="1:5">
      <c r="A12" s="4" t="s">
        <v>15</v>
      </c>
      <c r="B12" s="9">
        <v>0.99</v>
      </c>
      <c r="C12" s="10">
        <v>9.9999999999999992E-164</v>
      </c>
      <c r="D12" s="5">
        <v>100</v>
      </c>
      <c r="E12" s="5" t="str">
        <f>HYPERLINK("https://www.ncbi.nlm.nih.gov/protein/WP_238774868.1?report=genbank&amp;log$=prottop&amp;blast_rank=10&amp;RID=8XKC7BRC016","WP_238774868.1")</f>
        <v>WP_238774868.1</v>
      </c>
    </row>
    <row r="13" spans="1:5">
      <c r="A13" s="4" t="s">
        <v>15</v>
      </c>
      <c r="B13" s="9">
        <v>0.99</v>
      </c>
      <c r="C13" s="10">
        <v>9.9999999999999995E-163</v>
      </c>
      <c r="D13" s="5">
        <v>100</v>
      </c>
      <c r="E13" s="5" t="str">
        <f>HYPERLINK("https://www.ncbi.nlm.nih.gov/protein/MCG6528883.1?report=genbank&amp;log$=prottop&amp;blast_rank=12&amp;RID=8XKC7BRC016","MCG6528883.1")</f>
        <v>MCG6528883.1</v>
      </c>
    </row>
    <row r="14" spans="1:5">
      <c r="A14" s="4" t="s">
        <v>15</v>
      </c>
      <c r="B14" s="9">
        <v>0.98</v>
      </c>
      <c r="C14" s="10">
        <v>3.9999999999999998E-162</v>
      </c>
      <c r="D14" s="5">
        <v>100</v>
      </c>
      <c r="E14" s="5" t="str">
        <f>HYPERLINK("https://www.ncbi.nlm.nih.gov/protein/MCG6523385.1?report=genbank&amp;log$=prottop&amp;blast_rank=14&amp;RID=8XKC7BRC016","MCG6523385.1")</f>
        <v>MCG6523385.1</v>
      </c>
    </row>
    <row r="15" spans="1:5">
      <c r="A15" s="4" t="s">
        <v>15</v>
      </c>
      <c r="B15" s="9">
        <v>0.98</v>
      </c>
      <c r="C15" s="10">
        <v>2.9999999999999999E-161</v>
      </c>
      <c r="D15" s="5">
        <v>100</v>
      </c>
      <c r="E15" s="5" t="str">
        <f>HYPERLINK("https://www.ncbi.nlm.nih.gov/protein/WP_348617021.1?report=genbank&amp;log$=prottop&amp;blast_rank=15&amp;RID=8XKC7BRC016","WP_348617021.1")</f>
        <v>WP_348617021.1</v>
      </c>
    </row>
    <row r="16" spans="1:5">
      <c r="A16" s="4" t="s">
        <v>15</v>
      </c>
      <c r="B16" s="9">
        <v>0.98</v>
      </c>
      <c r="C16" s="10">
        <v>7.0000000000000004E-161</v>
      </c>
      <c r="D16" s="5">
        <v>100</v>
      </c>
      <c r="E16" s="5" t="str">
        <f>HYPERLINK("https://www.ncbi.nlm.nih.gov/protein/WP_238819355.1?report=genbank&amp;log$=prottop&amp;blast_rank=17&amp;RID=8XKC7BRC016","WP_238819355.1")</f>
        <v>WP_238819355.1</v>
      </c>
    </row>
    <row r="17" spans="1:5">
      <c r="A17" s="4" t="s">
        <v>15</v>
      </c>
      <c r="B17" s="9">
        <v>0.97</v>
      </c>
      <c r="C17" s="10">
        <v>2.0000000000000001E-156</v>
      </c>
      <c r="D17" s="5">
        <v>100</v>
      </c>
      <c r="E17" s="5" t="str">
        <f>HYPERLINK("https://www.ncbi.nlm.nih.gov/protein/WP_031828544.1?report=genbank&amp;log$=prottop&amp;blast_rank=20&amp;RID=8XKC7BRC016","WP_031828544.1")</f>
        <v>WP_031828544.1</v>
      </c>
    </row>
    <row r="18" spans="1:5">
      <c r="A18" s="4" t="s">
        <v>15</v>
      </c>
      <c r="B18" s="9">
        <v>0.95</v>
      </c>
      <c r="C18" s="10">
        <v>2.0000000000000001E-152</v>
      </c>
      <c r="D18" s="5">
        <v>100</v>
      </c>
      <c r="E18" s="5" t="str">
        <f>HYPERLINK("https://www.ncbi.nlm.nih.gov/protein/WP_024699216.1?report=genbank&amp;log$=prottop&amp;blast_rank=25&amp;RID=8XKC7BRC016","WP_024699216.1")</f>
        <v>WP_024699216.1</v>
      </c>
    </row>
    <row r="19" spans="1:5">
      <c r="A19" s="4" t="s">
        <v>15</v>
      </c>
      <c r="B19" s="9">
        <v>0.95</v>
      </c>
      <c r="C19" s="10">
        <v>9.9999999999999994E-152</v>
      </c>
      <c r="D19" s="5">
        <v>100</v>
      </c>
      <c r="E19" s="5" t="str">
        <f>HYPERLINK("https://www.ncbi.nlm.nih.gov/protein/EGR2823148.1?report=genbank&amp;log$=prottop&amp;blast_rank=27&amp;RID=8XKC7BRC016","EGR2823148.1")</f>
        <v>EGR2823148.1</v>
      </c>
    </row>
    <row r="20" spans="1:5">
      <c r="A20" s="4" t="s">
        <v>15</v>
      </c>
      <c r="B20" s="9">
        <v>0.93</v>
      </c>
      <c r="C20" s="10">
        <v>8.9999999999999996E-149</v>
      </c>
      <c r="D20" s="5">
        <v>100</v>
      </c>
      <c r="E20" s="5" t="str">
        <f>HYPERLINK("https://www.ncbi.nlm.nih.gov/protein/WP_073514062.1?report=genbank&amp;log$=prottop&amp;blast_rank=32&amp;RID=8XKC7BRC016","WP_073514062.1")</f>
        <v>WP_073514062.1</v>
      </c>
    </row>
    <row r="21" spans="1:5">
      <c r="A21" s="4" t="s">
        <v>15</v>
      </c>
      <c r="B21" s="9">
        <v>0.93</v>
      </c>
      <c r="C21" s="10">
        <v>1.9999999999999999E-148</v>
      </c>
      <c r="D21" s="5">
        <v>100</v>
      </c>
      <c r="E21" s="5" t="str">
        <f>HYPERLINK("https://www.ncbi.nlm.nih.gov/protein/WP_079749463.1?report=genbank&amp;log$=prottop&amp;blast_rank=35&amp;RID=8XKC7BRC016","WP_079749463.1")</f>
        <v>WP_079749463.1</v>
      </c>
    </row>
    <row r="22" spans="1:5">
      <c r="A22" s="4" t="s">
        <v>15</v>
      </c>
      <c r="B22" s="9">
        <v>0.92</v>
      </c>
      <c r="C22" s="10">
        <v>9.9999999999999991E-146</v>
      </c>
      <c r="D22" s="5">
        <v>100</v>
      </c>
      <c r="E22" s="5" t="str">
        <f>HYPERLINK("https://www.ncbi.nlm.nih.gov/protein/WP_228767721.1?report=genbank&amp;log$=prottop&amp;blast_rank=38&amp;RID=8XKC7BRC016","WP_228767721.1")</f>
        <v>WP_228767721.1</v>
      </c>
    </row>
    <row r="23" spans="1:5">
      <c r="A23" s="4" t="s">
        <v>15</v>
      </c>
      <c r="B23" s="9">
        <v>0.89</v>
      </c>
      <c r="C23" s="10">
        <v>2.9999999999999999E-143</v>
      </c>
      <c r="D23" s="5">
        <v>100</v>
      </c>
      <c r="E23" s="5" t="str">
        <f>HYPERLINK("https://www.ncbi.nlm.nih.gov/protein/EGR1995982.1?report=genbank&amp;log$=prottop&amp;blast_rank=39&amp;RID=8XKC7BRC016","EGR1995982.1")</f>
        <v>EGR1995982.1</v>
      </c>
    </row>
    <row r="24" spans="1:5">
      <c r="A24" s="4" t="s">
        <v>15</v>
      </c>
      <c r="B24" s="9">
        <v>0.88</v>
      </c>
      <c r="C24" s="10">
        <v>6.0000000000000002E-142</v>
      </c>
      <c r="D24" s="5">
        <v>100</v>
      </c>
      <c r="E24" s="5" t="str">
        <f>HYPERLINK("https://www.ncbi.nlm.nih.gov/protein/EGR1221347.1?report=genbank&amp;log$=prottop&amp;blast_rank=40&amp;RID=8XKC7BRC016","EGR1221347.1")</f>
        <v>EGR1221347.1</v>
      </c>
    </row>
    <row r="25" spans="1:5">
      <c r="A25" s="4" t="s">
        <v>15</v>
      </c>
      <c r="B25" s="9">
        <v>0.87</v>
      </c>
      <c r="C25" s="10">
        <v>9.9999999999999998E-141</v>
      </c>
      <c r="D25" s="5">
        <v>100</v>
      </c>
      <c r="E25" s="5" t="str">
        <f>HYPERLINK("https://www.ncbi.nlm.nih.gov/protein/EGR2151722.1?report=genbank&amp;log$=prottop&amp;blast_rank=41&amp;RID=8XKC7BRC016","EGR2151722.1")</f>
        <v>EGR2151722.1</v>
      </c>
    </row>
    <row r="26" spans="1:5">
      <c r="A26" s="4" t="s">
        <v>15</v>
      </c>
      <c r="B26" s="9">
        <v>0.85</v>
      </c>
      <c r="C26" s="10">
        <v>3.0000000000000002E-133</v>
      </c>
      <c r="D26" s="5">
        <v>100</v>
      </c>
      <c r="E26" s="5" t="str">
        <f>HYPERLINK("https://www.ncbi.nlm.nih.gov/protein/EGR3097098.1?report=genbank&amp;log$=prottop&amp;blast_rank=42&amp;RID=8XKC7BRC016","EGR3097098.1")</f>
        <v>EGR3097098.1</v>
      </c>
    </row>
    <row r="27" spans="1:5">
      <c r="A27" s="4" t="s">
        <v>15</v>
      </c>
      <c r="B27" s="9">
        <v>1</v>
      </c>
      <c r="C27" s="10">
        <v>2.9999999999999998E-165</v>
      </c>
      <c r="D27" s="5">
        <v>99.74</v>
      </c>
      <c r="E27" s="5" t="str">
        <f>HYPERLINK("https://www.ncbi.nlm.nih.gov/protein/MCF9698638.1?report=genbank&amp;log$=prottop&amp;blast_rank=5&amp;RID=8XKC7BRC016","MCF9698638.1")</f>
        <v>MCF9698638.1</v>
      </c>
    </row>
    <row r="28" spans="1:5">
      <c r="A28" s="4" t="s">
        <v>15</v>
      </c>
      <c r="B28" s="9">
        <v>1</v>
      </c>
      <c r="C28" s="10">
        <v>2.9999999999999998E-165</v>
      </c>
      <c r="D28" s="5">
        <v>99.74</v>
      </c>
      <c r="E28" s="5" t="str">
        <f>HYPERLINK("https://www.ncbi.nlm.nih.gov/protein/MCF9512993.1?report=genbank&amp;log$=prottop&amp;blast_rank=6&amp;RID=8XKC7BRC016","MCF9512993.1")</f>
        <v>MCF9512993.1</v>
      </c>
    </row>
    <row r="29" spans="1:5">
      <c r="A29" s="4" t="s">
        <v>15</v>
      </c>
      <c r="B29" s="9">
        <v>1</v>
      </c>
      <c r="C29" s="10">
        <v>9.9999999999999996E-165</v>
      </c>
      <c r="D29" s="5">
        <v>99.74</v>
      </c>
      <c r="E29" s="5" t="str">
        <f>HYPERLINK("https://www.ncbi.nlm.nih.gov/protein/TNY63656.1?report=genbank&amp;log$=prottop&amp;blast_rank=7&amp;RID=8XKC7BRC016","TNY63656.1")</f>
        <v>TNY63656.1</v>
      </c>
    </row>
    <row r="30" spans="1:5">
      <c r="A30" s="4" t="s">
        <v>15</v>
      </c>
      <c r="B30" s="9">
        <v>0.98</v>
      </c>
      <c r="C30" s="10">
        <v>7E-159</v>
      </c>
      <c r="D30" s="5">
        <v>99.74</v>
      </c>
      <c r="E30" s="5" t="str">
        <f>HYPERLINK("https://www.ncbi.nlm.nih.gov/protein/WP_025621206.1?report=genbank&amp;log$=prottop&amp;blast_rank=18&amp;RID=8XKC7BRC016","WP_025621206.1")</f>
        <v>WP_025621206.1</v>
      </c>
    </row>
    <row r="31" spans="1:5">
      <c r="A31" s="4" t="s">
        <v>15</v>
      </c>
      <c r="B31" s="9">
        <v>0.95</v>
      </c>
      <c r="C31" s="10">
        <v>4.9999999999999997E-152</v>
      </c>
      <c r="D31" s="5">
        <v>99.73</v>
      </c>
      <c r="E31" s="5" t="str">
        <f>HYPERLINK("https://www.ncbi.nlm.nih.gov/protein/HCH2269868.1?report=genbank&amp;log$=prottop&amp;blast_rank=26&amp;RID=8XKC7BRC016","HCH2269868.1")</f>
        <v>HCH2269868.1</v>
      </c>
    </row>
    <row r="32" spans="1:5">
      <c r="A32" s="4" t="s">
        <v>15</v>
      </c>
      <c r="B32" s="9">
        <v>0.94</v>
      </c>
      <c r="C32" s="10">
        <v>4.9999999999999999E-150</v>
      </c>
      <c r="D32" s="5">
        <v>99.73</v>
      </c>
      <c r="E32" s="5" t="str">
        <f>HYPERLINK("https://www.ncbi.nlm.nih.gov/protein/OAR07415.1?report=genbank&amp;log$=prottop&amp;blast_rank=29&amp;RID=8XKC7BRC016","OAR07415.1")</f>
        <v>OAR07415.1</v>
      </c>
    </row>
    <row r="33" spans="1:5">
      <c r="A33" s="4" t="s">
        <v>16</v>
      </c>
      <c r="B33" s="9">
        <v>0.93</v>
      </c>
      <c r="C33" s="10">
        <v>9.9999999999999994E-149</v>
      </c>
      <c r="D33" s="5">
        <v>99.73</v>
      </c>
      <c r="E33" s="5" t="str">
        <f>HYPERLINK("https://www.ncbi.nlm.nih.gov/protein/WP_216358466.1?report=genbank&amp;log$=prottop&amp;blast_rank=33&amp;RID=8XKC7BRC016","WP_216358466.1")</f>
        <v>WP_216358466.1</v>
      </c>
    </row>
    <row r="34" spans="1:5">
      <c r="A34" s="4" t="s">
        <v>15</v>
      </c>
      <c r="B34" s="9">
        <v>0.93</v>
      </c>
      <c r="C34" s="10">
        <v>9.9999999999999997E-148</v>
      </c>
      <c r="D34" s="5">
        <v>99.73</v>
      </c>
      <c r="E34" s="5" t="str">
        <f>HYPERLINK("https://www.ncbi.nlm.nih.gov/protein/WP_229626566.1?report=genbank&amp;log$=prottop&amp;blast_rank=37&amp;RID=8XKC7BRC016","WP_229626566.1")</f>
        <v>WP_229626566.1</v>
      </c>
    </row>
    <row r="35" spans="1:5">
      <c r="A35" s="4" t="s">
        <v>15</v>
      </c>
      <c r="B35" s="9">
        <v>1</v>
      </c>
      <c r="C35" s="10">
        <v>1.9999999999999998E-163</v>
      </c>
      <c r="D35" s="5">
        <v>99.49</v>
      </c>
      <c r="E35" s="5" t="str">
        <f>HYPERLINK("https://www.ncbi.nlm.nih.gov/protein/ODY78700.1?report=genbank&amp;log$=prottop&amp;blast_rank=11&amp;RID=8XKC7BRC016","ODY78700.1")</f>
        <v>ODY78700.1</v>
      </c>
    </row>
    <row r="36" spans="1:5">
      <c r="A36" s="4" t="s">
        <v>15</v>
      </c>
      <c r="B36" s="9">
        <v>0.99</v>
      </c>
      <c r="C36" s="10">
        <v>3.9999999999999998E-162</v>
      </c>
      <c r="D36" s="5">
        <v>99.48</v>
      </c>
      <c r="E36" s="5" t="str">
        <f>HYPERLINK("https://www.ncbi.nlm.nih.gov/protein/WP_080254898.1?report=genbank&amp;log$=prottop&amp;blast_rank=13&amp;RID=8XKC7BRC016","WP_080254898.1")</f>
        <v>WP_080254898.1</v>
      </c>
    </row>
    <row r="37" spans="1:5">
      <c r="A37" s="4" t="s">
        <v>15</v>
      </c>
      <c r="B37" s="9">
        <v>0.98</v>
      </c>
      <c r="C37" s="10">
        <v>3E-158</v>
      </c>
      <c r="D37" s="5">
        <v>99.48</v>
      </c>
      <c r="E37" s="5" t="str">
        <f>HYPERLINK("https://www.ncbi.nlm.nih.gov/protein/WP_229630294.1?report=genbank&amp;log$=prottop&amp;blast_rank=19&amp;RID=8XKC7BRC016","WP_229630294.1")</f>
        <v>WP_229630294.1</v>
      </c>
    </row>
    <row r="38" spans="1:5">
      <c r="A38" s="4" t="s">
        <v>15</v>
      </c>
      <c r="B38" s="9">
        <v>0.96</v>
      </c>
      <c r="C38" s="10">
        <v>2.0000000000000001E-152</v>
      </c>
      <c r="D38" s="5">
        <v>99.47</v>
      </c>
      <c r="E38" s="5" t="str">
        <f>HYPERLINK("https://www.ncbi.nlm.nih.gov/protein/WP_029842335.1?report=genbank&amp;log$=prottop&amp;blast_rank=24&amp;RID=8XKC7BRC016","WP_029842335.1")</f>
        <v>WP_029842335.1</v>
      </c>
    </row>
    <row r="39" spans="1:5">
      <c r="A39" s="4" t="s">
        <v>15</v>
      </c>
      <c r="B39" s="9">
        <v>1</v>
      </c>
      <c r="C39" s="10">
        <v>3.9999999999999998E-164</v>
      </c>
      <c r="D39" s="5">
        <v>99.23</v>
      </c>
      <c r="E39" s="5" t="str">
        <f>HYPERLINK("https://www.ncbi.nlm.nih.gov/protein/ODY32778.1?report=genbank&amp;log$=prottop&amp;blast_rank=9&amp;RID=8XKC7BRC016","ODY32778.1")</f>
        <v>ODY32778.1</v>
      </c>
    </row>
    <row r="40" spans="1:5">
      <c r="A40" s="4" t="s">
        <v>15</v>
      </c>
      <c r="B40" s="9">
        <v>1</v>
      </c>
      <c r="C40" s="10">
        <v>8.0000000000000003E-156</v>
      </c>
      <c r="D40" s="5">
        <v>98.47</v>
      </c>
      <c r="E40" s="5" t="str">
        <f>HYPERLINK("https://www.ncbi.nlm.nih.gov/protein/TNY89451.1?report=genbank&amp;log$=prottop&amp;blast_rank=22&amp;RID=8XKC7BRC016","TNY89451.1")</f>
        <v>TNY89451.1</v>
      </c>
    </row>
    <row r="41" spans="1:5">
      <c r="A41" s="4" t="s">
        <v>15</v>
      </c>
      <c r="B41" s="9">
        <v>1</v>
      </c>
      <c r="C41" s="10">
        <v>5.9999999999999998E-161</v>
      </c>
      <c r="D41" s="5">
        <v>98.46</v>
      </c>
      <c r="E41" s="5" t="str">
        <f>HYPERLINK("https://www.ncbi.nlm.nih.gov/protein/OXE34399.1?report=genbank&amp;log$=prottop&amp;blast_rank=16&amp;RID=8XKC7BRC016","OXE34399.1")</f>
        <v>OXE34399.1</v>
      </c>
    </row>
    <row r="42" spans="1:5">
      <c r="A42" s="4" t="s">
        <v>15</v>
      </c>
      <c r="B42" s="9">
        <v>0.98</v>
      </c>
      <c r="C42" s="10">
        <v>2E-149</v>
      </c>
      <c r="D42" s="5">
        <v>98.18</v>
      </c>
      <c r="E42" s="5" t="str">
        <f>HYPERLINK("https://www.ncbi.nlm.nih.gov/protein/WP_257878368.1?report=genbank&amp;log$=prottop&amp;blast_rank=30&amp;RID=8XKC7BRC016","WP_257878368.1")</f>
        <v>WP_257878368.1</v>
      </c>
    </row>
    <row r="43" spans="1:5">
      <c r="A43" s="4" t="s">
        <v>17</v>
      </c>
      <c r="B43" s="9">
        <v>0.93</v>
      </c>
      <c r="C43" s="10">
        <v>1.9999999999999999E-148</v>
      </c>
      <c r="D43" s="5">
        <v>98.08</v>
      </c>
      <c r="E43" s="5" t="str">
        <f>HYPERLINK("https://www.ncbi.nlm.nih.gov/protein/WP_253815860.1?report=genbank&amp;log$=prottop&amp;blast_rank=34&amp;RID=8XKC7BRC016","WP_253815860.1")</f>
        <v>WP_253815860.1</v>
      </c>
    </row>
    <row r="44" spans="1:5">
      <c r="A44" s="4" t="s">
        <v>17</v>
      </c>
      <c r="B44" s="9">
        <v>0.93</v>
      </c>
      <c r="C44" s="10">
        <v>9.0000000000000003E-148</v>
      </c>
      <c r="D44" s="5">
        <v>97.8</v>
      </c>
      <c r="E44" s="5" t="str">
        <f>HYPERLINK("https://www.ncbi.nlm.nih.gov/protein/WP_230851768.1?report=genbank&amp;log$=prottop&amp;blast_rank=36&amp;RID=8XKC7BRC016","WP_230851768.1")</f>
        <v>WP_230851768.1</v>
      </c>
    </row>
    <row r="45" spans="1:5">
      <c r="A45" s="4" t="s">
        <v>15</v>
      </c>
      <c r="B45" s="9">
        <v>0.93</v>
      </c>
      <c r="C45" s="10">
        <v>1.0000000000000001E-152</v>
      </c>
      <c r="D45" s="5">
        <v>97.53</v>
      </c>
      <c r="E45" s="5" t="str">
        <f>HYPERLINK("https://www.ncbi.nlm.nih.gov/protein/WP_229651294.1?report=genbank&amp;log$=prottop&amp;blast_rank=23&amp;RID=8XKC7BRC016","WP_229651294.1")</f>
        <v>WP_229651294.1</v>
      </c>
    </row>
    <row r="46" spans="1:5">
      <c r="A46" s="4" t="s">
        <v>15</v>
      </c>
      <c r="B46" s="9">
        <v>0.99</v>
      </c>
      <c r="C46" s="10">
        <v>2E-150</v>
      </c>
      <c r="D46" s="5">
        <v>97.17</v>
      </c>
      <c r="E46" s="5" t="str">
        <f>HYPERLINK("https://www.ncbi.nlm.nih.gov/protein/MBE3973780.1?report=genbank&amp;log$=prottop&amp;blast_rank=28&amp;RID=8XKC7BRC016","MBE3973780.1")</f>
        <v>MBE3973780.1</v>
      </c>
    </row>
    <row r="47" spans="1:5">
      <c r="A47" s="4" t="s">
        <v>15</v>
      </c>
      <c r="B47" s="9">
        <v>1</v>
      </c>
      <c r="C47" s="10">
        <v>6.9999999999999999E-156</v>
      </c>
      <c r="D47" s="5">
        <v>96.4</v>
      </c>
      <c r="E47" s="5" t="str">
        <f>HYPERLINK("https://www.ncbi.nlm.nih.gov/protein/MCF9910767.1?report=genbank&amp;log$=prottop&amp;blast_rank=21&amp;RID=8XKC7BRC016","MCF9910767.1")</f>
        <v>MCF9910767.1</v>
      </c>
    </row>
    <row r="48" spans="1:5">
      <c r="A48" s="4" t="s">
        <v>15</v>
      </c>
      <c r="B48" s="9">
        <v>0.98</v>
      </c>
      <c r="C48" s="10">
        <v>2E-149</v>
      </c>
      <c r="D48" s="5">
        <v>96.07</v>
      </c>
      <c r="E48" s="5" t="str">
        <f>HYPERLINK("https://www.ncbi.nlm.nih.gov/protein/WP_337748904.1?report=genbank&amp;log$=prottop&amp;blast_rank=31&amp;RID=8XKC7BRC016","WP_337748904.1")</f>
        <v>WP_337748904.1</v>
      </c>
    </row>
    <row r="49" spans="1:5">
      <c r="A49" s="4" t="s">
        <v>19</v>
      </c>
      <c r="B49" s="9">
        <v>0.93</v>
      </c>
      <c r="C49" s="10">
        <v>9.9999999999999995E-127</v>
      </c>
      <c r="D49" s="5">
        <v>66.3</v>
      </c>
      <c r="E49" s="5" t="str">
        <f>HYPERLINK("https://www.ncbi.nlm.nih.gov/protein/WP_201959272.1?report=genbank&amp;log$=prottop&amp;blast_rank=45&amp;RID=8XKC7BRC016","WP_201959272.1")</f>
        <v>WP_201959272.1</v>
      </c>
    </row>
    <row r="50" spans="1:5">
      <c r="A50" s="4" t="s">
        <v>18</v>
      </c>
      <c r="B50" s="9">
        <v>0.87</v>
      </c>
      <c r="C50" s="10">
        <v>9.0000000000000006E-129</v>
      </c>
      <c r="D50" s="5">
        <v>53.51</v>
      </c>
      <c r="E50" s="5" t="str">
        <f>HYPERLINK("https://www.ncbi.nlm.nih.gov/protein/WP_285453388.1?report=genbank&amp;log$=prottop&amp;blast_rank=43&amp;RID=8XKC7BRC016","WP_285453388.1")</f>
        <v>WP_285453388.1</v>
      </c>
    </row>
    <row r="51" spans="1:5">
      <c r="A51" s="4" t="s">
        <v>15</v>
      </c>
      <c r="B51" s="9">
        <v>0.87</v>
      </c>
      <c r="C51" s="10">
        <v>2.0000000000000001E-128</v>
      </c>
      <c r="D51" s="5">
        <v>53.51</v>
      </c>
      <c r="E51" s="5" t="str">
        <f>HYPERLINK("https://www.ncbi.nlm.nih.gov/protein/WP_140048737.1?report=genbank&amp;log$=prottop&amp;blast_rank=44&amp;RID=8XKC7BRC016","WP_140048737.1")</f>
        <v>WP_140048737.1</v>
      </c>
    </row>
    <row r="52" spans="1:5">
      <c r="A52" s="4" t="s">
        <v>20</v>
      </c>
      <c r="B52" s="9">
        <v>0.86</v>
      </c>
      <c r="C52" s="10">
        <v>1.0000000000000001E-114</v>
      </c>
      <c r="D52" s="5">
        <v>52.38</v>
      </c>
      <c r="E52" s="5" t="str">
        <f>HYPERLINK("https://www.ncbi.nlm.nih.gov/protein/WP_182927530.1?report=genbank&amp;log$=prottop&amp;blast_rank=46&amp;RID=8XKC7BRC016","WP_182927530.1")</f>
        <v>WP_182927530.1</v>
      </c>
    </row>
    <row r="53" spans="1:5">
      <c r="A53" s="4" t="s">
        <v>25</v>
      </c>
      <c r="B53" s="9">
        <v>0.89</v>
      </c>
      <c r="C53" s="10">
        <v>3.0000000000000001E-93</v>
      </c>
      <c r="D53" s="5">
        <v>32.03</v>
      </c>
      <c r="E53" s="5" t="str">
        <f>HYPERLINK("https://www.ncbi.nlm.nih.gov/protein/MBE5967641.1?report=genbank&amp;log$=prottop&amp;blast_rank=62&amp;RID=8XKC7BRC016","MBE5967641.1")</f>
        <v>MBE5967641.1</v>
      </c>
    </row>
    <row r="54" spans="1:5">
      <c r="A54" s="4" t="s">
        <v>26</v>
      </c>
      <c r="B54" s="9">
        <v>0.89</v>
      </c>
      <c r="C54" s="10">
        <v>7.0000000000000003E-103</v>
      </c>
      <c r="D54" s="5">
        <v>28.93</v>
      </c>
      <c r="E54" s="5" t="str">
        <f>HYPERLINK("https://www.ncbi.nlm.nih.gov/protein/MBU5462205.1?report=genbank&amp;log$=prottop&amp;blast_rank=52&amp;RID=8XKC7BRC016","MBU5462205.1")</f>
        <v>MBU5462205.1</v>
      </c>
    </row>
    <row r="55" spans="1:5">
      <c r="A55" s="4" t="s">
        <v>26</v>
      </c>
      <c r="B55" s="9">
        <v>0.89</v>
      </c>
      <c r="C55" s="10">
        <v>3E-102</v>
      </c>
      <c r="D55" s="5">
        <v>28.93</v>
      </c>
      <c r="E55" s="5" t="str">
        <f>HYPERLINK("https://www.ncbi.nlm.nih.gov/protein/WP_216523777.1?report=genbank&amp;log$=prottop&amp;blast_rank=53&amp;RID=8XKC7BRC016","WP_216523777.1")</f>
        <v>WP_216523777.1</v>
      </c>
    </row>
    <row r="56" spans="1:5">
      <c r="A56" s="4" t="s">
        <v>30</v>
      </c>
      <c r="B56" s="9">
        <v>0.92</v>
      </c>
      <c r="C56" s="10">
        <v>5.9999999999999999E-89</v>
      </c>
      <c r="D56" s="5">
        <v>28.91</v>
      </c>
      <c r="E56" s="5" t="str">
        <f>HYPERLINK("https://www.ncbi.nlm.nih.gov/protein/WP_243249702.1?report=genbank&amp;log$=prottop&amp;blast_rank=64&amp;RID=8XKC7BRC016","WP_243249702.1")</f>
        <v>WP_243249702.1</v>
      </c>
    </row>
    <row r="57" spans="1:5">
      <c r="A57" s="4" t="s">
        <v>31</v>
      </c>
      <c r="B57" s="9">
        <v>0.92</v>
      </c>
      <c r="C57" s="10">
        <v>6.9999999999999994E-89</v>
      </c>
      <c r="D57" s="5">
        <v>28.91</v>
      </c>
      <c r="E57" s="5" t="str">
        <f>HYPERLINK("https://www.ncbi.nlm.nih.gov/protein/WP_039698928.1?report=genbank&amp;log$=prottop&amp;blast_rank=65&amp;RID=8XKC7BRC016","WP_039698928.1")</f>
        <v>WP_039698928.1</v>
      </c>
    </row>
    <row r="58" spans="1:5">
      <c r="A58" s="4" t="s">
        <v>30</v>
      </c>
      <c r="B58" s="9">
        <v>0.92</v>
      </c>
      <c r="C58" s="10">
        <v>9.9999999999999993E-89</v>
      </c>
      <c r="D58" s="5">
        <v>28.91</v>
      </c>
      <c r="E58" s="5" t="str">
        <f>HYPERLINK("https://www.ncbi.nlm.nih.gov/protein/WP_012720185.1?report=genbank&amp;log$=prottop&amp;blast_rank=66&amp;RID=8XKC7BRC016","WP_012720185.1")</f>
        <v>WP_012720185.1</v>
      </c>
    </row>
    <row r="59" spans="1:5">
      <c r="A59" s="4" t="s">
        <v>33</v>
      </c>
      <c r="B59" s="9">
        <v>0.92</v>
      </c>
      <c r="C59" s="10">
        <v>1E-87</v>
      </c>
      <c r="D59" s="5">
        <v>28.38</v>
      </c>
      <c r="E59" s="5" t="str">
        <f>HYPERLINK("https://www.ncbi.nlm.nih.gov/protein/WP_236900196.1?report=genbank&amp;log$=prottop&amp;blast_rank=69&amp;RID=8XKC7BRC016","WP_236900196.1")</f>
        <v>WP_236900196.1</v>
      </c>
    </row>
    <row r="60" spans="1:5">
      <c r="A60" s="4" t="s">
        <v>30</v>
      </c>
      <c r="B60" s="9">
        <v>0.92</v>
      </c>
      <c r="C60" s="10">
        <v>5.0000000000000004E-87</v>
      </c>
      <c r="D60" s="5">
        <v>28.38</v>
      </c>
      <c r="E60" s="5" t="str">
        <f>HYPERLINK("https://www.ncbi.nlm.nih.gov/protein/WP_256972941.1?report=genbank&amp;log$=prottop&amp;blast_rank=71&amp;RID=8XKC7BRC016","WP_256972941.1")</f>
        <v>WP_256972941.1</v>
      </c>
    </row>
    <row r="61" spans="1:5">
      <c r="A61" s="4" t="s">
        <v>25</v>
      </c>
      <c r="B61" s="9">
        <v>0.92</v>
      </c>
      <c r="C61" s="10">
        <v>9.9999999999999996E-104</v>
      </c>
      <c r="D61" s="5">
        <v>28.22</v>
      </c>
      <c r="E61" s="5" t="str">
        <f>HYPERLINK("https://www.ncbi.nlm.nih.gov/protein/MCI6533323.1?report=genbank&amp;log$=prottop&amp;blast_rank=51&amp;RID=8XKC7BRC016","MCI6533323.1")</f>
        <v>MCI6533323.1</v>
      </c>
    </row>
    <row r="62" spans="1:5">
      <c r="A62" s="4" t="s">
        <v>34</v>
      </c>
      <c r="B62" s="9">
        <v>0.9</v>
      </c>
      <c r="C62" s="10">
        <v>2E-87</v>
      </c>
      <c r="D62" s="5">
        <v>27.4</v>
      </c>
      <c r="E62" s="5" t="str">
        <f>HYPERLINK("https://www.ncbi.nlm.nih.gov/protein/NCC70523.1?report=genbank&amp;log$=prottop&amp;blast_rank=70&amp;RID=8XKC7BRC016","NCC70523.1")</f>
        <v>NCC70523.1</v>
      </c>
    </row>
    <row r="63" spans="1:5">
      <c r="A63" s="4" t="s">
        <v>37</v>
      </c>
      <c r="B63" s="9">
        <v>0.8</v>
      </c>
      <c r="C63" s="10">
        <v>7E-72</v>
      </c>
      <c r="D63" s="5">
        <v>26.93</v>
      </c>
      <c r="E63" s="5" t="str">
        <f>HYPERLINK("https://www.ncbi.nlm.nih.gov/protein/WP_318721730.1?report=genbank&amp;log$=prottop&amp;blast_rank=74&amp;RID=8XKC7BRC016","WP_318721730.1")</f>
        <v>WP_318721730.1</v>
      </c>
    </row>
    <row r="64" spans="1:5">
      <c r="A64" s="4" t="s">
        <v>32</v>
      </c>
      <c r="B64" s="9">
        <v>0.91</v>
      </c>
      <c r="C64" s="10">
        <v>1.9999999999999999E-88</v>
      </c>
      <c r="D64" s="5">
        <v>26.8</v>
      </c>
      <c r="E64" s="5" t="str">
        <f>HYPERLINK("https://www.ncbi.nlm.nih.gov/protein/WP_253060142.1?report=genbank&amp;log$=prottop&amp;blast_rank=67&amp;RID=8XKC7BRC016","WP_253060142.1")</f>
        <v>WP_253060142.1</v>
      </c>
    </row>
    <row r="65" spans="1:5">
      <c r="A65" s="4" t="s">
        <v>36</v>
      </c>
      <c r="B65" s="9">
        <v>0.86</v>
      </c>
      <c r="C65" s="10">
        <v>4.9999999999999998E-73</v>
      </c>
      <c r="D65" s="5">
        <v>26.74</v>
      </c>
      <c r="E65" s="5" t="str">
        <f>HYPERLINK("https://www.ncbi.nlm.nih.gov/protein/WP_278743881.1?report=genbank&amp;log$=prottop&amp;blast_rank=73&amp;RID=8XKC7BRC016","WP_278743881.1")</f>
        <v>WP_278743881.1</v>
      </c>
    </row>
    <row r="66" spans="1:5">
      <c r="A66" s="4" t="s">
        <v>35</v>
      </c>
      <c r="B66" s="9">
        <v>0.96</v>
      </c>
      <c r="C66" s="10">
        <v>4.0000000000000003E-86</v>
      </c>
      <c r="D66" s="5">
        <v>26.68</v>
      </c>
      <c r="E66" s="5" t="str">
        <f>HYPERLINK("https://www.ncbi.nlm.nih.gov/protein/WP_316102049.1?report=genbank&amp;log$=prottop&amp;blast_rank=72&amp;RID=8XKC7BRC016","WP_316102049.1")</f>
        <v>WP_316102049.1</v>
      </c>
    </row>
    <row r="67" spans="1:5">
      <c r="A67" s="4" t="s">
        <v>29</v>
      </c>
      <c r="B67" s="9">
        <v>0.92</v>
      </c>
      <c r="C67" s="10">
        <v>4.0000000000000001E-100</v>
      </c>
      <c r="D67" s="5">
        <v>26.3</v>
      </c>
      <c r="E67" s="5" t="str">
        <f>HYPERLINK("https://www.ncbi.nlm.nih.gov/protein/WP_329968559.1?report=genbank&amp;log$=prottop&amp;blast_rank=56&amp;RID=8XKC7BRC016","WP_329968559.1")</f>
        <v>WP_329968559.1</v>
      </c>
    </row>
    <row r="68" spans="1:5">
      <c r="A68" s="4" t="s">
        <v>32</v>
      </c>
      <c r="B68" s="9">
        <v>0.91</v>
      </c>
      <c r="C68" s="10">
        <v>5.9999999999999999E-88</v>
      </c>
      <c r="D68" s="5">
        <v>26.24</v>
      </c>
      <c r="E68" s="5" t="str">
        <f>HYPERLINK("https://www.ncbi.nlm.nih.gov/protein/MEE0818803.1?report=genbank&amp;log$=prottop&amp;blast_rank=68&amp;RID=8XKC7BRC016","MEE0818803.1")</f>
        <v>MEE0818803.1</v>
      </c>
    </row>
    <row r="69" spans="1:5">
      <c r="A69" s="4" t="s">
        <v>25</v>
      </c>
      <c r="B69" s="9">
        <v>0.82</v>
      </c>
      <c r="C69" s="10">
        <v>8.9999999999999994E-55</v>
      </c>
      <c r="D69" s="5">
        <v>25.84</v>
      </c>
      <c r="E69" s="5" t="str">
        <f>HYPERLINK("https://www.ncbi.nlm.nih.gov/protein/MCI8408949.1?report=genbank&amp;log$=prottop&amp;blast_rank=75&amp;RID=8XKC7BRC016","MCI8408949.1")</f>
        <v>MCI8408949.1</v>
      </c>
    </row>
    <row r="70" spans="1:5">
      <c r="A70" s="4" t="s">
        <v>27</v>
      </c>
      <c r="B70" s="9">
        <v>0.89</v>
      </c>
      <c r="C70" s="10">
        <v>3.0000000000000001E-100</v>
      </c>
      <c r="D70" s="5">
        <v>25.83</v>
      </c>
      <c r="E70" s="5" t="str">
        <f>HYPERLINK("https://www.ncbi.nlm.nih.gov/protein/WP_154300560.1?report=genbank&amp;log$=prottop&amp;blast_rank=54&amp;RID=8XKC7BRC016","WP_154300560.1")</f>
        <v>WP_154300560.1</v>
      </c>
    </row>
    <row r="71" spans="1:5">
      <c r="A71" s="4" t="s">
        <v>28</v>
      </c>
      <c r="B71" s="9">
        <v>0.9</v>
      </c>
      <c r="C71" s="10">
        <v>4.0000000000000001E-100</v>
      </c>
      <c r="D71" s="5">
        <v>25.82</v>
      </c>
      <c r="E71" s="5" t="str">
        <f>HYPERLINK("https://www.ncbi.nlm.nih.gov/protein/WP_129900376.1?report=genbank&amp;log$=prottop&amp;blast_rank=55&amp;RID=8XKC7BRC016","WP_129900376.1")</f>
        <v>WP_129900376.1</v>
      </c>
    </row>
    <row r="72" spans="1:5">
      <c r="A72" s="4" t="s">
        <v>27</v>
      </c>
      <c r="B72" s="9">
        <v>0.89</v>
      </c>
      <c r="C72" s="10">
        <v>5.0000000000000001E-100</v>
      </c>
      <c r="D72" s="5">
        <v>25.56</v>
      </c>
      <c r="E72" s="5" t="str">
        <f>HYPERLINK("https://www.ncbi.nlm.nih.gov/protein/WP_147359796.1?report=genbank&amp;log$=prottop&amp;blast_rank=57&amp;RID=8XKC7BRC016","WP_147359796.1")</f>
        <v>WP_147359796.1</v>
      </c>
    </row>
    <row r="73" spans="1:5">
      <c r="A73" s="4" t="s">
        <v>27</v>
      </c>
      <c r="B73" s="9">
        <v>0.89</v>
      </c>
      <c r="C73" s="10">
        <v>2E-99</v>
      </c>
      <c r="D73" s="5">
        <v>25.56</v>
      </c>
      <c r="E73" s="5" t="str">
        <f>HYPERLINK("https://www.ncbi.nlm.nih.gov/protein/CUQ75334.1?report=genbank&amp;log$=prottop&amp;blast_rank=59&amp;RID=8XKC7BRC016","CUQ75334.1")</f>
        <v>CUQ75334.1</v>
      </c>
    </row>
    <row r="74" spans="1:5">
      <c r="A74" s="4" t="s">
        <v>27</v>
      </c>
      <c r="B74" s="9">
        <v>0.89</v>
      </c>
      <c r="C74" s="10">
        <v>3.0000000000000001E-99</v>
      </c>
      <c r="D74" s="5">
        <v>25.56</v>
      </c>
      <c r="E74" s="5" t="str">
        <f>HYPERLINK("https://www.ncbi.nlm.nih.gov/protein/WP_156327269.1?report=genbank&amp;log$=prottop&amp;blast_rank=61&amp;RID=8XKC7BRC016","WP_156327269.1")</f>
        <v>WP_156327269.1</v>
      </c>
    </row>
    <row r="75" spans="1:5">
      <c r="A75" s="4" t="s">
        <v>22</v>
      </c>
      <c r="B75" s="9">
        <v>0.91</v>
      </c>
      <c r="C75" s="10">
        <v>2E-109</v>
      </c>
      <c r="D75" s="5">
        <v>25.54</v>
      </c>
      <c r="E75" s="5" t="str">
        <f>HYPERLINK("https://www.ncbi.nlm.nih.gov/protein/MBS5260463.1?report=genbank&amp;log$=prottop&amp;blast_rank=48&amp;RID=8XKC7BRC016","MBS5260463.1")</f>
        <v>MBS5260463.1</v>
      </c>
    </row>
    <row r="76" spans="1:5">
      <c r="A76" s="4" t="s">
        <v>24</v>
      </c>
      <c r="B76" s="9">
        <v>0.87</v>
      </c>
      <c r="C76" s="10">
        <v>1.9999999999999999E-104</v>
      </c>
      <c r="D76" s="5">
        <v>25.36</v>
      </c>
      <c r="E76" s="5" t="str">
        <f>HYPERLINK("https://www.ncbi.nlm.nih.gov/protein/WP_155177400.1?report=genbank&amp;log$=prottop&amp;blast_rank=50&amp;RID=8XKC7BRC016","WP_155177400.1")</f>
        <v>WP_155177400.1</v>
      </c>
    </row>
    <row r="77" spans="1:5">
      <c r="A77" s="4" t="s">
        <v>21</v>
      </c>
      <c r="B77" s="9">
        <v>0.9</v>
      </c>
      <c r="C77" s="10">
        <v>9.9999999999999999E-110</v>
      </c>
      <c r="D77" s="5">
        <v>25.28</v>
      </c>
      <c r="E77" s="5" t="str">
        <f>HYPERLINK("https://www.ncbi.nlm.nih.gov/protein/MBQ4648470.1?report=genbank&amp;log$=prottop&amp;blast_rank=47&amp;RID=8XKC7BRC016","MBQ4648470.1")</f>
        <v>MBQ4648470.1</v>
      </c>
    </row>
    <row r="78" spans="1:5">
      <c r="A78" s="4" t="s">
        <v>24</v>
      </c>
      <c r="B78" s="9">
        <v>0.84</v>
      </c>
      <c r="C78" s="10">
        <v>2E-99</v>
      </c>
      <c r="D78" s="5">
        <v>25.15</v>
      </c>
      <c r="E78" s="5" t="str">
        <f>HYPERLINK("https://www.ncbi.nlm.nih.gov/protein/WP_195592434.1?report=genbank&amp;log$=prottop&amp;blast_rank=60&amp;RID=8XKC7BRC016","WP_195592434.1")</f>
        <v>WP_195592434.1</v>
      </c>
    </row>
    <row r="79" spans="1:5">
      <c r="A79" s="4" t="s">
        <v>25</v>
      </c>
      <c r="B79" s="9">
        <v>0.9</v>
      </c>
      <c r="C79" s="10">
        <v>6.0000000000000001E-100</v>
      </c>
      <c r="D79" s="5">
        <v>24.65</v>
      </c>
      <c r="E79" s="5" t="str">
        <f>HYPERLINK("https://www.ncbi.nlm.nih.gov/protein/MBP3620242.1?report=genbank&amp;log$=prottop&amp;blast_rank=58&amp;RID=8XKC7BRC016","MBP3620242.1")</f>
        <v>MBP3620242.1</v>
      </c>
    </row>
    <row r="80" spans="1:5">
      <c r="A80" s="4" t="s">
        <v>25</v>
      </c>
      <c r="B80" s="9">
        <v>0.95</v>
      </c>
      <c r="C80" s="10">
        <v>2.9999999999999999E-89</v>
      </c>
      <c r="D80" s="5">
        <v>24.42</v>
      </c>
      <c r="E80" s="5" t="str">
        <f>HYPERLINK("https://www.ncbi.nlm.nih.gov/protein/NBI89749.1?report=genbank&amp;log$=prottop&amp;blast_rank=63&amp;RID=8XKC7BRC016","NBI89749.1")</f>
        <v>NBI89749.1</v>
      </c>
    </row>
    <row r="81" spans="1:5">
      <c r="A81" s="4" t="s">
        <v>23</v>
      </c>
      <c r="B81" s="9">
        <v>0.92</v>
      </c>
      <c r="C81" s="10">
        <v>2.9999999999999997E-107</v>
      </c>
      <c r="D81" s="5">
        <v>23.91</v>
      </c>
      <c r="E81" s="5" t="str">
        <f>HYPERLINK("https://www.ncbi.nlm.nih.gov/protein/WP_066866123.1?report=genbank&amp;log$=prottop&amp;blast_rank=49&amp;RID=8XKC7BRC016","WP_066866123.1")</f>
        <v>WP_066866123.1</v>
      </c>
    </row>
  </sheetData>
  <sortState xmlns:xlrd2="http://schemas.microsoft.com/office/spreadsheetml/2017/richdata2" ref="A7:E81">
    <sortCondition descending="1" ref="D7:D8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F30CB-41D5-7F4E-A2B5-1B0C9B2311D2}">
  <dimension ref="A1:E284"/>
  <sheetViews>
    <sheetView workbookViewId="0">
      <selection activeCell="A5" sqref="A5:XFD6"/>
    </sheetView>
  </sheetViews>
  <sheetFormatPr baseColWidth="10" defaultRowHeight="16"/>
  <cols>
    <col min="1" max="1" width="30.83203125" style="4" customWidth="1"/>
    <col min="2" max="5" width="30.83203125" style="5" customWidth="1"/>
    <col min="6" max="16384" width="10.83203125" style="4"/>
  </cols>
  <sheetData>
    <row r="1" spans="1:5" s="26" customFormat="1" ht="18">
      <c r="A1" s="26" t="s">
        <v>7</v>
      </c>
      <c r="B1" s="27"/>
      <c r="C1" s="27"/>
      <c r="D1" s="27"/>
      <c r="E1" s="27"/>
    </row>
    <row r="2" spans="1:5" s="26" customFormat="1" ht="18">
      <c r="A2" s="26" t="s">
        <v>8</v>
      </c>
      <c r="B2" s="27"/>
      <c r="C2" s="27"/>
      <c r="D2" s="27"/>
      <c r="E2" s="27"/>
    </row>
    <row r="3" spans="1:5" s="26" customFormat="1" ht="18">
      <c r="A3" s="26" t="s">
        <v>9</v>
      </c>
      <c r="B3" s="27"/>
      <c r="C3" s="27"/>
      <c r="D3" s="27"/>
      <c r="E3" s="27"/>
    </row>
    <row r="6" spans="1:5" s="7" customFormat="1">
      <c r="A6" s="7" t="s">
        <v>10</v>
      </c>
      <c r="B6" s="8" t="s">
        <v>11</v>
      </c>
      <c r="C6" s="8" t="s">
        <v>12</v>
      </c>
      <c r="D6" s="8" t="s">
        <v>13</v>
      </c>
      <c r="E6" s="8" t="s">
        <v>14</v>
      </c>
    </row>
    <row r="7" spans="1:5">
      <c r="A7" s="4" t="s">
        <v>15</v>
      </c>
      <c r="B7" s="9">
        <v>1</v>
      </c>
      <c r="C7" s="10">
        <v>9E-157</v>
      </c>
      <c r="D7" s="5">
        <v>100</v>
      </c>
      <c r="E7" s="5" t="str">
        <f>HYPERLINK("https://www.ncbi.nlm.nih.gov/protein/WP_005464673.1?report=genbank&amp;log$=prottop&amp;blast_rank=5&amp;RID=8XM7PST5016","WP_005464673.1")</f>
        <v>WP_005464673.1</v>
      </c>
    </row>
    <row r="8" spans="1:5">
      <c r="A8" s="4" t="s">
        <v>15</v>
      </c>
      <c r="B8" s="9">
        <v>0.94</v>
      </c>
      <c r="C8" s="10">
        <v>1.9999999999999999E-147</v>
      </c>
      <c r="D8" s="5">
        <v>100</v>
      </c>
      <c r="E8" s="5" t="str">
        <f>HYPERLINK("https://www.ncbi.nlm.nih.gov/protein/WP_073514060.1?report=genbank&amp;log$=prottop&amp;blast_rank=34&amp;RID=8XM7PST5016","WP_073514060.1")</f>
        <v>WP_073514060.1</v>
      </c>
    </row>
    <row r="9" spans="1:5">
      <c r="A9" s="4" t="s">
        <v>42</v>
      </c>
      <c r="B9" s="9">
        <v>1</v>
      </c>
      <c r="C9" s="10">
        <v>6E-157</v>
      </c>
      <c r="D9" s="5">
        <v>99.63</v>
      </c>
      <c r="E9" s="5" t="str">
        <f>HYPERLINK("https://www.ncbi.nlm.nih.gov/protein/WP_053809172.1?report=genbank&amp;log$=prottop&amp;blast_rank=3&amp;RID=8XM7PST5016","WP_053809172.1")</f>
        <v>WP_053809172.1</v>
      </c>
    </row>
    <row r="10" spans="1:5">
      <c r="A10" s="4" t="s">
        <v>15</v>
      </c>
      <c r="B10" s="9">
        <v>1</v>
      </c>
      <c r="C10" s="10">
        <v>3.0000000000000002E-156</v>
      </c>
      <c r="D10" s="5">
        <v>99.63</v>
      </c>
      <c r="E10" s="5" t="str">
        <f>HYPERLINK("https://www.ncbi.nlm.nih.gov/protein/EGR3396127.1?report=genbank&amp;log$=prottop&amp;blast_rank=12&amp;RID=8XM7PST5016","EGR3396127.1")</f>
        <v>EGR3396127.1</v>
      </c>
    </row>
    <row r="11" spans="1:5">
      <c r="A11" s="4" t="s">
        <v>15</v>
      </c>
      <c r="B11" s="9">
        <v>1</v>
      </c>
      <c r="C11" s="10">
        <v>1E-155</v>
      </c>
      <c r="D11" s="5">
        <v>99.63</v>
      </c>
      <c r="E11" s="5" t="str">
        <f>HYPERLINK("https://www.ncbi.nlm.nih.gov/protein/WP_265572534.1?report=genbank&amp;log$=prottop&amp;blast_rank=18&amp;RID=8XM7PST5016","WP_265572534.1")</f>
        <v>WP_265572534.1</v>
      </c>
    </row>
    <row r="12" spans="1:5">
      <c r="A12" s="4" t="s">
        <v>15</v>
      </c>
      <c r="B12" s="9">
        <v>1</v>
      </c>
      <c r="C12" s="10">
        <v>2E-155</v>
      </c>
      <c r="D12" s="5">
        <v>99.63</v>
      </c>
      <c r="E12" s="5" t="str">
        <f>HYPERLINK("https://www.ncbi.nlm.nih.gov/protein/HAS6620344.1?report=genbank&amp;log$=prottop&amp;blast_rank=21&amp;RID=8XM7PST5016","HAS6620344.1")</f>
        <v>HAS6620344.1</v>
      </c>
    </row>
    <row r="13" spans="1:5">
      <c r="A13" s="4" t="s">
        <v>44</v>
      </c>
      <c r="B13" s="9">
        <v>1</v>
      </c>
      <c r="C13" s="10">
        <v>2.0000000000000001E-156</v>
      </c>
      <c r="D13" s="5">
        <v>99.27</v>
      </c>
      <c r="E13" s="5" t="str">
        <f>HYPERLINK("https://www.ncbi.nlm.nih.gov/protein/CAH8189747.1?report=genbank&amp;log$=prottop&amp;blast_rank=8&amp;RID=8XM7PST5016","CAH8189747.1")</f>
        <v>CAH8189747.1</v>
      </c>
    </row>
    <row r="14" spans="1:5">
      <c r="A14" s="4" t="s">
        <v>15</v>
      </c>
      <c r="B14" s="9">
        <v>1</v>
      </c>
      <c r="C14" s="10">
        <v>2.0000000000000001E-156</v>
      </c>
      <c r="D14" s="5">
        <v>99.27</v>
      </c>
      <c r="E14" s="5" t="str">
        <f>HYPERLINK("https://www.ncbi.nlm.nih.gov/protein/WP_353515317.1?report=genbank&amp;log$=prottop&amp;blast_rank=9&amp;RID=8XM7PST5016","WP_353515317.1")</f>
        <v>WP_353515317.1</v>
      </c>
    </row>
    <row r="15" spans="1:5">
      <c r="A15" s="4" t="s">
        <v>18</v>
      </c>
      <c r="B15" s="9">
        <v>1</v>
      </c>
      <c r="C15" s="10">
        <v>2.0000000000000001E-156</v>
      </c>
      <c r="D15" s="5">
        <v>99.27</v>
      </c>
      <c r="E15" s="5" t="str">
        <f>HYPERLINK("https://www.ncbi.nlm.nih.gov/protein/ELR8704666.1?report=genbank&amp;log$=prottop&amp;blast_rank=10&amp;RID=8XM7PST5016","ELR8704666.1")</f>
        <v>ELR8704666.1</v>
      </c>
    </row>
    <row r="16" spans="1:5">
      <c r="A16" s="4" t="s">
        <v>45</v>
      </c>
      <c r="B16" s="9">
        <v>1</v>
      </c>
      <c r="C16" s="10">
        <v>3.0000000000000002E-156</v>
      </c>
      <c r="D16" s="5">
        <v>99.27</v>
      </c>
      <c r="E16" s="5" t="str">
        <f>HYPERLINK("https://www.ncbi.nlm.nih.gov/protein/WP_237285524.1?report=genbank&amp;log$=prottop&amp;blast_rank=11&amp;RID=8XM7PST5016","WP_237285524.1")</f>
        <v>WP_237285524.1</v>
      </c>
    </row>
    <row r="17" spans="1:5">
      <c r="A17" s="4" t="s">
        <v>15</v>
      </c>
      <c r="B17" s="9">
        <v>1</v>
      </c>
      <c r="C17" s="10">
        <v>3.9999999999999999E-154</v>
      </c>
      <c r="D17" s="5">
        <v>99.27</v>
      </c>
      <c r="E17" s="5" t="str">
        <f>HYPERLINK("https://www.ncbi.nlm.nih.gov/protein/WP_058966885.1?report=genbank&amp;log$=prottop&amp;blast_rank=28&amp;RID=8XM7PST5016","WP_058966885.1")</f>
        <v>WP_058966885.1</v>
      </c>
    </row>
    <row r="18" spans="1:5">
      <c r="A18" s="4" t="s">
        <v>114</v>
      </c>
      <c r="B18" s="9">
        <v>0.82</v>
      </c>
      <c r="C18" s="10">
        <v>6.0000000000000001E-122</v>
      </c>
      <c r="D18" s="5">
        <v>99.11</v>
      </c>
      <c r="E18" s="5" t="str">
        <f>HYPERLINK("https://www.ncbi.nlm.nih.gov/protein/WP_258106043.1?report=genbank&amp;log$=prottop&amp;blast_rank=97&amp;RID=8XM7PST5016","WP_258106043.1")</f>
        <v>WP_258106043.1</v>
      </c>
    </row>
    <row r="19" spans="1:5">
      <c r="A19" s="4" t="s">
        <v>41</v>
      </c>
      <c r="B19" s="9">
        <v>1</v>
      </c>
      <c r="C19" s="10">
        <v>9.9999999999999997E-155</v>
      </c>
      <c r="D19" s="5">
        <v>98.91</v>
      </c>
      <c r="E19" s="5" t="str">
        <f>HYPERLINK("https://www.ncbi.nlm.nih.gov/protein/WP_199450651.1?report=genbank&amp;log$=prottop&amp;blast_rank=26&amp;RID=8XM7PST5016","WP_199450651.1")</f>
        <v>WP_199450651.1</v>
      </c>
    </row>
    <row r="20" spans="1:5">
      <c r="A20" s="4" t="s">
        <v>41</v>
      </c>
      <c r="B20" s="9">
        <v>1</v>
      </c>
      <c r="C20" s="10">
        <v>9E-157</v>
      </c>
      <c r="D20" s="5">
        <v>98.9</v>
      </c>
      <c r="E20" s="5" t="str">
        <f>HYPERLINK("https://www.ncbi.nlm.nih.gov/protein/ELI0637506.1?report=genbank&amp;log$=prottop&amp;blast_rank=6&amp;RID=8XM7PST5016","ELI0637506.1")</f>
        <v>ELI0637506.1</v>
      </c>
    </row>
    <row r="21" spans="1:5">
      <c r="A21" s="4" t="s">
        <v>46</v>
      </c>
      <c r="B21" s="9">
        <v>1</v>
      </c>
      <c r="C21" s="10">
        <v>6.0000000000000005E-156</v>
      </c>
      <c r="D21" s="5">
        <v>98.9</v>
      </c>
      <c r="E21" s="5" t="str">
        <f>HYPERLINK("https://www.ncbi.nlm.nih.gov/protein/WP_217555859.1?report=genbank&amp;log$=prottop&amp;blast_rank=16&amp;RID=8XM7PST5016","WP_217555859.1")</f>
        <v>WP_217555859.1</v>
      </c>
    </row>
    <row r="22" spans="1:5">
      <c r="A22" s="4" t="s">
        <v>15</v>
      </c>
      <c r="B22" s="9">
        <v>1</v>
      </c>
      <c r="C22" s="10">
        <v>2E-155</v>
      </c>
      <c r="D22" s="5">
        <v>98.55</v>
      </c>
      <c r="E22" s="5" t="str">
        <f>HYPERLINK("https://www.ncbi.nlm.nih.gov/protein/WP_140100996.1?report=genbank&amp;log$=prottop&amp;blast_rank=20&amp;RID=8XM7PST5016","WP_140100996.1")</f>
        <v>WP_140100996.1</v>
      </c>
    </row>
    <row r="23" spans="1:5">
      <c r="A23" s="4" t="s">
        <v>41</v>
      </c>
      <c r="B23" s="9">
        <v>1</v>
      </c>
      <c r="C23" s="10">
        <v>3.9999999999999998E-157</v>
      </c>
      <c r="D23" s="5">
        <v>98.53</v>
      </c>
      <c r="E23" s="5" t="str">
        <f>HYPERLINK("https://www.ncbi.nlm.nih.gov/protein/WP_050939673.1?report=genbank&amp;log$=prottop&amp;blast_rank=2&amp;RID=8XM7PST5016","WP_050939673.1")</f>
        <v>WP_050939673.1</v>
      </c>
    </row>
    <row r="24" spans="1:5">
      <c r="A24" s="4" t="s">
        <v>43</v>
      </c>
      <c r="B24" s="9">
        <v>1</v>
      </c>
      <c r="C24" s="10">
        <v>5.0000000000000001E-156</v>
      </c>
      <c r="D24" s="5">
        <v>98.53</v>
      </c>
      <c r="E24" s="5" t="str">
        <f>HYPERLINK("https://www.ncbi.nlm.nih.gov/protein/WP_225474311.1?report=genbank&amp;log$=prottop&amp;blast_rank=13&amp;RID=8XM7PST5016","WP_225474311.1")</f>
        <v>WP_225474311.1</v>
      </c>
    </row>
    <row r="25" spans="1:5">
      <c r="A25" s="4" t="s">
        <v>42</v>
      </c>
      <c r="B25" s="9">
        <v>1</v>
      </c>
      <c r="C25" s="10">
        <v>5.0000000000000001E-156</v>
      </c>
      <c r="D25" s="5">
        <v>98.53</v>
      </c>
      <c r="E25" s="5" t="str">
        <f>HYPERLINK("https://www.ncbi.nlm.nih.gov/protein/WP_045373287.1?report=genbank&amp;log$=prottop&amp;blast_rank=14&amp;RID=8XM7PST5016","WP_045373287.1")</f>
        <v>WP_045373287.1</v>
      </c>
    </row>
    <row r="26" spans="1:5">
      <c r="A26" s="4" t="s">
        <v>41</v>
      </c>
      <c r="B26" s="9">
        <v>1</v>
      </c>
      <c r="C26" s="10">
        <v>5.0000000000000001E-156</v>
      </c>
      <c r="D26" s="5">
        <v>98.53</v>
      </c>
      <c r="E26" s="5" t="str">
        <f>HYPERLINK("https://www.ncbi.nlm.nih.gov/protein/WP_289881249.1?report=genbank&amp;log$=prottop&amp;blast_rank=15&amp;RID=8XM7PST5016","WP_289881249.1")</f>
        <v>WP_289881249.1</v>
      </c>
    </row>
    <row r="27" spans="1:5">
      <c r="A27" s="4" t="s">
        <v>18</v>
      </c>
      <c r="B27" s="9">
        <v>1</v>
      </c>
      <c r="C27" s="10">
        <v>1.9999999999999999E-157</v>
      </c>
      <c r="D27" s="5">
        <v>98.17</v>
      </c>
      <c r="E27" s="5" t="str">
        <f>HYPERLINK("https://www.ncbi.nlm.nih.gov/protein/EJV9424523.1?report=genbank&amp;log$=prottop&amp;blast_rank=1&amp;RID=8XM7PST5016","EJV9424523.1")</f>
        <v>EJV9424523.1</v>
      </c>
    </row>
    <row r="28" spans="1:5">
      <c r="A28" s="4" t="s">
        <v>15</v>
      </c>
      <c r="B28" s="9">
        <v>1</v>
      </c>
      <c r="C28" s="10">
        <v>6E-157</v>
      </c>
      <c r="D28" s="5">
        <v>98.17</v>
      </c>
      <c r="E28" s="5" t="str">
        <f>HYPERLINK("https://www.ncbi.nlm.nih.gov/protein/TBT82642.1?report=genbank&amp;log$=prottop&amp;blast_rank=4&amp;RID=8XM7PST5016","TBT82642.1")</f>
        <v>TBT82642.1</v>
      </c>
    </row>
    <row r="29" spans="1:5">
      <c r="A29" s="4" t="s">
        <v>43</v>
      </c>
      <c r="B29" s="9">
        <v>1</v>
      </c>
      <c r="C29" s="10">
        <v>2.0000000000000001E-156</v>
      </c>
      <c r="D29" s="5">
        <v>97.8</v>
      </c>
      <c r="E29" s="5" t="str">
        <f>HYPERLINK("https://www.ncbi.nlm.nih.gov/protein/WP_258653338.1?report=genbank&amp;log$=prottop&amp;blast_rank=7&amp;RID=8XM7PST5016","WP_258653338.1")</f>
        <v>WP_258653338.1</v>
      </c>
    </row>
    <row r="30" spans="1:5">
      <c r="A30" s="4" t="s">
        <v>47</v>
      </c>
      <c r="B30" s="9">
        <v>1</v>
      </c>
      <c r="C30" s="10">
        <v>8.0000000000000003E-156</v>
      </c>
      <c r="D30" s="5">
        <v>97.8</v>
      </c>
      <c r="E30" s="5" t="str">
        <f>HYPERLINK("https://www.ncbi.nlm.nih.gov/protein/WP_221069396.1?report=genbank&amp;log$=prottop&amp;blast_rank=17&amp;RID=8XM7PST5016","WP_221069396.1")</f>
        <v>WP_221069396.1</v>
      </c>
    </row>
    <row r="31" spans="1:5">
      <c r="A31" s="4" t="s">
        <v>44</v>
      </c>
      <c r="B31" s="9">
        <v>1</v>
      </c>
      <c r="C31" s="10">
        <v>1E-155</v>
      </c>
      <c r="D31" s="5">
        <v>97.44</v>
      </c>
      <c r="E31" s="5" t="str">
        <f>HYPERLINK("https://www.ncbi.nlm.nih.gov/protein/WP_274682313.1?report=genbank&amp;log$=prottop&amp;blast_rank=19&amp;RID=8XM7PST5016","WP_274682313.1")</f>
        <v>WP_274682313.1</v>
      </c>
    </row>
    <row r="32" spans="1:5">
      <c r="A32" s="4" t="s">
        <v>49</v>
      </c>
      <c r="B32" s="9">
        <v>1</v>
      </c>
      <c r="C32" s="10">
        <v>9.9999999999999997E-155</v>
      </c>
      <c r="D32" s="5">
        <v>97.44</v>
      </c>
      <c r="E32" s="5" t="str">
        <f>HYPERLINK("https://www.ncbi.nlm.nih.gov/protein/WP_045401135.1?report=genbank&amp;log$=prottop&amp;blast_rank=25&amp;RID=8XM7PST5016","WP_045401135.1")</f>
        <v>WP_045401135.1</v>
      </c>
    </row>
    <row r="33" spans="1:5">
      <c r="A33" s="4" t="s">
        <v>15</v>
      </c>
      <c r="B33" s="9">
        <v>1</v>
      </c>
      <c r="C33" s="10">
        <v>2.9999999999999998E-155</v>
      </c>
      <c r="D33" s="5">
        <v>97.07</v>
      </c>
      <c r="E33" s="5" t="str">
        <f>HYPERLINK("https://www.ncbi.nlm.nih.gov/protein/WP_025502220.1?report=genbank&amp;log$=prottop&amp;blast_rank=22&amp;RID=8XM7PST5016","WP_025502220.1")</f>
        <v>WP_025502220.1</v>
      </c>
    </row>
    <row r="34" spans="1:5">
      <c r="A34" s="4" t="s">
        <v>15</v>
      </c>
      <c r="B34" s="9">
        <v>1</v>
      </c>
      <c r="C34" s="10">
        <v>4.0000000000000001E-155</v>
      </c>
      <c r="D34" s="5">
        <v>96.7</v>
      </c>
      <c r="E34" s="5" t="str">
        <f>HYPERLINK("https://www.ncbi.nlm.nih.gov/protein/WP_273981228.1?report=genbank&amp;log$=prottop&amp;blast_rank=23&amp;RID=8XM7PST5016","WP_273981228.1")</f>
        <v>WP_273981228.1</v>
      </c>
    </row>
    <row r="35" spans="1:5">
      <c r="A35" s="4" t="s">
        <v>48</v>
      </c>
      <c r="B35" s="9">
        <v>1</v>
      </c>
      <c r="C35" s="10">
        <v>5.9999999999999997E-155</v>
      </c>
      <c r="D35" s="5">
        <v>96.7</v>
      </c>
      <c r="E35" s="5" t="str">
        <f>HYPERLINK("https://www.ncbi.nlm.nih.gov/protein/WP_050052998.1?report=genbank&amp;log$=prottop&amp;blast_rank=24&amp;RID=8XM7PST5016","WP_050052998.1")</f>
        <v>WP_050052998.1</v>
      </c>
    </row>
    <row r="36" spans="1:5">
      <c r="A36" s="4" t="s">
        <v>15</v>
      </c>
      <c r="B36" s="9">
        <v>1</v>
      </c>
      <c r="C36" s="10">
        <v>2.0000000000000001E-153</v>
      </c>
      <c r="D36" s="5">
        <v>96.7</v>
      </c>
      <c r="E36" s="5" t="str">
        <f>HYPERLINK("https://www.ncbi.nlm.nih.gov/protein/WP_274012239.1?report=genbank&amp;log$=prottop&amp;blast_rank=31&amp;RID=8XM7PST5016","WP_274012239.1")</f>
        <v>WP_274012239.1</v>
      </c>
    </row>
    <row r="37" spans="1:5">
      <c r="A37" s="4" t="s">
        <v>50</v>
      </c>
      <c r="B37" s="9">
        <v>1</v>
      </c>
      <c r="C37" s="10">
        <v>1.9999999999999999E-154</v>
      </c>
      <c r="D37" s="5">
        <v>95.97</v>
      </c>
      <c r="E37" s="5" t="str">
        <f>HYPERLINK("https://www.ncbi.nlm.nih.gov/protein/WP_152896036.1?report=genbank&amp;log$=prottop&amp;blast_rank=27&amp;RID=8XM7PST5016","WP_152896036.1")</f>
        <v>WP_152896036.1</v>
      </c>
    </row>
    <row r="38" spans="1:5">
      <c r="A38" s="4" t="s">
        <v>53</v>
      </c>
      <c r="B38" s="9">
        <v>0.99</v>
      </c>
      <c r="C38" s="10">
        <v>9.9999999999999994E-152</v>
      </c>
      <c r="D38" s="5">
        <v>92.65</v>
      </c>
      <c r="E38" s="5" t="str">
        <f>HYPERLINK("https://www.ncbi.nlm.nih.gov/protein/WP_146493436.1?report=genbank&amp;log$=prottop&amp;blast_rank=33&amp;RID=8XM7PST5016","WP_146493436.1")</f>
        <v>WP_146493436.1</v>
      </c>
    </row>
    <row r="39" spans="1:5">
      <c r="A39" s="4" t="s">
        <v>17</v>
      </c>
      <c r="B39" s="9">
        <v>0.99</v>
      </c>
      <c r="C39" s="10">
        <v>3.9999999999999999E-154</v>
      </c>
      <c r="D39" s="5">
        <v>91.18</v>
      </c>
      <c r="E39" s="5" t="str">
        <f>HYPERLINK("https://www.ncbi.nlm.nih.gov/protein/WP_213865843.1?report=genbank&amp;log$=prottop&amp;blast_rank=29&amp;RID=8XM7PST5016","WP_213865843.1")</f>
        <v>WP_213865843.1</v>
      </c>
    </row>
    <row r="40" spans="1:5">
      <c r="A40" s="4" t="s">
        <v>52</v>
      </c>
      <c r="B40" s="9">
        <v>1</v>
      </c>
      <c r="C40" s="10">
        <v>9E-153</v>
      </c>
      <c r="D40" s="5">
        <v>90.48</v>
      </c>
      <c r="E40" s="5" t="str">
        <f>HYPERLINK("https://www.ncbi.nlm.nih.gov/protein/WP_160658487.1?report=genbank&amp;log$=prottop&amp;blast_rank=32&amp;RID=8XM7PST5016","WP_160658487.1")</f>
        <v>WP_160658487.1</v>
      </c>
    </row>
    <row r="41" spans="1:5">
      <c r="A41" s="4" t="s">
        <v>51</v>
      </c>
      <c r="B41" s="9">
        <v>1</v>
      </c>
      <c r="C41" s="10">
        <v>7.9999999999999998E-154</v>
      </c>
      <c r="D41" s="5">
        <v>89.74</v>
      </c>
      <c r="E41" s="5" t="str">
        <f>HYPERLINK("https://www.ncbi.nlm.nih.gov/protein/WP_168835063.1?report=genbank&amp;log$=prottop&amp;blast_rank=30&amp;RID=8XM7PST5016","WP_168835063.1")</f>
        <v>WP_168835063.1</v>
      </c>
    </row>
    <row r="42" spans="1:5">
      <c r="A42" s="4" t="s">
        <v>56</v>
      </c>
      <c r="B42" s="9">
        <v>0.98</v>
      </c>
      <c r="C42" s="10">
        <v>2.0000000000000001E-146</v>
      </c>
      <c r="D42" s="5">
        <v>73.33</v>
      </c>
      <c r="E42" s="5" t="str">
        <f>HYPERLINK("https://www.ncbi.nlm.nih.gov/protein/WP_133415930.1?report=genbank&amp;log$=prottop&amp;blast_rank=37&amp;RID=8XM7PST5016","WP_133415930.1")</f>
        <v>WP_133415930.1</v>
      </c>
    </row>
    <row r="43" spans="1:5">
      <c r="A43" s="4" t="s">
        <v>54</v>
      </c>
      <c r="B43" s="9">
        <v>0.99</v>
      </c>
      <c r="C43" s="10">
        <v>5.0000000000000001E-147</v>
      </c>
      <c r="D43" s="5">
        <v>73.06</v>
      </c>
      <c r="E43" s="5" t="str">
        <f>HYPERLINK("https://www.ncbi.nlm.nih.gov/protein/WP_151656533.1?report=genbank&amp;log$=prottop&amp;blast_rank=35&amp;RID=8XM7PST5016","WP_151656533.1")</f>
        <v>WP_151656533.1</v>
      </c>
    </row>
    <row r="44" spans="1:5">
      <c r="A44" s="4" t="s">
        <v>55</v>
      </c>
      <c r="B44" s="9">
        <v>0.99</v>
      </c>
      <c r="C44" s="10">
        <v>2.0000000000000001E-146</v>
      </c>
      <c r="D44" s="5">
        <v>72.69</v>
      </c>
      <c r="E44" s="5" t="str">
        <f>HYPERLINK("https://www.ncbi.nlm.nih.gov/protein/WP_130049385.1?report=genbank&amp;log$=prottop&amp;blast_rank=36&amp;RID=8XM7PST5016","WP_130049385.1")</f>
        <v>WP_130049385.1</v>
      </c>
    </row>
    <row r="45" spans="1:5">
      <c r="A45" s="4" t="s">
        <v>57</v>
      </c>
      <c r="B45" s="9">
        <v>0.99</v>
      </c>
      <c r="C45" s="10">
        <v>3.9999999999999998E-144</v>
      </c>
      <c r="D45" s="5">
        <v>72.69</v>
      </c>
      <c r="E45" s="5" t="str">
        <f>HYPERLINK("https://www.ncbi.nlm.nih.gov/protein/WP_152652602.1?report=genbank&amp;log$=prottop&amp;blast_rank=38&amp;RID=8XM7PST5016","WP_152652602.1")</f>
        <v>WP_152652602.1</v>
      </c>
    </row>
    <row r="46" spans="1:5">
      <c r="A46" s="4" t="s">
        <v>58</v>
      </c>
      <c r="B46" s="9">
        <v>0.97</v>
      </c>
      <c r="C46" s="10">
        <v>2.9999999999999999E-143</v>
      </c>
      <c r="D46" s="5">
        <v>72.56</v>
      </c>
      <c r="E46" s="5" t="str">
        <f>HYPERLINK("https://www.ncbi.nlm.nih.gov/protein/WP_279143770.1?report=genbank&amp;log$=prottop&amp;blast_rank=39&amp;RID=8XM7PST5016","WP_279143770.1")</f>
        <v>WP_279143770.1</v>
      </c>
    </row>
    <row r="47" spans="1:5">
      <c r="A47" s="4" t="s">
        <v>58</v>
      </c>
      <c r="B47" s="9">
        <v>0.97</v>
      </c>
      <c r="C47" s="10">
        <v>2.0000000000000001E-141</v>
      </c>
      <c r="D47" s="5">
        <v>72.180000000000007</v>
      </c>
      <c r="E47" s="5" t="str">
        <f>HYPERLINK("https://www.ncbi.nlm.nih.gov/protein/WP_232572739.1?report=genbank&amp;log$=prottop&amp;blast_rank=41&amp;RID=8XM7PST5016","WP_232572739.1")</f>
        <v>WP_232572739.1</v>
      </c>
    </row>
    <row r="48" spans="1:5">
      <c r="A48" s="4" t="s">
        <v>64</v>
      </c>
      <c r="B48" s="9">
        <v>0.98</v>
      </c>
      <c r="C48" s="10">
        <v>9.0000000000000005E-139</v>
      </c>
      <c r="D48" s="5">
        <v>68.03</v>
      </c>
      <c r="E48" s="5" t="str">
        <f>HYPERLINK("https://www.ncbi.nlm.nih.gov/protein/WP_168408224.1?report=genbank&amp;log$=prottop&amp;blast_rank=46&amp;RID=8XM7PST5016","WP_168408224.1")</f>
        <v>WP_168408224.1</v>
      </c>
    </row>
    <row r="49" spans="1:5">
      <c r="A49" s="4" t="s">
        <v>67</v>
      </c>
      <c r="B49" s="9">
        <v>0.98</v>
      </c>
      <c r="C49" s="10">
        <v>3.0000000000000001E-138</v>
      </c>
      <c r="D49" s="5">
        <v>68.03</v>
      </c>
      <c r="E49" s="5" t="str">
        <f>HYPERLINK("https://www.ncbi.nlm.nih.gov/protein/WP_263576523.1?report=genbank&amp;log$=prottop&amp;blast_rank=49&amp;RID=8XM7PST5016","WP_263576523.1")</f>
        <v>WP_263576523.1</v>
      </c>
    </row>
    <row r="50" spans="1:5">
      <c r="A50" s="4" t="s">
        <v>62</v>
      </c>
      <c r="B50" s="9">
        <v>0.98</v>
      </c>
      <c r="C50" s="10">
        <v>7E-139</v>
      </c>
      <c r="D50" s="5">
        <v>67.41</v>
      </c>
      <c r="E50" s="5" t="str">
        <f>HYPERLINK("https://www.ncbi.nlm.nih.gov/protein/WP_016166097.1?report=genbank&amp;log$=prottop&amp;blast_rank=44&amp;RID=8XM7PST5016","WP_016166097.1")</f>
        <v>WP_016166097.1</v>
      </c>
    </row>
    <row r="51" spans="1:5">
      <c r="A51" s="4" t="s">
        <v>68</v>
      </c>
      <c r="B51" s="9">
        <v>0.98</v>
      </c>
      <c r="C51" s="10">
        <v>6.0000000000000001E-138</v>
      </c>
      <c r="D51" s="5">
        <v>67.040000000000006</v>
      </c>
      <c r="E51" s="5" t="str">
        <f>HYPERLINK("https://www.ncbi.nlm.nih.gov/protein/WP_262736462.1?report=genbank&amp;log$=prottop&amp;blast_rank=50&amp;RID=8XM7PST5016","WP_262736462.1")</f>
        <v>WP_262736462.1</v>
      </c>
    </row>
    <row r="52" spans="1:5">
      <c r="A52" s="4" t="s">
        <v>72</v>
      </c>
      <c r="B52" s="9">
        <v>0.99</v>
      </c>
      <c r="C52" s="10">
        <v>1E-135</v>
      </c>
      <c r="D52" s="5">
        <v>66.67</v>
      </c>
      <c r="E52" s="5" t="str">
        <f>HYPERLINK("https://www.ncbi.nlm.nih.gov/protein/WP_151798966.1?report=genbank&amp;log$=prottop&amp;blast_rank=54&amp;RID=8XM7PST5016","WP_151798966.1")</f>
        <v>WP_151798966.1</v>
      </c>
    </row>
    <row r="53" spans="1:5">
      <c r="A53" s="4" t="s">
        <v>137</v>
      </c>
      <c r="B53" s="9">
        <v>0.82</v>
      </c>
      <c r="C53" s="10">
        <v>3.9999999999999999E-113</v>
      </c>
      <c r="D53" s="5">
        <v>64.599999999999994</v>
      </c>
      <c r="E53" s="5" t="str">
        <f>HYPERLINK("https://www.ncbi.nlm.nih.gov/protein/NWK49388.1?report=genbank&amp;log$=prottop&amp;blast_rank=135&amp;RID=8XM7PST5016","NWK49388.1")</f>
        <v>NWK49388.1</v>
      </c>
    </row>
    <row r="54" spans="1:5">
      <c r="A54" s="4" t="s">
        <v>94</v>
      </c>
      <c r="B54" s="9">
        <v>0.99</v>
      </c>
      <c r="C54" s="10">
        <v>3.9999999999999999E-131</v>
      </c>
      <c r="D54" s="5">
        <v>59.78</v>
      </c>
      <c r="E54" s="5" t="str">
        <f>HYPERLINK("https://www.ncbi.nlm.nih.gov/protein/WP_224216620.1?report=genbank&amp;log$=prottop&amp;blast_rank=76&amp;RID=8XM7PST5016","WP_224216620.1")</f>
        <v>WP_224216620.1</v>
      </c>
    </row>
    <row r="55" spans="1:5">
      <c r="A55" s="4" t="s">
        <v>74</v>
      </c>
      <c r="B55" s="9">
        <v>0.98</v>
      </c>
      <c r="C55" s="10">
        <v>8.9999999999999997E-135</v>
      </c>
      <c r="D55" s="5">
        <v>58.52</v>
      </c>
      <c r="E55" s="5" t="str">
        <f>HYPERLINK("https://www.ncbi.nlm.nih.gov/protein/WP_281649233.1?report=genbank&amp;log$=prottop&amp;blast_rank=56&amp;RID=8XM7PST5016","WP_281649233.1")</f>
        <v>WP_281649233.1</v>
      </c>
    </row>
    <row r="56" spans="1:5">
      <c r="A56" s="4" t="s">
        <v>113</v>
      </c>
      <c r="B56" s="9">
        <v>0.89</v>
      </c>
      <c r="C56" s="10">
        <v>8.0000000000000005E-123</v>
      </c>
      <c r="D56" s="5">
        <v>58.44</v>
      </c>
      <c r="E56" s="5" t="str">
        <f>HYPERLINK("https://www.ncbi.nlm.nih.gov/protein/WP_255019168.1?report=genbank&amp;log$=prottop&amp;blast_rank=95&amp;RID=8XM7PST5016","WP_255019168.1")</f>
        <v>WP_255019168.1</v>
      </c>
    </row>
    <row r="57" spans="1:5">
      <c r="A57" s="4" t="s">
        <v>59</v>
      </c>
      <c r="B57" s="9">
        <v>0.98</v>
      </c>
      <c r="C57" s="10">
        <v>8.0000000000000003E-142</v>
      </c>
      <c r="D57" s="5">
        <v>58.21</v>
      </c>
      <c r="E57" s="5" t="str">
        <f>HYPERLINK("https://www.ncbi.nlm.nih.gov/protein/WP_101233396.1?report=genbank&amp;log$=prottop&amp;blast_rank=40&amp;RID=8XM7PST5016","WP_101233396.1")</f>
        <v>WP_101233396.1</v>
      </c>
    </row>
    <row r="58" spans="1:5">
      <c r="A58" s="4" t="s">
        <v>108</v>
      </c>
      <c r="B58" s="9">
        <v>0.98</v>
      </c>
      <c r="C58" s="10">
        <v>9.0000000000000002E-125</v>
      </c>
      <c r="D58" s="5">
        <v>58.15</v>
      </c>
      <c r="E58" s="5" t="str">
        <f>HYPERLINK("https://www.ncbi.nlm.nih.gov/protein/WP_269914816.1?report=genbank&amp;log$=prottop&amp;blast_rank=90&amp;RID=8XM7PST5016","WP_269914816.1")</f>
        <v>WP_269914816.1</v>
      </c>
    </row>
    <row r="59" spans="1:5">
      <c r="A59" s="4" t="s">
        <v>69</v>
      </c>
      <c r="B59" s="9">
        <v>0.96</v>
      </c>
      <c r="C59" s="10">
        <v>4E-136</v>
      </c>
      <c r="D59" s="5">
        <v>57.95</v>
      </c>
      <c r="E59" s="5" t="str">
        <f>HYPERLINK("https://www.ncbi.nlm.nih.gov/protein/WP_253555720.1?report=genbank&amp;log$=prottop&amp;blast_rank=51&amp;RID=8XM7PST5016","WP_253555720.1")</f>
        <v>WP_253555720.1</v>
      </c>
    </row>
    <row r="60" spans="1:5">
      <c r="A60" s="4" t="s">
        <v>70</v>
      </c>
      <c r="B60" s="9">
        <v>0.96</v>
      </c>
      <c r="C60" s="10">
        <v>4E-136</v>
      </c>
      <c r="D60" s="5">
        <v>57.74</v>
      </c>
      <c r="E60" s="5" t="str">
        <f>HYPERLINK("https://www.ncbi.nlm.nih.gov/protein/MEB3122064.1?report=genbank&amp;log$=prottop&amp;blast_rank=52&amp;RID=8XM7PST5016","MEB3122064.1")</f>
        <v>MEB3122064.1</v>
      </c>
    </row>
    <row r="61" spans="1:5">
      <c r="A61" s="4" t="s">
        <v>71</v>
      </c>
      <c r="B61" s="9">
        <v>0.96</v>
      </c>
      <c r="C61" s="10">
        <v>8E-136</v>
      </c>
      <c r="D61" s="5">
        <v>57.58</v>
      </c>
      <c r="E61" s="5" t="str">
        <f>HYPERLINK("https://www.ncbi.nlm.nih.gov/protein/WP_238034645.1?report=genbank&amp;log$=prottop&amp;blast_rank=53&amp;RID=8XM7PST5016","WP_238034645.1")</f>
        <v>WP_238034645.1</v>
      </c>
    </row>
    <row r="62" spans="1:5">
      <c r="A62" s="4" t="s">
        <v>63</v>
      </c>
      <c r="B62" s="9">
        <v>0.97</v>
      </c>
      <c r="C62" s="10">
        <v>8.0000000000000002E-139</v>
      </c>
      <c r="D62" s="5">
        <v>57.36</v>
      </c>
      <c r="E62" s="5" t="str">
        <f>HYPERLINK("https://www.ncbi.nlm.nih.gov/protein/WP_102481578.1?report=genbank&amp;log$=prottop&amp;blast_rank=45&amp;RID=8XM7PST5016","WP_102481578.1")</f>
        <v>WP_102481578.1</v>
      </c>
    </row>
    <row r="63" spans="1:5">
      <c r="A63" s="4" t="s">
        <v>65</v>
      </c>
      <c r="B63" s="9">
        <v>0.97</v>
      </c>
      <c r="C63" s="10">
        <v>1.0000000000000001E-138</v>
      </c>
      <c r="D63" s="5">
        <v>57.36</v>
      </c>
      <c r="E63" s="5" t="str">
        <f>HYPERLINK("https://www.ncbi.nlm.nih.gov/protein/WP_121603257.1?report=genbank&amp;log$=prottop&amp;blast_rank=47&amp;RID=8XM7PST5016","WP_121603257.1")</f>
        <v>WP_121603257.1</v>
      </c>
    </row>
    <row r="64" spans="1:5">
      <c r="A64" s="4" t="s">
        <v>66</v>
      </c>
      <c r="B64" s="9">
        <v>0.97</v>
      </c>
      <c r="C64" s="10">
        <v>2.0000000000000001E-138</v>
      </c>
      <c r="D64" s="5">
        <v>57.36</v>
      </c>
      <c r="E64" s="5" t="str">
        <f>HYPERLINK("https://www.ncbi.nlm.nih.gov/protein/WP_102249976.1?report=genbank&amp;log$=prottop&amp;blast_rank=48&amp;RID=8XM7PST5016","WP_102249976.1")</f>
        <v>WP_102249976.1</v>
      </c>
    </row>
    <row r="65" spans="1:5">
      <c r="A65" s="4" t="s">
        <v>75</v>
      </c>
      <c r="B65" s="9">
        <v>0.97</v>
      </c>
      <c r="C65" s="10">
        <v>1E-134</v>
      </c>
      <c r="D65" s="5">
        <v>56.93</v>
      </c>
      <c r="E65" s="5" t="str">
        <f>HYPERLINK("https://www.ncbi.nlm.nih.gov/protein/NQZ30873.1?report=genbank&amp;log$=prottop&amp;blast_rank=57&amp;RID=8XM7PST5016","NQZ30873.1")</f>
        <v>NQZ30873.1</v>
      </c>
    </row>
    <row r="66" spans="1:5">
      <c r="A66" s="4" t="s">
        <v>78</v>
      </c>
      <c r="B66" s="9">
        <v>0.96</v>
      </c>
      <c r="C66" s="10">
        <v>6.9999999999999997E-134</v>
      </c>
      <c r="D66" s="5">
        <v>56.44</v>
      </c>
      <c r="E66" s="5" t="str">
        <f>HYPERLINK("https://www.ncbi.nlm.nih.gov/protein/WP_062533619.1?report=genbank&amp;log$=prottop&amp;blast_rank=60&amp;RID=8XM7PST5016","WP_062533619.1")</f>
        <v>WP_062533619.1</v>
      </c>
    </row>
    <row r="67" spans="1:5">
      <c r="A67" s="4" t="s">
        <v>61</v>
      </c>
      <c r="B67" s="9">
        <v>0.97</v>
      </c>
      <c r="C67" s="10">
        <v>2.9999999999999999E-139</v>
      </c>
      <c r="D67" s="5">
        <v>56.23</v>
      </c>
      <c r="E67" s="5" t="str">
        <f>HYPERLINK("https://www.ncbi.nlm.nih.gov/protein/WP_303502401.1?report=genbank&amp;log$=prottop&amp;blast_rank=43&amp;RID=8XM7PST5016","WP_303502401.1")</f>
        <v>WP_303502401.1</v>
      </c>
    </row>
    <row r="68" spans="1:5">
      <c r="A68" s="4" t="s">
        <v>63</v>
      </c>
      <c r="B68" s="9">
        <v>0.87</v>
      </c>
      <c r="C68" s="10">
        <v>2.0000000000000001E-122</v>
      </c>
      <c r="D68" s="5">
        <v>55.88</v>
      </c>
      <c r="E68" s="5" t="str">
        <f>HYPERLINK("https://www.ncbi.nlm.nih.gov/protein/WP_241904810.1?report=genbank&amp;log$=prottop&amp;blast_rank=96&amp;RID=8XM7PST5016","WP_241904810.1")</f>
        <v>WP_241904810.1</v>
      </c>
    </row>
    <row r="69" spans="1:5">
      <c r="A69" s="4" t="s">
        <v>60</v>
      </c>
      <c r="B69" s="9">
        <v>0.97</v>
      </c>
      <c r="C69" s="10">
        <v>3.0000000000000002E-140</v>
      </c>
      <c r="D69" s="5">
        <v>55.09</v>
      </c>
      <c r="E69" s="5" t="str">
        <f>HYPERLINK("https://www.ncbi.nlm.nih.gov/protein/WP_162207179.1?report=genbank&amp;log$=prottop&amp;blast_rank=42&amp;RID=8XM7PST5016","WP_162207179.1")</f>
        <v>WP_162207179.1</v>
      </c>
    </row>
    <row r="70" spans="1:5">
      <c r="A70" s="4" t="s">
        <v>73</v>
      </c>
      <c r="B70" s="9">
        <v>0.97</v>
      </c>
      <c r="C70" s="10">
        <v>2.0000000000000001E-135</v>
      </c>
      <c r="D70" s="5">
        <v>55.09</v>
      </c>
      <c r="E70" s="5" t="str">
        <f>HYPERLINK("https://www.ncbi.nlm.nih.gov/protein/WP_299011626.1?report=genbank&amp;log$=prottop&amp;blast_rank=55&amp;RID=8XM7PST5016","WP_299011626.1")</f>
        <v>WP_299011626.1</v>
      </c>
    </row>
    <row r="71" spans="1:5">
      <c r="A71" s="4" t="s">
        <v>95</v>
      </c>
      <c r="B71" s="9">
        <v>0.96</v>
      </c>
      <c r="C71" s="10">
        <v>1.0000000000000001E-130</v>
      </c>
      <c r="D71" s="5">
        <v>54.17</v>
      </c>
      <c r="E71" s="5" t="str">
        <f>HYPERLINK("https://www.ncbi.nlm.nih.gov/protein/WP_296405948.1?report=genbank&amp;log$=prottop&amp;blast_rank=77&amp;RID=8XM7PST5016","WP_296405948.1")</f>
        <v>WP_296405948.1</v>
      </c>
    </row>
    <row r="72" spans="1:5">
      <c r="A72" s="4" t="s">
        <v>187</v>
      </c>
      <c r="B72" s="9">
        <v>0.8</v>
      </c>
      <c r="C72" s="10">
        <v>2.0000000000000001E-101</v>
      </c>
      <c r="D72" s="5">
        <v>52.05</v>
      </c>
      <c r="E72" s="5" t="str">
        <f>HYPERLINK("https://www.ncbi.nlm.nih.gov/protein/WP_238049351.1?report=genbank&amp;log$=prottop&amp;blast_rank=210&amp;RID=8XM7PST5016","WP_238049351.1")</f>
        <v>WP_238049351.1</v>
      </c>
    </row>
    <row r="73" spans="1:5">
      <c r="A73" s="4" t="s">
        <v>88</v>
      </c>
      <c r="B73" s="9">
        <v>0.97</v>
      </c>
      <c r="C73" s="10">
        <v>9.9999999999999999E-132</v>
      </c>
      <c r="D73" s="5">
        <v>45.56</v>
      </c>
      <c r="E73" s="5" t="str">
        <f>HYPERLINK("https://www.ncbi.nlm.nih.gov/protein/RZK44407.1?report=genbank&amp;log$=prottop&amp;blast_rank=70&amp;RID=8XM7PST5016","RZK44407.1")</f>
        <v>RZK44407.1</v>
      </c>
    </row>
    <row r="74" spans="1:5">
      <c r="A74" s="4" t="s">
        <v>153</v>
      </c>
      <c r="B74" s="9">
        <v>0.91</v>
      </c>
      <c r="C74" s="10">
        <v>6.9999999999999997E-109</v>
      </c>
      <c r="D74" s="5">
        <v>44.4</v>
      </c>
      <c r="E74" s="5" t="str">
        <f>HYPERLINK("https://www.ncbi.nlm.nih.gov/protein/WP_241319997.1?report=genbank&amp;log$=prottop&amp;blast_rank=168&amp;RID=8XM7PST5016","WP_241319997.1")</f>
        <v>WP_241319997.1</v>
      </c>
    </row>
    <row r="75" spans="1:5">
      <c r="A75" s="4" t="s">
        <v>125</v>
      </c>
      <c r="B75" s="9">
        <v>0.97</v>
      </c>
      <c r="C75" s="10">
        <v>1.0000000000000001E-115</v>
      </c>
      <c r="D75" s="5">
        <v>43.84</v>
      </c>
      <c r="E75" s="5" t="str">
        <f>HYPERLINK("https://www.ncbi.nlm.nih.gov/protein/WP_253347642.1?report=genbank&amp;log$=prottop&amp;blast_rank=109&amp;RID=8XM7PST5016","WP_253347642.1")</f>
        <v>WP_253347642.1</v>
      </c>
    </row>
    <row r="76" spans="1:5">
      <c r="A76" s="4" t="s">
        <v>96</v>
      </c>
      <c r="B76" s="9">
        <v>0.97</v>
      </c>
      <c r="C76" s="10">
        <v>1.0000000000000001E-130</v>
      </c>
      <c r="D76" s="5">
        <v>43.7</v>
      </c>
      <c r="E76" s="5" t="str">
        <f>HYPERLINK("https://www.ncbi.nlm.nih.gov/protein/WP_166535878.1?report=genbank&amp;log$=prottop&amp;blast_rank=78&amp;RID=8XM7PST5016","WP_166535878.1")</f>
        <v>WP_166535878.1</v>
      </c>
    </row>
    <row r="77" spans="1:5">
      <c r="A77" s="4" t="s">
        <v>77</v>
      </c>
      <c r="B77" s="9">
        <v>0.97</v>
      </c>
      <c r="C77" s="10">
        <v>4.0000000000000002E-134</v>
      </c>
      <c r="D77" s="5">
        <v>43.54</v>
      </c>
      <c r="E77" s="5" t="str">
        <f>HYPERLINK("https://www.ncbi.nlm.nih.gov/protein/WP_109831120.1?report=genbank&amp;log$=prottop&amp;blast_rank=59&amp;RID=8XM7PST5016","WP_109831120.1")</f>
        <v>WP_109831120.1</v>
      </c>
    </row>
    <row r="78" spans="1:5">
      <c r="A78" s="4" t="s">
        <v>99</v>
      </c>
      <c r="B78" s="9">
        <v>0.97</v>
      </c>
      <c r="C78" s="10">
        <v>9.9999999999999993E-130</v>
      </c>
      <c r="D78" s="5">
        <v>43.54</v>
      </c>
      <c r="E78" s="5" t="str">
        <f>HYPERLINK("https://www.ncbi.nlm.nih.gov/protein/WP_193704934.1?report=genbank&amp;log$=prottop&amp;blast_rank=81&amp;RID=8XM7PST5016","WP_193704934.1")</f>
        <v>WP_193704934.1</v>
      </c>
    </row>
    <row r="79" spans="1:5">
      <c r="A79" s="4" t="s">
        <v>109</v>
      </c>
      <c r="B79" s="9">
        <v>0.97</v>
      </c>
      <c r="C79" s="10">
        <v>1.9999999999999999E-124</v>
      </c>
      <c r="D79" s="5">
        <v>43.54</v>
      </c>
      <c r="E79" s="5" t="str">
        <f>HYPERLINK("https://www.ncbi.nlm.nih.gov/protein/WP_303539871.1?report=genbank&amp;log$=prottop&amp;blast_rank=91&amp;RID=8XM7PST5016","WP_303539871.1")</f>
        <v>WP_303539871.1</v>
      </c>
    </row>
    <row r="80" spans="1:5">
      <c r="A80" s="4" t="s">
        <v>157</v>
      </c>
      <c r="B80" s="9">
        <v>0.98</v>
      </c>
      <c r="C80" s="10">
        <v>2.9999999999999999E-108</v>
      </c>
      <c r="D80" s="5">
        <v>43.33</v>
      </c>
      <c r="E80" s="5" t="str">
        <f>HYPERLINK("https://www.ncbi.nlm.nih.gov/protein/WP_202736328.1?report=genbank&amp;log$=prottop&amp;blast_rank=174&amp;RID=8XM7PST5016","WP_202736328.1")</f>
        <v>WP_202736328.1</v>
      </c>
    </row>
    <row r="81" spans="1:5">
      <c r="A81" s="4" t="s">
        <v>177</v>
      </c>
      <c r="B81" s="9">
        <v>0.97</v>
      </c>
      <c r="C81" s="10">
        <v>1.9999999999999999E-103</v>
      </c>
      <c r="D81" s="5">
        <v>43.28</v>
      </c>
      <c r="E81" s="5" t="str">
        <f>HYPERLINK("https://www.ncbi.nlm.nih.gov/protein/WP_015208404.1?report=genbank&amp;log$=prottop&amp;blast_rank=197&amp;RID=8XM7PST5016","WP_015208404.1")</f>
        <v>WP_015208404.1</v>
      </c>
    </row>
    <row r="82" spans="1:5">
      <c r="A82" s="4" t="s">
        <v>89</v>
      </c>
      <c r="B82" s="9">
        <v>0.97</v>
      </c>
      <c r="C82" s="10">
        <v>9.9999999999999999E-132</v>
      </c>
      <c r="D82" s="5">
        <v>43.17</v>
      </c>
      <c r="E82" s="5" t="str">
        <f>HYPERLINK("https://www.ncbi.nlm.nih.gov/protein/NQX85137.1?report=genbank&amp;log$=prottop&amp;blast_rank=71&amp;RID=8XM7PST5016","NQX85137.1")</f>
        <v>NQX85137.1</v>
      </c>
    </row>
    <row r="83" spans="1:5">
      <c r="A83" s="4" t="s">
        <v>106</v>
      </c>
      <c r="B83" s="9">
        <v>0.97</v>
      </c>
      <c r="C83" s="10">
        <v>1E-125</v>
      </c>
      <c r="D83" s="5">
        <v>43.17</v>
      </c>
      <c r="E83" s="5" t="str">
        <f>HYPERLINK("https://www.ncbi.nlm.nih.gov/protein/WP_188172290.1?report=genbank&amp;log$=prottop&amp;blast_rank=88&amp;RID=8XM7PST5016","WP_188172290.1")</f>
        <v>WP_188172290.1</v>
      </c>
    </row>
    <row r="84" spans="1:5">
      <c r="A84" s="4" t="s">
        <v>127</v>
      </c>
      <c r="B84" s="9">
        <v>0.97</v>
      </c>
      <c r="C84" s="10">
        <v>4.0000000000000002E-115</v>
      </c>
      <c r="D84" s="5">
        <v>43.12</v>
      </c>
      <c r="E84" s="5" t="str">
        <f>HYPERLINK("https://www.ncbi.nlm.nih.gov/protein/WP_191106724.1?report=genbank&amp;log$=prottop&amp;blast_rank=111&amp;RID=8XM7PST5016","WP_191106724.1")</f>
        <v>WP_191106724.1</v>
      </c>
    </row>
    <row r="85" spans="1:5">
      <c r="A85" s="4" t="s">
        <v>128</v>
      </c>
      <c r="B85" s="9">
        <v>0.97</v>
      </c>
      <c r="C85" s="10">
        <v>5.0000000000000003E-115</v>
      </c>
      <c r="D85" s="5">
        <v>43.12</v>
      </c>
      <c r="E85" s="5" t="str">
        <f>HYPERLINK("https://www.ncbi.nlm.nih.gov/protein/WP_068563658.1?report=genbank&amp;log$=prottop&amp;blast_rank=112&amp;RID=8XM7PST5016","WP_068563658.1")</f>
        <v>WP_068563658.1</v>
      </c>
    </row>
    <row r="86" spans="1:5">
      <c r="A86" s="4" t="s">
        <v>129</v>
      </c>
      <c r="B86" s="9">
        <v>0.97</v>
      </c>
      <c r="C86" s="10">
        <v>1.0000000000000001E-114</v>
      </c>
      <c r="D86" s="5">
        <v>43.12</v>
      </c>
      <c r="E86" s="5" t="str">
        <f>HYPERLINK("https://www.ncbi.nlm.nih.gov/protein/WP_072618611.1?report=genbank&amp;log$=prottop&amp;blast_rank=113&amp;RID=8XM7PST5016","WP_072618611.1")</f>
        <v>WP_072618611.1</v>
      </c>
    </row>
    <row r="87" spans="1:5">
      <c r="A87" s="4" t="s">
        <v>128</v>
      </c>
      <c r="B87" s="9">
        <v>0.97</v>
      </c>
      <c r="C87" s="10">
        <v>1.0000000000000001E-114</v>
      </c>
      <c r="D87" s="5">
        <v>43.12</v>
      </c>
      <c r="E87" s="5" t="str">
        <f>HYPERLINK("https://www.ncbi.nlm.nih.gov/protein/WP_069037085.1?report=genbank&amp;log$=prottop&amp;blast_rank=117&amp;RID=8XM7PST5016","WP_069037085.1")</f>
        <v>WP_069037085.1</v>
      </c>
    </row>
    <row r="88" spans="1:5">
      <c r="A88" s="4" t="s">
        <v>129</v>
      </c>
      <c r="B88" s="9">
        <v>0.97</v>
      </c>
      <c r="C88" s="10">
        <v>1.0000000000000001E-114</v>
      </c>
      <c r="D88" s="5">
        <v>43.12</v>
      </c>
      <c r="E88" s="5" t="str">
        <f>HYPERLINK("https://www.ncbi.nlm.nih.gov/protein/MDC4603181.1?report=genbank&amp;log$=prottop&amp;blast_rank=118&amp;RID=8XM7PST5016","MDC4603181.1")</f>
        <v>MDC4603181.1</v>
      </c>
    </row>
    <row r="89" spans="1:5">
      <c r="A89" s="4" t="s">
        <v>128</v>
      </c>
      <c r="B89" s="9">
        <v>0.97</v>
      </c>
      <c r="C89" s="10">
        <v>3.0000000000000002E-114</v>
      </c>
      <c r="D89" s="5">
        <v>43.12</v>
      </c>
      <c r="E89" s="5" t="str">
        <f>HYPERLINK("https://www.ncbi.nlm.nih.gov/protein/WP_063098468.1?report=genbank&amp;log$=prottop&amp;blast_rank=119&amp;RID=8XM7PST5016","WP_063098468.1")</f>
        <v>WP_063098468.1</v>
      </c>
    </row>
    <row r="90" spans="1:5">
      <c r="A90" s="4" t="s">
        <v>129</v>
      </c>
      <c r="B90" s="9">
        <v>0.97</v>
      </c>
      <c r="C90" s="10">
        <v>4.9999999999999999E-114</v>
      </c>
      <c r="D90" s="5">
        <v>43.12</v>
      </c>
      <c r="E90" s="5" t="str">
        <f>HYPERLINK("https://www.ncbi.nlm.nih.gov/protein/MDC4508443.1?report=genbank&amp;log$=prottop&amp;blast_rank=122&amp;RID=8XM7PST5016","MDC4508443.1")</f>
        <v>MDC4508443.1</v>
      </c>
    </row>
    <row r="91" spans="1:5">
      <c r="A91" s="4" t="s">
        <v>128</v>
      </c>
      <c r="B91" s="9">
        <v>0.97</v>
      </c>
      <c r="C91" s="10">
        <v>6.0000000000000003E-114</v>
      </c>
      <c r="D91" s="5">
        <v>43.12</v>
      </c>
      <c r="E91" s="5" t="str">
        <f>HYPERLINK("https://www.ncbi.nlm.nih.gov/protein/WP_320561543.1?report=genbank&amp;log$=prottop&amp;blast_rank=124&amp;RID=8XM7PST5016","WP_320561543.1")</f>
        <v>WP_320561543.1</v>
      </c>
    </row>
    <row r="92" spans="1:5">
      <c r="A92" s="4" t="s">
        <v>105</v>
      </c>
      <c r="B92" s="9">
        <v>0.97</v>
      </c>
      <c r="C92" s="10">
        <v>1E-127</v>
      </c>
      <c r="D92" s="5">
        <v>43.01</v>
      </c>
      <c r="E92" s="5" t="str">
        <f>HYPERLINK("https://www.ncbi.nlm.nih.gov/protein/WP_019037962.1?report=genbank&amp;log$=prottop&amp;blast_rank=87&amp;RID=8XM7PST5016","WP_019037962.1")</f>
        <v>WP_019037962.1</v>
      </c>
    </row>
    <row r="93" spans="1:5">
      <c r="A93" s="4" t="s">
        <v>157</v>
      </c>
      <c r="B93" s="9">
        <v>0.98</v>
      </c>
      <c r="C93" s="10">
        <v>2.9999999999999999E-108</v>
      </c>
      <c r="D93" s="5">
        <v>42.96</v>
      </c>
      <c r="E93" s="5" t="str">
        <f>HYPERLINK("https://www.ncbi.nlm.nih.gov/protein/WP_074943091.1?report=genbank&amp;log$=prottop&amp;blast_rank=173&amp;RID=8XM7PST5016","WP_074943091.1")</f>
        <v>WP_074943091.1</v>
      </c>
    </row>
    <row r="94" spans="1:5">
      <c r="A94" s="4" t="s">
        <v>118</v>
      </c>
      <c r="B94" s="9">
        <v>0.97</v>
      </c>
      <c r="C94" s="10">
        <v>9.9999999999999999E-119</v>
      </c>
      <c r="D94" s="5">
        <v>42.91</v>
      </c>
      <c r="E94" s="5" t="str">
        <f>HYPERLINK("https://www.ncbi.nlm.nih.gov/protein/WP_180040595.1?report=genbank&amp;log$=prottop&amp;blast_rank=101&amp;RID=8XM7PST5016","WP_180040595.1")</f>
        <v>WP_180040595.1</v>
      </c>
    </row>
    <row r="95" spans="1:5">
      <c r="A95" s="4" t="s">
        <v>79</v>
      </c>
      <c r="B95" s="9">
        <v>0.97</v>
      </c>
      <c r="C95" s="10">
        <v>1.0000000000000001E-133</v>
      </c>
      <c r="D95" s="5">
        <v>42.8</v>
      </c>
      <c r="E95" s="5" t="str">
        <f>HYPERLINK("https://www.ncbi.nlm.nih.gov/protein/MCB9198130.1?report=genbank&amp;log$=prottop&amp;blast_rank=61&amp;RID=8XM7PST5016","MCB9198130.1")</f>
        <v>MCB9198130.1</v>
      </c>
    </row>
    <row r="96" spans="1:5">
      <c r="A96" s="4" t="s">
        <v>97</v>
      </c>
      <c r="B96" s="9">
        <v>0.97</v>
      </c>
      <c r="C96" s="10">
        <v>5.9999999999999997E-130</v>
      </c>
      <c r="D96" s="5">
        <v>42.8</v>
      </c>
      <c r="E96" s="5" t="str">
        <f>HYPERLINK("https://www.ncbi.nlm.nih.gov/protein/WP_102757552.1?report=genbank&amp;log$=prottop&amp;blast_rank=79&amp;RID=8XM7PST5016","WP_102757552.1")</f>
        <v>WP_102757552.1</v>
      </c>
    </row>
    <row r="97" spans="1:5">
      <c r="A97" s="4" t="s">
        <v>128</v>
      </c>
      <c r="B97" s="9">
        <v>0.97</v>
      </c>
      <c r="C97" s="10">
        <v>1.0000000000000001E-114</v>
      </c>
      <c r="D97" s="5">
        <v>42.75</v>
      </c>
      <c r="E97" s="5" t="str">
        <f>HYPERLINK("https://www.ncbi.nlm.nih.gov/protein/WP_199976221.1?report=genbank&amp;log$=prottop&amp;blast_rank=114&amp;RID=8XM7PST5016","WP_199976221.1")</f>
        <v>WP_199976221.1</v>
      </c>
    </row>
    <row r="98" spans="1:5">
      <c r="A98" s="4" t="s">
        <v>128</v>
      </c>
      <c r="B98" s="9">
        <v>0.97</v>
      </c>
      <c r="C98" s="10">
        <v>2E-113</v>
      </c>
      <c r="D98" s="5">
        <v>42.75</v>
      </c>
      <c r="E98" s="5" t="str">
        <f>HYPERLINK("https://www.ncbi.nlm.nih.gov/protein/WP_227061482.1?report=genbank&amp;log$=prottop&amp;blast_rank=132&amp;RID=8XM7PST5016","WP_227061482.1")</f>
        <v>WP_227061482.1</v>
      </c>
    </row>
    <row r="99" spans="1:5">
      <c r="A99" s="4" t="s">
        <v>176</v>
      </c>
      <c r="B99" s="9">
        <v>0.97</v>
      </c>
      <c r="C99" s="10">
        <v>8.9999999999999995E-104</v>
      </c>
      <c r="D99" s="5">
        <v>42.55</v>
      </c>
      <c r="E99" s="5" t="str">
        <f>HYPERLINK("https://www.ncbi.nlm.nih.gov/protein/WP_099346968.1?report=genbank&amp;log$=prottop&amp;blast_rank=196&amp;RID=8XM7PST5016","WP_099346968.1")</f>
        <v>WP_099346968.1</v>
      </c>
    </row>
    <row r="100" spans="1:5">
      <c r="A100" s="4" t="s">
        <v>83</v>
      </c>
      <c r="B100" s="9">
        <v>0.97</v>
      </c>
      <c r="C100" s="10">
        <v>4.0000000000000003E-133</v>
      </c>
      <c r="D100" s="5">
        <v>42.44</v>
      </c>
      <c r="E100" s="5" t="str">
        <f>HYPERLINK("https://www.ncbi.nlm.nih.gov/protein/WP_348797884.1?report=genbank&amp;log$=prottop&amp;blast_rank=65&amp;RID=8XM7PST5016","WP_348797884.1")</f>
        <v>WP_348797884.1</v>
      </c>
    </row>
    <row r="101" spans="1:5">
      <c r="A101" s="4" t="s">
        <v>87</v>
      </c>
      <c r="B101" s="9">
        <v>0.97</v>
      </c>
      <c r="C101" s="10">
        <v>8.9999999999999999E-132</v>
      </c>
      <c r="D101" s="5">
        <v>42.44</v>
      </c>
      <c r="E101" s="5" t="str">
        <f>HYPERLINK("https://www.ncbi.nlm.nih.gov/protein/WP_118196645.1?report=genbank&amp;log$=prottop&amp;blast_rank=69&amp;RID=8XM7PST5016","WP_118196645.1")</f>
        <v>WP_118196645.1</v>
      </c>
    </row>
    <row r="102" spans="1:5">
      <c r="A102" s="4" t="s">
        <v>182</v>
      </c>
      <c r="B102" s="9">
        <v>0.97</v>
      </c>
      <c r="C102" s="10">
        <v>3E-102</v>
      </c>
      <c r="D102" s="5">
        <v>42.44</v>
      </c>
      <c r="E102" s="5" t="str">
        <f>HYPERLINK("https://www.ncbi.nlm.nih.gov/protein/WP_236896360.1?report=genbank&amp;log$=prottop&amp;blast_rank=205&amp;RID=8XM7PST5016","WP_236896360.1")</f>
        <v>WP_236896360.1</v>
      </c>
    </row>
    <row r="103" spans="1:5">
      <c r="A103" s="4" t="s">
        <v>102</v>
      </c>
      <c r="B103" s="9">
        <v>0.97</v>
      </c>
      <c r="C103" s="10">
        <v>2.0000000000000001E-128</v>
      </c>
      <c r="D103" s="5">
        <v>42.28</v>
      </c>
      <c r="E103" s="5" t="str">
        <f>HYPERLINK("https://www.ncbi.nlm.nih.gov/protein/MBL4576545.1?report=genbank&amp;log$=prottop&amp;blast_rank=84&amp;RID=8XM7PST5016","MBL4576545.1")</f>
        <v>MBL4576545.1</v>
      </c>
    </row>
    <row r="104" spans="1:5">
      <c r="A104" s="4" t="s">
        <v>119</v>
      </c>
      <c r="B104" s="9">
        <v>0.96</v>
      </c>
      <c r="C104" s="10">
        <v>2E-113</v>
      </c>
      <c r="D104" s="5">
        <v>42.26</v>
      </c>
      <c r="E104" s="5" t="str">
        <f>HYPERLINK("https://www.ncbi.nlm.nih.gov/protein/WP_005176854.1?report=genbank&amp;log$=prottop&amp;blast_rank=134&amp;RID=8XM7PST5016","WP_005176854.1")</f>
        <v>WP_005176854.1</v>
      </c>
    </row>
    <row r="105" spans="1:5">
      <c r="A105" s="4" t="s">
        <v>158</v>
      </c>
      <c r="B105" s="9">
        <v>0.97</v>
      </c>
      <c r="C105" s="10">
        <v>4.0000000000000002E-108</v>
      </c>
      <c r="D105" s="5">
        <v>42.12</v>
      </c>
      <c r="E105" s="5" t="str">
        <f>HYPERLINK("https://www.ncbi.nlm.nih.gov/protein/WP_003195995.1?report=genbank&amp;log$=prottop&amp;blast_rank=175&amp;RID=8XM7PST5016","WP_003195995.1")</f>
        <v>WP_003195995.1</v>
      </c>
    </row>
    <row r="106" spans="1:5">
      <c r="A106" s="4" t="s">
        <v>64</v>
      </c>
      <c r="B106" s="9">
        <v>0.96</v>
      </c>
      <c r="C106" s="10">
        <v>2E-113</v>
      </c>
      <c r="D106" s="5">
        <v>41.89</v>
      </c>
      <c r="E106" s="5" t="str">
        <f>HYPERLINK("https://www.ncbi.nlm.nih.gov/protein/WP_168389489.1?report=genbank&amp;log$=prottop&amp;blast_rank=131&amp;RID=8XM7PST5016","WP_168389489.1")</f>
        <v>WP_168389489.1</v>
      </c>
    </row>
    <row r="107" spans="1:5">
      <c r="A107" s="4" t="s">
        <v>185</v>
      </c>
      <c r="B107" s="9">
        <v>0.97</v>
      </c>
      <c r="C107" s="10">
        <v>1.0000000000000001E-101</v>
      </c>
      <c r="D107" s="5">
        <v>41.79</v>
      </c>
      <c r="E107" s="5" t="str">
        <f>HYPERLINK("https://www.ncbi.nlm.nih.gov/protein/WP_343669057.1?report=genbank&amp;log$=prottop&amp;blast_rank=208&amp;RID=8XM7PST5016","WP_343669057.1")</f>
        <v>WP_343669057.1</v>
      </c>
    </row>
    <row r="108" spans="1:5">
      <c r="A108" s="4" t="s">
        <v>76</v>
      </c>
      <c r="B108" s="9">
        <v>0.97</v>
      </c>
      <c r="C108" s="10">
        <v>2.0000000000000001E-134</v>
      </c>
      <c r="D108" s="5">
        <v>41.7</v>
      </c>
      <c r="E108" s="5" t="str">
        <f>HYPERLINK("https://www.ncbi.nlm.nih.gov/protein/WP_149347383.1?report=genbank&amp;log$=prottop&amp;blast_rank=58&amp;RID=8XM7PST5016","WP_149347383.1")</f>
        <v>WP_149347383.1</v>
      </c>
    </row>
    <row r="109" spans="1:5">
      <c r="A109" s="4" t="s">
        <v>84</v>
      </c>
      <c r="B109" s="9">
        <v>0.97</v>
      </c>
      <c r="C109" s="10">
        <v>8.0000000000000005E-133</v>
      </c>
      <c r="D109" s="5">
        <v>41.7</v>
      </c>
      <c r="E109" s="5" t="str">
        <f>HYPERLINK("https://www.ncbi.nlm.nih.gov/protein/RZJ81609.1?report=genbank&amp;log$=prottop&amp;blast_rank=66&amp;RID=8XM7PST5016","RZJ81609.1")</f>
        <v>RZJ81609.1</v>
      </c>
    </row>
    <row r="110" spans="1:5">
      <c r="A110" s="4" t="s">
        <v>90</v>
      </c>
      <c r="B110" s="9">
        <v>0.97</v>
      </c>
      <c r="C110" s="10">
        <v>2E-131</v>
      </c>
      <c r="D110" s="5">
        <v>41.7</v>
      </c>
      <c r="E110" s="5" t="str">
        <f>HYPERLINK("https://www.ncbi.nlm.nih.gov/protein/WP_142534834.1?report=genbank&amp;log$=prottop&amp;blast_rank=72&amp;RID=8XM7PST5016","WP_142534834.1")</f>
        <v>WP_142534834.1</v>
      </c>
    </row>
    <row r="111" spans="1:5">
      <c r="A111" s="4" t="s">
        <v>126</v>
      </c>
      <c r="B111" s="9">
        <v>0.99</v>
      </c>
      <c r="C111" s="10">
        <v>2.0000000000000001E-115</v>
      </c>
      <c r="D111" s="5">
        <v>41.67</v>
      </c>
      <c r="E111" s="5" t="str">
        <f>HYPERLINK("https://www.ncbi.nlm.nih.gov/protein/WP_106524102.1?report=genbank&amp;log$=prottop&amp;blast_rank=110&amp;RID=8XM7PST5016","WP_106524102.1")</f>
        <v>WP_106524102.1</v>
      </c>
    </row>
    <row r="112" spans="1:5">
      <c r="A112" s="4" t="s">
        <v>120</v>
      </c>
      <c r="B112" s="9">
        <v>0.98</v>
      </c>
      <c r="C112" s="10">
        <v>3.9999999999999999E-118</v>
      </c>
      <c r="D112" s="5">
        <v>41.61</v>
      </c>
      <c r="E112" s="5" t="str">
        <f>HYPERLINK("https://www.ncbi.nlm.nih.gov/protein/WP_334220331.1?report=genbank&amp;log$=prottop&amp;blast_rank=103&amp;RID=8XM7PST5016","WP_334220331.1")</f>
        <v>WP_334220331.1</v>
      </c>
    </row>
    <row r="113" spans="1:5">
      <c r="A113" s="4" t="s">
        <v>64</v>
      </c>
      <c r="B113" s="9">
        <v>0.96</v>
      </c>
      <c r="C113" s="10">
        <v>3.9999999999999998E-112</v>
      </c>
      <c r="D113" s="5">
        <v>41.51</v>
      </c>
      <c r="E113" s="5" t="str">
        <f>HYPERLINK("https://www.ncbi.nlm.nih.gov/protein/WP_152342267.1?report=genbank&amp;log$=prottop&amp;blast_rank=149&amp;RID=8XM7PST5016","WP_152342267.1")</f>
        <v>WP_152342267.1</v>
      </c>
    </row>
    <row r="114" spans="1:5">
      <c r="A114" s="4" t="s">
        <v>80</v>
      </c>
      <c r="B114" s="9">
        <v>0.97</v>
      </c>
      <c r="C114" s="10">
        <v>1.0000000000000001E-133</v>
      </c>
      <c r="D114" s="5">
        <v>41.33</v>
      </c>
      <c r="E114" s="5" t="str">
        <f>HYPERLINK("https://www.ncbi.nlm.nih.gov/protein/WP_149915189.1?report=genbank&amp;log$=prottop&amp;blast_rank=62&amp;RID=8XM7PST5016","WP_149915189.1")</f>
        <v>WP_149915189.1</v>
      </c>
    </row>
    <row r="115" spans="1:5">
      <c r="A115" s="4" t="s">
        <v>100</v>
      </c>
      <c r="B115" s="9">
        <v>0.97</v>
      </c>
      <c r="C115" s="10">
        <v>1.9999999999999999E-129</v>
      </c>
      <c r="D115" s="5">
        <v>41.33</v>
      </c>
      <c r="E115" s="5" t="str">
        <f>HYPERLINK("https://www.ncbi.nlm.nih.gov/protein/WP_147088527.1?report=genbank&amp;log$=prottop&amp;blast_rank=82&amp;RID=8XM7PST5016","WP_147088527.1")</f>
        <v>WP_147088527.1</v>
      </c>
    </row>
    <row r="116" spans="1:5">
      <c r="A116" s="4" t="s">
        <v>130</v>
      </c>
      <c r="B116" s="9">
        <v>0.96</v>
      </c>
      <c r="C116" s="10">
        <v>1.0000000000000001E-114</v>
      </c>
      <c r="D116" s="5">
        <v>41.29</v>
      </c>
      <c r="E116" s="5" t="str">
        <f>HYPERLINK("https://www.ncbi.nlm.nih.gov/protein/WP_241328110.1?report=genbank&amp;log$=prottop&amp;blast_rank=116&amp;RID=8XM7PST5016","WP_241328110.1")</f>
        <v>WP_241328110.1</v>
      </c>
    </row>
    <row r="117" spans="1:5">
      <c r="A117" s="4" t="s">
        <v>120</v>
      </c>
      <c r="B117" s="9">
        <v>0.98</v>
      </c>
      <c r="C117" s="10">
        <v>4.0000000000000002E-114</v>
      </c>
      <c r="D117" s="5">
        <v>41.24</v>
      </c>
      <c r="E117" s="5" t="str">
        <f>HYPERLINK("https://www.ncbi.nlm.nih.gov/protein/WP_005949388.1?report=genbank&amp;log$=prottop&amp;blast_rank=121&amp;RID=8XM7PST5016","WP_005949388.1")</f>
        <v>WP_005949388.1</v>
      </c>
    </row>
    <row r="118" spans="1:5">
      <c r="A118" s="4" t="s">
        <v>117</v>
      </c>
      <c r="B118" s="9">
        <v>0.97</v>
      </c>
      <c r="C118" s="10">
        <v>3.9999999999999999E-120</v>
      </c>
      <c r="D118" s="5">
        <v>40.96</v>
      </c>
      <c r="E118" s="5" t="str">
        <f>HYPERLINK("https://www.ncbi.nlm.nih.gov/protein/WP_299278020.1?report=genbank&amp;log$=prottop&amp;blast_rank=100&amp;RID=8XM7PST5016","WP_299278020.1")</f>
        <v>WP_299278020.1</v>
      </c>
    </row>
    <row r="119" spans="1:5">
      <c r="A119" s="4" t="s">
        <v>119</v>
      </c>
      <c r="B119" s="9">
        <v>0.97</v>
      </c>
      <c r="C119" s="10">
        <v>2E-109</v>
      </c>
      <c r="D119" s="5">
        <v>40.82</v>
      </c>
      <c r="E119" s="5" t="str">
        <f>HYPERLINK("https://www.ncbi.nlm.nih.gov/protein/WP_218287713.1?report=genbank&amp;log$=prottop&amp;blast_rank=165&amp;RID=8XM7PST5016","WP_218287713.1")</f>
        <v>WP_218287713.1</v>
      </c>
    </row>
    <row r="120" spans="1:5">
      <c r="A120" s="4" t="s">
        <v>124</v>
      </c>
      <c r="B120" s="9">
        <v>0.97</v>
      </c>
      <c r="C120" s="10">
        <v>1.0000000000000001E-115</v>
      </c>
      <c r="D120" s="5">
        <v>40.81</v>
      </c>
      <c r="E120" s="5" t="str">
        <f>HYPERLINK("https://www.ncbi.nlm.nih.gov/protein/WP_326198615.1?report=genbank&amp;log$=prottop&amp;blast_rank=108&amp;RID=8XM7PST5016","WP_326198615.1")</f>
        <v>WP_326198615.1</v>
      </c>
    </row>
    <row r="121" spans="1:5">
      <c r="A121" s="4" t="s">
        <v>140</v>
      </c>
      <c r="B121" s="9">
        <v>0.97</v>
      </c>
      <c r="C121" s="10">
        <v>7.0000000000000006E-113</v>
      </c>
      <c r="D121" s="5">
        <v>40.81</v>
      </c>
      <c r="E121" s="5" t="str">
        <f>HYPERLINK("https://www.ncbi.nlm.nih.gov/protein/RII36787.1?report=genbank&amp;log$=prottop&amp;blast_rank=140&amp;RID=8XM7PST5016","RII36787.1")</f>
        <v>RII36787.1</v>
      </c>
    </row>
    <row r="122" spans="1:5">
      <c r="A122" s="4" t="s">
        <v>140</v>
      </c>
      <c r="B122" s="9">
        <v>0.97</v>
      </c>
      <c r="C122" s="10">
        <v>1.9999999999999999E-112</v>
      </c>
      <c r="D122" s="5">
        <v>40.81</v>
      </c>
      <c r="E122" s="5" t="str">
        <f>HYPERLINK("https://www.ncbi.nlm.nih.gov/protein/WP_182629310.1?report=genbank&amp;log$=prottop&amp;blast_rank=147&amp;RID=8XM7PST5016","WP_182629310.1")</f>
        <v>WP_182629310.1</v>
      </c>
    </row>
    <row r="123" spans="1:5">
      <c r="A123" s="4" t="s">
        <v>67</v>
      </c>
      <c r="B123" s="9">
        <v>0.99</v>
      </c>
      <c r="C123" s="10">
        <v>8.9999999999999999E-111</v>
      </c>
      <c r="D123" s="5">
        <v>40.81</v>
      </c>
      <c r="E123" s="5" t="str">
        <f>HYPERLINK("https://www.ncbi.nlm.nih.gov/protein/WP_252146113.1?report=genbank&amp;log$=prottop&amp;blast_rank=161&amp;RID=8XM7PST5016","WP_252146113.1")</f>
        <v>WP_252146113.1</v>
      </c>
    </row>
    <row r="124" spans="1:5">
      <c r="A124" s="4" t="s">
        <v>67</v>
      </c>
      <c r="B124" s="9">
        <v>0.99</v>
      </c>
      <c r="C124" s="10">
        <v>9.0000000000000002E-110</v>
      </c>
      <c r="D124" s="5">
        <v>40.81</v>
      </c>
      <c r="E124" s="5" t="str">
        <f>HYPERLINK("https://www.ncbi.nlm.nih.gov/protein/PJO74615.1?report=genbank&amp;log$=prottop&amp;blast_rank=162&amp;RID=8XM7PST5016","PJO74615.1")</f>
        <v>PJO74615.1</v>
      </c>
    </row>
    <row r="125" spans="1:5">
      <c r="A125" s="4" t="s">
        <v>154</v>
      </c>
      <c r="B125" s="9">
        <v>0.99</v>
      </c>
      <c r="C125" s="10">
        <v>1E-108</v>
      </c>
      <c r="D125" s="5">
        <v>40.81</v>
      </c>
      <c r="E125" s="5" t="str">
        <f>HYPERLINK("https://www.ncbi.nlm.nih.gov/protein/WP_171546936.1?report=genbank&amp;log$=prottop&amp;blast_rank=170&amp;RID=8XM7PST5016","WP_171546936.1")</f>
        <v>WP_171546936.1</v>
      </c>
    </row>
    <row r="126" spans="1:5">
      <c r="A126" s="4" t="s">
        <v>123</v>
      </c>
      <c r="B126" s="9">
        <v>0.96</v>
      </c>
      <c r="C126" s="10">
        <v>2.0000000000000001E-117</v>
      </c>
      <c r="D126" s="5">
        <v>40.729999999999997</v>
      </c>
      <c r="E126" s="5" t="str">
        <f>HYPERLINK("https://www.ncbi.nlm.nih.gov/protein/WP_338373326.1?report=genbank&amp;log$=prottop&amp;blast_rank=107&amp;RID=8XM7PST5016","WP_338373326.1")</f>
        <v>WP_338373326.1</v>
      </c>
    </row>
    <row r="127" spans="1:5">
      <c r="A127" s="4" t="s">
        <v>121</v>
      </c>
      <c r="B127" s="9">
        <v>0.97</v>
      </c>
      <c r="C127" s="10">
        <v>6.0000000000000004E-118</v>
      </c>
      <c r="D127" s="5">
        <v>40.67</v>
      </c>
      <c r="E127" s="5" t="str">
        <f>HYPERLINK("https://www.ncbi.nlm.nih.gov/protein/WP_334424855.1?report=genbank&amp;log$=prottop&amp;blast_rank=105&amp;RID=8XM7PST5016","WP_334424855.1")</f>
        <v>WP_334424855.1</v>
      </c>
    </row>
    <row r="128" spans="1:5">
      <c r="A128" s="4" t="s">
        <v>197</v>
      </c>
      <c r="B128" s="9">
        <v>0.97</v>
      </c>
      <c r="C128" s="10">
        <v>4.0000000000000001E-99</v>
      </c>
      <c r="D128" s="5">
        <v>40.659999999999997</v>
      </c>
      <c r="E128" s="5" t="str">
        <f>HYPERLINK("https://www.ncbi.nlm.nih.gov/protein/WP_268494003.1?report=genbank&amp;log$=prottop&amp;blast_rank=221&amp;RID=8XM7PST5016","WP_268494003.1")</f>
        <v>WP_268494003.1</v>
      </c>
    </row>
    <row r="129" spans="1:5">
      <c r="A129" s="4" t="s">
        <v>81</v>
      </c>
      <c r="B129" s="9">
        <v>0.97</v>
      </c>
      <c r="C129" s="10">
        <v>2.0000000000000001E-133</v>
      </c>
      <c r="D129" s="5">
        <v>40.590000000000003</v>
      </c>
      <c r="E129" s="5" t="str">
        <f>HYPERLINK("https://www.ncbi.nlm.nih.gov/protein/WP_309047098.1?report=genbank&amp;log$=prottop&amp;blast_rank=63&amp;RID=8XM7PST5016","WP_309047098.1")</f>
        <v>WP_309047098.1</v>
      </c>
    </row>
    <row r="130" spans="1:5">
      <c r="A130" s="4" t="s">
        <v>112</v>
      </c>
      <c r="B130" s="9">
        <v>0.97</v>
      </c>
      <c r="C130" s="10">
        <v>2.0000000000000001E-123</v>
      </c>
      <c r="D130" s="5">
        <v>40.590000000000003</v>
      </c>
      <c r="E130" s="5" t="str">
        <f>HYPERLINK("https://www.ncbi.nlm.nih.gov/protein/MCF8380077.1?report=genbank&amp;log$=prottop&amp;blast_rank=94&amp;RID=8XM7PST5016","MCF8380077.1")</f>
        <v>MCF8380077.1</v>
      </c>
    </row>
    <row r="131" spans="1:5">
      <c r="A131" s="4" t="s">
        <v>133</v>
      </c>
      <c r="B131" s="9">
        <v>0.97</v>
      </c>
      <c r="C131" s="10">
        <v>7E-114</v>
      </c>
      <c r="D131" s="5">
        <v>40.520000000000003</v>
      </c>
      <c r="E131" s="5" t="str">
        <f>HYPERLINK("https://www.ncbi.nlm.nih.gov/protein/WP_056095173.1?report=genbank&amp;log$=prottop&amp;blast_rank=125&amp;RID=8XM7PST5016","WP_056095173.1")</f>
        <v>WP_056095173.1</v>
      </c>
    </row>
    <row r="132" spans="1:5">
      <c r="A132" s="4" t="s">
        <v>136</v>
      </c>
      <c r="B132" s="9">
        <v>0.97</v>
      </c>
      <c r="C132" s="10">
        <v>2E-113</v>
      </c>
      <c r="D132" s="5">
        <v>40.44</v>
      </c>
      <c r="E132" s="5" t="str">
        <f>HYPERLINK("https://www.ncbi.nlm.nih.gov/protein/HDR6284141.1?report=genbank&amp;log$=prottop&amp;blast_rank=133&amp;RID=8XM7PST5016","HDR6284141.1")</f>
        <v>HDR6284141.1</v>
      </c>
    </row>
    <row r="133" spans="1:5">
      <c r="A133" s="4" t="s">
        <v>200</v>
      </c>
      <c r="B133" s="9">
        <v>0.98</v>
      </c>
      <c r="C133" s="10">
        <v>2.0000000000000001E-97</v>
      </c>
      <c r="D133" s="5">
        <v>40.44</v>
      </c>
      <c r="E133" s="5" t="str">
        <f>HYPERLINK("https://www.ncbi.nlm.nih.gov/protein/WP_190606317.1?report=genbank&amp;log$=prottop&amp;blast_rank=225&amp;RID=8XM7PST5016","WP_190606317.1")</f>
        <v>WP_190606317.1</v>
      </c>
    </row>
    <row r="134" spans="1:5">
      <c r="A134" s="4" t="s">
        <v>119</v>
      </c>
      <c r="B134" s="9">
        <v>0.97</v>
      </c>
      <c r="C134" s="10">
        <v>2E-118</v>
      </c>
      <c r="D134" s="5">
        <v>40.299999999999997</v>
      </c>
      <c r="E134" s="5" t="str">
        <f>HYPERLINK("https://www.ncbi.nlm.nih.gov/protein/WP_213687098.1?report=genbank&amp;log$=prottop&amp;blast_rank=102&amp;RID=8XM7PST5016","WP_213687098.1")</f>
        <v>WP_213687098.1</v>
      </c>
    </row>
    <row r="135" spans="1:5">
      <c r="A135" s="4" t="s">
        <v>68</v>
      </c>
      <c r="B135" s="9">
        <v>0.97</v>
      </c>
      <c r="C135" s="10">
        <v>6.0000000000000004E-118</v>
      </c>
      <c r="D135" s="5">
        <v>40.299999999999997</v>
      </c>
      <c r="E135" s="5" t="str">
        <f>HYPERLINK("https://www.ncbi.nlm.nih.gov/protein/WP_313483211.1?report=genbank&amp;log$=prottop&amp;blast_rank=104&amp;RID=8XM7PST5016","WP_313483211.1")</f>
        <v>WP_313483211.1</v>
      </c>
    </row>
    <row r="136" spans="1:5">
      <c r="A136" s="4" t="s">
        <v>91</v>
      </c>
      <c r="B136" s="9">
        <v>0.97</v>
      </c>
      <c r="C136" s="10">
        <v>2E-131</v>
      </c>
      <c r="D136" s="5">
        <v>40.22</v>
      </c>
      <c r="E136" s="5" t="str">
        <f>HYPERLINK("https://www.ncbi.nlm.nih.gov/protein/WP_312331302.1?report=genbank&amp;log$=prottop&amp;blast_rank=73&amp;RID=8XM7PST5016","WP_312331302.1")</f>
        <v>WP_312331302.1</v>
      </c>
    </row>
    <row r="137" spans="1:5">
      <c r="A137" s="4" t="s">
        <v>93</v>
      </c>
      <c r="B137" s="9">
        <v>0.97</v>
      </c>
      <c r="C137" s="10">
        <v>3E-131</v>
      </c>
      <c r="D137" s="5">
        <v>40.22</v>
      </c>
      <c r="E137" s="5" t="str">
        <f>HYPERLINK("https://www.ncbi.nlm.nih.gov/protein/WP_113646222.1?report=genbank&amp;log$=prottop&amp;blast_rank=75&amp;RID=8XM7PST5016","WP_113646222.1")</f>
        <v>WP_113646222.1</v>
      </c>
    </row>
    <row r="138" spans="1:5">
      <c r="A138" s="4" t="s">
        <v>107</v>
      </c>
      <c r="B138" s="9">
        <v>0.97</v>
      </c>
      <c r="C138" s="10">
        <v>7E-125</v>
      </c>
      <c r="D138" s="5">
        <v>40.22</v>
      </c>
      <c r="E138" s="5" t="str">
        <f>HYPERLINK("https://www.ncbi.nlm.nih.gov/protein/WP_240575474.1?report=genbank&amp;log$=prottop&amp;blast_rank=89&amp;RID=8XM7PST5016","WP_240575474.1")</f>
        <v>WP_240575474.1</v>
      </c>
    </row>
    <row r="139" spans="1:5">
      <c r="A139" s="4" t="s">
        <v>165</v>
      </c>
      <c r="B139" s="9">
        <v>0.97</v>
      </c>
      <c r="C139" s="10">
        <v>7E-106</v>
      </c>
      <c r="D139" s="5">
        <v>40.21</v>
      </c>
      <c r="E139" s="5" t="str">
        <f>HYPERLINK("https://www.ncbi.nlm.nih.gov/protein/WP_224938014.1?report=genbank&amp;log$=prottop&amp;blast_rank=182&amp;RID=8XM7PST5016","WP_224938014.1")</f>
        <v>WP_224938014.1</v>
      </c>
    </row>
    <row r="140" spans="1:5">
      <c r="A140" s="4" t="s">
        <v>147</v>
      </c>
      <c r="B140" s="9">
        <v>0.96</v>
      </c>
      <c r="C140" s="10">
        <v>3.0000000000000001E-111</v>
      </c>
      <c r="D140" s="5">
        <v>40.15</v>
      </c>
      <c r="E140" s="5" t="str">
        <f>HYPERLINK("https://www.ncbi.nlm.nih.gov/protein/WP_235471795.1?report=genbank&amp;log$=prottop&amp;blast_rank=157&amp;RID=8XM7PST5016","WP_235471795.1")</f>
        <v>WP_235471795.1</v>
      </c>
    </row>
    <row r="141" spans="1:5">
      <c r="A141" s="4" t="s">
        <v>144</v>
      </c>
      <c r="B141" s="9">
        <v>0.97</v>
      </c>
      <c r="C141" s="10">
        <v>1.0000000000000001E-111</v>
      </c>
      <c r="D141" s="5">
        <v>40.07</v>
      </c>
      <c r="E141" s="5" t="str">
        <f>HYPERLINK("https://www.ncbi.nlm.nih.gov/protein/WP_039076320.1?report=genbank&amp;log$=prottop&amp;blast_rank=153&amp;RID=8XM7PST5016","WP_039076320.1")</f>
        <v>WP_039076320.1</v>
      </c>
    </row>
    <row r="142" spans="1:5">
      <c r="A142" s="4" t="s">
        <v>119</v>
      </c>
      <c r="B142" s="9">
        <v>0.97</v>
      </c>
      <c r="C142" s="10">
        <v>4E-109</v>
      </c>
      <c r="D142" s="5">
        <v>40.07</v>
      </c>
      <c r="E142" s="5" t="str">
        <f>HYPERLINK("https://www.ncbi.nlm.nih.gov/protein/WP_005399650.1?report=genbank&amp;log$=prottop&amp;blast_rank=167&amp;RID=8XM7PST5016","WP_005399650.1")</f>
        <v>WP_005399650.1</v>
      </c>
    </row>
    <row r="143" spans="1:5">
      <c r="A143" s="4" t="s">
        <v>155</v>
      </c>
      <c r="B143" s="9">
        <v>0.97</v>
      </c>
      <c r="C143" s="10">
        <v>2.0000000000000001E-108</v>
      </c>
      <c r="D143" s="5">
        <v>40.07</v>
      </c>
      <c r="E143" s="5" t="str">
        <f>HYPERLINK("https://www.ncbi.nlm.nih.gov/protein/HRM31079.1?report=genbank&amp;log$=prottop&amp;blast_rank=171&amp;RID=8XM7PST5016","HRM31079.1")</f>
        <v>HRM31079.1</v>
      </c>
    </row>
    <row r="144" spans="1:5">
      <c r="A144" s="4" t="s">
        <v>145</v>
      </c>
      <c r="B144" s="9">
        <v>0.97</v>
      </c>
      <c r="C144" s="10">
        <v>1.0000000000000001E-111</v>
      </c>
      <c r="D144" s="5">
        <v>39.86</v>
      </c>
      <c r="E144" s="5" t="str">
        <f>HYPERLINK("https://www.ncbi.nlm.nih.gov/protein/WP_221784003.1?report=genbank&amp;log$=prottop&amp;blast_rank=155&amp;RID=8XM7PST5016","WP_221784003.1")</f>
        <v>WP_221784003.1</v>
      </c>
    </row>
    <row r="145" spans="1:5">
      <c r="A145" s="4" t="s">
        <v>150</v>
      </c>
      <c r="B145" s="9">
        <v>0.97</v>
      </c>
      <c r="C145" s="10">
        <v>9.9999999999999999E-110</v>
      </c>
      <c r="D145" s="5">
        <v>39.86</v>
      </c>
      <c r="E145" s="5" t="str">
        <f>HYPERLINK("https://www.ncbi.nlm.nih.gov/protein/WP_164971733.1?report=genbank&amp;log$=prottop&amp;blast_rank=163&amp;RID=8XM7PST5016","WP_164971733.1")</f>
        <v>WP_164971733.1</v>
      </c>
    </row>
    <row r="146" spans="1:5">
      <c r="A146" s="4" t="s">
        <v>82</v>
      </c>
      <c r="B146" s="9">
        <v>0.97</v>
      </c>
      <c r="C146" s="10">
        <v>2.0000000000000001E-133</v>
      </c>
      <c r="D146" s="5">
        <v>39.85</v>
      </c>
      <c r="E146" s="5" t="str">
        <f>HYPERLINK("https://www.ncbi.nlm.nih.gov/protein/WP_026769723.1?report=genbank&amp;log$=prottop&amp;blast_rank=64&amp;RID=8XM7PST5016","WP_026769723.1")</f>
        <v>WP_026769723.1</v>
      </c>
    </row>
    <row r="147" spans="1:5">
      <c r="A147" s="4" t="s">
        <v>122</v>
      </c>
      <c r="B147" s="9">
        <v>0.97</v>
      </c>
      <c r="C147" s="10">
        <v>2.0000000000000001E-117</v>
      </c>
      <c r="D147" s="5">
        <v>39.85</v>
      </c>
      <c r="E147" s="5" t="str">
        <f>HYPERLINK("https://www.ncbi.nlm.nih.gov/protein/MES2852212.1?report=genbank&amp;log$=prottop&amp;blast_rank=106&amp;RID=8XM7PST5016","MES2852212.1")</f>
        <v>MES2852212.1</v>
      </c>
    </row>
    <row r="148" spans="1:5">
      <c r="A148" s="4" t="s">
        <v>132</v>
      </c>
      <c r="B148" s="9">
        <v>0.98</v>
      </c>
      <c r="C148" s="10">
        <v>6.0000000000000003E-114</v>
      </c>
      <c r="D148" s="5">
        <v>39.78</v>
      </c>
      <c r="E148" s="5" t="str">
        <f>HYPERLINK("https://www.ncbi.nlm.nih.gov/protein/WP_111859749.1?report=genbank&amp;log$=prottop&amp;blast_rank=123&amp;RID=8XM7PST5016","WP_111859749.1")</f>
        <v>WP_111859749.1</v>
      </c>
    </row>
    <row r="149" spans="1:5">
      <c r="A149" s="4" t="s">
        <v>150</v>
      </c>
      <c r="B149" s="9">
        <v>0.97</v>
      </c>
      <c r="C149" s="10">
        <v>7.9999999999999999E-109</v>
      </c>
      <c r="D149" s="5">
        <v>39.64</v>
      </c>
      <c r="E149" s="5" t="str">
        <f>HYPERLINK("https://www.ncbi.nlm.nih.gov/protein/QAW06653.1?report=genbank&amp;log$=prottop&amp;blast_rank=169&amp;RID=8XM7PST5016","QAW06653.1")</f>
        <v>QAW06653.1</v>
      </c>
    </row>
    <row r="150" spans="1:5">
      <c r="A150" s="4" t="s">
        <v>186</v>
      </c>
      <c r="B150" s="9">
        <v>0.96</v>
      </c>
      <c r="C150" s="10">
        <v>1.0000000000000001E-101</v>
      </c>
      <c r="D150" s="5">
        <v>39.630000000000003</v>
      </c>
      <c r="E150" s="5" t="str">
        <f>HYPERLINK("https://www.ncbi.nlm.nih.gov/protein/WP_085727154.1?report=genbank&amp;log$=prottop&amp;blast_rank=209&amp;RID=8XM7PST5016","WP_085727154.1")</f>
        <v>WP_085727154.1</v>
      </c>
    </row>
    <row r="151" spans="1:5">
      <c r="A151" s="4" t="s">
        <v>85</v>
      </c>
      <c r="B151" s="9">
        <v>0.97</v>
      </c>
      <c r="C151" s="10">
        <v>9.0000000000000002E-133</v>
      </c>
      <c r="D151" s="5">
        <v>39.479999999999997</v>
      </c>
      <c r="E151" s="5" t="str">
        <f>HYPERLINK("https://www.ncbi.nlm.nih.gov/protein/WP_184493638.1?report=genbank&amp;log$=prottop&amp;blast_rank=67&amp;RID=8XM7PST5016","WP_184493638.1")</f>
        <v>WP_184493638.1</v>
      </c>
    </row>
    <row r="152" spans="1:5">
      <c r="A152" s="4" t="s">
        <v>86</v>
      </c>
      <c r="B152" s="9">
        <v>0.97</v>
      </c>
      <c r="C152" s="10">
        <v>3.9999999999999999E-132</v>
      </c>
      <c r="D152" s="5">
        <v>39.479999999999997</v>
      </c>
      <c r="E152" s="5" t="str">
        <f>HYPERLINK("https://www.ncbi.nlm.nih.gov/protein/WP_115956405.1?report=genbank&amp;log$=prottop&amp;blast_rank=68&amp;RID=8XM7PST5016","WP_115956405.1")</f>
        <v>WP_115956405.1</v>
      </c>
    </row>
    <row r="153" spans="1:5">
      <c r="A153" s="4" t="s">
        <v>101</v>
      </c>
      <c r="B153" s="9">
        <v>0.97</v>
      </c>
      <c r="C153" s="10">
        <v>6.9999999999999995E-129</v>
      </c>
      <c r="D153" s="5">
        <v>39.479999999999997</v>
      </c>
      <c r="E153" s="5" t="str">
        <f>HYPERLINK("https://www.ncbi.nlm.nih.gov/protein/WP_336071082.1?report=genbank&amp;log$=prottop&amp;blast_rank=83&amp;RID=8XM7PST5016","WP_336071082.1")</f>
        <v>WP_336071082.1</v>
      </c>
    </row>
    <row r="154" spans="1:5">
      <c r="A154" s="4" t="s">
        <v>116</v>
      </c>
      <c r="B154" s="9">
        <v>0.97</v>
      </c>
      <c r="C154" s="10">
        <v>7.9999999999999998E-121</v>
      </c>
      <c r="D154" s="5">
        <v>39.479999999999997</v>
      </c>
      <c r="E154" s="5" t="str">
        <f>HYPERLINK("https://www.ncbi.nlm.nih.gov/protein/WP_177763027.1?report=genbank&amp;log$=prottop&amp;blast_rank=99&amp;RID=8XM7PST5016","WP_177763027.1")</f>
        <v>WP_177763027.1</v>
      </c>
    </row>
    <row r="155" spans="1:5">
      <c r="A155" s="4" t="s">
        <v>138</v>
      </c>
      <c r="B155" s="9">
        <v>0.96</v>
      </c>
      <c r="C155" s="10">
        <v>3.9999999999999999E-113</v>
      </c>
      <c r="D155" s="5">
        <v>39.409999999999997</v>
      </c>
      <c r="E155" s="5" t="str">
        <f>HYPERLINK("https://www.ncbi.nlm.nih.gov/protein/HEX2899572.1?report=genbank&amp;log$=prottop&amp;blast_rank=137&amp;RID=8XM7PST5016","HEX2899572.1")</f>
        <v>HEX2899572.1</v>
      </c>
    </row>
    <row r="156" spans="1:5">
      <c r="A156" s="4" t="s">
        <v>152</v>
      </c>
      <c r="B156" s="9">
        <v>0.97</v>
      </c>
      <c r="C156" s="10">
        <v>4E-109</v>
      </c>
      <c r="D156" s="5">
        <v>39.340000000000003</v>
      </c>
      <c r="E156" s="5" t="str">
        <f>HYPERLINK("https://www.ncbi.nlm.nih.gov/protein/WP_274253319.1?report=genbank&amp;log$=prottop&amp;blast_rank=166&amp;RID=8XM7PST5016","WP_274253319.1")</f>
        <v>WP_274253319.1</v>
      </c>
    </row>
    <row r="157" spans="1:5">
      <c r="A157" s="4" t="s">
        <v>98</v>
      </c>
      <c r="B157" s="9">
        <v>0.97</v>
      </c>
      <c r="C157" s="10">
        <v>9.9999999999999993E-130</v>
      </c>
      <c r="D157" s="5">
        <v>39.11</v>
      </c>
      <c r="E157" s="5" t="str">
        <f>HYPERLINK("https://www.ncbi.nlm.nih.gov/protein/WP_159155371.1?report=genbank&amp;log$=prottop&amp;blast_rank=80&amp;RID=8XM7PST5016","WP_159155371.1")</f>
        <v>WP_159155371.1</v>
      </c>
    </row>
    <row r="158" spans="1:5">
      <c r="A158" s="4" t="s">
        <v>110</v>
      </c>
      <c r="B158" s="9">
        <v>0.97</v>
      </c>
      <c r="C158" s="10">
        <v>3E-124</v>
      </c>
      <c r="D158" s="5">
        <v>39.11</v>
      </c>
      <c r="E158" s="5" t="str">
        <f>HYPERLINK("https://www.ncbi.nlm.nih.gov/protein/WP_313387005.1?report=genbank&amp;log$=prottop&amp;blast_rank=92&amp;RID=8XM7PST5016","WP_313387005.1")</f>
        <v>WP_313387005.1</v>
      </c>
    </row>
    <row r="159" spans="1:5">
      <c r="A159" s="4" t="s">
        <v>111</v>
      </c>
      <c r="B159" s="9">
        <v>0.97</v>
      </c>
      <c r="C159" s="10">
        <v>6E-124</v>
      </c>
      <c r="D159" s="5">
        <v>39.11</v>
      </c>
      <c r="E159" s="5" t="str">
        <f>HYPERLINK("https://www.ncbi.nlm.nih.gov/protein/WP_145327992.1?report=genbank&amp;log$=prottop&amp;blast_rank=93&amp;RID=8XM7PST5016","WP_145327992.1")</f>
        <v>WP_145327992.1</v>
      </c>
    </row>
    <row r="160" spans="1:5">
      <c r="A160" s="4" t="s">
        <v>156</v>
      </c>
      <c r="B160" s="9">
        <v>0.97</v>
      </c>
      <c r="C160" s="10">
        <v>2.9999999999999999E-108</v>
      </c>
      <c r="D160" s="5">
        <v>39.11</v>
      </c>
      <c r="E160" s="5" t="str">
        <f>HYPERLINK("https://www.ncbi.nlm.nih.gov/protein/WP_111923376.1?report=genbank&amp;log$=prottop&amp;blast_rank=172&amp;RID=8XM7PST5016","WP_111923376.1")</f>
        <v>WP_111923376.1</v>
      </c>
    </row>
    <row r="161" spans="1:5">
      <c r="A161" s="4" t="s">
        <v>161</v>
      </c>
      <c r="B161" s="9">
        <v>0.98</v>
      </c>
      <c r="C161" s="10">
        <v>2E-107</v>
      </c>
      <c r="D161" s="5">
        <v>39.03</v>
      </c>
      <c r="E161" s="5" t="str">
        <f>HYPERLINK("https://www.ncbi.nlm.nih.gov/protein/WP_239045869.1?report=genbank&amp;log$=prottop&amp;blast_rank=178&amp;RID=8XM7PST5016","WP_239045869.1")</f>
        <v>WP_239045869.1</v>
      </c>
    </row>
    <row r="162" spans="1:5">
      <c r="A162" s="4" t="s">
        <v>92</v>
      </c>
      <c r="B162" s="9">
        <v>0.97</v>
      </c>
      <c r="C162" s="10">
        <v>3E-131</v>
      </c>
      <c r="D162" s="5">
        <v>38.75</v>
      </c>
      <c r="E162" s="5" t="str">
        <f>HYPERLINK("https://www.ncbi.nlm.nih.gov/protein/MBP6154909.1?report=genbank&amp;log$=prottop&amp;blast_rank=74&amp;RID=8XM7PST5016","MBP6154909.1")</f>
        <v>MBP6154909.1</v>
      </c>
    </row>
    <row r="163" spans="1:5">
      <c r="A163" s="4" t="s">
        <v>103</v>
      </c>
      <c r="B163" s="9">
        <v>0.97</v>
      </c>
      <c r="C163" s="10">
        <v>2.9999999999999998E-128</v>
      </c>
      <c r="D163" s="5">
        <v>38.75</v>
      </c>
      <c r="E163" s="5" t="str">
        <f>HYPERLINK("https://www.ncbi.nlm.nih.gov/protein/WP_336686508.1?report=genbank&amp;log$=prottop&amp;blast_rank=85&amp;RID=8XM7PST5016","WP_336686508.1")</f>
        <v>WP_336686508.1</v>
      </c>
    </row>
    <row r="164" spans="1:5">
      <c r="A164" s="4" t="s">
        <v>104</v>
      </c>
      <c r="B164" s="9">
        <v>0.97</v>
      </c>
      <c r="C164" s="10">
        <v>1E-127</v>
      </c>
      <c r="D164" s="5">
        <v>38.75</v>
      </c>
      <c r="E164" s="5" t="str">
        <f>HYPERLINK("https://www.ncbi.nlm.nih.gov/protein/WP_089795805.1?report=genbank&amp;log$=prottop&amp;blast_rank=86&amp;RID=8XM7PST5016","WP_089795805.1")</f>
        <v>WP_089795805.1</v>
      </c>
    </row>
    <row r="165" spans="1:5">
      <c r="A165" s="4" t="s">
        <v>148</v>
      </c>
      <c r="B165" s="9">
        <v>0.97</v>
      </c>
      <c r="C165" s="10">
        <v>5.0000000000000003E-111</v>
      </c>
      <c r="D165" s="5">
        <v>38.75</v>
      </c>
      <c r="E165" s="5" t="str">
        <f>HYPERLINK("https://www.ncbi.nlm.nih.gov/protein/PHI18094.1?report=genbank&amp;log$=prottop&amp;blast_rank=158&amp;RID=8XM7PST5016","PHI18094.1")</f>
        <v>PHI18094.1</v>
      </c>
    </row>
    <row r="166" spans="1:5">
      <c r="A166" s="4" t="s">
        <v>164</v>
      </c>
      <c r="B166" s="9">
        <v>0.98</v>
      </c>
      <c r="C166" s="10">
        <v>3.9999999999999998E-106</v>
      </c>
      <c r="D166" s="5">
        <v>38.71</v>
      </c>
      <c r="E166" s="5" t="str">
        <f>HYPERLINK("https://www.ncbi.nlm.nih.gov/protein/WP_277341666.1?report=genbank&amp;log$=prottop&amp;blast_rank=181&amp;RID=8XM7PST5016","WP_277341666.1")</f>
        <v>WP_277341666.1</v>
      </c>
    </row>
    <row r="167" spans="1:5">
      <c r="A167" s="4" t="s">
        <v>170</v>
      </c>
      <c r="B167" s="9">
        <v>0.98</v>
      </c>
      <c r="C167" s="10">
        <v>9.9999999999999993E-105</v>
      </c>
      <c r="D167" s="5">
        <v>38.69</v>
      </c>
      <c r="E167" s="5" t="str">
        <f>HYPERLINK("https://www.ncbi.nlm.nih.gov/protein/WP_304157354.1?report=genbank&amp;log$=prottop&amp;blast_rank=188&amp;RID=8XM7PST5016","WP_304157354.1")</f>
        <v>WP_304157354.1</v>
      </c>
    </row>
    <row r="168" spans="1:5">
      <c r="A168" s="4" t="s">
        <v>129</v>
      </c>
      <c r="B168" s="9">
        <v>0.98</v>
      </c>
      <c r="C168" s="10">
        <v>8.9999999999999994E-114</v>
      </c>
      <c r="D168" s="5">
        <v>38.659999999999997</v>
      </c>
      <c r="E168" s="5" t="str">
        <f>HYPERLINK("https://www.ncbi.nlm.nih.gov/protein/MDV7526336.1?report=genbank&amp;log$=prottop&amp;blast_rank=128&amp;RID=8XM7PST5016","MDV7526336.1")</f>
        <v>MDV7526336.1</v>
      </c>
    </row>
    <row r="169" spans="1:5">
      <c r="A169" s="4" t="s">
        <v>127</v>
      </c>
      <c r="B169" s="9">
        <v>0.98</v>
      </c>
      <c r="C169" s="10">
        <v>9.9999999999999995E-113</v>
      </c>
      <c r="D169" s="5">
        <v>38.659999999999997</v>
      </c>
      <c r="E169" s="5" t="str">
        <f>HYPERLINK("https://www.ncbi.nlm.nih.gov/protein/WP_223857349.1?report=genbank&amp;log$=prottop&amp;blast_rank=142&amp;RID=8XM7PST5016","WP_223857349.1")</f>
        <v>WP_223857349.1</v>
      </c>
    </row>
    <row r="170" spans="1:5">
      <c r="A170" s="4" t="s">
        <v>127</v>
      </c>
      <c r="B170" s="9">
        <v>0.98</v>
      </c>
      <c r="C170" s="10">
        <v>3.0000000000000001E-112</v>
      </c>
      <c r="D170" s="5">
        <v>38.659999999999997</v>
      </c>
      <c r="E170" s="5" t="str">
        <f>HYPERLINK("https://www.ncbi.nlm.nih.gov/protein/QNX61752.1?report=genbank&amp;log$=prottop&amp;blast_rank=148&amp;RID=8XM7PST5016","QNX61752.1")</f>
        <v>QNX61752.1</v>
      </c>
    </row>
    <row r="171" spans="1:5">
      <c r="A171" s="4" t="s">
        <v>115</v>
      </c>
      <c r="B171" s="9">
        <v>0.9</v>
      </c>
      <c r="C171" s="10">
        <v>9.9999999999999998E-122</v>
      </c>
      <c r="D171" s="5">
        <v>38.65</v>
      </c>
      <c r="E171" s="5" t="str">
        <f>HYPERLINK("https://www.ncbi.nlm.nih.gov/protein/WP_015266963.1?report=genbank&amp;log$=prottop&amp;blast_rank=98&amp;RID=8XM7PST5016","WP_015266963.1")</f>
        <v>WP_015266963.1</v>
      </c>
    </row>
    <row r="172" spans="1:5">
      <c r="A172" s="4" t="s">
        <v>149</v>
      </c>
      <c r="B172" s="9">
        <v>0.97</v>
      </c>
      <c r="C172" s="10">
        <v>8.0000000000000007E-111</v>
      </c>
      <c r="D172" s="5">
        <v>38.6</v>
      </c>
      <c r="E172" s="5" t="str">
        <f>HYPERLINK("https://www.ncbi.nlm.nih.gov/protein/WP_342429998.1?report=genbank&amp;log$=prottop&amp;blast_rank=160&amp;RID=8XM7PST5016","WP_342429998.1")</f>
        <v>WP_342429998.1</v>
      </c>
    </row>
    <row r="173" spans="1:5">
      <c r="A173" s="4" t="s">
        <v>166</v>
      </c>
      <c r="B173" s="9">
        <v>0.97</v>
      </c>
      <c r="C173" s="10">
        <v>1.9999999999999999E-104</v>
      </c>
      <c r="D173" s="5">
        <v>38.6</v>
      </c>
      <c r="E173" s="5" t="str">
        <f>HYPERLINK("https://www.ncbi.nlm.nih.gov/protein/WP_032542130.1?report=genbank&amp;log$=prottop&amp;blast_rank=190&amp;RID=8XM7PST5016","WP_032542130.1")</f>
        <v>WP_032542130.1</v>
      </c>
    </row>
    <row r="174" spans="1:5">
      <c r="A174" s="4" t="s">
        <v>168</v>
      </c>
      <c r="B174" s="9">
        <v>0.97</v>
      </c>
      <c r="C174" s="10">
        <v>3.0000000000000002E-104</v>
      </c>
      <c r="D174" s="5">
        <v>38.6</v>
      </c>
      <c r="E174" s="5" t="str">
        <f>HYPERLINK("https://www.ncbi.nlm.nih.gov/protein/QCQ54991.1?report=genbank&amp;log$=prottop&amp;blast_rank=191&amp;RID=8XM7PST5016","QCQ54991.1")</f>
        <v>QCQ54991.1</v>
      </c>
    </row>
    <row r="175" spans="1:5">
      <c r="A175" s="4" t="s">
        <v>128</v>
      </c>
      <c r="B175" s="9">
        <v>0.97</v>
      </c>
      <c r="C175" s="10">
        <v>9.9999999999999995E-113</v>
      </c>
      <c r="D175" s="5">
        <v>38.58</v>
      </c>
      <c r="E175" s="5" t="str">
        <f>HYPERLINK("https://www.ncbi.nlm.nih.gov/protein/WP_337081193.1?report=genbank&amp;log$=prottop&amp;blast_rank=144&amp;RID=8XM7PST5016","WP_337081193.1")</f>
        <v>WP_337081193.1</v>
      </c>
    </row>
    <row r="176" spans="1:5">
      <c r="A176" s="4" t="s">
        <v>191</v>
      </c>
      <c r="B176" s="9">
        <v>0.97</v>
      </c>
      <c r="C176" s="10">
        <v>8.9999999999999997E-101</v>
      </c>
      <c r="D176" s="5">
        <v>38.35</v>
      </c>
      <c r="E176" s="5" t="str">
        <f>HYPERLINK("https://www.ncbi.nlm.nih.gov/protein/WP_333662787.1?report=genbank&amp;log$=prottop&amp;blast_rank=215&amp;RID=8XM7PST5016","WP_333662787.1")</f>
        <v>WP_333662787.1</v>
      </c>
    </row>
    <row r="177" spans="1:5">
      <c r="A177" s="4" t="s">
        <v>179</v>
      </c>
      <c r="B177" s="9">
        <v>0.98</v>
      </c>
      <c r="C177" s="10">
        <v>3E-103</v>
      </c>
      <c r="D177" s="5">
        <v>38.299999999999997</v>
      </c>
      <c r="E177" s="5" t="str">
        <f>HYPERLINK("https://www.ncbi.nlm.nih.gov/protein/MDK0767925.1?report=genbank&amp;log$=prottop&amp;blast_rank=199&amp;RID=8XM7PST5016","MDK0767925.1")</f>
        <v>MDK0767925.1</v>
      </c>
    </row>
    <row r="178" spans="1:5">
      <c r="A178" s="4" t="s">
        <v>179</v>
      </c>
      <c r="B178" s="9">
        <v>0.98</v>
      </c>
      <c r="C178" s="10">
        <v>7.0000000000000003E-103</v>
      </c>
      <c r="D178" s="5">
        <v>38.299999999999997</v>
      </c>
      <c r="E178" s="5" t="str">
        <f>HYPERLINK("https://www.ncbi.nlm.nih.gov/protein/WP_136001425.1?report=genbank&amp;log$=prottop&amp;blast_rank=202&amp;RID=8XM7PST5016","WP_136001425.1")</f>
        <v>WP_136001425.1</v>
      </c>
    </row>
    <row r="179" spans="1:5">
      <c r="A179" s="4" t="s">
        <v>129</v>
      </c>
      <c r="B179" s="9">
        <v>0.98</v>
      </c>
      <c r="C179" s="10">
        <v>7E-114</v>
      </c>
      <c r="D179" s="5">
        <v>38.29</v>
      </c>
      <c r="E179" s="5" t="str">
        <f>HYPERLINK("https://www.ncbi.nlm.nih.gov/protein/WP_228142829.1?report=genbank&amp;log$=prottop&amp;blast_rank=127&amp;RID=8XM7PST5016","WP_228142829.1")</f>
        <v>WP_228142829.1</v>
      </c>
    </row>
    <row r="180" spans="1:5">
      <c r="A180" s="4" t="s">
        <v>127</v>
      </c>
      <c r="B180" s="9">
        <v>0.98</v>
      </c>
      <c r="C180" s="10">
        <v>9.9999999999999998E-114</v>
      </c>
      <c r="D180" s="5">
        <v>38.29</v>
      </c>
      <c r="E180" s="5" t="str">
        <f>HYPERLINK("https://www.ncbi.nlm.nih.gov/protein/WP_348898960.1?report=genbank&amp;log$=prottop&amp;blast_rank=129&amp;RID=8XM7PST5016","WP_348898960.1")</f>
        <v>WP_348898960.1</v>
      </c>
    </row>
    <row r="181" spans="1:5">
      <c r="A181" s="4" t="s">
        <v>129</v>
      </c>
      <c r="B181" s="9">
        <v>0.98</v>
      </c>
      <c r="C181" s="10">
        <v>3.9999999999999999E-113</v>
      </c>
      <c r="D181" s="5">
        <v>38.29</v>
      </c>
      <c r="E181" s="5" t="str">
        <f>HYPERLINK("https://www.ncbi.nlm.nih.gov/protein/WP_024433952.1?report=genbank&amp;log$=prottop&amp;blast_rank=136&amp;RID=8XM7PST5016","WP_024433952.1")</f>
        <v>WP_024433952.1</v>
      </c>
    </row>
    <row r="182" spans="1:5">
      <c r="A182" s="4" t="s">
        <v>139</v>
      </c>
      <c r="B182" s="9">
        <v>0.98</v>
      </c>
      <c r="C182" s="10">
        <v>3.9999999999999999E-113</v>
      </c>
      <c r="D182" s="5">
        <v>38.29</v>
      </c>
      <c r="E182" s="5" t="str">
        <f>HYPERLINK("https://www.ncbi.nlm.nih.gov/protein/EOQ68894.1?report=genbank&amp;log$=prottop&amp;blast_rank=138&amp;RID=8XM7PST5016","EOQ68894.1")</f>
        <v>EOQ68894.1</v>
      </c>
    </row>
    <row r="183" spans="1:5">
      <c r="A183" s="4" t="s">
        <v>129</v>
      </c>
      <c r="B183" s="9">
        <v>0.98</v>
      </c>
      <c r="C183" s="10">
        <v>7.0000000000000006E-113</v>
      </c>
      <c r="D183" s="5">
        <v>38.29</v>
      </c>
      <c r="E183" s="5" t="str">
        <f>HYPERLINK("https://www.ncbi.nlm.nih.gov/protein/WP_025464526.1?report=genbank&amp;log$=prottop&amp;blast_rank=139&amp;RID=8XM7PST5016","WP_025464526.1")</f>
        <v>WP_025464526.1</v>
      </c>
    </row>
    <row r="184" spans="1:5">
      <c r="A184" s="4" t="s">
        <v>128</v>
      </c>
      <c r="B184" s="9">
        <v>0.98</v>
      </c>
      <c r="C184" s="10">
        <v>9.9999999999999995E-113</v>
      </c>
      <c r="D184" s="5">
        <v>38.29</v>
      </c>
      <c r="E184" s="5" t="str">
        <f>HYPERLINK("https://www.ncbi.nlm.nih.gov/protein/WP_080649699.1?report=genbank&amp;log$=prottop&amp;blast_rank=143&amp;RID=8XM7PST5016","WP_080649699.1")</f>
        <v>WP_080649699.1</v>
      </c>
    </row>
    <row r="185" spans="1:5">
      <c r="A185" s="4" t="s">
        <v>127</v>
      </c>
      <c r="B185" s="9">
        <v>0.98</v>
      </c>
      <c r="C185" s="10">
        <v>9.9999999999999995E-113</v>
      </c>
      <c r="D185" s="5">
        <v>38.29</v>
      </c>
      <c r="E185" s="5" t="str">
        <f>HYPERLINK("https://www.ncbi.nlm.nih.gov/protein/WP_348902688.1?report=genbank&amp;log$=prottop&amp;blast_rank=145&amp;RID=8XM7PST5016","WP_348902688.1")</f>
        <v>WP_348902688.1</v>
      </c>
    </row>
    <row r="186" spans="1:5">
      <c r="A186" s="4" t="s">
        <v>129</v>
      </c>
      <c r="B186" s="9">
        <v>0.98</v>
      </c>
      <c r="C186" s="10">
        <v>1.9999999999999999E-112</v>
      </c>
      <c r="D186" s="5">
        <v>38.29</v>
      </c>
      <c r="E186" s="5" t="str">
        <f>HYPERLINK("https://www.ncbi.nlm.nih.gov/protein/EHU1904349.1?report=genbank&amp;log$=prottop&amp;blast_rank=146&amp;RID=8XM7PST5016","EHU1904349.1")</f>
        <v>EHU1904349.1</v>
      </c>
    </row>
    <row r="187" spans="1:5">
      <c r="A187" s="4" t="s">
        <v>179</v>
      </c>
      <c r="B187" s="9">
        <v>0.98</v>
      </c>
      <c r="C187" s="10">
        <v>3E-102</v>
      </c>
      <c r="D187" s="5">
        <v>37.94</v>
      </c>
      <c r="E187" s="5" t="str">
        <f>HYPERLINK("https://www.ncbi.nlm.nih.gov/protein/MDU5038419.1?report=genbank&amp;log$=prottop&amp;blast_rank=204&amp;RID=8XM7PST5016","MDU5038419.1")</f>
        <v>MDU5038419.1</v>
      </c>
    </row>
    <row r="188" spans="1:5">
      <c r="A188" s="4" t="s">
        <v>129</v>
      </c>
      <c r="B188" s="9">
        <v>0.98</v>
      </c>
      <c r="C188" s="10">
        <v>7.9999999999999998E-113</v>
      </c>
      <c r="D188" s="5">
        <v>37.92</v>
      </c>
      <c r="E188" s="5" t="str">
        <f>HYPERLINK("https://www.ncbi.nlm.nih.gov/protein/WP_280010194.1?report=genbank&amp;log$=prottop&amp;blast_rank=141&amp;RID=8XM7PST5016","WP_280010194.1")</f>
        <v>WP_280010194.1</v>
      </c>
    </row>
    <row r="189" spans="1:5">
      <c r="A189" s="4" t="s">
        <v>35</v>
      </c>
      <c r="B189" s="9">
        <v>0.97</v>
      </c>
      <c r="C189" s="10">
        <v>4.9999999999999997E-99</v>
      </c>
      <c r="D189" s="5">
        <v>37.549999999999997</v>
      </c>
      <c r="E189" s="5" t="str">
        <f>HYPERLINK("https://www.ncbi.nlm.nih.gov/protein/WP_332585968.1?report=genbank&amp;log$=prottop&amp;blast_rank=222&amp;RID=8XM7PST5016","WP_332585968.1")</f>
        <v>WP_332585968.1</v>
      </c>
    </row>
    <row r="190" spans="1:5">
      <c r="A190" s="4" t="s">
        <v>142</v>
      </c>
      <c r="B190" s="9">
        <v>0.99</v>
      </c>
      <c r="C190" s="10">
        <v>6.0000000000000002E-112</v>
      </c>
      <c r="D190" s="5">
        <v>37.5</v>
      </c>
      <c r="E190" s="5" t="str">
        <f>HYPERLINK("https://www.ncbi.nlm.nih.gov/protein/WP_256238689.1?report=genbank&amp;log$=prottop&amp;blast_rank=151&amp;RID=8XM7PST5016","WP_256238689.1")</f>
        <v>WP_256238689.1</v>
      </c>
    </row>
    <row r="191" spans="1:5">
      <c r="A191" s="4" t="s">
        <v>151</v>
      </c>
      <c r="B191" s="9">
        <v>0.97</v>
      </c>
      <c r="C191" s="10">
        <v>9.9999999999999999E-110</v>
      </c>
      <c r="D191" s="5">
        <v>37.5</v>
      </c>
      <c r="E191" s="5" t="str">
        <f>HYPERLINK("https://www.ncbi.nlm.nih.gov/protein/WP_283874665.1?report=genbank&amp;log$=prottop&amp;blast_rank=164&amp;RID=8XM7PST5016","WP_283874665.1")</f>
        <v>WP_283874665.1</v>
      </c>
    </row>
    <row r="192" spans="1:5">
      <c r="A192" s="4" t="s">
        <v>160</v>
      </c>
      <c r="B192" s="9">
        <v>0.97</v>
      </c>
      <c r="C192" s="10">
        <v>5E-108</v>
      </c>
      <c r="D192" s="5">
        <v>37.36</v>
      </c>
      <c r="E192" s="5" t="str">
        <f>HYPERLINK("https://www.ncbi.nlm.nih.gov/protein/EGT2203407.1?report=genbank&amp;log$=prottop&amp;blast_rank=177&amp;RID=8XM7PST5016","EGT2203407.1")</f>
        <v>EGT2203407.1</v>
      </c>
    </row>
    <row r="193" spans="1:5">
      <c r="A193" s="4" t="s">
        <v>162</v>
      </c>
      <c r="B193" s="9">
        <v>0.97</v>
      </c>
      <c r="C193" s="10">
        <v>1.9999999999999999E-106</v>
      </c>
      <c r="D193" s="5">
        <v>37.36</v>
      </c>
      <c r="E193" s="5" t="str">
        <f>HYPERLINK("https://www.ncbi.nlm.nih.gov/protein/MCI3921344.1?report=genbank&amp;log$=prottop&amp;blast_rank=179&amp;RID=8XM7PST5016","MCI3921344.1")</f>
        <v>MCI3921344.1</v>
      </c>
    </row>
    <row r="194" spans="1:5">
      <c r="A194" s="4" t="s">
        <v>163</v>
      </c>
      <c r="B194" s="9">
        <v>0.97</v>
      </c>
      <c r="C194" s="10">
        <v>1.9999999999999999E-106</v>
      </c>
      <c r="D194" s="5">
        <v>37.270000000000003</v>
      </c>
      <c r="E194" s="5" t="str">
        <f>HYPERLINK("https://www.ncbi.nlm.nih.gov/protein/WP_224882187.1?report=genbank&amp;log$=prottop&amp;blast_rank=180&amp;RID=8XM7PST5016","WP_224882187.1")</f>
        <v>WP_224882187.1</v>
      </c>
    </row>
    <row r="195" spans="1:5">
      <c r="A195" s="4" t="s">
        <v>123</v>
      </c>
      <c r="B195" s="9">
        <v>0.97</v>
      </c>
      <c r="C195" s="10">
        <v>1.0000000000000001E-114</v>
      </c>
      <c r="D195" s="5">
        <v>37.229999999999997</v>
      </c>
      <c r="E195" s="5" t="str">
        <f>HYPERLINK("https://www.ncbi.nlm.nih.gov/protein/WP_320973996.1?report=genbank&amp;log$=prottop&amp;blast_rank=115&amp;RID=8XM7PST5016","WP_320973996.1")</f>
        <v>WP_320973996.1</v>
      </c>
    </row>
    <row r="196" spans="1:5">
      <c r="A196" s="4" t="s">
        <v>143</v>
      </c>
      <c r="B196" s="9">
        <v>0.99</v>
      </c>
      <c r="C196" s="10">
        <v>9.0000000000000002E-112</v>
      </c>
      <c r="D196" s="5">
        <v>37.15</v>
      </c>
      <c r="E196" s="5" t="str">
        <f>HYPERLINK("https://www.ncbi.nlm.nih.gov/protein/WP_190284892.1?report=genbank&amp;log$=prottop&amp;blast_rank=152&amp;RID=8XM7PST5016","WP_190284892.1")</f>
        <v>WP_190284892.1</v>
      </c>
    </row>
    <row r="197" spans="1:5">
      <c r="A197" s="4" t="s">
        <v>143</v>
      </c>
      <c r="B197" s="9">
        <v>0.98</v>
      </c>
      <c r="C197" s="10">
        <v>6.0000000000000002E-111</v>
      </c>
      <c r="D197" s="5">
        <v>36.93</v>
      </c>
      <c r="E197" s="5" t="str">
        <f>HYPERLINK("https://www.ncbi.nlm.nih.gov/protein/QCJ42584.1?report=genbank&amp;log$=prottop&amp;blast_rank=159&amp;RID=8XM7PST5016","QCJ42584.1")</f>
        <v>QCJ42584.1</v>
      </c>
    </row>
    <row r="198" spans="1:5">
      <c r="A198" s="4" t="s">
        <v>163</v>
      </c>
      <c r="B198" s="9">
        <v>0.97</v>
      </c>
      <c r="C198" s="10">
        <v>1.9999999999999999E-105</v>
      </c>
      <c r="D198" s="5">
        <v>36.9</v>
      </c>
      <c r="E198" s="5" t="str">
        <f>HYPERLINK("https://www.ncbi.nlm.nih.gov/protein/WP_194218800.1?report=genbank&amp;log$=prottop&amp;blast_rank=183&amp;RID=8XM7PST5016","WP_194218800.1")</f>
        <v>WP_194218800.1</v>
      </c>
    </row>
    <row r="199" spans="1:5">
      <c r="A199" s="4" t="s">
        <v>213</v>
      </c>
      <c r="B199" s="9">
        <v>0.97</v>
      </c>
      <c r="C199" s="10">
        <v>1E-91</v>
      </c>
      <c r="D199" s="5">
        <v>36.76</v>
      </c>
      <c r="E199" s="5" t="str">
        <f>HYPERLINK("https://www.ncbi.nlm.nih.gov/protein/WP_262949619.1?report=genbank&amp;log$=prottop&amp;blast_rank=241&amp;RID=8XM7PST5016","WP_262949619.1")</f>
        <v>WP_262949619.1</v>
      </c>
    </row>
    <row r="200" spans="1:5">
      <c r="A200" s="4" t="s">
        <v>168</v>
      </c>
      <c r="B200" s="9">
        <v>0.98</v>
      </c>
      <c r="C200" s="10">
        <v>6.0000000000000002E-105</v>
      </c>
      <c r="D200" s="5">
        <v>36.46</v>
      </c>
      <c r="E200" s="5" t="str">
        <f>HYPERLINK("https://www.ncbi.nlm.nih.gov/protein/MCS2774120.1?report=genbank&amp;log$=prottop&amp;blast_rank=186&amp;RID=8XM7PST5016","MCS2774120.1")</f>
        <v>MCS2774120.1</v>
      </c>
    </row>
    <row r="201" spans="1:5">
      <c r="A201" s="4" t="s">
        <v>203</v>
      </c>
      <c r="B201" s="9">
        <v>0.97</v>
      </c>
      <c r="C201" s="10">
        <v>1.9999999999999998E-96</v>
      </c>
      <c r="D201" s="5">
        <v>36.43</v>
      </c>
      <c r="E201" s="5" t="str">
        <f>HYPERLINK("https://www.ncbi.nlm.nih.gov/protein/WP_216200146.1?report=genbank&amp;log$=prottop&amp;blast_rank=228&amp;RID=8XM7PST5016","WP_216200146.1")</f>
        <v>WP_216200146.1</v>
      </c>
    </row>
    <row r="202" spans="1:5">
      <c r="A202" s="4" t="s">
        <v>134</v>
      </c>
      <c r="B202" s="9">
        <v>0.98</v>
      </c>
      <c r="C202" s="10">
        <v>7E-114</v>
      </c>
      <c r="D202" s="5">
        <v>36.1</v>
      </c>
      <c r="E202" s="5" t="str">
        <f>HYPERLINK("https://www.ncbi.nlm.nih.gov/protein/WP_196009935.1?report=genbank&amp;log$=prottop&amp;blast_rank=126&amp;RID=8XM7PST5016","WP_196009935.1")</f>
        <v>WP_196009935.1</v>
      </c>
    </row>
    <row r="203" spans="1:5">
      <c r="A203" s="4" t="s">
        <v>131</v>
      </c>
      <c r="B203" s="9">
        <v>0.98</v>
      </c>
      <c r="C203" s="10">
        <v>4.0000000000000002E-114</v>
      </c>
      <c r="D203" s="5">
        <v>35.74</v>
      </c>
      <c r="E203" s="5" t="str">
        <f>HYPERLINK("https://www.ncbi.nlm.nih.gov/protein/WP_122328325.1?report=genbank&amp;log$=prottop&amp;blast_rank=120&amp;RID=8XM7PST5016","WP_122328325.1")</f>
        <v>WP_122328325.1</v>
      </c>
    </row>
    <row r="204" spans="1:5">
      <c r="A204" s="4" t="s">
        <v>199</v>
      </c>
      <c r="B204" s="9">
        <v>0.98</v>
      </c>
      <c r="C204" s="10">
        <v>5.0000000000000002E-98</v>
      </c>
      <c r="D204" s="5">
        <v>35.74</v>
      </c>
      <c r="E204" s="5" t="str">
        <f>HYPERLINK("https://www.ncbi.nlm.nih.gov/protein/MDF1663348.1?report=genbank&amp;log$=prottop&amp;blast_rank=224&amp;RID=8XM7PST5016","MDF1663348.1")</f>
        <v>MDF1663348.1</v>
      </c>
    </row>
    <row r="205" spans="1:5">
      <c r="A205" s="4" t="s">
        <v>223</v>
      </c>
      <c r="B205" s="9">
        <v>0.88</v>
      </c>
      <c r="C205" s="10">
        <v>6.0000000000000003E-87</v>
      </c>
      <c r="D205" s="5">
        <v>35.74</v>
      </c>
      <c r="E205" s="5" t="str">
        <f>HYPERLINK("https://www.ncbi.nlm.nih.gov/protein/WP_128543212.1?report=genbank&amp;log$=prottop&amp;blast_rank=260&amp;RID=8XM7PST5016","WP_128543212.1")</f>
        <v>WP_128543212.1</v>
      </c>
    </row>
    <row r="206" spans="1:5">
      <c r="A206" s="4" t="s">
        <v>134</v>
      </c>
      <c r="B206" s="9">
        <v>0.96</v>
      </c>
      <c r="C206" s="10">
        <v>8.0000000000000002E-91</v>
      </c>
      <c r="D206" s="5">
        <v>35.64</v>
      </c>
      <c r="E206" s="5" t="str">
        <f>HYPERLINK("https://www.ncbi.nlm.nih.gov/protein/WP_136410992.1?report=genbank&amp;log$=prottop&amp;blast_rank=245&amp;RID=8XM7PST5016","WP_136410992.1")</f>
        <v>WP_136410992.1</v>
      </c>
    </row>
    <row r="207" spans="1:5">
      <c r="A207" s="4" t="s">
        <v>232</v>
      </c>
      <c r="B207" s="9">
        <v>0.84</v>
      </c>
      <c r="C207" s="10">
        <v>3.0000000000000002E-77</v>
      </c>
      <c r="D207" s="5">
        <v>35.56</v>
      </c>
      <c r="E207" s="5" t="str">
        <f>HYPERLINK("https://www.ncbi.nlm.nih.gov/protein/WP_303176990.1?report=genbank&amp;log$=prottop&amp;blast_rank=272&amp;RID=8XM7PST5016","WP_303176990.1")</f>
        <v>WP_303176990.1</v>
      </c>
    </row>
    <row r="208" spans="1:5">
      <c r="A208" s="4" t="s">
        <v>135</v>
      </c>
      <c r="B208" s="9">
        <v>0.98</v>
      </c>
      <c r="C208" s="10">
        <v>9.9999999999999998E-114</v>
      </c>
      <c r="D208" s="5">
        <v>35.380000000000003</v>
      </c>
      <c r="E208" s="5" t="str">
        <f>HYPERLINK("https://www.ncbi.nlm.nih.gov/protein/WP_195586956.1?report=genbank&amp;log$=prottop&amp;blast_rank=130&amp;RID=8XM7PST5016","WP_195586956.1")</f>
        <v>WP_195586956.1</v>
      </c>
    </row>
    <row r="209" spans="1:5">
      <c r="A209" s="4" t="s">
        <v>146</v>
      </c>
      <c r="B209" s="9">
        <v>0.96</v>
      </c>
      <c r="C209" s="10">
        <v>1.0000000000000001E-111</v>
      </c>
      <c r="D209" s="5">
        <v>35.29</v>
      </c>
      <c r="E209" s="5" t="str">
        <f>HYPERLINK("https://www.ncbi.nlm.nih.gov/protein/WP_034256425.1?report=genbank&amp;log$=prottop&amp;blast_rank=156&amp;RID=8XM7PST5016","WP_034256425.1")</f>
        <v>WP_034256425.1</v>
      </c>
    </row>
    <row r="210" spans="1:5">
      <c r="A210" s="4" t="s">
        <v>218</v>
      </c>
      <c r="B210" s="9">
        <v>0.96</v>
      </c>
      <c r="C210" s="10">
        <v>4.9999999999999997E-89</v>
      </c>
      <c r="D210" s="5">
        <v>35.270000000000003</v>
      </c>
      <c r="E210" s="5" t="str">
        <f>HYPERLINK("https://www.ncbi.nlm.nih.gov/protein/WP_289865955.1?report=genbank&amp;log$=prottop&amp;blast_rank=254&amp;RID=8XM7PST5016","WP_289865955.1")</f>
        <v>WP_289865955.1</v>
      </c>
    </row>
    <row r="211" spans="1:5">
      <c r="A211" s="4" t="s">
        <v>207</v>
      </c>
      <c r="B211" s="9">
        <v>0.96</v>
      </c>
      <c r="C211" s="10">
        <v>9.0000000000000004E-94</v>
      </c>
      <c r="D211" s="5">
        <v>35.159999999999997</v>
      </c>
      <c r="E211" s="5" t="str">
        <f>HYPERLINK("https://www.ncbi.nlm.nih.gov/protein/HJC93226.1?report=genbank&amp;log$=prottop&amp;blast_rank=233&amp;RID=8XM7PST5016","HJC93226.1")</f>
        <v>HJC93226.1</v>
      </c>
    </row>
    <row r="212" spans="1:5">
      <c r="A212" s="4" t="s">
        <v>134</v>
      </c>
      <c r="B212" s="9">
        <v>0.96</v>
      </c>
      <c r="C212" s="10">
        <v>9.0000000000000004E-93</v>
      </c>
      <c r="D212" s="5">
        <v>35.159999999999997</v>
      </c>
      <c r="E212" s="5" t="str">
        <f>HYPERLINK("https://www.ncbi.nlm.nih.gov/protein/WP_119961700.1?report=genbank&amp;log$=prottop&amp;blast_rank=236&amp;RID=8XM7PST5016","WP_119961700.1")</f>
        <v>WP_119961700.1</v>
      </c>
    </row>
    <row r="213" spans="1:5">
      <c r="A213" s="4" t="s">
        <v>169</v>
      </c>
      <c r="B213" s="9">
        <v>0.96</v>
      </c>
      <c r="C213" s="10">
        <v>9.9999999999999999E-93</v>
      </c>
      <c r="D213" s="5">
        <v>35.159999999999997</v>
      </c>
      <c r="E213" s="5" t="str">
        <f>HYPERLINK("https://www.ncbi.nlm.nih.gov/protein/WP_211461969.1?report=genbank&amp;log$=prottop&amp;blast_rank=237&amp;RID=8XM7PST5016","WP_211461969.1")</f>
        <v>WP_211461969.1</v>
      </c>
    </row>
    <row r="214" spans="1:5">
      <c r="A214" s="4" t="s">
        <v>30</v>
      </c>
      <c r="B214" s="9">
        <v>0.97</v>
      </c>
      <c r="C214" s="10">
        <v>1.9999999999999999E-94</v>
      </c>
      <c r="D214" s="5">
        <v>35.06</v>
      </c>
      <c r="E214" s="5" t="str">
        <f>HYPERLINK("https://www.ncbi.nlm.nih.gov/protein/WP_265859520.1?report=genbank&amp;log$=prottop&amp;blast_rank=231&amp;RID=8XM7PST5016","WP_265859520.1")</f>
        <v>WP_265859520.1</v>
      </c>
    </row>
    <row r="215" spans="1:5">
      <c r="A215" s="4" t="s">
        <v>159</v>
      </c>
      <c r="B215" s="9">
        <v>0.97</v>
      </c>
      <c r="C215" s="10">
        <v>5E-108</v>
      </c>
      <c r="D215" s="5">
        <v>35.04</v>
      </c>
      <c r="E215" s="5" t="str">
        <f>HYPERLINK("https://www.ncbi.nlm.nih.gov/protein/WP_188650375.1?report=genbank&amp;log$=prottop&amp;blast_rank=176&amp;RID=8XM7PST5016","WP_188650375.1")</f>
        <v>WP_188650375.1</v>
      </c>
    </row>
    <row r="216" spans="1:5">
      <c r="A216" s="4" t="s">
        <v>218</v>
      </c>
      <c r="B216" s="9">
        <v>0.96</v>
      </c>
      <c r="C216" s="10">
        <v>9.9999999999999999E-91</v>
      </c>
      <c r="D216" s="5">
        <v>34.909999999999997</v>
      </c>
      <c r="E216" s="5" t="str">
        <f>HYPERLINK("https://www.ncbi.nlm.nih.gov/protein/WP_304683935.1?report=genbank&amp;log$=prottop&amp;blast_rank=247&amp;RID=8XM7PST5016","WP_304683935.1")</f>
        <v>WP_304683935.1</v>
      </c>
    </row>
    <row r="217" spans="1:5">
      <c r="A217" s="4" t="s">
        <v>218</v>
      </c>
      <c r="B217" s="9">
        <v>0.96</v>
      </c>
      <c r="C217" s="10">
        <v>2E-90</v>
      </c>
      <c r="D217" s="5">
        <v>34.909999999999997</v>
      </c>
      <c r="E217" s="5" t="str">
        <f>HYPERLINK("https://www.ncbi.nlm.nih.gov/protein/WP_290380603.1?report=genbank&amp;log$=prottop&amp;blast_rank=251&amp;RID=8XM7PST5016","WP_290380603.1")</f>
        <v>WP_290380603.1</v>
      </c>
    </row>
    <row r="218" spans="1:5">
      <c r="A218" s="4" t="s">
        <v>208</v>
      </c>
      <c r="B218" s="9">
        <v>0.96</v>
      </c>
      <c r="C218" s="10">
        <v>3.0000000000000001E-93</v>
      </c>
      <c r="D218" s="5">
        <v>34.799999999999997</v>
      </c>
      <c r="E218" s="5" t="str">
        <f>HYPERLINK("https://www.ncbi.nlm.nih.gov/protein/WP_302571361.1?report=genbank&amp;log$=prottop&amp;blast_rank=234&amp;RID=8XM7PST5016","WP_302571361.1")</f>
        <v>WP_302571361.1</v>
      </c>
    </row>
    <row r="219" spans="1:5">
      <c r="A219" s="4" t="s">
        <v>233</v>
      </c>
      <c r="B219" s="9">
        <v>0.83</v>
      </c>
      <c r="C219" s="10">
        <v>1.9999999999999999E-69</v>
      </c>
      <c r="D219" s="5">
        <v>34.799999999999997</v>
      </c>
      <c r="E219" s="5" t="str">
        <f>HYPERLINK("https://www.ncbi.nlm.nih.gov/protein/WP_266161729.1?report=genbank&amp;log$=prottop&amp;blast_rank=275&amp;RID=8XM7PST5016","WP_266161729.1")</f>
        <v>WP_266161729.1</v>
      </c>
    </row>
    <row r="220" spans="1:5">
      <c r="A220" s="4" t="s">
        <v>220</v>
      </c>
      <c r="B220" s="9">
        <v>0.97</v>
      </c>
      <c r="C220" s="10">
        <v>8.0000000000000003E-89</v>
      </c>
      <c r="D220" s="5">
        <v>34.67</v>
      </c>
      <c r="E220" s="5" t="str">
        <f>HYPERLINK("https://www.ncbi.nlm.nih.gov/protein/WP_340318797.1?report=genbank&amp;log$=prottop&amp;blast_rank=255&amp;RID=8XM7PST5016","WP_340318797.1")</f>
        <v>WP_340318797.1</v>
      </c>
    </row>
    <row r="221" spans="1:5">
      <c r="A221" s="4" t="s">
        <v>194</v>
      </c>
      <c r="B221" s="9">
        <v>0.97</v>
      </c>
      <c r="C221" s="10">
        <v>4.0000000000000001E-100</v>
      </c>
      <c r="D221" s="5">
        <v>34.549999999999997</v>
      </c>
      <c r="E221" s="5" t="str">
        <f>HYPERLINK("https://www.ncbi.nlm.nih.gov/protein/MBQ3191771.1?report=genbank&amp;log$=prottop&amp;blast_rank=218&amp;RID=8XM7PST5016","MBQ3191771.1")</f>
        <v>MBQ3191771.1</v>
      </c>
    </row>
    <row r="222" spans="1:5">
      <c r="A222" s="4" t="s">
        <v>198</v>
      </c>
      <c r="B222" s="9">
        <v>0.97</v>
      </c>
      <c r="C222" s="10">
        <v>4.9999999999999997E-99</v>
      </c>
      <c r="D222" s="5">
        <v>34.549999999999997</v>
      </c>
      <c r="E222" s="5" t="str">
        <f>HYPERLINK("https://www.ncbi.nlm.nih.gov/protein/WP_154577475.1?report=genbank&amp;log$=prottop&amp;blast_rank=223&amp;RID=8XM7PST5016","WP_154577475.1")</f>
        <v>WP_154577475.1</v>
      </c>
    </row>
    <row r="223" spans="1:5">
      <c r="A223" s="4" t="s">
        <v>222</v>
      </c>
      <c r="B223" s="9">
        <v>0.98</v>
      </c>
      <c r="C223" s="10">
        <v>1E-87</v>
      </c>
      <c r="D223" s="5">
        <v>34.43</v>
      </c>
      <c r="E223" s="5" t="str">
        <f>HYPERLINK("https://www.ncbi.nlm.nih.gov/protein/WP_156307152.1?report=genbank&amp;log$=prottop&amp;blast_rank=258&amp;RID=8XM7PST5016","WP_156307152.1")</f>
        <v>WP_156307152.1</v>
      </c>
    </row>
    <row r="224" spans="1:5">
      <c r="A224" s="4" t="s">
        <v>235</v>
      </c>
      <c r="B224" s="9">
        <v>0.89</v>
      </c>
      <c r="C224" s="10">
        <v>3.9999999999999998E-67</v>
      </c>
      <c r="D224" s="5">
        <v>34.270000000000003</v>
      </c>
      <c r="E224" s="5" t="str">
        <f>HYPERLINK("https://www.ncbi.nlm.nih.gov/protein/OGO92049.1?report=genbank&amp;log$=prottop&amp;blast_rank=277&amp;RID=8XM7PST5016","OGO92049.1")</f>
        <v>OGO92049.1</v>
      </c>
    </row>
    <row r="225" spans="1:5">
      <c r="A225" s="4" t="s">
        <v>228</v>
      </c>
      <c r="B225" s="9">
        <v>0.99</v>
      </c>
      <c r="C225" s="10">
        <v>1E-84</v>
      </c>
      <c r="D225" s="5">
        <v>34.26</v>
      </c>
      <c r="E225" s="5" t="str">
        <f>HYPERLINK("https://www.ncbi.nlm.nih.gov/protein/HLO45779.1?report=genbank&amp;log$=prottop&amp;blast_rank=266&amp;RID=8XM7PST5016","HLO45779.1")</f>
        <v>HLO45779.1</v>
      </c>
    </row>
    <row r="226" spans="1:5">
      <c r="A226" s="4" t="s">
        <v>209</v>
      </c>
      <c r="B226" s="9">
        <v>0.97</v>
      </c>
      <c r="C226" s="10">
        <v>6.0000000000000003E-93</v>
      </c>
      <c r="D226" s="5">
        <v>34.18</v>
      </c>
      <c r="E226" s="5" t="str">
        <f>HYPERLINK("https://www.ncbi.nlm.nih.gov/protein/WP_050755907.1?report=genbank&amp;log$=prottop&amp;blast_rank=235&amp;RID=8XM7PST5016","WP_050755907.1")</f>
        <v>WP_050755907.1</v>
      </c>
    </row>
    <row r="227" spans="1:5">
      <c r="A227" s="4" t="s">
        <v>212</v>
      </c>
      <c r="B227" s="9">
        <v>0.97</v>
      </c>
      <c r="C227" s="10">
        <v>6.9999999999999997E-92</v>
      </c>
      <c r="D227" s="5">
        <v>34.18</v>
      </c>
      <c r="E227" s="5" t="str">
        <f>HYPERLINK("https://www.ncbi.nlm.nih.gov/protein/EEX17753.1?report=genbank&amp;log$=prottop&amp;blast_rank=240&amp;RID=8XM7PST5016","EEX17753.1")</f>
        <v>EEX17753.1</v>
      </c>
    </row>
    <row r="228" spans="1:5">
      <c r="A228" s="4" t="s">
        <v>141</v>
      </c>
      <c r="B228" s="9">
        <v>0.98</v>
      </c>
      <c r="C228" s="10">
        <v>5.0000000000000004E-112</v>
      </c>
      <c r="D228" s="5">
        <v>34.049999999999997</v>
      </c>
      <c r="E228" s="5" t="str">
        <f>HYPERLINK("https://www.ncbi.nlm.nih.gov/protein/WP_229045417.1?report=genbank&amp;log$=prottop&amp;blast_rank=150&amp;RID=8XM7PST5016","WP_229045417.1")</f>
        <v>WP_229045417.1</v>
      </c>
    </row>
    <row r="229" spans="1:5">
      <c r="A229" s="4" t="s">
        <v>234</v>
      </c>
      <c r="B229" s="9">
        <v>0.9</v>
      </c>
      <c r="C229" s="10">
        <v>9.0000000000000002E-69</v>
      </c>
      <c r="D229" s="5">
        <v>33.86</v>
      </c>
      <c r="E229" s="5" t="str">
        <f>HYPERLINK("https://www.ncbi.nlm.nih.gov/protein/HBL83863.1?report=genbank&amp;log$=prottop&amp;blast_rank=276&amp;RID=8XM7PST5016","HBL83863.1")</f>
        <v>HBL83863.1</v>
      </c>
    </row>
    <row r="230" spans="1:5">
      <c r="A230" s="4" t="s">
        <v>188</v>
      </c>
      <c r="B230" s="9">
        <v>0.97</v>
      </c>
      <c r="C230" s="10">
        <v>3.0000000000000003E-101</v>
      </c>
      <c r="D230" s="5">
        <v>33.700000000000003</v>
      </c>
      <c r="E230" s="5" t="str">
        <f>HYPERLINK("https://www.ncbi.nlm.nih.gov/protein/HOG04939.1?report=genbank&amp;log$=prottop&amp;blast_rank=212&amp;RID=8XM7PST5016","HOG04939.1")</f>
        <v>HOG04939.1</v>
      </c>
    </row>
    <row r="231" spans="1:5">
      <c r="A231" s="4" t="s">
        <v>216</v>
      </c>
      <c r="B231" s="9">
        <v>0.97</v>
      </c>
      <c r="C231" s="10">
        <v>6.9999999999999997E-91</v>
      </c>
      <c r="D231" s="5">
        <v>33.700000000000003</v>
      </c>
      <c r="E231" s="5" t="str">
        <f>HYPERLINK("https://www.ncbi.nlm.nih.gov/protein/WP_303018086.1?report=genbank&amp;log$=prottop&amp;blast_rank=244&amp;RID=8XM7PST5016","WP_303018086.1")</f>
        <v>WP_303018086.1</v>
      </c>
    </row>
    <row r="232" spans="1:5">
      <c r="A232" s="4" t="s">
        <v>195</v>
      </c>
      <c r="B232" s="9">
        <v>0.96</v>
      </c>
      <c r="C232" s="10">
        <v>8.0000000000000002E-100</v>
      </c>
      <c r="D232" s="5">
        <v>33.58</v>
      </c>
      <c r="E232" s="5" t="str">
        <f>HYPERLINK("https://www.ncbi.nlm.nih.gov/protein/WP_121326247.1?report=genbank&amp;log$=prottop&amp;blast_rank=219&amp;RID=8XM7PST5016","WP_121326247.1")</f>
        <v>WP_121326247.1</v>
      </c>
    </row>
    <row r="233" spans="1:5">
      <c r="A233" s="4" t="s">
        <v>36</v>
      </c>
      <c r="B233" s="9">
        <v>0.97</v>
      </c>
      <c r="C233" s="10">
        <v>1.0000000000000001E-111</v>
      </c>
      <c r="D233" s="5">
        <v>33.33</v>
      </c>
      <c r="E233" s="5" t="str">
        <f>HYPERLINK("https://www.ncbi.nlm.nih.gov/protein/MCH4238411.1?report=genbank&amp;log$=prottop&amp;blast_rank=154&amp;RID=8XM7PST5016","MCH4238411.1")</f>
        <v>MCH4238411.1</v>
      </c>
    </row>
    <row r="234" spans="1:5">
      <c r="A234" s="4" t="s">
        <v>171</v>
      </c>
      <c r="B234" s="9">
        <v>0.97</v>
      </c>
      <c r="C234" s="10">
        <v>1.9999999999999999E-104</v>
      </c>
      <c r="D234" s="5">
        <v>33.33</v>
      </c>
      <c r="E234" s="5" t="str">
        <f>HYPERLINK("https://www.ncbi.nlm.nih.gov/protein/WP_181452694.1?report=genbank&amp;log$=prottop&amp;blast_rank=189&amp;RID=8XM7PST5016","WP_181452694.1")</f>
        <v>WP_181452694.1</v>
      </c>
    </row>
    <row r="235" spans="1:5">
      <c r="A235" s="4" t="s">
        <v>172</v>
      </c>
      <c r="B235" s="9">
        <v>0.97</v>
      </c>
      <c r="C235" s="10">
        <v>3.9999999999999997E-104</v>
      </c>
      <c r="D235" s="5">
        <v>33.33</v>
      </c>
      <c r="E235" s="5" t="str">
        <f>HYPERLINK("https://www.ncbi.nlm.nih.gov/protein/WP_187174664.1?report=genbank&amp;log$=prottop&amp;blast_rank=192&amp;RID=8XM7PST5016","WP_187174664.1")</f>
        <v>WP_187174664.1</v>
      </c>
    </row>
    <row r="236" spans="1:5">
      <c r="A236" s="4" t="s">
        <v>180</v>
      </c>
      <c r="B236" s="9">
        <v>0.98</v>
      </c>
      <c r="C236" s="10">
        <v>3.9999999999999998E-103</v>
      </c>
      <c r="D236" s="5">
        <v>33.33</v>
      </c>
      <c r="E236" s="5" t="str">
        <f>HYPERLINK("https://www.ncbi.nlm.nih.gov/protein/WP_302306561.1?report=genbank&amp;log$=prottop&amp;blast_rank=200&amp;RID=8XM7PST5016","WP_302306561.1")</f>
        <v>WP_302306561.1</v>
      </c>
    </row>
    <row r="237" spans="1:5">
      <c r="A237" s="4" t="s">
        <v>204</v>
      </c>
      <c r="B237" s="9">
        <v>1</v>
      </c>
      <c r="C237" s="10">
        <v>4E-95</v>
      </c>
      <c r="D237" s="5">
        <v>33.33</v>
      </c>
      <c r="E237" s="5" t="str">
        <f>HYPERLINK("https://www.ncbi.nlm.nih.gov/protein/MCH5312421.1?report=genbank&amp;log$=prottop&amp;blast_rank=229&amp;RID=8XM7PST5016","MCH5312421.1")</f>
        <v>MCH5312421.1</v>
      </c>
    </row>
    <row r="238" spans="1:5">
      <c r="A238" s="4" t="s">
        <v>214</v>
      </c>
      <c r="B238" s="9">
        <v>0.97</v>
      </c>
      <c r="C238" s="10">
        <v>2E-91</v>
      </c>
      <c r="D238" s="5">
        <v>33.33</v>
      </c>
      <c r="E238" s="5" t="str">
        <f>HYPERLINK("https://www.ncbi.nlm.nih.gov/protein/MBP3474337.1?report=genbank&amp;log$=prottop&amp;blast_rank=242&amp;RID=8XM7PST5016","MBP3474337.1")</f>
        <v>MBP3474337.1</v>
      </c>
    </row>
    <row r="239" spans="1:5">
      <c r="A239" s="4" t="s">
        <v>217</v>
      </c>
      <c r="B239" s="9">
        <v>0.97</v>
      </c>
      <c r="C239" s="10">
        <v>9.9999999999999999E-91</v>
      </c>
      <c r="D239" s="5">
        <v>33.33</v>
      </c>
      <c r="E239" s="5" t="str">
        <f>HYPERLINK("https://www.ncbi.nlm.nih.gov/protein/MBQ8744730.1?report=genbank&amp;log$=prottop&amp;blast_rank=246&amp;RID=8XM7PST5016","MBQ8744730.1")</f>
        <v>MBQ8744730.1</v>
      </c>
    </row>
    <row r="240" spans="1:5">
      <c r="A240" s="4" t="s">
        <v>112</v>
      </c>
      <c r="B240" s="9">
        <v>0.98</v>
      </c>
      <c r="C240" s="10">
        <v>2.0000000000000001E-101</v>
      </c>
      <c r="D240" s="5">
        <v>33.21</v>
      </c>
      <c r="E240" s="5" t="str">
        <f>HYPERLINK("https://www.ncbi.nlm.nih.gov/protein/MDR2962201.1?report=genbank&amp;log$=prottop&amp;blast_rank=211&amp;RID=8XM7PST5016","MDR2962201.1")</f>
        <v>MDR2962201.1</v>
      </c>
    </row>
    <row r="241" spans="1:5">
      <c r="A241" s="4" t="s">
        <v>210</v>
      </c>
      <c r="B241" s="9">
        <v>0.97</v>
      </c>
      <c r="C241" s="10">
        <v>3.0000000000000001E-92</v>
      </c>
      <c r="D241" s="5">
        <v>32.729999999999997</v>
      </c>
      <c r="E241" s="5" t="str">
        <f>HYPERLINK("https://www.ncbi.nlm.nih.gov/protein/MDE5646958.1?report=genbank&amp;log$=prottop&amp;blast_rank=238&amp;RID=8XM7PST5016","MDE5646958.1")</f>
        <v>MDE5646958.1</v>
      </c>
    </row>
    <row r="242" spans="1:5">
      <c r="A242" s="4" t="s">
        <v>221</v>
      </c>
      <c r="B242" s="9">
        <v>0.98</v>
      </c>
      <c r="C242" s="10">
        <v>1.9999999999999999E-88</v>
      </c>
      <c r="D242" s="5">
        <v>32.729999999999997</v>
      </c>
      <c r="E242" s="5" t="str">
        <f>HYPERLINK("https://www.ncbi.nlm.nih.gov/protein/WP_270348260.1?report=genbank&amp;log$=prottop&amp;blast_rank=257&amp;RID=8XM7PST5016","WP_270348260.1")</f>
        <v>WP_270348260.1</v>
      </c>
    </row>
    <row r="243" spans="1:5">
      <c r="A243" s="4" t="s">
        <v>218</v>
      </c>
      <c r="B243" s="9">
        <v>0.97</v>
      </c>
      <c r="C243" s="10">
        <v>2.9999999999999999E-89</v>
      </c>
      <c r="D243" s="5">
        <v>32.6</v>
      </c>
      <c r="E243" s="5" t="str">
        <f>HYPERLINK("https://www.ncbi.nlm.nih.gov/protein/WP_305378369.1?report=genbank&amp;log$=prottop&amp;blast_rank=253&amp;RID=8XM7PST5016","WP_305378369.1")</f>
        <v>WP_305378369.1</v>
      </c>
    </row>
    <row r="244" spans="1:5">
      <c r="A244" s="4" t="s">
        <v>230</v>
      </c>
      <c r="B244" s="9">
        <v>0.97</v>
      </c>
      <c r="C244" s="10">
        <v>9.9999999999999996E-81</v>
      </c>
      <c r="D244" s="5">
        <v>32.6</v>
      </c>
      <c r="E244" s="5" t="str">
        <f>HYPERLINK("https://www.ncbi.nlm.nih.gov/protein/WP_090853254.1?report=genbank&amp;log$=prottop&amp;blast_rank=270&amp;RID=8XM7PST5016","WP_090853254.1")</f>
        <v>WP_090853254.1</v>
      </c>
    </row>
    <row r="245" spans="1:5">
      <c r="A245" s="4" t="s">
        <v>206</v>
      </c>
      <c r="B245" s="9">
        <v>0.98</v>
      </c>
      <c r="C245" s="10">
        <v>1.9999999999999999E-76</v>
      </c>
      <c r="D245" s="5">
        <v>32.49</v>
      </c>
      <c r="E245" s="5" t="str">
        <f>HYPERLINK("https://www.ncbi.nlm.nih.gov/protein/MBR3872285.1?report=genbank&amp;log$=prottop&amp;blast_rank=274&amp;RID=8XM7PST5016","MBR3872285.1")</f>
        <v>MBR3872285.1</v>
      </c>
    </row>
    <row r="246" spans="1:5">
      <c r="A246" s="4" t="s">
        <v>231</v>
      </c>
      <c r="B246" s="9">
        <v>0.98</v>
      </c>
      <c r="C246" s="10">
        <v>1.9999999999999999E-77</v>
      </c>
      <c r="D246" s="5">
        <v>32.479999999999997</v>
      </c>
      <c r="E246" s="5" t="str">
        <f>HYPERLINK("https://www.ncbi.nlm.nih.gov/protein/WP_303118150.1?report=genbank&amp;log$=prottop&amp;blast_rank=271&amp;RID=8XM7PST5016","WP_303118150.1")</f>
        <v>WP_303118150.1</v>
      </c>
    </row>
    <row r="247" spans="1:5">
      <c r="A247" s="4" t="s">
        <v>215</v>
      </c>
      <c r="B247" s="9">
        <v>0.97</v>
      </c>
      <c r="C247" s="10">
        <v>2E-91</v>
      </c>
      <c r="D247" s="5">
        <v>32.229999999999997</v>
      </c>
      <c r="E247" s="5" t="str">
        <f>HYPERLINK("https://www.ncbi.nlm.nih.gov/protein/WP_231095450.1?report=genbank&amp;log$=prottop&amp;blast_rank=243&amp;RID=8XM7PST5016","WP_231095450.1")</f>
        <v>WP_231095450.1</v>
      </c>
    </row>
    <row r="248" spans="1:5">
      <c r="A248" s="4" t="s">
        <v>112</v>
      </c>
      <c r="B248" s="9">
        <v>0.97</v>
      </c>
      <c r="C248" s="10">
        <v>9.9999999999999993E-89</v>
      </c>
      <c r="D248" s="5">
        <v>32.229999999999997</v>
      </c>
      <c r="E248" s="5" t="str">
        <f>HYPERLINK("https://www.ncbi.nlm.nih.gov/protein/MBQ5856090.1?report=genbank&amp;log$=prottop&amp;blast_rank=256&amp;RID=8XM7PST5016","MBQ5856090.1")</f>
        <v>MBQ5856090.1</v>
      </c>
    </row>
    <row r="249" spans="1:5">
      <c r="A249" s="4" t="s">
        <v>219</v>
      </c>
      <c r="B249" s="9">
        <v>0.97</v>
      </c>
      <c r="C249" s="10">
        <v>9.9999999999999999E-91</v>
      </c>
      <c r="D249" s="5">
        <v>32.1</v>
      </c>
      <c r="E249" s="5" t="str">
        <f>HYPERLINK("https://www.ncbi.nlm.nih.gov/protein/WP_216465240.1?report=genbank&amp;log$=prottop&amp;blast_rank=248&amp;RID=8XM7PST5016","WP_216465240.1")</f>
        <v>WP_216465240.1</v>
      </c>
    </row>
    <row r="250" spans="1:5">
      <c r="A250" s="4" t="s">
        <v>167</v>
      </c>
      <c r="B250" s="9">
        <v>0.96</v>
      </c>
      <c r="C250" s="10">
        <v>1.9999999999999999E-105</v>
      </c>
      <c r="D250" s="5">
        <v>31.99</v>
      </c>
      <c r="E250" s="5" t="str">
        <f>HYPERLINK("https://www.ncbi.nlm.nih.gov/protein/WP_179354741.1?report=genbank&amp;log$=prottop&amp;blast_rank=185&amp;RID=8XM7PST5016","WP_179354741.1")</f>
        <v>WP_179354741.1</v>
      </c>
    </row>
    <row r="251" spans="1:5">
      <c r="A251" s="4" t="s">
        <v>178</v>
      </c>
      <c r="B251" s="9">
        <v>0.97</v>
      </c>
      <c r="C251" s="10">
        <v>1.9999999999999999E-103</v>
      </c>
      <c r="D251" s="5">
        <v>31.52</v>
      </c>
      <c r="E251" s="5" t="str">
        <f>HYPERLINK("https://www.ncbi.nlm.nih.gov/protein/WP_044171160.1?report=genbank&amp;log$=prottop&amp;blast_rank=198&amp;RID=8XM7PST5016","WP_044171160.1")</f>
        <v>WP_044171160.1</v>
      </c>
    </row>
    <row r="252" spans="1:5">
      <c r="A252" s="4" t="s">
        <v>202</v>
      </c>
      <c r="B252" s="9">
        <v>0.97</v>
      </c>
      <c r="C252" s="10">
        <v>1.9999999999999998E-96</v>
      </c>
      <c r="D252" s="5">
        <v>31.52</v>
      </c>
      <c r="E252" s="5" t="str">
        <f>HYPERLINK("https://www.ncbi.nlm.nih.gov/protein/OYZ01009.1?report=genbank&amp;log$=prottop&amp;blast_rank=227&amp;RID=8XM7PST5016","OYZ01009.1")</f>
        <v>OYZ01009.1</v>
      </c>
    </row>
    <row r="253" spans="1:5">
      <c r="A253" s="4" t="s">
        <v>224</v>
      </c>
      <c r="B253" s="9">
        <v>0.97</v>
      </c>
      <c r="C253" s="10">
        <v>8.9999999999999992E-87</v>
      </c>
      <c r="D253" s="5">
        <v>31.5</v>
      </c>
      <c r="E253" s="5" t="str">
        <f>HYPERLINK("https://www.ncbi.nlm.nih.gov/protein/WP_013265047.1?report=genbank&amp;log$=prottop&amp;blast_rank=261&amp;RID=8XM7PST5016","WP_013265047.1")</f>
        <v>WP_013265047.1</v>
      </c>
    </row>
    <row r="254" spans="1:5">
      <c r="A254" s="4" t="s">
        <v>206</v>
      </c>
      <c r="B254" s="9">
        <v>0.98</v>
      </c>
      <c r="C254" s="10">
        <v>3.9999999999999998E-94</v>
      </c>
      <c r="D254" s="5">
        <v>31.41</v>
      </c>
      <c r="E254" s="5" t="str">
        <f>HYPERLINK("https://www.ncbi.nlm.nih.gov/protein/MBP5423623.1?report=genbank&amp;log$=prottop&amp;blast_rank=232&amp;RID=8XM7PST5016","MBP5423623.1")</f>
        <v>MBP5423623.1</v>
      </c>
    </row>
    <row r="255" spans="1:5">
      <c r="A255" s="4" t="s">
        <v>184</v>
      </c>
      <c r="B255" s="9">
        <v>0.96</v>
      </c>
      <c r="C255" s="10">
        <v>6.9999999999999997E-102</v>
      </c>
      <c r="D255" s="5">
        <v>31.39</v>
      </c>
      <c r="E255" s="5" t="str">
        <f>HYPERLINK("https://www.ncbi.nlm.nih.gov/protein/MDV3953607.1?report=genbank&amp;log$=prottop&amp;blast_rank=207&amp;RID=8XM7PST5016","MDV3953607.1")</f>
        <v>MDV3953607.1</v>
      </c>
    </row>
    <row r="256" spans="1:5">
      <c r="A256" s="4" t="s">
        <v>112</v>
      </c>
      <c r="B256" s="9">
        <v>0.97</v>
      </c>
      <c r="C256" s="10">
        <v>9.0000000000000001E-77</v>
      </c>
      <c r="D256" s="5">
        <v>31.29</v>
      </c>
      <c r="E256" s="5" t="str">
        <f>HYPERLINK("https://www.ncbi.nlm.nih.gov/protein/MBR4265610.1?report=genbank&amp;log$=prottop&amp;blast_rank=273&amp;RID=8XM7PST5016","MBR4265610.1")</f>
        <v>MBR4265610.1</v>
      </c>
    </row>
    <row r="257" spans="1:5">
      <c r="A257" s="4" t="s">
        <v>194</v>
      </c>
      <c r="B257" s="9">
        <v>0.97</v>
      </c>
      <c r="C257" s="10">
        <v>9.9999999999999999E-91</v>
      </c>
      <c r="D257" s="5">
        <v>31.27</v>
      </c>
      <c r="E257" s="5" t="str">
        <f>HYPERLINK("https://www.ncbi.nlm.nih.gov/protein/MBD5376098.1?report=genbank&amp;log$=prottop&amp;blast_rank=249&amp;RID=8XM7PST5016","MBD5376098.1")</f>
        <v>MBD5376098.1</v>
      </c>
    </row>
    <row r="258" spans="1:5">
      <c r="A258" s="4" t="s">
        <v>196</v>
      </c>
      <c r="B258" s="9">
        <v>0.96</v>
      </c>
      <c r="C258" s="10">
        <v>3.0000000000000001E-99</v>
      </c>
      <c r="D258" s="5">
        <v>31.25</v>
      </c>
      <c r="E258" s="5" t="str">
        <f>HYPERLINK("https://www.ncbi.nlm.nih.gov/protein/WP_065399399.1?report=genbank&amp;log$=prottop&amp;blast_rank=220&amp;RID=8XM7PST5016","WP_065399399.1")</f>
        <v>WP_065399399.1</v>
      </c>
    </row>
    <row r="259" spans="1:5">
      <c r="A259" s="4" t="s">
        <v>190</v>
      </c>
      <c r="B259" s="9">
        <v>0.96</v>
      </c>
      <c r="C259" s="10">
        <v>8.0000000000000004E-101</v>
      </c>
      <c r="D259" s="5">
        <v>31.02</v>
      </c>
      <c r="E259" s="5" t="str">
        <f>HYPERLINK("https://www.ncbi.nlm.nih.gov/protein/WP_073553099.1?report=genbank&amp;log$=prottop&amp;blast_rank=214&amp;RID=8XM7PST5016","WP_073553099.1")</f>
        <v>WP_073553099.1</v>
      </c>
    </row>
    <row r="260" spans="1:5">
      <c r="A260" s="4" t="s">
        <v>205</v>
      </c>
      <c r="B260" s="9">
        <v>0.98</v>
      </c>
      <c r="C260" s="10">
        <v>9.0000000000000004E-95</v>
      </c>
      <c r="D260" s="5">
        <v>30.94</v>
      </c>
      <c r="E260" s="5" t="str">
        <f>HYPERLINK("https://www.ncbi.nlm.nih.gov/protein/HEY4288712.1?report=genbank&amp;log$=prottop&amp;blast_rank=230&amp;RID=8XM7PST5016","HEY4288712.1")</f>
        <v>HEY4288712.1</v>
      </c>
    </row>
    <row r="261" spans="1:5">
      <c r="A261" s="4" t="s">
        <v>166</v>
      </c>
      <c r="B261" s="9">
        <v>0.96</v>
      </c>
      <c r="C261" s="10">
        <v>1.9999999999999999E-105</v>
      </c>
      <c r="D261" s="5">
        <v>30.88</v>
      </c>
      <c r="E261" s="5" t="str">
        <f>HYPERLINK("https://www.ncbi.nlm.nih.gov/protein/WP_117712879.1?report=genbank&amp;log$=prottop&amp;blast_rank=184&amp;RID=8XM7PST5016","WP_117712879.1")</f>
        <v>WP_117712879.1</v>
      </c>
    </row>
    <row r="262" spans="1:5">
      <c r="A262" s="4" t="s">
        <v>169</v>
      </c>
      <c r="B262" s="9">
        <v>0.96</v>
      </c>
      <c r="C262" s="10">
        <v>9.9999999999999993E-105</v>
      </c>
      <c r="D262" s="5">
        <v>30.88</v>
      </c>
      <c r="E262" s="5" t="str">
        <f>HYPERLINK("https://www.ncbi.nlm.nih.gov/protein/WP_259012081.1?report=genbank&amp;log$=prottop&amp;blast_rank=187&amp;RID=8XM7PST5016","WP_259012081.1")</f>
        <v>WP_259012081.1</v>
      </c>
    </row>
    <row r="263" spans="1:5">
      <c r="A263" s="4" t="s">
        <v>37</v>
      </c>
      <c r="B263" s="9">
        <v>0.96</v>
      </c>
      <c r="C263" s="10">
        <v>2E-90</v>
      </c>
      <c r="D263" s="5">
        <v>30.88</v>
      </c>
      <c r="E263" s="5" t="str">
        <f>HYPERLINK("https://www.ncbi.nlm.nih.gov/protein/MBD5427312.1?report=genbank&amp;log$=prottop&amp;blast_rank=250&amp;RID=8XM7PST5016","MBD5427312.1")</f>
        <v>MBD5427312.1</v>
      </c>
    </row>
    <row r="264" spans="1:5">
      <c r="A264" s="4" t="s">
        <v>175</v>
      </c>
      <c r="B264" s="9">
        <v>0.96</v>
      </c>
      <c r="C264" s="10">
        <v>7.9999999999999994E-104</v>
      </c>
      <c r="D264" s="5">
        <v>30.51</v>
      </c>
      <c r="E264" s="5" t="str">
        <f>HYPERLINK("https://www.ncbi.nlm.nih.gov/protein/WP_002560583.1?report=genbank&amp;log$=prottop&amp;blast_rank=195&amp;RID=8XM7PST5016","WP_002560583.1")</f>
        <v>WP_002560583.1</v>
      </c>
    </row>
    <row r="265" spans="1:5">
      <c r="A265" s="4" t="s">
        <v>204</v>
      </c>
      <c r="B265" s="9">
        <v>0.96</v>
      </c>
      <c r="C265" s="10">
        <v>2.0000000000000001E-89</v>
      </c>
      <c r="D265" s="5">
        <v>30.48</v>
      </c>
      <c r="E265" s="5" t="str">
        <f>HYPERLINK("https://www.ncbi.nlm.nih.gov/protein/MBO5062097.1?report=genbank&amp;log$=prottop&amp;blast_rank=252&amp;RID=8XM7PST5016","MBO5062097.1")</f>
        <v>MBO5062097.1</v>
      </c>
    </row>
    <row r="266" spans="1:5">
      <c r="A266" s="4" t="s">
        <v>112</v>
      </c>
      <c r="B266" s="9">
        <v>0.97</v>
      </c>
      <c r="C266" s="10">
        <v>2E-87</v>
      </c>
      <c r="D266" s="5">
        <v>30.32</v>
      </c>
      <c r="E266" s="5" t="str">
        <f>HYPERLINK("https://www.ncbi.nlm.nih.gov/protein/MBR1775002.1?report=genbank&amp;log$=prottop&amp;blast_rank=259&amp;RID=8XM7PST5016","MBR1775002.1")</f>
        <v>MBR1775002.1</v>
      </c>
    </row>
    <row r="267" spans="1:5">
      <c r="A267" s="4" t="s">
        <v>229</v>
      </c>
      <c r="B267" s="9">
        <v>0.96</v>
      </c>
      <c r="C267" s="10">
        <v>9.0000000000000003E-84</v>
      </c>
      <c r="D267" s="5">
        <v>30.07</v>
      </c>
      <c r="E267" s="5" t="str">
        <f>HYPERLINK("https://www.ncbi.nlm.nih.gov/protein/WP_172176654.1?report=genbank&amp;log$=prottop&amp;blast_rank=268&amp;RID=8XM7PST5016","WP_172176654.1")</f>
        <v>WP_172176654.1</v>
      </c>
    </row>
    <row r="268" spans="1:5">
      <c r="A268" s="4" t="s">
        <v>34</v>
      </c>
      <c r="B268" s="9">
        <v>0.99</v>
      </c>
      <c r="C268" s="10">
        <v>3.9999999999999998E-82</v>
      </c>
      <c r="D268" s="5">
        <v>29.82</v>
      </c>
      <c r="E268" s="5" t="str">
        <f>HYPERLINK("https://www.ncbi.nlm.nih.gov/protein/KAF0249506.1?report=genbank&amp;log$=prottop&amp;blast_rank=269&amp;RID=8XM7PST5016","KAF0249506.1")</f>
        <v>KAF0249506.1</v>
      </c>
    </row>
    <row r="269" spans="1:5">
      <c r="A269" s="4" t="s">
        <v>225</v>
      </c>
      <c r="B269" s="9">
        <v>0.97</v>
      </c>
      <c r="C269" s="10">
        <v>2E-85</v>
      </c>
      <c r="D269" s="5">
        <v>29.71</v>
      </c>
      <c r="E269" s="5" t="str">
        <f>HYPERLINK("https://www.ncbi.nlm.nih.gov/protein/MBQ6189483.1?report=genbank&amp;log$=prottop&amp;blast_rank=262&amp;RID=8XM7PST5016","MBQ6189483.1")</f>
        <v>MBQ6189483.1</v>
      </c>
    </row>
    <row r="270" spans="1:5">
      <c r="A270" s="4" t="s">
        <v>227</v>
      </c>
      <c r="B270" s="9">
        <v>0.96</v>
      </c>
      <c r="C270" s="10">
        <v>1E-84</v>
      </c>
      <c r="D270" s="5">
        <v>29.67</v>
      </c>
      <c r="E270" s="5" t="str">
        <f>HYPERLINK("https://www.ncbi.nlm.nih.gov/protein/WP_019187684.1?report=genbank&amp;log$=prottop&amp;blast_rank=265&amp;RID=8XM7PST5016","WP_019187684.1")</f>
        <v>WP_019187684.1</v>
      </c>
    </row>
    <row r="271" spans="1:5">
      <c r="A271" s="4" t="s">
        <v>214</v>
      </c>
      <c r="B271" s="9">
        <v>0.98</v>
      </c>
      <c r="C271" s="10">
        <v>3.9999999999999999E-85</v>
      </c>
      <c r="D271" s="5">
        <v>29.6</v>
      </c>
      <c r="E271" s="5" t="str">
        <f>HYPERLINK("https://www.ncbi.nlm.nih.gov/protein/MBQ4503340.1?report=genbank&amp;log$=prottop&amp;blast_rank=264&amp;RID=8XM7PST5016","MBQ4503340.1")</f>
        <v>MBQ4503340.1</v>
      </c>
    </row>
    <row r="272" spans="1:5">
      <c r="A272" s="4" t="s">
        <v>236</v>
      </c>
      <c r="B272" s="9">
        <v>0.87</v>
      </c>
      <c r="C272" s="10">
        <v>3E-57</v>
      </c>
      <c r="D272" s="5">
        <v>29.58</v>
      </c>
      <c r="E272" s="5" t="str">
        <f>HYPERLINK("https://www.ncbi.nlm.nih.gov/protein/OLA35008.1?report=genbank&amp;log$=prottop&amp;blast_rank=278&amp;RID=8XM7PST5016","OLA35008.1")</f>
        <v>OLA35008.1</v>
      </c>
    </row>
    <row r="273" spans="1:5">
      <c r="A273" s="4" t="s">
        <v>181</v>
      </c>
      <c r="B273" s="9">
        <v>0.97</v>
      </c>
      <c r="C273" s="10">
        <v>3.9999999999999998E-103</v>
      </c>
      <c r="D273" s="5">
        <v>29.56</v>
      </c>
      <c r="E273" s="5" t="str">
        <f>HYPERLINK("https://www.ncbi.nlm.nih.gov/protein/WP_083710980.1?report=genbank&amp;log$=prottop&amp;blast_rank=201&amp;RID=8XM7PST5016","WP_083710980.1")</f>
        <v>WP_083710980.1</v>
      </c>
    </row>
    <row r="274" spans="1:5">
      <c r="A274" s="4" t="s">
        <v>204</v>
      </c>
      <c r="B274" s="9">
        <v>0.96</v>
      </c>
      <c r="C274" s="10">
        <v>2.0000000000000001E-84</v>
      </c>
      <c r="D274" s="5">
        <v>29.45</v>
      </c>
      <c r="E274" s="5" t="str">
        <f>HYPERLINK("https://www.ncbi.nlm.nih.gov/protein/MCI6489083.1?report=genbank&amp;log$=prottop&amp;blast_rank=267&amp;RID=8XM7PST5016","MCI6489083.1")</f>
        <v>MCI6489083.1</v>
      </c>
    </row>
    <row r="275" spans="1:5">
      <c r="A275" s="4" t="s">
        <v>201</v>
      </c>
      <c r="B275" s="9">
        <v>0.96</v>
      </c>
      <c r="C275" s="10">
        <v>2.0000000000000001E-97</v>
      </c>
      <c r="D275" s="5">
        <v>29.41</v>
      </c>
      <c r="E275" s="5" t="str">
        <f>HYPERLINK("https://www.ncbi.nlm.nih.gov/protein/WP_326319673.1?report=genbank&amp;log$=prottop&amp;blast_rank=226&amp;RID=8XM7PST5016","WP_326319673.1")</f>
        <v>WP_326319673.1</v>
      </c>
    </row>
    <row r="276" spans="1:5">
      <c r="A276" s="4" t="s">
        <v>226</v>
      </c>
      <c r="B276" s="9">
        <v>0.98</v>
      </c>
      <c r="C276" s="10">
        <v>2E-85</v>
      </c>
      <c r="D276" s="5">
        <v>29.2</v>
      </c>
      <c r="E276" s="5" t="str">
        <f>HYPERLINK("https://www.ncbi.nlm.nih.gov/protein/WP_173413040.1?report=genbank&amp;log$=prottop&amp;blast_rank=263&amp;RID=8XM7PST5016","WP_173413040.1")</f>
        <v>WP_173413040.1</v>
      </c>
    </row>
    <row r="277" spans="1:5">
      <c r="A277" s="4" t="s">
        <v>211</v>
      </c>
      <c r="B277" s="9">
        <v>0.96</v>
      </c>
      <c r="C277" s="10">
        <v>6.0000000000000003E-92</v>
      </c>
      <c r="D277" s="5">
        <v>29.04</v>
      </c>
      <c r="E277" s="5" t="str">
        <f>HYPERLINK("https://www.ncbi.nlm.nih.gov/protein/WP_265849969.1?report=genbank&amp;log$=prottop&amp;blast_rank=239&amp;RID=8XM7PST5016","WP_265849969.1")</f>
        <v>WP_265849969.1</v>
      </c>
    </row>
    <row r="278" spans="1:5">
      <c r="A278" s="4" t="s">
        <v>174</v>
      </c>
      <c r="B278" s="9">
        <v>0.96</v>
      </c>
      <c r="C278" s="10">
        <v>9.9999999999999993E-103</v>
      </c>
      <c r="D278" s="5">
        <v>28.68</v>
      </c>
      <c r="E278" s="5" t="str">
        <f>HYPERLINK("https://www.ncbi.nlm.nih.gov/protein/WP_333621072.1?report=genbank&amp;log$=prottop&amp;blast_rank=203&amp;RID=8XM7PST5016","WP_333621072.1")</f>
        <v>WP_333621072.1</v>
      </c>
    </row>
    <row r="279" spans="1:5">
      <c r="A279" s="4" t="s">
        <v>192</v>
      </c>
      <c r="B279" s="9">
        <v>0.96</v>
      </c>
      <c r="C279" s="10">
        <v>2E-100</v>
      </c>
      <c r="D279" s="5">
        <v>28.31</v>
      </c>
      <c r="E279" s="5" t="str">
        <f>HYPERLINK("https://www.ncbi.nlm.nih.gov/protein/WP_278354108.1?report=genbank&amp;log$=prottop&amp;blast_rank=216&amp;RID=8XM7PST5016","WP_278354108.1")</f>
        <v>WP_278354108.1</v>
      </c>
    </row>
    <row r="280" spans="1:5">
      <c r="A280" s="4" t="s">
        <v>174</v>
      </c>
      <c r="B280" s="9">
        <v>0.96</v>
      </c>
      <c r="C280" s="10">
        <v>7.0000000000000006E-104</v>
      </c>
      <c r="D280" s="5">
        <v>27.57</v>
      </c>
      <c r="E280" s="5" t="str">
        <f>HYPERLINK("https://www.ncbi.nlm.nih.gov/protein/WP_312716738.1?report=genbank&amp;log$=prottop&amp;blast_rank=194&amp;RID=8XM7PST5016","WP_312716738.1")</f>
        <v>WP_312716738.1</v>
      </c>
    </row>
    <row r="281" spans="1:5">
      <c r="A281" s="4" t="s">
        <v>193</v>
      </c>
      <c r="B281" s="9">
        <v>0.98</v>
      </c>
      <c r="C281" s="10">
        <v>2E-100</v>
      </c>
      <c r="D281" s="5">
        <v>27.24</v>
      </c>
      <c r="E281" s="5" t="str">
        <f>HYPERLINK("https://www.ncbi.nlm.nih.gov/protein/WP_124535641.1?report=genbank&amp;log$=prottop&amp;blast_rank=217&amp;RID=8XM7PST5016","WP_124535641.1")</f>
        <v>WP_124535641.1</v>
      </c>
    </row>
    <row r="282" spans="1:5">
      <c r="A282" s="4" t="s">
        <v>183</v>
      </c>
      <c r="B282" s="9">
        <v>0.97</v>
      </c>
      <c r="C282" s="10">
        <v>3.9999999999999997E-102</v>
      </c>
      <c r="D282" s="5">
        <v>27.01</v>
      </c>
      <c r="E282" s="5" t="str">
        <f>HYPERLINK("https://www.ncbi.nlm.nih.gov/protein/WP_027374876.1?report=genbank&amp;log$=prottop&amp;blast_rank=206&amp;RID=8XM7PST5016","WP_027374876.1")</f>
        <v>WP_027374876.1</v>
      </c>
    </row>
    <row r="283" spans="1:5">
      <c r="A283" s="4" t="s">
        <v>173</v>
      </c>
      <c r="B283" s="9">
        <v>0.96</v>
      </c>
      <c r="C283" s="10">
        <v>6.0000000000000005E-104</v>
      </c>
      <c r="D283" s="5">
        <v>26.84</v>
      </c>
      <c r="E283" s="5" t="str">
        <f>HYPERLINK("https://www.ncbi.nlm.nih.gov/protein/WP_120230717.1?report=genbank&amp;log$=prottop&amp;blast_rank=193&amp;RID=8XM7PST5016","WP_120230717.1")</f>
        <v>WP_120230717.1</v>
      </c>
    </row>
    <row r="284" spans="1:5">
      <c r="A284" s="4" t="s">
        <v>189</v>
      </c>
      <c r="B284" s="9">
        <v>0.96</v>
      </c>
      <c r="C284" s="10">
        <v>5.0000000000000001E-101</v>
      </c>
      <c r="D284" s="5">
        <v>26.84</v>
      </c>
      <c r="E284" s="5" t="str">
        <f>HYPERLINK("https://www.ncbi.nlm.nih.gov/protein/WP_315085899.1?report=genbank&amp;log$=prottop&amp;blast_rank=213&amp;RID=8XM7PST5016","WP_315085899.1")</f>
        <v>WP_315085899.1</v>
      </c>
    </row>
  </sheetData>
  <sortState xmlns:xlrd2="http://schemas.microsoft.com/office/spreadsheetml/2017/richdata2" ref="A7:E284">
    <sortCondition descending="1" ref="D7:D284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47A59-82AB-7B40-9BD3-0DA3D09A6DAF}">
  <dimension ref="A1:E511"/>
  <sheetViews>
    <sheetView workbookViewId="0">
      <selection sqref="A1:XFD3"/>
    </sheetView>
  </sheetViews>
  <sheetFormatPr baseColWidth="10" defaultRowHeight="16"/>
  <cols>
    <col min="1" max="1" width="30.83203125" style="4" customWidth="1"/>
    <col min="2" max="4" width="30.83203125" style="5" customWidth="1"/>
    <col min="5" max="5" width="30.83203125" style="11" customWidth="1"/>
    <col min="6" max="16384" width="10.83203125" style="4"/>
  </cols>
  <sheetData>
    <row r="1" spans="1:5" s="26" customFormat="1" ht="18">
      <c r="A1" s="26" t="s">
        <v>39</v>
      </c>
      <c r="B1" s="27"/>
      <c r="C1" s="27"/>
      <c r="D1" s="27"/>
      <c r="E1" s="33"/>
    </row>
    <row r="2" spans="1:5" s="26" customFormat="1" ht="18">
      <c r="A2" s="29" t="s">
        <v>38</v>
      </c>
      <c r="B2" s="27"/>
      <c r="C2" s="27"/>
      <c r="D2" s="27"/>
      <c r="E2" s="33"/>
    </row>
    <row r="3" spans="1:5" s="26" customFormat="1" ht="18">
      <c r="A3" s="29" t="s">
        <v>40</v>
      </c>
      <c r="B3" s="27"/>
      <c r="C3" s="27"/>
      <c r="D3" s="27"/>
      <c r="E3" s="33"/>
    </row>
    <row r="6" spans="1:5" s="7" customFormat="1">
      <c r="A6" s="7" t="s">
        <v>10</v>
      </c>
      <c r="B6" s="8" t="s">
        <v>11</v>
      </c>
      <c r="C6" s="8" t="s">
        <v>12</v>
      </c>
      <c r="D6" s="8" t="s">
        <v>13</v>
      </c>
      <c r="E6" s="12" t="s">
        <v>14</v>
      </c>
    </row>
    <row r="7" spans="1:5">
      <c r="A7" s="4" t="s">
        <v>15</v>
      </c>
      <c r="B7" s="9">
        <v>1</v>
      </c>
      <c r="C7" s="10">
        <v>4.9999999999999997E-113</v>
      </c>
      <c r="D7" s="5">
        <v>100</v>
      </c>
      <c r="E7" s="11" t="str">
        <f>HYPERLINK("https://www.ncbi.nlm.nih.gov/protein/ARC19797.1?report=genbank&amp;log$=prottop&amp;blast_rank=1&amp;RID=8XN3MCU5013","ARC19797.1")</f>
        <v>ARC19797.1</v>
      </c>
    </row>
    <row r="8" spans="1:5">
      <c r="A8" s="4" t="s">
        <v>15</v>
      </c>
      <c r="B8" s="9">
        <v>0.97</v>
      </c>
      <c r="C8" s="10">
        <v>7.0000000000000001E-111</v>
      </c>
      <c r="D8" s="5">
        <v>100</v>
      </c>
      <c r="E8" s="11" t="str">
        <f>HYPERLINK("https://www.ncbi.nlm.nih.gov/protein/WP_024699234.1?report=genbank&amp;log$=prottop&amp;blast_rank=5&amp;RID=8XN3MCU5013","WP_024699234.1")</f>
        <v>WP_024699234.1</v>
      </c>
    </row>
    <row r="9" spans="1:5">
      <c r="A9" s="4" t="s">
        <v>15</v>
      </c>
      <c r="B9" s="9">
        <v>0.92</v>
      </c>
      <c r="C9" s="10">
        <v>7.0000000000000003E-103</v>
      </c>
      <c r="D9" s="5">
        <v>100</v>
      </c>
      <c r="E9" s="11" t="str">
        <f>HYPERLINK("https://www.ncbi.nlm.nih.gov/protein/EGR2794209.1?report=genbank&amp;log$=prottop&amp;blast_rank=32&amp;RID=8XN3MCU5013","EGR2794209.1")</f>
        <v>EGR2794209.1</v>
      </c>
    </row>
    <row r="10" spans="1:5">
      <c r="A10" s="4" t="s">
        <v>15</v>
      </c>
      <c r="B10" s="9">
        <v>0.9</v>
      </c>
      <c r="C10" s="10">
        <v>4.0000000000000002E-101</v>
      </c>
      <c r="D10" s="5">
        <v>100</v>
      </c>
      <c r="E10" s="11" t="str">
        <f>HYPERLINK("https://www.ncbi.nlm.nih.gov/protein/HCE2642234.1?report=genbank&amp;log$=prottop&amp;blast_rank=36&amp;RID=8XN3MCU5013","HCE2642234.1")</f>
        <v>HCE2642234.1</v>
      </c>
    </row>
    <row r="11" spans="1:5">
      <c r="A11" s="4" t="s">
        <v>15</v>
      </c>
      <c r="B11" s="9">
        <v>0.88</v>
      </c>
      <c r="C11" s="10">
        <v>9.0000000000000002E-100</v>
      </c>
      <c r="D11" s="5">
        <v>100</v>
      </c>
      <c r="E11" s="11" t="str">
        <f>HYPERLINK("https://www.ncbi.nlm.nih.gov/protein/EGR3047878.1?report=genbank&amp;log$=prottop&amp;blast_rank=38&amp;RID=8XN3MCU5013","EGR3047878.1")</f>
        <v>EGR3047878.1</v>
      </c>
    </row>
    <row r="12" spans="1:5">
      <c r="A12" s="4" t="s">
        <v>15</v>
      </c>
      <c r="B12" s="9">
        <v>0.85</v>
      </c>
      <c r="C12" s="10">
        <v>4.9999999999999999E-96</v>
      </c>
      <c r="D12" s="5">
        <v>100</v>
      </c>
      <c r="E12" s="11" t="str">
        <f>HYPERLINK("https://www.ncbi.nlm.nih.gov/protein/WP_204262495.1?report=genbank&amp;log$=prottop&amp;blast_rank=55&amp;RID=8XN3MCU5013","WP_204262495.1")</f>
        <v>WP_204262495.1</v>
      </c>
    </row>
    <row r="13" spans="1:5">
      <c r="A13" s="4" t="s">
        <v>15</v>
      </c>
      <c r="B13" s="9">
        <v>0.8</v>
      </c>
      <c r="C13" s="10">
        <v>6.0000000000000003E-87</v>
      </c>
      <c r="D13" s="5">
        <v>100</v>
      </c>
      <c r="E13" s="11" t="str">
        <f>HYPERLINK("https://www.ncbi.nlm.nih.gov/protein/MBM4910203.1?report=genbank&amp;log$=prottop&amp;blast_rank=154&amp;RID=8XN3MCU5013","MBM4910203.1")</f>
        <v>MBM4910203.1</v>
      </c>
    </row>
    <row r="14" spans="1:5">
      <c r="A14" s="4" t="s">
        <v>15</v>
      </c>
      <c r="B14" s="9">
        <v>1</v>
      </c>
      <c r="C14" s="10">
        <v>4.9999999999999997E-113</v>
      </c>
      <c r="D14" s="5">
        <v>99.43</v>
      </c>
      <c r="E14" s="11" t="str">
        <f>HYPERLINK("https://www.ncbi.nlm.nih.gov/protein/WP_219604983.1?report=genbank&amp;log$=prottop&amp;blast_rank=2&amp;RID=8XN3MCU5013","WP_219604983.1")</f>
        <v>WP_219604983.1</v>
      </c>
    </row>
    <row r="15" spans="1:5">
      <c r="A15" s="4" t="s">
        <v>15</v>
      </c>
      <c r="B15" s="9">
        <v>1</v>
      </c>
      <c r="C15" s="10">
        <v>7.0000000000000006E-113</v>
      </c>
      <c r="D15" s="5">
        <v>99.43</v>
      </c>
      <c r="E15" s="11" t="str">
        <f>HYPERLINK("https://www.ncbi.nlm.nih.gov/protein/EGQ9368106.1?report=genbank&amp;log$=prottop&amp;blast_rank=3&amp;RID=8XN3MCU5013","EGQ9368106.1")</f>
        <v>EGQ9368106.1</v>
      </c>
    </row>
    <row r="16" spans="1:5">
      <c r="A16" s="4" t="s">
        <v>15</v>
      </c>
      <c r="B16" s="9">
        <v>1</v>
      </c>
      <c r="C16" s="10">
        <v>1.9999999999999999E-112</v>
      </c>
      <c r="D16" s="5">
        <v>99.43</v>
      </c>
      <c r="E16" s="11" t="str">
        <f>HYPERLINK("https://www.ncbi.nlm.nih.gov/protein/HAS6887627.1?report=genbank&amp;log$=prottop&amp;blast_rank=4&amp;RID=8XN3MCU5013","HAS6887627.1")</f>
        <v>HAS6887627.1</v>
      </c>
    </row>
    <row r="17" spans="1:5">
      <c r="A17" s="4" t="s">
        <v>15</v>
      </c>
      <c r="B17" s="9">
        <v>0.97</v>
      </c>
      <c r="C17" s="10">
        <v>1.0000000000000001E-110</v>
      </c>
      <c r="D17" s="5">
        <v>99.41</v>
      </c>
      <c r="E17" s="11" t="str">
        <f>HYPERLINK("https://www.ncbi.nlm.nih.gov/protein/EHK3081895.1?report=genbank&amp;log$=prottop&amp;blast_rank=6&amp;RID=8XN3MCU5013","EHK3081895.1")</f>
        <v>EHK3081895.1</v>
      </c>
    </row>
    <row r="18" spans="1:5">
      <c r="A18" s="4" t="s">
        <v>42</v>
      </c>
      <c r="B18" s="9">
        <v>0.97</v>
      </c>
      <c r="C18" s="10">
        <v>5E-110</v>
      </c>
      <c r="D18" s="5">
        <v>97.06</v>
      </c>
      <c r="E18" s="11" t="str">
        <f>HYPERLINK("https://www.ncbi.nlm.nih.gov/protein/WP_229628069.1?report=genbank&amp;log$=prottop&amp;blast_rank=9&amp;RID=8XN3MCU5013","WP_229628069.1")</f>
        <v>WP_229628069.1</v>
      </c>
    </row>
    <row r="19" spans="1:5">
      <c r="A19" s="4" t="s">
        <v>15</v>
      </c>
      <c r="B19" s="9">
        <v>0.97</v>
      </c>
      <c r="C19" s="10">
        <v>2E-109</v>
      </c>
      <c r="D19" s="5">
        <v>96.47</v>
      </c>
      <c r="E19" s="11" t="str">
        <f>HYPERLINK("https://www.ncbi.nlm.nih.gov/protein/EGQ8115116.1?report=genbank&amp;log$=prottop&amp;blast_rank=11&amp;RID=8XN3MCU5013","EGQ8115116.1")</f>
        <v>EGQ8115116.1</v>
      </c>
    </row>
    <row r="20" spans="1:5">
      <c r="A20" s="4" t="s">
        <v>238</v>
      </c>
      <c r="B20" s="9">
        <v>0.97</v>
      </c>
      <c r="C20" s="10">
        <v>4E-109</v>
      </c>
      <c r="D20" s="5">
        <v>96.47</v>
      </c>
      <c r="E20" s="11" t="str">
        <f>HYPERLINK("https://www.ncbi.nlm.nih.gov/protein/WP_258472214.1?report=genbank&amp;log$=prottop&amp;blast_rank=12&amp;RID=8XN3MCU5013","WP_258472214.1")</f>
        <v>WP_258472214.1</v>
      </c>
    </row>
    <row r="21" spans="1:5">
      <c r="A21" s="4" t="s">
        <v>46</v>
      </c>
      <c r="B21" s="9">
        <v>0.97</v>
      </c>
      <c r="C21" s="10">
        <v>1E-108</v>
      </c>
      <c r="D21" s="5">
        <v>95.88</v>
      </c>
      <c r="E21" s="11" t="str">
        <f>HYPERLINK("https://www.ncbi.nlm.nih.gov/protein/EKO3929386.1?report=genbank&amp;log$=prottop&amp;blast_rank=15&amp;RID=8XN3MCU5013","EKO3929386.1")</f>
        <v>EKO3929386.1</v>
      </c>
    </row>
    <row r="22" spans="1:5">
      <c r="A22" s="4" t="s">
        <v>237</v>
      </c>
      <c r="B22" s="9">
        <v>1</v>
      </c>
      <c r="C22" s="10">
        <v>1.0000000000000001E-110</v>
      </c>
      <c r="D22" s="5">
        <v>94.86</v>
      </c>
      <c r="E22" s="11" t="str">
        <f>HYPERLINK("https://www.ncbi.nlm.nih.gov/protein/EGR2027059.1?report=genbank&amp;log$=prottop&amp;blast_rank=7&amp;RID=8XN3MCU5013","EGR2027059.1")</f>
        <v>EGR2027059.1</v>
      </c>
    </row>
    <row r="23" spans="1:5">
      <c r="A23" s="4" t="s">
        <v>43</v>
      </c>
      <c r="B23" s="9">
        <v>0.97</v>
      </c>
      <c r="C23" s="10">
        <v>1E-108</v>
      </c>
      <c r="D23" s="5">
        <v>94.71</v>
      </c>
      <c r="E23" s="11" t="str">
        <f>HYPERLINK("https://www.ncbi.nlm.nih.gov/protein/WP_165399759.1?report=genbank&amp;log$=prottop&amp;blast_rank=16&amp;RID=8XN3MCU5013","WP_165399759.1")</f>
        <v>WP_165399759.1</v>
      </c>
    </row>
    <row r="24" spans="1:5">
      <c r="A24" s="4" t="s">
        <v>237</v>
      </c>
      <c r="B24" s="9">
        <v>0.97</v>
      </c>
      <c r="C24" s="10">
        <v>2E-109</v>
      </c>
      <c r="D24" s="5">
        <v>94.12</v>
      </c>
      <c r="E24" s="11" t="str">
        <f>HYPERLINK("https://www.ncbi.nlm.nih.gov/protein/HEJ2459246.1?report=genbank&amp;log$=prottop&amp;blast_rank=10&amp;RID=8XN3MCU5013","HEJ2459246.1")</f>
        <v>HEJ2459246.1</v>
      </c>
    </row>
    <row r="25" spans="1:5">
      <c r="A25" s="4" t="s">
        <v>240</v>
      </c>
      <c r="B25" s="9">
        <v>0.97</v>
      </c>
      <c r="C25" s="10">
        <v>2E-107</v>
      </c>
      <c r="D25" s="5">
        <v>94.12</v>
      </c>
      <c r="E25" s="11" t="str">
        <f>HYPERLINK("https://www.ncbi.nlm.nih.gov/protein/WP_171934523.1?report=genbank&amp;log$=prottop&amp;blast_rank=21&amp;RID=8XN3MCU5013","WP_171934523.1")</f>
        <v>WP_171934523.1</v>
      </c>
    </row>
    <row r="26" spans="1:5">
      <c r="A26" s="4" t="s">
        <v>18</v>
      </c>
      <c r="B26" s="9">
        <v>0.97</v>
      </c>
      <c r="C26" s="10">
        <v>9.0000000000000002E-109</v>
      </c>
      <c r="D26" s="5">
        <v>75.290000000000006</v>
      </c>
      <c r="E26" s="11" t="str">
        <f>HYPERLINK("https://www.ncbi.nlm.nih.gov/protein/WP_225480389.1?report=genbank&amp;log$=prottop&amp;blast_rank=14&amp;RID=8XN3MCU5013","WP_225480389.1")</f>
        <v>WP_225480389.1</v>
      </c>
    </row>
    <row r="27" spans="1:5">
      <c r="A27" s="4" t="s">
        <v>239</v>
      </c>
      <c r="B27" s="9">
        <v>0.97</v>
      </c>
      <c r="C27" s="10">
        <v>1E-108</v>
      </c>
      <c r="D27" s="5">
        <v>75.290000000000006</v>
      </c>
      <c r="E27" s="11" t="str">
        <f>HYPERLINK("https://www.ncbi.nlm.nih.gov/protein/WP_243328412.1?report=genbank&amp;log$=prottop&amp;blast_rank=17&amp;RID=8XN3MCU5013","WP_243328412.1")</f>
        <v>WP_243328412.1</v>
      </c>
    </row>
    <row r="28" spans="1:5">
      <c r="A28" s="4" t="s">
        <v>42</v>
      </c>
      <c r="B28" s="9">
        <v>0.97</v>
      </c>
      <c r="C28" s="10">
        <v>2E-107</v>
      </c>
      <c r="D28" s="5">
        <v>75.290000000000006</v>
      </c>
      <c r="E28" s="11" t="str">
        <f>HYPERLINK("https://www.ncbi.nlm.nih.gov/protein/WP_239593856.1?report=genbank&amp;log$=prottop&amp;blast_rank=20&amp;RID=8XN3MCU5013","WP_239593856.1")</f>
        <v>WP_239593856.1</v>
      </c>
    </row>
    <row r="29" spans="1:5">
      <c r="A29" s="4" t="s">
        <v>241</v>
      </c>
      <c r="B29" s="9">
        <v>0.97</v>
      </c>
      <c r="C29" s="10">
        <v>1.9999999999999999E-106</v>
      </c>
      <c r="D29" s="5">
        <v>74.709999999999994</v>
      </c>
      <c r="E29" s="11" t="str">
        <f>HYPERLINK("https://www.ncbi.nlm.nih.gov/protein/WP_269598335.1?report=genbank&amp;log$=prottop&amp;blast_rank=25&amp;RID=8XN3MCU5013","WP_269598335.1")</f>
        <v>WP_269598335.1</v>
      </c>
    </row>
    <row r="30" spans="1:5">
      <c r="A30" s="4" t="s">
        <v>18</v>
      </c>
      <c r="B30" s="9">
        <v>0.99</v>
      </c>
      <c r="C30" s="10">
        <v>2.0000000000000001E-110</v>
      </c>
      <c r="D30" s="5">
        <v>74.14</v>
      </c>
      <c r="E30" s="11" t="str">
        <f>HYPERLINK("https://www.ncbi.nlm.nih.gov/protein/EKZ9203384.1?report=genbank&amp;log$=prottop&amp;blast_rank=8&amp;RID=8XN3MCU5013","EKZ9203384.1")</f>
        <v>EKZ9203384.1</v>
      </c>
    </row>
    <row r="31" spans="1:5">
      <c r="A31" s="4" t="s">
        <v>15</v>
      </c>
      <c r="B31" s="9">
        <v>0.97</v>
      </c>
      <c r="C31" s="10">
        <v>5.9999999999999999E-108</v>
      </c>
      <c r="D31" s="5">
        <v>71.760000000000005</v>
      </c>
      <c r="E31" s="11" t="str">
        <f>HYPERLINK("https://www.ncbi.nlm.nih.gov/protein/WP_267369063.1?report=genbank&amp;log$=prottop&amp;blast_rank=19&amp;RID=8XN3MCU5013","WP_267369063.1")</f>
        <v>WP_267369063.1</v>
      </c>
    </row>
    <row r="32" spans="1:5">
      <c r="A32" s="4" t="s">
        <v>15</v>
      </c>
      <c r="B32" s="9">
        <v>0.97</v>
      </c>
      <c r="C32" s="10">
        <v>9.0000000000000002E-109</v>
      </c>
      <c r="D32" s="5">
        <v>71.180000000000007</v>
      </c>
      <c r="E32" s="11" t="str">
        <f>HYPERLINK("https://www.ncbi.nlm.nih.gov/protein/MBM4869353.1?report=genbank&amp;log$=prottop&amp;blast_rank=13&amp;RID=8XN3MCU5013","MBM4869353.1")</f>
        <v>MBM4869353.1</v>
      </c>
    </row>
    <row r="33" spans="1:5">
      <c r="A33" s="4" t="s">
        <v>15</v>
      </c>
      <c r="B33" s="9">
        <v>0.97</v>
      </c>
      <c r="C33" s="10">
        <v>6.9999999999999997E-107</v>
      </c>
      <c r="D33" s="5">
        <v>71.180000000000007</v>
      </c>
      <c r="E33" s="11" t="str">
        <f>HYPERLINK("https://www.ncbi.nlm.nih.gov/protein/WP_229625258.1?report=genbank&amp;log$=prottop&amp;blast_rank=24&amp;RID=8XN3MCU5013","WP_229625258.1")</f>
        <v>WP_229625258.1</v>
      </c>
    </row>
    <row r="34" spans="1:5">
      <c r="A34" s="4" t="s">
        <v>242</v>
      </c>
      <c r="B34" s="9">
        <v>0.97</v>
      </c>
      <c r="C34" s="10">
        <v>1.9999999999999999E-105</v>
      </c>
      <c r="D34" s="5">
        <v>70</v>
      </c>
      <c r="E34" s="11" t="str">
        <f>HYPERLINK("https://www.ncbi.nlm.nih.gov/protein/WP_305368808.1?report=genbank&amp;log$=prottop&amp;blast_rank=26&amp;RID=8XN3MCU5013","WP_305368808.1")</f>
        <v>WP_305368808.1</v>
      </c>
    </row>
    <row r="35" spans="1:5">
      <c r="A35" s="4" t="s">
        <v>238</v>
      </c>
      <c r="B35" s="9">
        <v>0.97</v>
      </c>
      <c r="C35" s="10">
        <v>3.9999999999999999E-105</v>
      </c>
      <c r="D35" s="5">
        <v>70</v>
      </c>
      <c r="E35" s="11" t="str">
        <f>HYPERLINK("https://www.ncbi.nlm.nih.gov/protein/WP_258452035.1?report=genbank&amp;log$=prottop&amp;blast_rank=27&amp;RID=8XN3MCU5013","WP_258452035.1")</f>
        <v>WP_258452035.1</v>
      </c>
    </row>
    <row r="36" spans="1:5">
      <c r="A36" s="4" t="s">
        <v>15</v>
      </c>
      <c r="B36" s="9">
        <v>0.97</v>
      </c>
      <c r="C36" s="10">
        <v>7E-105</v>
      </c>
      <c r="D36" s="5">
        <v>70</v>
      </c>
      <c r="E36" s="11" t="str">
        <f>HYPERLINK("https://www.ncbi.nlm.nih.gov/protein/WP_348255968.1?report=genbank&amp;log$=prottop&amp;blast_rank=28&amp;RID=8XN3MCU5013","WP_348255968.1")</f>
        <v>WP_348255968.1</v>
      </c>
    </row>
    <row r="37" spans="1:5">
      <c r="A37" s="4" t="s">
        <v>15</v>
      </c>
      <c r="B37" s="9">
        <v>0.97</v>
      </c>
      <c r="C37" s="10">
        <v>1.9999999999999999E-104</v>
      </c>
      <c r="D37" s="5">
        <v>70</v>
      </c>
      <c r="E37" s="11" t="str">
        <f>HYPERLINK("https://www.ncbi.nlm.nih.gov/protein/WP_180710284.1?report=genbank&amp;log$=prottop&amp;blast_rank=29&amp;RID=8XN3MCU5013","WP_180710284.1")</f>
        <v>WP_180710284.1</v>
      </c>
    </row>
    <row r="38" spans="1:5">
      <c r="A38" s="4" t="s">
        <v>238</v>
      </c>
      <c r="B38" s="9">
        <v>1</v>
      </c>
      <c r="C38" s="10">
        <v>5.9999999999999999E-108</v>
      </c>
      <c r="D38" s="5">
        <v>69.709999999999994</v>
      </c>
      <c r="E38" s="11" t="str">
        <f>HYPERLINK("https://www.ncbi.nlm.nih.gov/protein/EGQ8449652.1?report=genbank&amp;log$=prottop&amp;blast_rank=18&amp;RID=8XN3MCU5013","EGQ8449652.1")</f>
        <v>EGQ8449652.1</v>
      </c>
    </row>
    <row r="39" spans="1:5">
      <c r="A39" s="4" t="s">
        <v>15</v>
      </c>
      <c r="B39" s="9">
        <v>1</v>
      </c>
      <c r="C39" s="10">
        <v>2E-107</v>
      </c>
      <c r="D39" s="5">
        <v>69.709999999999994</v>
      </c>
      <c r="E39" s="11" t="str">
        <f>HYPERLINK("https://www.ncbi.nlm.nih.gov/protein/TOA49033.1?report=genbank&amp;log$=prottop&amp;blast_rank=22&amp;RID=8XN3MCU5013","TOA49033.1")</f>
        <v>TOA49033.1</v>
      </c>
    </row>
    <row r="40" spans="1:5">
      <c r="A40" s="4" t="s">
        <v>18</v>
      </c>
      <c r="B40" s="9">
        <v>0.97</v>
      </c>
      <c r="C40" s="10">
        <v>1.9999999999999999E-104</v>
      </c>
      <c r="D40" s="5">
        <v>68.819999999999993</v>
      </c>
      <c r="E40" s="11" t="str">
        <f>HYPERLINK("https://www.ncbi.nlm.nih.gov/protein/WP_045612641.1?report=genbank&amp;log$=prottop&amp;blast_rank=30&amp;RID=8XN3MCU5013","WP_045612641.1")</f>
        <v>WP_045612641.1</v>
      </c>
    </row>
    <row r="41" spans="1:5">
      <c r="A41" s="4" t="s">
        <v>18</v>
      </c>
      <c r="B41" s="9">
        <v>1</v>
      </c>
      <c r="C41" s="10">
        <v>2.9999999999999997E-107</v>
      </c>
      <c r="D41" s="5">
        <v>68.569999999999993</v>
      </c>
      <c r="E41" s="11" t="str">
        <f>HYPERLINK("https://www.ncbi.nlm.nih.gov/protein/HAS6135950.1?report=genbank&amp;log$=prottop&amp;blast_rank=23&amp;RID=8XN3MCU5013","HAS6135950.1")</f>
        <v>HAS6135950.1</v>
      </c>
    </row>
    <row r="42" spans="1:5">
      <c r="A42" s="4" t="s">
        <v>243</v>
      </c>
      <c r="B42" s="9">
        <v>0.97</v>
      </c>
      <c r="C42" s="10">
        <v>8.9999999999999995E-104</v>
      </c>
      <c r="D42" s="5">
        <v>68.239999999999995</v>
      </c>
      <c r="E42" s="11" t="str">
        <f>HYPERLINK("https://www.ncbi.nlm.nih.gov/protein/WP_046356717.1?report=genbank&amp;log$=prottop&amp;blast_rank=31&amp;RID=8XN3MCU5013","WP_046356717.1")</f>
        <v>WP_046356717.1</v>
      </c>
    </row>
    <row r="43" spans="1:5">
      <c r="A43" s="4" t="s">
        <v>244</v>
      </c>
      <c r="B43" s="9">
        <v>0.97</v>
      </c>
      <c r="C43" s="10">
        <v>9E-103</v>
      </c>
      <c r="D43" s="5">
        <v>67.650000000000006</v>
      </c>
      <c r="E43" s="11" t="str">
        <f>HYPERLINK("https://www.ncbi.nlm.nih.gov/protein/NOT66114.1?report=genbank&amp;log$=prottop&amp;blast_rank=33&amp;RID=8XN3MCU5013","NOT66114.1")</f>
        <v>NOT66114.1</v>
      </c>
    </row>
    <row r="44" spans="1:5">
      <c r="A44" s="4" t="s">
        <v>15</v>
      </c>
      <c r="B44" s="9">
        <v>0.97</v>
      </c>
      <c r="C44" s="10">
        <v>4.9999999999999998E-95</v>
      </c>
      <c r="D44" s="5">
        <v>66.47</v>
      </c>
      <c r="E44" s="11" t="str">
        <f>HYPERLINK("https://www.ncbi.nlm.nih.gov/protein/WP_222133477.1?report=genbank&amp;log$=prottop&amp;blast_rank=68&amp;RID=8XN3MCU5013","WP_222133477.1")</f>
        <v>WP_222133477.1</v>
      </c>
    </row>
    <row r="45" spans="1:5">
      <c r="A45" s="4" t="s">
        <v>15</v>
      </c>
      <c r="B45" s="9">
        <v>0.97</v>
      </c>
      <c r="C45" s="10">
        <v>6.0000000000000003E-94</v>
      </c>
      <c r="D45" s="5">
        <v>66.47</v>
      </c>
      <c r="E45" s="11" t="str">
        <f>HYPERLINK("https://www.ncbi.nlm.nih.gov/protein/WP_228070935.1?report=genbank&amp;log$=prottop&amp;blast_rank=80&amp;RID=8XN3MCU5013","WP_228070935.1")</f>
        <v>WP_228070935.1</v>
      </c>
    </row>
    <row r="46" spans="1:5">
      <c r="A46" s="4" t="s">
        <v>242</v>
      </c>
      <c r="B46" s="9">
        <v>0.75</v>
      </c>
      <c r="C46" s="10">
        <v>2.9999999999999999E-78</v>
      </c>
      <c r="D46" s="5">
        <v>65.91</v>
      </c>
      <c r="E46" s="11" t="str">
        <f>HYPERLINK("https://www.ncbi.nlm.nih.gov/protein/WP_305843082.1?report=genbank&amp;log$=prottop&amp;blast_rank=235&amp;RID=8XN3MCU5013","WP_305843082.1")</f>
        <v>WP_305843082.1</v>
      </c>
    </row>
    <row r="47" spans="1:5">
      <c r="A47" s="4" t="s">
        <v>15</v>
      </c>
      <c r="B47" s="9">
        <v>0.97</v>
      </c>
      <c r="C47" s="10">
        <v>6.0000000000000003E-93</v>
      </c>
      <c r="D47" s="5">
        <v>65.88</v>
      </c>
      <c r="E47" s="11" t="str">
        <f>HYPERLINK("https://www.ncbi.nlm.nih.gov/protein/HBC3548905.1?report=genbank&amp;log$=prottop&amp;blast_rank=93&amp;RID=8XN3MCU5013","HBC3548905.1")</f>
        <v>HBC3548905.1</v>
      </c>
    </row>
    <row r="48" spans="1:5">
      <c r="A48" s="4" t="s">
        <v>15</v>
      </c>
      <c r="B48" s="9">
        <v>1</v>
      </c>
      <c r="C48" s="10">
        <v>4.0000000000000001E-97</v>
      </c>
      <c r="D48" s="5">
        <v>65.709999999999994</v>
      </c>
      <c r="E48" s="11" t="str">
        <f>HYPERLINK("https://www.ncbi.nlm.nih.gov/protein/EGQ8109198.1?report=genbank&amp;log$=prottop&amp;blast_rank=48&amp;RID=8XN3MCU5013","EGQ8109198.1")</f>
        <v>EGQ8109198.1</v>
      </c>
    </row>
    <row r="49" spans="1:5">
      <c r="A49" s="4" t="s">
        <v>15</v>
      </c>
      <c r="B49" s="9">
        <v>0.97</v>
      </c>
      <c r="C49" s="10">
        <v>2E-92</v>
      </c>
      <c r="D49" s="5">
        <v>65.290000000000006</v>
      </c>
      <c r="E49" s="11" t="str">
        <f>HYPERLINK("https://www.ncbi.nlm.nih.gov/protein/WP_180710373.1?report=genbank&amp;log$=prottop&amp;blast_rank=99&amp;RID=8XN3MCU5013","WP_180710373.1")</f>
        <v>WP_180710373.1</v>
      </c>
    </row>
    <row r="50" spans="1:5">
      <c r="A50" s="4" t="s">
        <v>15</v>
      </c>
      <c r="B50" s="9">
        <v>1</v>
      </c>
      <c r="C50" s="10">
        <v>6.9999999999999994E-95</v>
      </c>
      <c r="D50" s="5">
        <v>65.14</v>
      </c>
      <c r="E50" s="11" t="str">
        <f>HYPERLINK("https://www.ncbi.nlm.nih.gov/protein/TOA45051.1?report=genbank&amp;log$=prottop&amp;blast_rank=72&amp;RID=8XN3MCU5013","TOA45051.1")</f>
        <v>TOA45051.1</v>
      </c>
    </row>
    <row r="51" spans="1:5">
      <c r="A51" s="4" t="s">
        <v>250</v>
      </c>
      <c r="B51" s="9">
        <v>0.93</v>
      </c>
      <c r="C51" s="10">
        <v>6.0000000000000001E-99</v>
      </c>
      <c r="D51" s="5">
        <v>64.02</v>
      </c>
      <c r="E51" s="11" t="str">
        <f>HYPERLINK("https://www.ncbi.nlm.nih.gov/protein/WP_339475243.1?report=genbank&amp;log$=prottop&amp;blast_rank=41&amp;RID=8XN3MCU5013","WP_339475243.1")</f>
        <v>WP_339475243.1</v>
      </c>
    </row>
    <row r="52" spans="1:5">
      <c r="A52" s="4" t="s">
        <v>255</v>
      </c>
      <c r="B52" s="9">
        <v>0.97</v>
      </c>
      <c r="C52" s="10">
        <v>3.0000000000000002E-97</v>
      </c>
      <c r="D52" s="5">
        <v>63.53</v>
      </c>
      <c r="E52" s="11" t="str">
        <f>HYPERLINK("https://www.ncbi.nlm.nih.gov/protein/WP_303498361.1?report=genbank&amp;log$=prottop&amp;blast_rank=46&amp;RID=8XN3MCU5013","WP_303498361.1")</f>
        <v>WP_303498361.1</v>
      </c>
    </row>
    <row r="53" spans="1:5">
      <c r="A53" s="4" t="s">
        <v>247</v>
      </c>
      <c r="B53" s="9">
        <v>0.97</v>
      </c>
      <c r="C53" s="10">
        <v>5.0000000000000001E-100</v>
      </c>
      <c r="D53" s="5">
        <v>61.99</v>
      </c>
      <c r="E53" s="11" t="str">
        <f>HYPERLINK("https://www.ncbi.nlm.nih.gov/protein/WP_332504739.1?report=genbank&amp;log$=prottop&amp;blast_rank=37&amp;RID=8XN3MCU5013","WP_332504739.1")</f>
        <v>WP_332504739.1</v>
      </c>
    </row>
    <row r="54" spans="1:5">
      <c r="A54" s="4" t="s">
        <v>248</v>
      </c>
      <c r="B54" s="9">
        <v>0.97</v>
      </c>
      <c r="C54" s="10">
        <v>4.0000000000000001E-99</v>
      </c>
      <c r="D54" s="5">
        <v>61.4</v>
      </c>
      <c r="E54" s="11" t="str">
        <f>HYPERLINK("https://www.ncbi.nlm.nih.gov/protein/WP_071984541.1?report=genbank&amp;log$=prottop&amp;blast_rank=39&amp;RID=8XN3MCU5013","WP_071984541.1")</f>
        <v>WP_071984541.1</v>
      </c>
    </row>
    <row r="55" spans="1:5">
      <c r="A55" s="4" t="s">
        <v>246</v>
      </c>
      <c r="B55" s="9">
        <v>0.97</v>
      </c>
      <c r="C55" s="10">
        <v>2.0000000000000001E-101</v>
      </c>
      <c r="D55" s="5">
        <v>61.18</v>
      </c>
      <c r="E55" s="11" t="str">
        <f>HYPERLINK("https://www.ncbi.nlm.nih.gov/protein/DAE39908.1?report=genbank&amp;log$=prottop&amp;blast_rank=35&amp;RID=8XN3MCU5013","DAE39908.1")</f>
        <v>DAE39908.1</v>
      </c>
    </row>
    <row r="56" spans="1:5">
      <c r="A56" s="4" t="s">
        <v>263</v>
      </c>
      <c r="B56" s="9">
        <v>0.97</v>
      </c>
      <c r="C56" s="10">
        <v>6.0000000000000003E-96</v>
      </c>
      <c r="D56" s="5">
        <v>60.82</v>
      </c>
      <c r="E56" s="11" t="str">
        <f>HYPERLINK("https://www.ncbi.nlm.nih.gov/protein/WP_252088718.1?report=genbank&amp;log$=prottop&amp;blast_rank=56&amp;RID=8XN3MCU5013","WP_252088718.1")</f>
        <v>WP_252088718.1</v>
      </c>
    </row>
    <row r="57" spans="1:5">
      <c r="A57" s="4" t="s">
        <v>258</v>
      </c>
      <c r="B57" s="9">
        <v>0.96</v>
      </c>
      <c r="C57" s="10">
        <v>9.9999999999999991E-97</v>
      </c>
      <c r="D57" s="5">
        <v>59.17</v>
      </c>
      <c r="E57" s="11" t="str">
        <f>HYPERLINK("https://www.ncbi.nlm.nih.gov/protein/WP_232866630.1?report=genbank&amp;log$=prottop&amp;blast_rank=50&amp;RID=8XN3MCU5013","WP_232866630.1")</f>
        <v>WP_232866630.1</v>
      </c>
    </row>
    <row r="58" spans="1:5">
      <c r="A58" s="4" t="s">
        <v>251</v>
      </c>
      <c r="B58" s="9">
        <v>0.97</v>
      </c>
      <c r="C58" s="10">
        <v>9.9999999999999994E-99</v>
      </c>
      <c r="D58" s="5">
        <v>59.06</v>
      </c>
      <c r="E58" s="11" t="str">
        <f>HYPERLINK("https://www.ncbi.nlm.nih.gov/protein/WP_336353008.1?report=genbank&amp;log$=prottop&amp;blast_rank=42&amp;RID=8XN3MCU5013","WP_336353008.1")</f>
        <v>WP_336353008.1</v>
      </c>
    </row>
    <row r="59" spans="1:5">
      <c r="A59" s="4" t="s">
        <v>260</v>
      </c>
      <c r="B59" s="9">
        <v>0.97</v>
      </c>
      <c r="C59" s="10">
        <v>1.9999999999999998E-96</v>
      </c>
      <c r="D59" s="5">
        <v>59.06</v>
      </c>
      <c r="E59" s="11" t="str">
        <f>HYPERLINK("https://www.ncbi.nlm.nih.gov/protein/WP_177015865.1?report=genbank&amp;log$=prottop&amp;blast_rank=52&amp;RID=8XN3MCU5013","WP_177015865.1")</f>
        <v>WP_177015865.1</v>
      </c>
    </row>
    <row r="60" spans="1:5">
      <c r="A60" s="4" t="s">
        <v>270</v>
      </c>
      <c r="B60" s="9">
        <v>0.97</v>
      </c>
      <c r="C60" s="10">
        <v>3.0000000000000001E-95</v>
      </c>
      <c r="D60" s="5">
        <v>59.06</v>
      </c>
      <c r="E60" s="11" t="str">
        <f>HYPERLINK("https://www.ncbi.nlm.nih.gov/protein/WP_060752940.1?report=genbank&amp;log$=prottop&amp;blast_rank=65&amp;RID=8XN3MCU5013","WP_060752940.1")</f>
        <v>WP_060752940.1</v>
      </c>
    </row>
    <row r="61" spans="1:5">
      <c r="A61" s="4" t="s">
        <v>279</v>
      </c>
      <c r="B61" s="9">
        <v>0.95</v>
      </c>
      <c r="C61" s="10">
        <v>3.0000000000000001E-93</v>
      </c>
      <c r="D61" s="5">
        <v>57.99</v>
      </c>
      <c r="E61" s="11" t="str">
        <f>HYPERLINK("https://www.ncbi.nlm.nih.gov/protein/WP_080374731.1?report=genbank&amp;log$=prottop&amp;blast_rank=89&amp;RID=8XN3MCU5013","WP_080374731.1")</f>
        <v>WP_080374731.1</v>
      </c>
    </row>
    <row r="62" spans="1:5">
      <c r="A62" s="4" t="s">
        <v>279</v>
      </c>
      <c r="B62" s="9">
        <v>0.95</v>
      </c>
      <c r="C62" s="10">
        <v>3.9999999999999996E-93</v>
      </c>
      <c r="D62" s="5">
        <v>57.99</v>
      </c>
      <c r="E62" s="11" t="str">
        <f>HYPERLINK("https://www.ncbi.nlm.nih.gov/protein/WP_206536376.1?report=genbank&amp;log$=prottop&amp;blast_rank=91&amp;RID=8XN3MCU5013","WP_206536376.1")</f>
        <v>WP_206536376.1</v>
      </c>
    </row>
    <row r="63" spans="1:5">
      <c r="A63" s="4" t="s">
        <v>254</v>
      </c>
      <c r="B63" s="9">
        <v>0.97</v>
      </c>
      <c r="C63" s="10">
        <v>2.0000000000000001E-97</v>
      </c>
      <c r="D63" s="5">
        <v>57.89</v>
      </c>
      <c r="E63" s="11" t="str">
        <f>HYPERLINK("https://www.ncbi.nlm.nih.gov/protein/WP_092713854.1?report=genbank&amp;log$=prottop&amp;blast_rank=45&amp;RID=8XN3MCU5013","WP_092713854.1")</f>
        <v>WP_092713854.1</v>
      </c>
    </row>
    <row r="64" spans="1:5">
      <c r="A64" s="4" t="s">
        <v>245</v>
      </c>
      <c r="B64" s="9">
        <v>0.97</v>
      </c>
      <c r="C64" s="10">
        <v>2.0000000000000001E-101</v>
      </c>
      <c r="D64" s="5">
        <v>57.31</v>
      </c>
      <c r="E64" s="11" t="str">
        <f>HYPERLINK("https://www.ncbi.nlm.nih.gov/protein/WP_301797079.1?report=genbank&amp;log$=prottop&amp;blast_rank=34&amp;RID=8XN3MCU5013","WP_301797079.1")</f>
        <v>WP_301797079.1</v>
      </c>
    </row>
    <row r="65" spans="1:5">
      <c r="A65" s="4" t="s">
        <v>252</v>
      </c>
      <c r="B65" s="9">
        <v>0.97</v>
      </c>
      <c r="C65" s="10">
        <v>3.9999999999999998E-98</v>
      </c>
      <c r="D65" s="5">
        <v>57.31</v>
      </c>
      <c r="E65" s="11" t="str">
        <f>HYPERLINK("https://www.ncbi.nlm.nih.gov/protein/WP_169922065.1?report=genbank&amp;log$=prottop&amp;blast_rank=43&amp;RID=8XN3MCU5013","WP_169922065.1")</f>
        <v>WP_169922065.1</v>
      </c>
    </row>
    <row r="66" spans="1:5">
      <c r="A66" s="4" t="s">
        <v>253</v>
      </c>
      <c r="B66" s="9">
        <v>0.97</v>
      </c>
      <c r="C66" s="10">
        <v>1E-97</v>
      </c>
      <c r="D66" s="5">
        <v>57.31</v>
      </c>
      <c r="E66" s="11" t="str">
        <f>HYPERLINK("https://www.ncbi.nlm.nih.gov/protein/WP_178964904.1?report=genbank&amp;log$=prottop&amp;blast_rank=44&amp;RID=8XN3MCU5013","WP_178964904.1")</f>
        <v>WP_178964904.1</v>
      </c>
    </row>
    <row r="67" spans="1:5">
      <c r="A67" s="4" t="s">
        <v>276</v>
      </c>
      <c r="B67" s="9">
        <v>0.97</v>
      </c>
      <c r="C67" s="10">
        <v>7E-94</v>
      </c>
      <c r="D67" s="5">
        <v>57.31</v>
      </c>
      <c r="E67" s="11" t="str">
        <f>HYPERLINK("https://www.ncbi.nlm.nih.gov/protein/WP_313629851.1?report=genbank&amp;log$=prottop&amp;blast_rank=82&amp;RID=8XN3MCU5013","WP_313629851.1")</f>
        <v>WP_313629851.1</v>
      </c>
    </row>
    <row r="68" spans="1:5">
      <c r="A68" s="4" t="s">
        <v>451</v>
      </c>
      <c r="B68" s="9">
        <v>0.69</v>
      </c>
      <c r="C68" s="10">
        <v>9.9999999999999994E-68</v>
      </c>
      <c r="D68" s="5">
        <v>56.2</v>
      </c>
      <c r="E68" s="11" t="str">
        <f>HYPERLINK("https://www.ncbi.nlm.nih.gov/protein/HEX7109283.1?report=genbank&amp;log$=prottop&amp;blast_rank=415&amp;RID=8XN3MCU5013","HEX7109283.1")</f>
        <v>HEX7109283.1</v>
      </c>
    </row>
    <row r="69" spans="1:5">
      <c r="A69" s="4" t="s">
        <v>264</v>
      </c>
      <c r="B69" s="9">
        <v>0.96</v>
      </c>
      <c r="C69" s="10">
        <v>6.0000000000000003E-96</v>
      </c>
      <c r="D69" s="5">
        <v>55.88</v>
      </c>
      <c r="E69" s="11" t="str">
        <f>HYPERLINK("https://www.ncbi.nlm.nih.gov/protein/MBT6052885.1?report=genbank&amp;log$=prottop&amp;blast_rank=57&amp;RID=8XN3MCU5013","MBT6052885.1")</f>
        <v>MBT6052885.1</v>
      </c>
    </row>
    <row r="70" spans="1:5">
      <c r="A70" s="4" t="s">
        <v>249</v>
      </c>
      <c r="B70" s="9">
        <v>0.97</v>
      </c>
      <c r="C70" s="10">
        <v>4.0000000000000001E-99</v>
      </c>
      <c r="D70" s="5">
        <v>54.97</v>
      </c>
      <c r="E70" s="11" t="str">
        <f>HYPERLINK("https://www.ncbi.nlm.nih.gov/protein/WP_241331235.1?report=genbank&amp;log$=prottop&amp;blast_rank=40&amp;RID=8XN3MCU5013","WP_241331235.1")</f>
        <v>WP_241331235.1</v>
      </c>
    </row>
    <row r="71" spans="1:5">
      <c r="A71" s="4" t="s">
        <v>278</v>
      </c>
      <c r="B71" s="9">
        <v>0.96</v>
      </c>
      <c r="C71" s="10">
        <v>9.999999999999999E-94</v>
      </c>
      <c r="D71" s="5">
        <v>54.44</v>
      </c>
      <c r="E71" s="11" t="str">
        <f>HYPERLINK("https://www.ncbi.nlm.nih.gov/protein/WP_150721682.1?report=genbank&amp;log$=prottop&amp;blast_rank=84&amp;RID=8XN3MCU5013","WP_150721682.1")</f>
        <v>WP_150721682.1</v>
      </c>
    </row>
    <row r="72" spans="1:5">
      <c r="A72" s="4" t="s">
        <v>272</v>
      </c>
      <c r="B72" s="9">
        <v>0.97</v>
      </c>
      <c r="C72" s="10">
        <v>6.0000000000000003E-95</v>
      </c>
      <c r="D72" s="5">
        <v>52.02</v>
      </c>
      <c r="E72" s="11" t="str">
        <f>HYPERLINK("https://www.ncbi.nlm.nih.gov/protein/MCH7500854.1?report=genbank&amp;log$=prottop&amp;blast_rank=69&amp;RID=8XN3MCU5013","MCH7500854.1")</f>
        <v>MCH7500854.1</v>
      </c>
    </row>
    <row r="73" spans="1:5">
      <c r="A73" s="4" t="s">
        <v>257</v>
      </c>
      <c r="B73" s="9">
        <v>1</v>
      </c>
      <c r="C73" s="10">
        <v>9.0000000000000002E-97</v>
      </c>
      <c r="D73" s="5">
        <v>50.86</v>
      </c>
      <c r="E73" s="11" t="str">
        <f>HYPERLINK("https://www.ncbi.nlm.nih.gov/protein/WP_214783197.1?report=genbank&amp;log$=prottop&amp;blast_rank=49&amp;RID=8XN3MCU5013","WP_214783197.1")</f>
        <v>WP_214783197.1</v>
      </c>
    </row>
    <row r="74" spans="1:5">
      <c r="A74" s="4" t="s">
        <v>353</v>
      </c>
      <c r="B74" s="9">
        <v>0.94</v>
      </c>
      <c r="C74" s="10">
        <v>8E-79</v>
      </c>
      <c r="D74" s="5">
        <v>50.6</v>
      </c>
      <c r="E74" s="11" t="str">
        <f>HYPERLINK("https://www.ncbi.nlm.nih.gov/protein/WP_169856450.1?report=genbank&amp;log$=prottop&amp;blast_rank=226&amp;RID=8XN3MCU5013","WP_169856450.1")</f>
        <v>WP_169856450.1</v>
      </c>
    </row>
    <row r="75" spans="1:5">
      <c r="A75" s="4" t="s">
        <v>322</v>
      </c>
      <c r="B75" s="9">
        <v>0.97</v>
      </c>
      <c r="C75" s="10">
        <v>4.0000000000000001E-84</v>
      </c>
      <c r="D75" s="5">
        <v>50.29</v>
      </c>
      <c r="E75" s="11" t="str">
        <f>HYPERLINK("https://www.ncbi.nlm.nih.gov/protein/MEE4883835.1?report=genbank&amp;log$=prottop&amp;blast_rank=185&amp;RID=8XN3MCU5013","MEE4883835.1")</f>
        <v>MEE4883835.1</v>
      </c>
    </row>
    <row r="76" spans="1:5">
      <c r="A76" s="4" t="s">
        <v>238</v>
      </c>
      <c r="B76" s="9">
        <v>0.94</v>
      </c>
      <c r="C76" s="10">
        <v>4.0000000000000002E-89</v>
      </c>
      <c r="D76" s="5">
        <v>50</v>
      </c>
      <c r="E76" s="11" t="str">
        <f>HYPERLINK("https://www.ncbi.nlm.nih.gov/protein/ELE6598518.1?report=genbank&amp;log$=prottop&amp;blast_rank=134&amp;RID=8XN3MCU5013","ELE6598518.1")</f>
        <v>ELE6598518.1</v>
      </c>
    </row>
    <row r="77" spans="1:5">
      <c r="A77" s="4" t="s">
        <v>327</v>
      </c>
      <c r="B77" s="9">
        <v>0.93</v>
      </c>
      <c r="C77" s="10">
        <v>1E-83</v>
      </c>
      <c r="D77" s="5">
        <v>50</v>
      </c>
      <c r="E77" s="11" t="str">
        <f>HYPERLINK("https://www.ncbi.nlm.nih.gov/protein/HVS27670.1?report=genbank&amp;log$=prottop&amp;blast_rank=191&amp;RID=8XN3MCU5013","HVS27670.1")</f>
        <v>HVS27670.1</v>
      </c>
    </row>
    <row r="78" spans="1:5">
      <c r="A78" s="4" t="s">
        <v>330</v>
      </c>
      <c r="B78" s="9">
        <v>0.96</v>
      </c>
      <c r="C78" s="10">
        <v>3.0000000000000001E-83</v>
      </c>
      <c r="D78" s="5">
        <v>49.7</v>
      </c>
      <c r="E78" s="11" t="str">
        <f>HYPERLINK("https://www.ncbi.nlm.nih.gov/protein/WP_160416960.1?report=genbank&amp;log$=prottop&amp;blast_rank=194&amp;RID=8XN3MCU5013","WP_160416960.1")</f>
        <v>WP_160416960.1</v>
      </c>
    </row>
    <row r="79" spans="1:5">
      <c r="A79" s="4" t="s">
        <v>302</v>
      </c>
      <c r="B79" s="9">
        <v>0.96</v>
      </c>
      <c r="C79" s="10">
        <v>1E-87</v>
      </c>
      <c r="D79" s="5">
        <v>48.82</v>
      </c>
      <c r="E79" s="11" t="str">
        <f>HYPERLINK("https://www.ncbi.nlm.nih.gov/protein/WP_137055232.1?report=genbank&amp;log$=prottop&amp;blast_rank=147&amp;RID=8XN3MCU5013","WP_137055232.1")</f>
        <v>WP_137055232.1</v>
      </c>
    </row>
    <row r="80" spans="1:5">
      <c r="A80" s="4" t="s">
        <v>348</v>
      </c>
      <c r="B80" s="9">
        <v>0.96</v>
      </c>
      <c r="C80" s="10">
        <v>4E-79</v>
      </c>
      <c r="D80" s="5">
        <v>48.82</v>
      </c>
      <c r="E80" s="11" t="str">
        <f>HYPERLINK("https://www.ncbi.nlm.nih.gov/protein/WP_192837904.1?report=genbank&amp;log$=prottop&amp;blast_rank=220&amp;RID=8XN3MCU5013","WP_192837904.1")</f>
        <v>WP_192837904.1</v>
      </c>
    </row>
    <row r="81" spans="1:5">
      <c r="A81" s="4" t="s">
        <v>363</v>
      </c>
      <c r="B81" s="9">
        <v>0.96</v>
      </c>
      <c r="C81" s="10">
        <v>5.9999999999999998E-78</v>
      </c>
      <c r="D81" s="5">
        <v>48.82</v>
      </c>
      <c r="E81" s="11" t="str">
        <f>HYPERLINK("https://www.ncbi.nlm.nih.gov/protein/WP_289863121.1?report=genbank&amp;log$=prottop&amp;blast_rank=240&amp;RID=8XN3MCU5013","WP_289863121.1")</f>
        <v>WP_289863121.1</v>
      </c>
    </row>
    <row r="82" spans="1:5">
      <c r="A82" s="4" t="s">
        <v>385</v>
      </c>
      <c r="B82" s="9">
        <v>0.96</v>
      </c>
      <c r="C82" s="10">
        <v>3.9999999999999998E-75</v>
      </c>
      <c r="D82" s="5">
        <v>48.82</v>
      </c>
      <c r="E82" s="11" t="str">
        <f>HYPERLINK("https://www.ncbi.nlm.nih.gov/protein/WP_157109487.1?report=genbank&amp;log$=prottop&amp;blast_rank=269&amp;RID=8XN3MCU5013","WP_157109487.1")</f>
        <v>WP_157109487.1</v>
      </c>
    </row>
    <row r="83" spans="1:5">
      <c r="A83" s="4" t="s">
        <v>305</v>
      </c>
      <c r="B83" s="9">
        <v>0.95</v>
      </c>
      <c r="C83" s="10">
        <v>3.0000000000000002E-87</v>
      </c>
      <c r="D83" s="5">
        <v>48.81</v>
      </c>
      <c r="E83" s="11" t="str">
        <f>HYPERLINK("https://www.ncbi.nlm.nih.gov/protein/WP_212686037.1?report=genbank&amp;log$=prottop&amp;blast_rank=151&amp;RID=8XN3MCU5013","WP_212686037.1")</f>
        <v>WP_212686037.1</v>
      </c>
    </row>
    <row r="84" spans="1:5">
      <c r="A84" s="4" t="s">
        <v>354</v>
      </c>
      <c r="B84" s="9">
        <v>0.94</v>
      </c>
      <c r="C84" s="10">
        <v>8E-79</v>
      </c>
      <c r="D84" s="5">
        <v>48.8</v>
      </c>
      <c r="E84" s="11" t="str">
        <f>HYPERLINK("https://www.ncbi.nlm.nih.gov/protein/WP_320135283.1?report=genbank&amp;log$=prottop&amp;blast_rank=227&amp;RID=8XN3MCU5013","WP_320135283.1")</f>
        <v>WP_320135283.1</v>
      </c>
    </row>
    <row r="85" spans="1:5">
      <c r="A85" s="4" t="s">
        <v>322</v>
      </c>
      <c r="B85" s="9">
        <v>0.86</v>
      </c>
      <c r="C85" s="10">
        <v>1.9999999999999998E-71</v>
      </c>
      <c r="D85" s="5">
        <v>48.68</v>
      </c>
      <c r="E85" s="11" t="str">
        <f>HYPERLINK("https://www.ncbi.nlm.nih.gov/protein/MEE4732755.1?report=genbank&amp;log$=prottop&amp;blast_rank=350&amp;RID=8XN3MCU5013","MEE4732755.1")</f>
        <v>MEE4732755.1</v>
      </c>
    </row>
    <row r="86" spans="1:5">
      <c r="A86" s="4" t="s">
        <v>261</v>
      </c>
      <c r="B86" s="9">
        <v>1</v>
      </c>
      <c r="C86" s="10">
        <v>3.0000000000000001E-96</v>
      </c>
      <c r="D86" s="5">
        <v>48.57</v>
      </c>
      <c r="E86" s="11" t="str">
        <f>HYPERLINK("https://www.ncbi.nlm.nih.gov/protein/WP_214795134.1?report=genbank&amp;log$=prottop&amp;blast_rank=53&amp;RID=8XN3MCU5013","WP_214795134.1")</f>
        <v>WP_214795134.1</v>
      </c>
    </row>
    <row r="87" spans="1:5">
      <c r="A87" s="4" t="s">
        <v>376</v>
      </c>
      <c r="B87" s="9">
        <v>0.96</v>
      </c>
      <c r="C87" s="10">
        <v>4.9999999999999998E-76</v>
      </c>
      <c r="D87" s="5">
        <v>48.24</v>
      </c>
      <c r="E87" s="11" t="str">
        <f>HYPERLINK("https://www.ncbi.nlm.nih.gov/protein/WP_271301985.1?report=genbank&amp;log$=prottop&amp;blast_rank=258&amp;RID=8XN3MCU5013","WP_271301985.1")</f>
        <v>WP_271301985.1</v>
      </c>
    </row>
    <row r="88" spans="1:5">
      <c r="A88" s="4" t="s">
        <v>258</v>
      </c>
      <c r="B88" s="9">
        <v>0.94</v>
      </c>
      <c r="C88" s="10">
        <v>9.9999999999999993E-77</v>
      </c>
      <c r="D88" s="5">
        <v>48.19</v>
      </c>
      <c r="E88" s="11" t="str">
        <f>HYPERLINK("https://www.ncbi.nlm.nih.gov/protein/WP_338799518.1?report=genbank&amp;log$=prottop&amp;blast_rank=250&amp;RID=8XN3MCU5013","WP_338799518.1")</f>
        <v>WP_338799518.1</v>
      </c>
    </row>
    <row r="89" spans="1:5">
      <c r="A89" s="4" t="s">
        <v>280</v>
      </c>
      <c r="B89" s="9">
        <v>0.92</v>
      </c>
      <c r="C89" s="10">
        <v>6.0000000000000003E-92</v>
      </c>
      <c r="D89" s="5">
        <v>47.85</v>
      </c>
      <c r="E89" s="11" t="str">
        <f>HYPERLINK("https://www.ncbi.nlm.nih.gov/protein/EFN4619248.1?report=genbank&amp;log$=prottop&amp;blast_rank=105&amp;RID=8XN3MCU5013","EFN4619248.1")</f>
        <v>EFN4619248.1</v>
      </c>
    </row>
    <row r="90" spans="1:5">
      <c r="A90" s="4" t="s">
        <v>280</v>
      </c>
      <c r="B90" s="9">
        <v>0.92</v>
      </c>
      <c r="C90" s="10">
        <v>7.9999999999999999E-92</v>
      </c>
      <c r="D90" s="5">
        <v>47.85</v>
      </c>
      <c r="E90" s="11" t="str">
        <f>HYPERLINK("https://www.ncbi.nlm.nih.gov/protein/EHA3035671.1?report=genbank&amp;log$=prottop&amp;blast_rank=106&amp;RID=8XN3MCU5013","EHA3035671.1")</f>
        <v>EHA3035671.1</v>
      </c>
    </row>
    <row r="91" spans="1:5">
      <c r="A91" s="4" t="s">
        <v>300</v>
      </c>
      <c r="B91" s="9">
        <v>0.92</v>
      </c>
      <c r="C91" s="10">
        <v>3.9999999999999997E-88</v>
      </c>
      <c r="D91" s="5">
        <v>47.83</v>
      </c>
      <c r="E91" s="11" t="str">
        <f>HYPERLINK("https://www.ncbi.nlm.nih.gov/protein/WP_107692939.1?report=genbank&amp;log$=prottop&amp;blast_rank=143&amp;RID=8XN3MCU5013","WP_107692939.1")</f>
        <v>WP_107692939.1</v>
      </c>
    </row>
    <row r="92" spans="1:5">
      <c r="A92" s="4" t="s">
        <v>303</v>
      </c>
      <c r="B92" s="9">
        <v>0.92</v>
      </c>
      <c r="C92" s="10">
        <v>2E-87</v>
      </c>
      <c r="D92" s="5">
        <v>47.83</v>
      </c>
      <c r="E92" s="11" t="str">
        <f>HYPERLINK("https://www.ncbi.nlm.nih.gov/protein/WP_091138836.1?report=genbank&amp;log$=prottop&amp;blast_rank=148&amp;RID=8XN3MCU5013","WP_091138836.1")</f>
        <v>WP_091138836.1</v>
      </c>
    </row>
    <row r="93" spans="1:5">
      <c r="A93" s="4" t="s">
        <v>280</v>
      </c>
      <c r="B93" s="9">
        <v>0.77</v>
      </c>
      <c r="C93" s="10">
        <v>3.0000000000000002E-76</v>
      </c>
      <c r="D93" s="5">
        <v>47.79</v>
      </c>
      <c r="E93" s="11" t="str">
        <f>HYPERLINK("https://www.ncbi.nlm.nih.gov/protein/EFJ2192505.1?report=genbank&amp;log$=prottop&amp;blast_rank=253&amp;RID=8XN3MCU5013","EFJ2192505.1")</f>
        <v>EFJ2192505.1</v>
      </c>
    </row>
    <row r="94" spans="1:5">
      <c r="A94" s="4" t="s">
        <v>359</v>
      </c>
      <c r="B94" s="9">
        <v>0.94</v>
      </c>
      <c r="C94" s="10">
        <v>2.9999999999999999E-78</v>
      </c>
      <c r="D94" s="5">
        <v>47.59</v>
      </c>
      <c r="E94" s="11" t="str">
        <f>HYPERLINK("https://www.ncbi.nlm.nih.gov/protein/WP_220492733.1?report=genbank&amp;log$=prottop&amp;blast_rank=233&amp;RID=8XN3MCU5013","WP_220492733.1")</f>
        <v>WP_220492733.1</v>
      </c>
    </row>
    <row r="95" spans="1:5">
      <c r="A95" s="4" t="s">
        <v>374</v>
      </c>
      <c r="B95" s="9">
        <v>0.94</v>
      </c>
      <c r="C95" s="10">
        <v>3.9999999999999997E-76</v>
      </c>
      <c r="D95" s="5">
        <v>47.59</v>
      </c>
      <c r="E95" s="11" t="str">
        <f>HYPERLINK("https://www.ncbi.nlm.nih.gov/protein/WP_157133222.1?report=genbank&amp;log$=prottop&amp;blast_rank=256&amp;RID=8XN3MCU5013","WP_157133222.1")</f>
        <v>WP_157133222.1</v>
      </c>
    </row>
    <row r="96" spans="1:5">
      <c r="A96" s="4" t="s">
        <v>315</v>
      </c>
      <c r="B96" s="9">
        <v>0.97</v>
      </c>
      <c r="C96" s="10">
        <v>1E-84</v>
      </c>
      <c r="D96" s="5">
        <v>47.37</v>
      </c>
      <c r="E96" s="11" t="str">
        <f>HYPERLINK("https://www.ncbi.nlm.nih.gov/protein/WP_247620376.1?report=genbank&amp;log$=prottop&amp;blast_rank=175&amp;RID=8XN3MCU5013","WP_247620376.1")</f>
        <v>WP_247620376.1</v>
      </c>
    </row>
    <row r="97" spans="1:5">
      <c r="A97" s="4" t="s">
        <v>292</v>
      </c>
      <c r="B97" s="9">
        <v>0.92</v>
      </c>
      <c r="C97" s="10">
        <v>9.0000000000000002E-90</v>
      </c>
      <c r="D97" s="5">
        <v>47.24</v>
      </c>
      <c r="E97" s="11" t="str">
        <f>HYPERLINK("https://www.ncbi.nlm.nih.gov/protein/WP_135911947.1?report=genbank&amp;log$=prottop&amp;blast_rank=124&amp;RID=8XN3MCU5013","WP_135911947.1")</f>
        <v>WP_135911947.1</v>
      </c>
    </row>
    <row r="98" spans="1:5">
      <c r="A98" s="4" t="s">
        <v>359</v>
      </c>
      <c r="B98" s="9">
        <v>0.9</v>
      </c>
      <c r="C98" s="10">
        <v>1.9999999999999999E-72</v>
      </c>
      <c r="D98" s="5">
        <v>46.84</v>
      </c>
      <c r="E98" s="11" t="str">
        <f>HYPERLINK("https://www.ncbi.nlm.nih.gov/protein/MBB1477374.1?report=genbank&amp;log$=prottop&amp;blast_rank=315&amp;RID=8XN3MCU5013","MBB1477374.1")</f>
        <v>MBB1477374.1</v>
      </c>
    </row>
    <row r="99" spans="1:5">
      <c r="A99" s="4" t="s">
        <v>374</v>
      </c>
      <c r="B99" s="9">
        <v>0.9</v>
      </c>
      <c r="C99" s="10">
        <v>2E-70</v>
      </c>
      <c r="D99" s="5">
        <v>46.84</v>
      </c>
      <c r="E99" s="11" t="str">
        <f>HYPERLINK("https://www.ncbi.nlm.nih.gov/protein/EBA01316.1?report=genbank&amp;log$=prottop&amp;blast_rank=371&amp;RID=8XN3MCU5013","EBA01316.1")</f>
        <v>EBA01316.1</v>
      </c>
    </row>
    <row r="100" spans="1:5">
      <c r="A100" s="4" t="s">
        <v>309</v>
      </c>
      <c r="B100" s="9">
        <v>0.98</v>
      </c>
      <c r="C100" s="10">
        <v>1.0000000000000001E-86</v>
      </c>
      <c r="D100" s="5">
        <v>46.55</v>
      </c>
      <c r="E100" s="11" t="str">
        <f>HYPERLINK("https://www.ncbi.nlm.nih.gov/protein/MCK4794700.1?report=genbank&amp;log$=prottop&amp;blast_rank=160&amp;RID=8XN3MCU5013","MCK4794700.1")</f>
        <v>MCK4794700.1</v>
      </c>
    </row>
    <row r="101" spans="1:5">
      <c r="A101" s="4" t="s">
        <v>289</v>
      </c>
      <c r="B101" s="9">
        <v>0.94</v>
      </c>
      <c r="C101" s="10">
        <v>8.0000000000000002E-91</v>
      </c>
      <c r="D101" s="5">
        <v>46.39</v>
      </c>
      <c r="E101" s="11" t="str">
        <f>HYPERLINK("https://www.ncbi.nlm.nih.gov/protein/WP_089140199.1?report=genbank&amp;log$=prottop&amp;blast_rank=116&amp;RID=8XN3MCU5013","WP_089140199.1")</f>
        <v>WP_089140199.1</v>
      </c>
    </row>
    <row r="102" spans="1:5">
      <c r="A102" s="4" t="s">
        <v>377</v>
      </c>
      <c r="B102" s="9">
        <v>0.93</v>
      </c>
      <c r="C102" s="10">
        <v>6.9999999999999999E-76</v>
      </c>
      <c r="D102" s="5">
        <v>46.11</v>
      </c>
      <c r="E102" s="11" t="str">
        <f>HYPERLINK("https://www.ncbi.nlm.nih.gov/protein/WP_128243147.1?report=genbank&amp;log$=prottop&amp;blast_rank=259&amp;RID=8XN3MCU5013","WP_128243147.1")</f>
        <v>WP_128243147.1</v>
      </c>
    </row>
    <row r="103" spans="1:5">
      <c r="A103" s="4" t="s">
        <v>390</v>
      </c>
      <c r="B103" s="9">
        <v>0.93</v>
      </c>
      <c r="C103" s="10">
        <v>9.9999999999999996E-75</v>
      </c>
      <c r="D103" s="5">
        <v>46.11</v>
      </c>
      <c r="E103" s="11" t="str">
        <f>HYPERLINK("https://www.ncbi.nlm.nih.gov/protein/WP_292706277.1?report=genbank&amp;log$=prottop&amp;blast_rank=276&amp;RID=8XN3MCU5013","WP_292706277.1")</f>
        <v>WP_292706277.1</v>
      </c>
    </row>
    <row r="104" spans="1:5">
      <c r="A104" s="4" t="s">
        <v>377</v>
      </c>
      <c r="B104" s="9">
        <v>0.93</v>
      </c>
      <c r="C104" s="10">
        <v>3.0000000000000001E-74</v>
      </c>
      <c r="D104" s="5">
        <v>46.11</v>
      </c>
      <c r="E104" s="11" t="str">
        <f>HYPERLINK("https://www.ncbi.nlm.nih.gov/protein/WP_126105918.1?report=genbank&amp;log$=prottop&amp;blast_rank=282&amp;RID=8XN3MCU5013","WP_126105918.1")</f>
        <v>WP_126105918.1</v>
      </c>
    </row>
    <row r="105" spans="1:5">
      <c r="A105" s="4" t="s">
        <v>373</v>
      </c>
      <c r="B105" s="9">
        <v>0.93</v>
      </c>
      <c r="C105" s="10">
        <v>2.9999999999999999E-75</v>
      </c>
      <c r="D105" s="5">
        <v>46.06</v>
      </c>
      <c r="E105" s="11" t="str">
        <f>HYPERLINK("https://www.ncbi.nlm.nih.gov/protein/HBO4309445.1?report=genbank&amp;log$=prottop&amp;blast_rank=268&amp;RID=8XN3MCU5013","HBO4309445.1")</f>
        <v>HBO4309445.1</v>
      </c>
    </row>
    <row r="106" spans="1:5">
      <c r="A106" s="4" t="s">
        <v>373</v>
      </c>
      <c r="B106" s="9">
        <v>0.93</v>
      </c>
      <c r="C106" s="10">
        <v>1.9999999999999999E-74</v>
      </c>
      <c r="D106" s="5">
        <v>46.06</v>
      </c>
      <c r="E106" s="11" t="str">
        <f>HYPERLINK("https://www.ncbi.nlm.nih.gov/protein/MBG4431629.1?report=genbank&amp;log$=prottop&amp;blast_rank=280&amp;RID=8XN3MCU5013","MBG4431629.1")</f>
        <v>MBG4431629.1</v>
      </c>
    </row>
    <row r="107" spans="1:5">
      <c r="A107" s="4" t="s">
        <v>314</v>
      </c>
      <c r="B107" s="9">
        <v>0.92</v>
      </c>
      <c r="C107" s="10">
        <v>2E-85</v>
      </c>
      <c r="D107" s="5">
        <v>45.96</v>
      </c>
      <c r="E107" s="11" t="str">
        <f>HYPERLINK("https://www.ncbi.nlm.nih.gov/protein/WP_317652687.1?report=genbank&amp;log$=prottop&amp;blast_rank=172&amp;RID=8XN3MCU5013","WP_317652687.1")</f>
        <v>WP_317652687.1</v>
      </c>
    </row>
    <row r="108" spans="1:5">
      <c r="A108" s="4" t="s">
        <v>262</v>
      </c>
      <c r="B108" s="9">
        <v>0.97</v>
      </c>
      <c r="C108" s="10">
        <v>3.9999999999999996E-96</v>
      </c>
      <c r="D108" s="5">
        <v>45.93</v>
      </c>
      <c r="E108" s="11" t="str">
        <f>HYPERLINK("https://www.ncbi.nlm.nih.gov/protein/MCM2592428.1?report=genbank&amp;log$=prottop&amp;blast_rank=54&amp;RID=8XN3MCU5013","MCM2592428.1")</f>
        <v>MCM2592428.1</v>
      </c>
    </row>
    <row r="109" spans="1:5">
      <c r="A109" s="4" t="s">
        <v>287</v>
      </c>
      <c r="B109" s="9">
        <v>0.97</v>
      </c>
      <c r="C109" s="10">
        <v>4.0000000000000001E-91</v>
      </c>
      <c r="D109" s="5">
        <v>45.66</v>
      </c>
      <c r="E109" s="11" t="str">
        <f>HYPERLINK("https://www.ncbi.nlm.nih.gov/protein/TKS62185.1?report=genbank&amp;log$=prottop&amp;blast_rank=114&amp;RID=8XN3MCU5013","TKS62185.1")</f>
        <v>TKS62185.1</v>
      </c>
    </row>
    <row r="110" spans="1:5">
      <c r="A110" s="4" t="s">
        <v>338</v>
      </c>
      <c r="B110" s="9">
        <v>0.97</v>
      </c>
      <c r="C110" s="10">
        <v>1.9999999999999999E-80</v>
      </c>
      <c r="D110" s="5">
        <v>45.66</v>
      </c>
      <c r="E110" s="11" t="str">
        <f>HYPERLINK("https://www.ncbi.nlm.nih.gov/protein/WP_153011058.1?report=genbank&amp;log$=prottop&amp;blast_rank=207&amp;RID=8XN3MCU5013","WP_153011058.1")</f>
        <v>WP_153011058.1</v>
      </c>
    </row>
    <row r="111" spans="1:5">
      <c r="A111" s="4" t="s">
        <v>313</v>
      </c>
      <c r="B111" s="9">
        <v>0.97</v>
      </c>
      <c r="C111" s="10">
        <v>9.9999999999999998E-86</v>
      </c>
      <c r="D111" s="5">
        <v>45.61</v>
      </c>
      <c r="E111" s="11" t="str">
        <f>HYPERLINK("https://www.ncbi.nlm.nih.gov/protein/WP_223466184.1?report=genbank&amp;log$=prottop&amp;blast_rank=168&amp;RID=8XN3MCU5013","WP_223466184.1")</f>
        <v>WP_223466184.1</v>
      </c>
    </row>
    <row r="112" spans="1:5">
      <c r="A112" s="4" t="s">
        <v>373</v>
      </c>
      <c r="B112" s="9">
        <v>0.94</v>
      </c>
      <c r="C112" s="10">
        <v>5E-74</v>
      </c>
      <c r="D112" s="5">
        <v>45.51</v>
      </c>
      <c r="E112" s="11" t="str">
        <f>HYPERLINK("https://www.ncbi.nlm.nih.gov/protein/MBI8950026.1?report=genbank&amp;log$=prottop&amp;blast_rank=286&amp;RID=8XN3MCU5013","MBI8950026.1")</f>
        <v>MBI8950026.1</v>
      </c>
    </row>
    <row r="113" spans="1:5">
      <c r="A113" s="4" t="s">
        <v>373</v>
      </c>
      <c r="B113" s="9">
        <v>0.93</v>
      </c>
      <c r="C113" s="10">
        <v>9.9999999999999996E-75</v>
      </c>
      <c r="D113" s="5">
        <v>45.45</v>
      </c>
      <c r="E113" s="11" t="str">
        <f>HYPERLINK("https://www.ncbi.nlm.nih.gov/protein/WP_282322981.1?report=genbank&amp;log$=prottop&amp;blast_rank=275&amp;RID=8XN3MCU5013","WP_282322981.1")</f>
        <v>WP_282322981.1</v>
      </c>
    </row>
    <row r="114" spans="1:5">
      <c r="A114" s="4" t="s">
        <v>373</v>
      </c>
      <c r="B114" s="9">
        <v>0.93</v>
      </c>
      <c r="C114" s="10">
        <v>1.9999999999999999E-74</v>
      </c>
      <c r="D114" s="5">
        <v>45.45</v>
      </c>
      <c r="E114" s="11" t="str">
        <f>HYPERLINK("https://www.ncbi.nlm.nih.gov/protein/WP_160440137.1?report=genbank&amp;log$=prottop&amp;blast_rank=278&amp;RID=8XN3MCU5013","WP_160440137.1")</f>
        <v>WP_160440137.1</v>
      </c>
    </row>
    <row r="115" spans="1:5">
      <c r="A115" s="4" t="s">
        <v>373</v>
      </c>
      <c r="B115" s="9">
        <v>0.93</v>
      </c>
      <c r="C115" s="10">
        <v>3.9999999999999998E-74</v>
      </c>
      <c r="D115" s="5">
        <v>45.45</v>
      </c>
      <c r="E115" s="11" t="str">
        <f>HYPERLINK("https://www.ncbi.nlm.nih.gov/protein/HCR1591856.1?report=genbank&amp;log$=prottop&amp;blast_rank=284&amp;RID=8XN3MCU5013","HCR1591856.1")</f>
        <v>HCR1591856.1</v>
      </c>
    </row>
    <row r="116" spans="1:5">
      <c r="A116" s="4" t="s">
        <v>373</v>
      </c>
      <c r="B116" s="9">
        <v>0.93</v>
      </c>
      <c r="C116" s="10">
        <v>5E-74</v>
      </c>
      <c r="D116" s="5">
        <v>45.45</v>
      </c>
      <c r="E116" s="11" t="str">
        <f>HYPERLINK("https://www.ncbi.nlm.nih.gov/protein/WP_132540943.1?report=genbank&amp;log$=prottop&amp;blast_rank=285&amp;RID=8XN3MCU5013","WP_132540943.1")</f>
        <v>WP_132540943.1</v>
      </c>
    </row>
    <row r="117" spans="1:5">
      <c r="A117" s="4" t="s">
        <v>267</v>
      </c>
      <c r="B117" s="9">
        <v>0.97</v>
      </c>
      <c r="C117" s="10">
        <v>6.9999999999999998E-96</v>
      </c>
      <c r="D117" s="5">
        <v>45.35</v>
      </c>
      <c r="E117" s="11" t="str">
        <f>HYPERLINK("https://www.ncbi.nlm.nih.gov/protein/WP_080899539.1?report=genbank&amp;log$=prottop&amp;blast_rank=60&amp;RID=8XN3MCU5013","WP_080899539.1")</f>
        <v>WP_080899539.1</v>
      </c>
    </row>
    <row r="118" spans="1:5">
      <c r="A118" s="4" t="s">
        <v>262</v>
      </c>
      <c r="B118" s="9">
        <v>0.97</v>
      </c>
      <c r="C118" s="10">
        <v>9.9999999999999999E-96</v>
      </c>
      <c r="D118" s="5">
        <v>45.35</v>
      </c>
      <c r="E118" s="11" t="str">
        <f>HYPERLINK("https://www.ncbi.nlm.nih.gov/protein/WP_319793174.1?report=genbank&amp;log$=prottop&amp;blast_rank=61&amp;RID=8XN3MCU5013","WP_319793174.1")</f>
        <v>WP_319793174.1</v>
      </c>
    </row>
    <row r="119" spans="1:5">
      <c r="A119" s="4" t="s">
        <v>262</v>
      </c>
      <c r="B119" s="9">
        <v>0.97</v>
      </c>
      <c r="C119" s="10">
        <v>4E-95</v>
      </c>
      <c r="D119" s="5">
        <v>45.35</v>
      </c>
      <c r="E119" s="11" t="str">
        <f>HYPERLINK("https://www.ncbi.nlm.nih.gov/protein/WP_048270116.1?report=genbank&amp;log$=prottop&amp;blast_rank=66&amp;RID=8XN3MCU5013","WP_048270116.1")</f>
        <v>WP_048270116.1</v>
      </c>
    </row>
    <row r="120" spans="1:5">
      <c r="A120" s="4" t="s">
        <v>262</v>
      </c>
      <c r="B120" s="9">
        <v>0.97</v>
      </c>
      <c r="C120" s="10">
        <v>9.0000000000000004E-95</v>
      </c>
      <c r="D120" s="5">
        <v>45.35</v>
      </c>
      <c r="E120" s="11" t="str">
        <f>HYPERLINK("https://www.ncbi.nlm.nih.gov/protein/EMG3458729.1?report=genbank&amp;log$=prottop&amp;blast_rank=75&amp;RID=8XN3MCU5013","EMG3458729.1")</f>
        <v>EMG3458729.1</v>
      </c>
    </row>
    <row r="121" spans="1:5">
      <c r="A121" s="4" t="s">
        <v>262</v>
      </c>
      <c r="B121" s="9">
        <v>0.97</v>
      </c>
      <c r="C121" s="10">
        <v>9.9999999999999996E-95</v>
      </c>
      <c r="D121" s="5">
        <v>45.35</v>
      </c>
      <c r="E121" s="11" t="str">
        <f>HYPERLINK("https://www.ncbi.nlm.nih.gov/protein/WP_311094989.1?report=genbank&amp;log$=prottop&amp;blast_rank=76&amp;RID=8XN3MCU5013","WP_311094989.1")</f>
        <v>WP_311094989.1</v>
      </c>
    </row>
    <row r="122" spans="1:5">
      <c r="A122" s="4" t="s">
        <v>370</v>
      </c>
      <c r="B122" s="9">
        <v>0.97</v>
      </c>
      <c r="C122" s="10">
        <v>9.9999999999999993E-77</v>
      </c>
      <c r="D122" s="5">
        <v>45.35</v>
      </c>
      <c r="E122" s="11" t="str">
        <f>HYPERLINK("https://www.ncbi.nlm.nih.gov/protein/WP_051788921.1?report=genbank&amp;log$=prottop&amp;blast_rank=249&amp;RID=8XN3MCU5013","WP_051788921.1")</f>
        <v>WP_051788921.1</v>
      </c>
    </row>
    <row r="123" spans="1:5">
      <c r="A123" s="4" t="s">
        <v>368</v>
      </c>
      <c r="B123" s="9">
        <v>0.94</v>
      </c>
      <c r="C123" s="10">
        <v>2.9999999999999999E-75</v>
      </c>
      <c r="D123" s="5">
        <v>45.18</v>
      </c>
      <c r="E123" s="11" t="str">
        <f>HYPERLINK("https://www.ncbi.nlm.nih.gov/protein/RPJ58271.1?report=genbank&amp;log$=prottop&amp;blast_rank=267&amp;RID=8XN3MCU5013","RPJ58271.1")</f>
        <v>RPJ58271.1</v>
      </c>
    </row>
    <row r="124" spans="1:5">
      <c r="A124" s="4" t="s">
        <v>262</v>
      </c>
      <c r="B124" s="9">
        <v>0.96</v>
      </c>
      <c r="C124" s="10">
        <v>1.9999999999999998E-93</v>
      </c>
      <c r="D124" s="5">
        <v>45.09</v>
      </c>
      <c r="E124" s="11" t="str">
        <f>HYPERLINK("https://www.ncbi.nlm.nih.gov/protein/WP_114266640.1?report=genbank&amp;log$=prottop&amp;blast_rank=87&amp;RID=8XN3MCU5013","WP_114266640.1")</f>
        <v>WP_114266640.1</v>
      </c>
    </row>
    <row r="125" spans="1:5">
      <c r="A125" s="4" t="s">
        <v>280</v>
      </c>
      <c r="B125" s="9">
        <v>0.96</v>
      </c>
      <c r="C125" s="10">
        <v>3.9999999999999996E-93</v>
      </c>
      <c r="D125" s="5">
        <v>45.09</v>
      </c>
      <c r="E125" s="11" t="str">
        <f>HYPERLINK("https://www.ncbi.nlm.nih.gov/protein/WP_277200956.1?report=genbank&amp;log$=prottop&amp;blast_rank=90&amp;RID=8XN3MCU5013","WP_277200956.1")</f>
        <v>WP_277200956.1</v>
      </c>
    </row>
    <row r="126" spans="1:5">
      <c r="A126" s="4" t="s">
        <v>275</v>
      </c>
      <c r="B126" s="9">
        <v>0.96</v>
      </c>
      <c r="C126" s="10">
        <v>6.0000000000000003E-93</v>
      </c>
      <c r="D126" s="5">
        <v>45.09</v>
      </c>
      <c r="E126" s="11" t="str">
        <f>HYPERLINK("https://www.ncbi.nlm.nih.gov/protein/WP_194428750.1?report=genbank&amp;log$=prottop&amp;blast_rank=94&amp;RID=8XN3MCU5013","WP_194428750.1")</f>
        <v>WP_194428750.1</v>
      </c>
    </row>
    <row r="127" spans="1:5">
      <c r="A127" s="4" t="s">
        <v>262</v>
      </c>
      <c r="B127" s="9">
        <v>0.96</v>
      </c>
      <c r="C127" s="10">
        <v>6.0000000000000003E-93</v>
      </c>
      <c r="D127" s="5">
        <v>45.09</v>
      </c>
      <c r="E127" s="11" t="str">
        <f>HYPERLINK("https://www.ncbi.nlm.nih.gov/protein/WP_116944516.1?report=genbank&amp;log$=prottop&amp;blast_rank=95&amp;RID=8XN3MCU5013","WP_116944516.1")</f>
        <v>WP_116944516.1</v>
      </c>
    </row>
    <row r="128" spans="1:5">
      <c r="A128" s="4" t="s">
        <v>280</v>
      </c>
      <c r="B128" s="9">
        <v>0.96</v>
      </c>
      <c r="C128" s="10">
        <v>6.0000000000000003E-92</v>
      </c>
      <c r="D128" s="5">
        <v>45.09</v>
      </c>
      <c r="E128" s="11" t="str">
        <f>HYPERLINK("https://www.ncbi.nlm.nih.gov/protein/HAX8485065.1?report=genbank&amp;log$=prottop&amp;blast_rank=104&amp;RID=8XN3MCU5013","HAX8485065.1")</f>
        <v>HAX8485065.1</v>
      </c>
    </row>
    <row r="129" spans="1:5">
      <c r="A129" s="4" t="s">
        <v>296</v>
      </c>
      <c r="B129" s="9">
        <v>0.92</v>
      </c>
      <c r="C129" s="10">
        <v>2.9999999999999999E-89</v>
      </c>
      <c r="D129" s="5">
        <v>45.06</v>
      </c>
      <c r="E129" s="11" t="str">
        <f>HYPERLINK("https://www.ncbi.nlm.nih.gov/protein/WP_109138245.1?report=genbank&amp;log$=prottop&amp;blast_rank=131&amp;RID=8XN3MCU5013","WP_109138245.1")</f>
        <v>WP_109138245.1</v>
      </c>
    </row>
    <row r="130" spans="1:5">
      <c r="A130" s="4" t="s">
        <v>129</v>
      </c>
      <c r="B130" s="9">
        <v>0.66</v>
      </c>
      <c r="C130" s="10">
        <v>1.0000000000000001E-68</v>
      </c>
      <c r="D130" s="5">
        <v>44.92</v>
      </c>
      <c r="E130" s="11" t="str">
        <f>HYPERLINK("https://www.ncbi.nlm.nih.gov/protein/MDC5041908.1?report=genbank&amp;log$=prottop&amp;blast_rank=401&amp;RID=8XN3MCU5013","MDC5041908.1")</f>
        <v>MDC5041908.1</v>
      </c>
    </row>
    <row r="131" spans="1:5">
      <c r="A131" s="4" t="s">
        <v>373</v>
      </c>
      <c r="B131" s="9">
        <v>0.94</v>
      </c>
      <c r="C131" s="10">
        <v>1.9999999999999999E-74</v>
      </c>
      <c r="D131" s="5">
        <v>44.91</v>
      </c>
      <c r="E131" s="11" t="str">
        <f>HYPERLINK("https://www.ncbi.nlm.nih.gov/protein/WP_126400243.1?report=genbank&amp;log$=prottop&amp;blast_rank=277&amp;RID=8XN3MCU5013","WP_126400243.1")</f>
        <v>WP_126400243.1</v>
      </c>
    </row>
    <row r="132" spans="1:5">
      <c r="A132" s="4" t="s">
        <v>288</v>
      </c>
      <c r="B132" s="9">
        <v>0.93</v>
      </c>
      <c r="C132" s="10">
        <v>4.0000000000000001E-91</v>
      </c>
      <c r="D132" s="5">
        <v>44.79</v>
      </c>
      <c r="E132" s="11" t="str">
        <f>HYPERLINK("https://www.ncbi.nlm.nih.gov/protein/WP_320004011.1?report=genbank&amp;log$=prottop&amp;blast_rank=115&amp;RID=8XN3MCU5013","WP_320004011.1")</f>
        <v>WP_320004011.1</v>
      </c>
    </row>
    <row r="133" spans="1:5">
      <c r="A133" s="4" t="s">
        <v>266</v>
      </c>
      <c r="B133" s="9">
        <v>0.97</v>
      </c>
      <c r="C133" s="10">
        <v>6.0000000000000003E-96</v>
      </c>
      <c r="D133" s="5">
        <v>44.77</v>
      </c>
      <c r="E133" s="11" t="str">
        <f>HYPERLINK("https://www.ncbi.nlm.nih.gov/protein/HDK6242852.1?report=genbank&amp;log$=prottop&amp;blast_rank=59&amp;RID=8XN3MCU5013","HDK6242852.1")</f>
        <v>HDK6242852.1</v>
      </c>
    </row>
    <row r="134" spans="1:5">
      <c r="A134" s="4" t="s">
        <v>273</v>
      </c>
      <c r="B134" s="9">
        <v>0.97</v>
      </c>
      <c r="C134" s="10">
        <v>7.9999999999999999E-95</v>
      </c>
      <c r="D134" s="5">
        <v>44.77</v>
      </c>
      <c r="E134" s="11" t="str">
        <f>HYPERLINK("https://www.ncbi.nlm.nih.gov/protein/HBQ5685527.1?report=genbank&amp;log$=prottop&amp;blast_rank=73&amp;RID=8XN3MCU5013","HBQ5685527.1")</f>
        <v>HBQ5685527.1</v>
      </c>
    </row>
    <row r="135" spans="1:5">
      <c r="A135" s="4" t="s">
        <v>274</v>
      </c>
      <c r="B135" s="9">
        <v>0.97</v>
      </c>
      <c r="C135" s="10">
        <v>9.0000000000000004E-95</v>
      </c>
      <c r="D135" s="5">
        <v>44.77</v>
      </c>
      <c r="E135" s="11" t="str">
        <f>HYPERLINK("https://www.ncbi.nlm.nih.gov/protein/WP_025711389.1?report=genbank&amp;log$=prottop&amp;blast_rank=74&amp;RID=8XN3MCU5013","WP_025711389.1")</f>
        <v>WP_025711389.1</v>
      </c>
    </row>
    <row r="136" spans="1:5">
      <c r="A136" s="4" t="s">
        <v>267</v>
      </c>
      <c r="B136" s="9">
        <v>0.97</v>
      </c>
      <c r="C136" s="10">
        <v>3.0000000000000001E-94</v>
      </c>
      <c r="D136" s="5">
        <v>44.77</v>
      </c>
      <c r="E136" s="11" t="str">
        <f>HYPERLINK("https://www.ncbi.nlm.nih.gov/protein/WP_200786732.1?report=genbank&amp;log$=prottop&amp;blast_rank=77&amp;RID=8XN3MCU5013","WP_200786732.1")</f>
        <v>WP_200786732.1</v>
      </c>
    </row>
    <row r="137" spans="1:5">
      <c r="A137" s="4" t="s">
        <v>267</v>
      </c>
      <c r="B137" s="9">
        <v>0.97</v>
      </c>
      <c r="C137" s="10">
        <v>6.0000000000000003E-94</v>
      </c>
      <c r="D137" s="5">
        <v>44.77</v>
      </c>
      <c r="E137" s="11" t="str">
        <f>HYPERLINK("https://www.ncbi.nlm.nih.gov/protein/WP_048333082.1?report=genbank&amp;log$=prottop&amp;blast_rank=79&amp;RID=8XN3MCU5013","WP_048333082.1")</f>
        <v>WP_048333082.1</v>
      </c>
    </row>
    <row r="138" spans="1:5">
      <c r="A138" s="4" t="s">
        <v>275</v>
      </c>
      <c r="B138" s="9">
        <v>0.97</v>
      </c>
      <c r="C138" s="10">
        <v>6.0000000000000003E-94</v>
      </c>
      <c r="D138" s="5">
        <v>44.77</v>
      </c>
      <c r="E138" s="11" t="str">
        <f>HYPERLINK("https://www.ncbi.nlm.nih.gov/protein/WP_075647497.1?report=genbank&amp;log$=prottop&amp;blast_rank=81&amp;RID=8XN3MCU5013","WP_075647497.1")</f>
        <v>WP_075647497.1</v>
      </c>
    </row>
    <row r="139" spans="1:5">
      <c r="A139" s="4" t="s">
        <v>262</v>
      </c>
      <c r="B139" s="9">
        <v>0.97</v>
      </c>
      <c r="C139" s="10">
        <v>9.999999999999999E-94</v>
      </c>
      <c r="D139" s="5">
        <v>44.77</v>
      </c>
      <c r="E139" s="11" t="str">
        <f>HYPERLINK("https://www.ncbi.nlm.nih.gov/protein/WP_203283622.1?report=genbank&amp;log$=prottop&amp;blast_rank=86&amp;RID=8XN3MCU5013","WP_203283622.1")</f>
        <v>WP_203283622.1</v>
      </c>
    </row>
    <row r="140" spans="1:5">
      <c r="A140" s="4" t="s">
        <v>262</v>
      </c>
      <c r="B140" s="9">
        <v>0.97</v>
      </c>
      <c r="C140" s="10">
        <v>1.9999999999999998E-93</v>
      </c>
      <c r="D140" s="5">
        <v>44.77</v>
      </c>
      <c r="E140" s="11" t="str">
        <f>HYPERLINK("https://www.ncbi.nlm.nih.gov/protein/WP_110218277.1?report=genbank&amp;log$=prottop&amp;blast_rank=88&amp;RID=8XN3MCU5013","WP_110218277.1")</f>
        <v>WP_110218277.1</v>
      </c>
    </row>
    <row r="141" spans="1:5">
      <c r="A141" s="4" t="s">
        <v>373</v>
      </c>
      <c r="B141" s="9">
        <v>0.91</v>
      </c>
      <c r="C141" s="10">
        <v>7.0000000000000003E-68</v>
      </c>
      <c r="D141" s="5">
        <v>44.72</v>
      </c>
      <c r="E141" s="11" t="str">
        <f>HYPERLINK("https://www.ncbi.nlm.nih.gov/protein/WP_275341679.1?report=genbank&amp;log$=prottop&amp;blast_rank=412&amp;RID=8XN3MCU5013","WP_275341679.1")</f>
        <v>WP_275341679.1</v>
      </c>
    </row>
    <row r="142" spans="1:5">
      <c r="A142" s="4" t="s">
        <v>129</v>
      </c>
      <c r="B142" s="9">
        <v>0.79</v>
      </c>
      <c r="C142" s="10">
        <v>9.9999999999999993E-77</v>
      </c>
      <c r="D142" s="5">
        <v>44.68</v>
      </c>
      <c r="E142" s="11" t="str">
        <f>HYPERLINK("https://www.ncbi.nlm.nih.gov/protein/HCQ9784649.1?report=genbank&amp;log$=prottop&amp;blast_rank=251&amp;RID=8XN3MCU5013","HCQ9784649.1")</f>
        <v>HCQ9784649.1</v>
      </c>
    </row>
    <row r="143" spans="1:5">
      <c r="A143" s="4" t="s">
        <v>368</v>
      </c>
      <c r="B143" s="9">
        <v>0.96</v>
      </c>
      <c r="C143" s="10">
        <v>1.9999999999999999E-77</v>
      </c>
      <c r="D143" s="5">
        <v>44.64</v>
      </c>
      <c r="E143" s="11" t="str">
        <f>HYPERLINK("https://www.ncbi.nlm.nih.gov/protein/MBV8544068.1?report=genbank&amp;log$=prottop&amp;blast_rank=247&amp;RID=8XN3MCU5013","MBV8544068.1")</f>
        <v>MBV8544068.1</v>
      </c>
    </row>
    <row r="144" spans="1:5">
      <c r="A144" s="4" t="s">
        <v>397</v>
      </c>
      <c r="B144" s="9">
        <v>0.96</v>
      </c>
      <c r="C144" s="10">
        <v>8.9999999999999998E-74</v>
      </c>
      <c r="D144" s="5">
        <v>44.64</v>
      </c>
      <c r="E144" s="11" t="str">
        <f>HYPERLINK("https://www.ncbi.nlm.nih.gov/protein/WP_199615052.1?report=genbank&amp;log$=prottop&amp;blast_rank=290&amp;RID=8XN3MCU5013","WP_199615052.1")</f>
        <v>WP_199615052.1</v>
      </c>
    </row>
    <row r="145" spans="1:5">
      <c r="A145" s="4" t="s">
        <v>267</v>
      </c>
      <c r="B145" s="9">
        <v>0.96</v>
      </c>
      <c r="C145" s="10">
        <v>9.0000000000000004E-93</v>
      </c>
      <c r="D145" s="5">
        <v>44.51</v>
      </c>
      <c r="E145" s="11" t="str">
        <f>HYPERLINK("https://www.ncbi.nlm.nih.gov/protein/WP_110198785.1?report=genbank&amp;log$=prottop&amp;blast_rank=96&amp;RID=8XN3MCU5013","WP_110198785.1")</f>
        <v>WP_110198785.1</v>
      </c>
    </row>
    <row r="146" spans="1:5">
      <c r="A146" s="4" t="s">
        <v>262</v>
      </c>
      <c r="B146" s="9">
        <v>0.96</v>
      </c>
      <c r="C146" s="10">
        <v>2E-92</v>
      </c>
      <c r="D146" s="5">
        <v>44.51</v>
      </c>
      <c r="E146" s="11" t="str">
        <f>HYPERLINK("https://www.ncbi.nlm.nih.gov/protein/WP_117045561.1?report=genbank&amp;log$=prottop&amp;blast_rank=100&amp;RID=8XN3MCU5013","WP_117045561.1")</f>
        <v>WP_117045561.1</v>
      </c>
    </row>
    <row r="147" spans="1:5">
      <c r="A147" s="4" t="s">
        <v>262</v>
      </c>
      <c r="B147" s="9">
        <v>0.96</v>
      </c>
      <c r="C147" s="10">
        <v>1E-91</v>
      </c>
      <c r="D147" s="5">
        <v>44.51</v>
      </c>
      <c r="E147" s="11" t="str">
        <f>HYPERLINK("https://www.ncbi.nlm.nih.gov/protein/HBQ7719003.1?report=genbank&amp;log$=prottop&amp;blast_rank=107&amp;RID=8XN3MCU5013","HBQ7719003.1")</f>
        <v>HBQ7719003.1</v>
      </c>
    </row>
    <row r="148" spans="1:5">
      <c r="A148" s="4" t="s">
        <v>292</v>
      </c>
      <c r="B148" s="9">
        <v>0.92</v>
      </c>
      <c r="C148" s="10">
        <v>8E-90</v>
      </c>
      <c r="D148" s="5">
        <v>44.44</v>
      </c>
      <c r="E148" s="11" t="str">
        <f>HYPERLINK("https://www.ncbi.nlm.nih.gov/protein/WP_163219736.1?report=genbank&amp;log$=prottop&amp;blast_rank=123&amp;RID=8XN3MCU5013","WP_163219736.1")</f>
        <v>WP_163219736.1</v>
      </c>
    </row>
    <row r="149" spans="1:5">
      <c r="A149" s="4" t="s">
        <v>262</v>
      </c>
      <c r="B149" s="9">
        <v>0.97</v>
      </c>
      <c r="C149" s="10">
        <v>6.0000000000000003E-95</v>
      </c>
      <c r="D149" s="5">
        <v>44.19</v>
      </c>
      <c r="E149" s="11" t="str">
        <f>HYPERLINK("https://www.ncbi.nlm.nih.gov/protein/MER3667966.1?report=genbank&amp;log$=prottop&amp;blast_rank=70&amp;RID=8XN3MCU5013","MER3667966.1")</f>
        <v>MER3667966.1</v>
      </c>
    </row>
    <row r="150" spans="1:5">
      <c r="A150" s="4" t="s">
        <v>267</v>
      </c>
      <c r="B150" s="9">
        <v>0.97</v>
      </c>
      <c r="C150" s="10">
        <v>6.0000000000000003E-95</v>
      </c>
      <c r="D150" s="5">
        <v>44.19</v>
      </c>
      <c r="E150" s="11" t="str">
        <f>HYPERLINK("https://www.ncbi.nlm.nih.gov/protein/WP_219193103.1?report=genbank&amp;log$=prottop&amp;blast_rank=71&amp;RID=8XN3MCU5013","WP_219193103.1")</f>
        <v>WP_219193103.1</v>
      </c>
    </row>
    <row r="151" spans="1:5">
      <c r="A151" s="4" t="s">
        <v>262</v>
      </c>
      <c r="B151" s="9">
        <v>0.97</v>
      </c>
      <c r="C151" s="10">
        <v>4.9999999999999995E-94</v>
      </c>
      <c r="D151" s="5">
        <v>44.19</v>
      </c>
      <c r="E151" s="11" t="str">
        <f>HYPERLINK("https://www.ncbi.nlm.nih.gov/protein/HBQ8842459.1?report=genbank&amp;log$=prottop&amp;blast_rank=78&amp;RID=8XN3MCU5013","HBQ8842459.1")</f>
        <v>HBQ8842459.1</v>
      </c>
    </row>
    <row r="152" spans="1:5">
      <c r="A152" s="4" t="s">
        <v>282</v>
      </c>
      <c r="B152" s="9">
        <v>0.97</v>
      </c>
      <c r="C152" s="10">
        <v>6.0000000000000003E-92</v>
      </c>
      <c r="D152" s="5">
        <v>44.19</v>
      </c>
      <c r="E152" s="11" t="str">
        <f>HYPERLINK("https://www.ncbi.nlm.nih.gov/protein/WP_279025099.1?report=genbank&amp;log$=prottop&amp;blast_rank=103&amp;RID=8XN3MCU5013","WP_279025099.1")</f>
        <v>WP_279025099.1</v>
      </c>
    </row>
    <row r="153" spans="1:5">
      <c r="A153" s="4" t="s">
        <v>382</v>
      </c>
      <c r="B153" s="9">
        <v>0.97</v>
      </c>
      <c r="C153" s="10">
        <v>1.9999999999999999E-75</v>
      </c>
      <c r="D153" s="5">
        <v>44</v>
      </c>
      <c r="E153" s="11" t="str">
        <f>HYPERLINK("https://www.ncbi.nlm.nih.gov/protein/WP_312199272.1?report=genbank&amp;log$=prottop&amp;blast_rank=264&amp;RID=8XN3MCU5013","WP_312199272.1")</f>
        <v>WP_312199272.1</v>
      </c>
    </row>
    <row r="154" spans="1:5">
      <c r="A154" s="4" t="s">
        <v>262</v>
      </c>
      <c r="B154" s="9">
        <v>0.96</v>
      </c>
      <c r="C154" s="10">
        <v>4.9999999999999999E-93</v>
      </c>
      <c r="D154" s="5">
        <v>43.93</v>
      </c>
      <c r="E154" s="11" t="str">
        <f>HYPERLINK("https://www.ncbi.nlm.nih.gov/protein/AVI89750.1?report=genbank&amp;log$=prottop&amp;blast_rank=92&amp;RID=8XN3MCU5013","AVI89750.1")</f>
        <v>AVI89750.1</v>
      </c>
    </row>
    <row r="155" spans="1:5">
      <c r="A155" s="4" t="s">
        <v>294</v>
      </c>
      <c r="B155" s="9">
        <v>0.97</v>
      </c>
      <c r="C155" s="10">
        <v>2.0000000000000001E-89</v>
      </c>
      <c r="D155" s="5">
        <v>43.93</v>
      </c>
      <c r="E155" s="11" t="str">
        <f>HYPERLINK("https://www.ncbi.nlm.nih.gov/protein/WP_064007934.1?report=genbank&amp;log$=prottop&amp;blast_rank=126&amp;RID=8XN3MCU5013","WP_064007934.1")</f>
        <v>WP_064007934.1</v>
      </c>
    </row>
    <row r="156" spans="1:5">
      <c r="A156" s="4" t="s">
        <v>291</v>
      </c>
      <c r="B156" s="9">
        <v>0.92</v>
      </c>
      <c r="C156" s="10">
        <v>6.0000000000000004E-90</v>
      </c>
      <c r="D156" s="5">
        <v>43.83</v>
      </c>
      <c r="E156" s="11" t="str">
        <f>HYPERLINK("https://www.ncbi.nlm.nih.gov/protein/WP_137397345.1?report=genbank&amp;log$=prottop&amp;blast_rank=122&amp;RID=8XN3MCU5013","WP_137397345.1")</f>
        <v>WP_137397345.1</v>
      </c>
    </row>
    <row r="157" spans="1:5">
      <c r="A157" s="4" t="s">
        <v>430</v>
      </c>
      <c r="B157" s="9">
        <v>0.94</v>
      </c>
      <c r="C157" s="10">
        <v>1E-70</v>
      </c>
      <c r="D157" s="5">
        <v>43.71</v>
      </c>
      <c r="E157" s="11" t="str">
        <f>HYPERLINK("https://www.ncbi.nlm.nih.gov/protein/RYG98046.1?report=genbank&amp;log$=prottop&amp;blast_rank=366&amp;RID=8XN3MCU5013","RYG98046.1")</f>
        <v>RYG98046.1</v>
      </c>
    </row>
    <row r="158" spans="1:5">
      <c r="A158" s="4" t="s">
        <v>290</v>
      </c>
      <c r="B158" s="9">
        <v>0.97</v>
      </c>
      <c r="C158" s="10">
        <v>5.0000000000000002E-90</v>
      </c>
      <c r="D158" s="5">
        <v>43.6</v>
      </c>
      <c r="E158" s="11" t="str">
        <f>HYPERLINK("https://www.ncbi.nlm.nih.gov/protein/KKK08815.1?report=genbank&amp;log$=prottop&amp;blast_rank=121&amp;RID=8XN3MCU5013","KKK08815.1")</f>
        <v>KKK08815.1</v>
      </c>
    </row>
    <row r="159" spans="1:5">
      <c r="A159" s="4" t="s">
        <v>306</v>
      </c>
      <c r="B159" s="9">
        <v>1</v>
      </c>
      <c r="C159" s="10">
        <v>6.0000000000000003E-87</v>
      </c>
      <c r="D159" s="5">
        <v>43.58</v>
      </c>
      <c r="E159" s="11" t="str">
        <f>HYPERLINK("https://www.ncbi.nlm.nih.gov/protein/WP_144468662.1?report=genbank&amp;log$=prottop&amp;blast_rank=153&amp;RID=8XN3MCU5013","WP_144468662.1")</f>
        <v>WP_144468662.1</v>
      </c>
    </row>
    <row r="160" spans="1:5">
      <c r="A160" s="4" t="s">
        <v>301</v>
      </c>
      <c r="B160" s="9">
        <v>0.93</v>
      </c>
      <c r="C160" s="10">
        <v>7.0000000000000002E-88</v>
      </c>
      <c r="D160" s="5">
        <v>43.56</v>
      </c>
      <c r="E160" s="11" t="str">
        <f>HYPERLINK("https://www.ncbi.nlm.nih.gov/protein/WP_252170598.1?report=genbank&amp;log$=prottop&amp;blast_rank=144&amp;RID=8XN3MCU5013","WP_252170598.1")</f>
        <v>WP_252170598.1</v>
      </c>
    </row>
    <row r="161" spans="1:5">
      <c r="A161" s="4" t="s">
        <v>129</v>
      </c>
      <c r="B161" s="9">
        <v>0.91</v>
      </c>
      <c r="C161" s="10">
        <v>9.9999999999999996E-83</v>
      </c>
      <c r="D161" s="5">
        <v>43.29</v>
      </c>
      <c r="E161" s="11" t="str">
        <f>HYPERLINK("https://www.ncbi.nlm.nih.gov/protein/WP_228202209.1?report=genbank&amp;log$=prottop&amp;blast_rank=201&amp;RID=8XN3MCU5013","WP_228202209.1")</f>
        <v>WP_228202209.1</v>
      </c>
    </row>
    <row r="162" spans="1:5">
      <c r="A162" s="4" t="s">
        <v>128</v>
      </c>
      <c r="B162" s="9">
        <v>0.97</v>
      </c>
      <c r="C162" s="10">
        <v>2E-95</v>
      </c>
      <c r="D162" s="5">
        <v>43.27</v>
      </c>
      <c r="E162" s="11" t="str">
        <f>HYPERLINK("https://www.ncbi.nlm.nih.gov/protein/WP_284092596.1?report=genbank&amp;log$=prottop&amp;blast_rank=62&amp;RID=8XN3MCU5013","WP_284092596.1")</f>
        <v>WP_284092596.1</v>
      </c>
    </row>
    <row r="163" spans="1:5">
      <c r="A163" s="4" t="s">
        <v>129</v>
      </c>
      <c r="B163" s="9">
        <v>0.9</v>
      </c>
      <c r="C163" s="10">
        <v>4.9999999999999998E-81</v>
      </c>
      <c r="D163" s="5">
        <v>43.21</v>
      </c>
      <c r="E163" s="11" t="str">
        <f>HYPERLINK("https://www.ncbi.nlm.nih.gov/protein/WP_228202835.1?report=genbank&amp;log$=prottop&amp;blast_rank=205&amp;RID=8XN3MCU5013","WP_228202835.1")</f>
        <v>WP_228202835.1</v>
      </c>
    </row>
    <row r="164" spans="1:5">
      <c r="A164" s="4" t="s">
        <v>310</v>
      </c>
      <c r="B164" s="9">
        <v>0.97</v>
      </c>
      <c r="C164" s="10">
        <v>3.0000000000000001E-86</v>
      </c>
      <c r="D164" s="5">
        <v>43.18</v>
      </c>
      <c r="E164" s="11" t="str">
        <f>HYPERLINK("https://www.ncbi.nlm.nih.gov/protein/MDP3028486.1?report=genbank&amp;log$=prottop&amp;blast_rank=162&amp;RID=8XN3MCU5013","MDP3028486.1")</f>
        <v>MDP3028486.1</v>
      </c>
    </row>
    <row r="165" spans="1:5">
      <c r="A165" s="4" t="s">
        <v>41</v>
      </c>
      <c r="B165" s="9">
        <v>0.97</v>
      </c>
      <c r="C165" s="10">
        <v>1E-84</v>
      </c>
      <c r="D165" s="5">
        <v>43.18</v>
      </c>
      <c r="E165" s="11" t="str">
        <f>HYPERLINK("https://www.ncbi.nlm.nih.gov/protein/WP_139817845.1?report=genbank&amp;log$=prottop&amp;blast_rank=174&amp;RID=8XN3MCU5013","WP_139817845.1")</f>
        <v>WP_139817845.1</v>
      </c>
    </row>
    <row r="166" spans="1:5">
      <c r="A166" s="4" t="s">
        <v>271</v>
      </c>
      <c r="B166" s="9">
        <v>0.97</v>
      </c>
      <c r="C166" s="10">
        <v>4E-95</v>
      </c>
      <c r="D166" s="5">
        <v>42.94</v>
      </c>
      <c r="E166" s="11" t="str">
        <f>HYPERLINK("https://www.ncbi.nlm.nih.gov/protein/WP_296522716.1?report=genbank&amp;log$=prottop&amp;blast_rank=67&amp;RID=8XN3MCU5013","WP_296522716.1")</f>
        <v>WP_296522716.1</v>
      </c>
    </row>
    <row r="167" spans="1:5">
      <c r="A167" s="4" t="s">
        <v>129</v>
      </c>
      <c r="B167" s="9">
        <v>0.97</v>
      </c>
      <c r="C167" s="10">
        <v>2E-92</v>
      </c>
      <c r="D167" s="5">
        <v>42.94</v>
      </c>
      <c r="E167" s="11" t="str">
        <f>HYPERLINK("https://www.ncbi.nlm.nih.gov/protein/WP_071226423.1?report=genbank&amp;log$=prottop&amp;blast_rank=97&amp;RID=8XN3MCU5013","WP_071226423.1")</f>
        <v>WP_071226423.1</v>
      </c>
    </row>
    <row r="168" spans="1:5">
      <c r="A168" s="4" t="s">
        <v>326</v>
      </c>
      <c r="B168" s="9">
        <v>0.94</v>
      </c>
      <c r="C168" s="10">
        <v>1E-83</v>
      </c>
      <c r="D168" s="5">
        <v>42.86</v>
      </c>
      <c r="E168" s="11" t="str">
        <f>HYPERLINK("https://www.ncbi.nlm.nih.gov/protein/WP_087027427.1?report=genbank&amp;log$=prottop&amp;blast_rank=190&amp;RID=8XN3MCU5013","WP_087027427.1")</f>
        <v>WP_087027427.1</v>
      </c>
    </row>
    <row r="169" spans="1:5">
      <c r="A169" s="4" t="s">
        <v>384</v>
      </c>
      <c r="B169" s="9">
        <v>0.96</v>
      </c>
      <c r="C169" s="10">
        <v>2.9999999999999999E-75</v>
      </c>
      <c r="D169" s="5">
        <v>42.86</v>
      </c>
      <c r="E169" s="11" t="str">
        <f>HYPERLINK("https://www.ncbi.nlm.nih.gov/protein/WP_179390886.1?report=genbank&amp;log$=prottop&amp;blast_rank=266&amp;RID=8XN3MCU5013","WP_179390886.1")</f>
        <v>WP_179390886.1</v>
      </c>
    </row>
    <row r="170" spans="1:5">
      <c r="A170" s="4" t="s">
        <v>306</v>
      </c>
      <c r="B170" s="9">
        <v>0.81</v>
      </c>
      <c r="C170" s="10">
        <v>1E-73</v>
      </c>
      <c r="D170" s="5">
        <v>42.86</v>
      </c>
      <c r="E170" s="11" t="str">
        <f>HYPERLINK("https://www.ncbi.nlm.nih.gov/protein/WP_144459069.1?report=genbank&amp;log$=prottop&amp;blast_rank=294&amp;RID=8XN3MCU5013","WP_144459069.1")</f>
        <v>WP_144459069.1</v>
      </c>
    </row>
    <row r="171" spans="1:5">
      <c r="A171" s="4" t="s">
        <v>129</v>
      </c>
      <c r="B171" s="9">
        <v>0.97</v>
      </c>
      <c r="C171" s="10">
        <v>2.9999999999999999E-88</v>
      </c>
      <c r="D171" s="5">
        <v>42.77</v>
      </c>
      <c r="E171" s="11" t="str">
        <f>HYPERLINK("https://www.ncbi.nlm.nih.gov/protein/WP_001015280.1?report=genbank&amp;log$=prottop&amp;blast_rank=142&amp;RID=8XN3MCU5013","WP_001015280.1")</f>
        <v>WP_001015280.1</v>
      </c>
    </row>
    <row r="172" spans="1:5">
      <c r="A172" s="4" t="s">
        <v>349</v>
      </c>
      <c r="B172" s="9">
        <v>0.94</v>
      </c>
      <c r="C172" s="10">
        <v>5E-79</v>
      </c>
      <c r="D172" s="5">
        <v>42.77</v>
      </c>
      <c r="E172" s="11" t="str">
        <f>HYPERLINK("https://www.ncbi.nlm.nih.gov/protein/WP_163000283.1?report=genbank&amp;log$=prottop&amp;blast_rank=221&amp;RID=8XN3MCU5013","WP_163000283.1")</f>
        <v>WP_163000283.1</v>
      </c>
    </row>
    <row r="173" spans="1:5">
      <c r="A173" s="4" t="s">
        <v>393</v>
      </c>
      <c r="B173" s="9">
        <v>0.94</v>
      </c>
      <c r="C173" s="10">
        <v>3.0000000000000001E-74</v>
      </c>
      <c r="D173" s="5">
        <v>42.77</v>
      </c>
      <c r="E173" s="11" t="str">
        <f>HYPERLINK("https://www.ncbi.nlm.nih.gov/protein/WP_193877679.1?report=genbank&amp;log$=prottop&amp;blast_rank=283&amp;RID=8XN3MCU5013","WP_193877679.1")</f>
        <v>WP_193877679.1</v>
      </c>
    </row>
    <row r="174" spans="1:5">
      <c r="A174" s="4" t="s">
        <v>306</v>
      </c>
      <c r="B174" s="9">
        <v>0.99</v>
      </c>
      <c r="C174" s="10">
        <v>4.0000000000000001E-87</v>
      </c>
      <c r="D174" s="5">
        <v>42.7</v>
      </c>
      <c r="E174" s="11" t="str">
        <f>HYPERLINK("https://www.ncbi.nlm.nih.gov/protein/WP_099682683.1?report=genbank&amp;log$=prottop&amp;blast_rank=152&amp;RID=8XN3MCU5013","WP_099682683.1")</f>
        <v>WP_099682683.1</v>
      </c>
    </row>
    <row r="175" spans="1:5">
      <c r="A175" s="4" t="s">
        <v>129</v>
      </c>
      <c r="B175" s="9">
        <v>0.92</v>
      </c>
      <c r="C175" s="10">
        <v>3.0000000000000002E-90</v>
      </c>
      <c r="D175" s="5">
        <v>42.59</v>
      </c>
      <c r="E175" s="11" t="str">
        <f>HYPERLINK("https://www.ncbi.nlm.nih.gov/protein/MDC5366358.1?report=genbank&amp;log$=prottop&amp;blast_rank=120&amp;RID=8XN3MCU5013","MDC5366358.1")</f>
        <v>MDC5366358.1</v>
      </c>
    </row>
    <row r="176" spans="1:5">
      <c r="A176" s="4" t="s">
        <v>129</v>
      </c>
      <c r="B176" s="9">
        <v>0.97</v>
      </c>
      <c r="C176" s="10">
        <v>2.0000000000000001E-89</v>
      </c>
      <c r="D176" s="5">
        <v>42.53</v>
      </c>
      <c r="E176" s="11" t="str">
        <f>HYPERLINK("https://www.ncbi.nlm.nih.gov/protein/HEN9535225.1?report=genbank&amp;log$=prottop&amp;blast_rank=128&amp;RID=8XN3MCU5013","HEN9535225.1")</f>
        <v>HEN9535225.1</v>
      </c>
    </row>
    <row r="177" spans="1:5">
      <c r="A177" s="4" t="s">
        <v>392</v>
      </c>
      <c r="B177" s="9">
        <v>0.96</v>
      </c>
      <c r="C177" s="10">
        <v>1.9999999999999999E-74</v>
      </c>
      <c r="D177" s="5">
        <v>42.53</v>
      </c>
      <c r="E177" s="11" t="str">
        <f>HYPERLINK("https://www.ncbi.nlm.nih.gov/protein/WP_143219504.1?report=genbank&amp;log$=prottop&amp;blast_rank=281&amp;RID=8XN3MCU5013","WP_143219504.1")</f>
        <v>WP_143219504.1</v>
      </c>
    </row>
    <row r="178" spans="1:5">
      <c r="A178" s="4" t="s">
        <v>329</v>
      </c>
      <c r="B178" s="9">
        <v>0.9</v>
      </c>
      <c r="C178" s="10">
        <v>2.0000000000000001E-83</v>
      </c>
      <c r="D178" s="5">
        <v>42.5</v>
      </c>
      <c r="E178" s="11" t="str">
        <f>HYPERLINK("https://www.ncbi.nlm.nih.gov/protein/MBV6631350.1?report=genbank&amp;log$=prottop&amp;blast_rank=193&amp;RID=8XN3MCU5013","MBV6631350.1")</f>
        <v>MBV6631350.1</v>
      </c>
    </row>
    <row r="179" spans="1:5">
      <c r="A179" s="4" t="s">
        <v>283</v>
      </c>
      <c r="B179" s="9">
        <v>0.86</v>
      </c>
      <c r="C179" s="10">
        <v>9.9999999999999996E-83</v>
      </c>
      <c r="D179" s="5">
        <v>42.38</v>
      </c>
      <c r="E179" s="11" t="str">
        <f>HYPERLINK("https://www.ncbi.nlm.nih.gov/protein/WP_220272308.1?report=genbank&amp;log$=prottop&amp;blast_rank=199&amp;RID=8XN3MCU5013","WP_220272308.1")</f>
        <v>WP_220272308.1</v>
      </c>
    </row>
    <row r="180" spans="1:5">
      <c r="A180" s="4" t="s">
        <v>281</v>
      </c>
      <c r="B180" s="9">
        <v>1</v>
      </c>
      <c r="C180" s="10">
        <v>3.0000000000000001E-92</v>
      </c>
      <c r="D180" s="5">
        <v>42.37</v>
      </c>
      <c r="E180" s="11" t="str">
        <f>HYPERLINK("https://www.ncbi.nlm.nih.gov/protein/WP_268436415.1?report=genbank&amp;log$=prottop&amp;blast_rank=101&amp;RID=8XN3MCU5013","WP_268436415.1")</f>
        <v>WP_268436415.1</v>
      </c>
    </row>
    <row r="181" spans="1:5">
      <c r="A181" s="4" t="s">
        <v>286</v>
      </c>
      <c r="B181" s="9">
        <v>1</v>
      </c>
      <c r="C181" s="10">
        <v>3.0000000000000002E-91</v>
      </c>
      <c r="D181" s="5">
        <v>42.37</v>
      </c>
      <c r="E181" s="11" t="str">
        <f>HYPERLINK("https://www.ncbi.nlm.nih.gov/protein/WP_106056008.1?report=genbank&amp;log$=prottop&amp;blast_rank=113&amp;RID=8XN3MCU5013","WP_106056008.1")</f>
        <v>WP_106056008.1</v>
      </c>
    </row>
    <row r="182" spans="1:5">
      <c r="A182" s="4" t="s">
        <v>284</v>
      </c>
      <c r="B182" s="9">
        <v>1</v>
      </c>
      <c r="C182" s="10">
        <v>8.9999999999999995E-91</v>
      </c>
      <c r="D182" s="5">
        <v>42.37</v>
      </c>
      <c r="E182" s="11" t="str">
        <f>HYPERLINK("https://www.ncbi.nlm.nih.gov/protein/WP_051404183.1?report=genbank&amp;log$=prottop&amp;blast_rank=117&amp;RID=8XN3MCU5013","WP_051404183.1")</f>
        <v>WP_051404183.1</v>
      </c>
    </row>
    <row r="183" spans="1:5">
      <c r="A183" s="4" t="s">
        <v>328</v>
      </c>
      <c r="B183" s="9">
        <v>0.97</v>
      </c>
      <c r="C183" s="10">
        <v>1E-83</v>
      </c>
      <c r="D183" s="5">
        <v>42.37</v>
      </c>
      <c r="E183" s="11" t="str">
        <f>HYPERLINK("https://www.ncbi.nlm.nih.gov/protein/MCK4368107.1?report=genbank&amp;log$=prottop&amp;blast_rank=192&amp;RID=8XN3MCU5013","MCK4368107.1")</f>
        <v>MCK4368107.1</v>
      </c>
    </row>
    <row r="184" spans="1:5">
      <c r="A184" s="4" t="s">
        <v>129</v>
      </c>
      <c r="B184" s="9">
        <v>0.97</v>
      </c>
      <c r="C184" s="10">
        <v>9.999999999999999E-94</v>
      </c>
      <c r="D184" s="5">
        <v>42.35</v>
      </c>
      <c r="E184" s="11" t="str">
        <f>HYPERLINK("https://www.ncbi.nlm.nih.gov/protein/MCZ3129148.1?report=genbank&amp;log$=prottop&amp;blast_rank=85&amp;RID=8XN3MCU5013","MCZ3129148.1")</f>
        <v>MCZ3129148.1</v>
      </c>
    </row>
    <row r="185" spans="1:5">
      <c r="A185" s="4" t="s">
        <v>403</v>
      </c>
      <c r="B185" s="9">
        <v>0.97</v>
      </c>
      <c r="C185" s="10">
        <v>1.9999999999999999E-72</v>
      </c>
      <c r="D185" s="5">
        <v>42.35</v>
      </c>
      <c r="E185" s="11" t="str">
        <f>HYPERLINK("https://www.ncbi.nlm.nih.gov/protein/KJR69526.1?report=genbank&amp;log$=prottop&amp;blast_rank=318&amp;RID=8XN3MCU5013","KJR69526.1")</f>
        <v>KJR69526.1</v>
      </c>
    </row>
    <row r="186" spans="1:5">
      <c r="A186" s="4" t="s">
        <v>356</v>
      </c>
      <c r="B186" s="9">
        <v>1</v>
      </c>
      <c r="C186" s="10">
        <v>1E-78</v>
      </c>
      <c r="D186" s="5">
        <v>42.29</v>
      </c>
      <c r="E186" s="11" t="str">
        <f>HYPERLINK("https://www.ncbi.nlm.nih.gov/protein/WP_086388586.1?report=genbank&amp;log$=prottop&amp;blast_rank=229&amp;RID=8XN3MCU5013","WP_086388586.1")</f>
        <v>WP_086388586.1</v>
      </c>
    </row>
    <row r="187" spans="1:5">
      <c r="A187" s="4" t="s">
        <v>129</v>
      </c>
      <c r="B187" s="9">
        <v>0.93</v>
      </c>
      <c r="C187" s="10">
        <v>2.0000000000000001E-84</v>
      </c>
      <c r="D187" s="5">
        <v>42.26</v>
      </c>
      <c r="E187" s="11" t="str">
        <f>HYPERLINK("https://www.ncbi.nlm.nih.gov/protein/WP_228257256.1?report=genbank&amp;log$=prottop&amp;blast_rank=177&amp;RID=8XN3MCU5013","WP_228257256.1")</f>
        <v>WP_228257256.1</v>
      </c>
    </row>
    <row r="188" spans="1:5">
      <c r="A188" s="4" t="s">
        <v>318</v>
      </c>
      <c r="B188" s="9">
        <v>0.94</v>
      </c>
      <c r="C188" s="10">
        <v>2.0000000000000001E-84</v>
      </c>
      <c r="D188" s="5">
        <v>42.26</v>
      </c>
      <c r="E188" s="11" t="str">
        <f>HYPERLINK("https://www.ncbi.nlm.nih.gov/protein/WP_138433654.1?report=genbank&amp;log$=prottop&amp;blast_rank=180&amp;RID=8XN3MCU5013","WP_138433654.1")</f>
        <v>WP_138433654.1</v>
      </c>
    </row>
    <row r="189" spans="1:5">
      <c r="A189" s="4" t="s">
        <v>333</v>
      </c>
      <c r="B189" s="9">
        <v>0.96</v>
      </c>
      <c r="C189" s="10">
        <v>8.9999999999999999E-83</v>
      </c>
      <c r="D189" s="5">
        <v>42.26</v>
      </c>
      <c r="E189" s="11" t="str">
        <f>HYPERLINK("https://www.ncbi.nlm.nih.gov/protein/WP_237154456.1?report=genbank&amp;log$=prottop&amp;blast_rank=198&amp;RID=8XN3MCU5013","WP_237154456.1")</f>
        <v>WP_237154456.1</v>
      </c>
    </row>
    <row r="190" spans="1:5">
      <c r="A190" s="4" t="s">
        <v>381</v>
      </c>
      <c r="B190" s="9">
        <v>0.95</v>
      </c>
      <c r="C190" s="10">
        <v>1.9999999999999999E-75</v>
      </c>
      <c r="D190" s="5">
        <v>42.26</v>
      </c>
      <c r="E190" s="11" t="str">
        <f>HYPERLINK("https://www.ncbi.nlm.nih.gov/protein/WP_320589204.1?report=genbank&amp;log$=prottop&amp;blast_rank=263&amp;RID=8XN3MCU5013","WP_320589204.1")</f>
        <v>WP_320589204.1</v>
      </c>
    </row>
    <row r="191" spans="1:5">
      <c r="A191" s="4" t="s">
        <v>280</v>
      </c>
      <c r="B191" s="9">
        <v>0.88</v>
      </c>
      <c r="C191" s="10">
        <v>2.0000000000000001E-84</v>
      </c>
      <c r="D191" s="5">
        <v>42.21</v>
      </c>
      <c r="E191" s="11" t="str">
        <f>HYPERLINK("https://www.ncbi.nlm.nih.gov/protein/EHI0278413.1?report=genbank&amp;log$=prottop&amp;blast_rank=182&amp;RID=8XN3MCU5013","EHI0278413.1")</f>
        <v>EHI0278413.1</v>
      </c>
    </row>
    <row r="192" spans="1:5">
      <c r="A192" s="4" t="s">
        <v>129</v>
      </c>
      <c r="B192" s="9">
        <v>0.97</v>
      </c>
      <c r="C192" s="10">
        <v>2E-92</v>
      </c>
      <c r="D192" s="5">
        <v>42.2</v>
      </c>
      <c r="E192" s="11" t="str">
        <f>HYPERLINK("https://www.ncbi.nlm.nih.gov/protein/WP_109847100.1?report=genbank&amp;log$=prottop&amp;blast_rank=98&amp;RID=8XN3MCU5013","WP_109847100.1")</f>
        <v>WP_109847100.1</v>
      </c>
    </row>
    <row r="193" spans="1:5">
      <c r="A193" s="4" t="s">
        <v>129</v>
      </c>
      <c r="B193" s="9">
        <v>0.97</v>
      </c>
      <c r="C193" s="10">
        <v>6.0000000000000003E-92</v>
      </c>
      <c r="D193" s="5">
        <v>42.2</v>
      </c>
      <c r="E193" s="11" t="str">
        <f>HYPERLINK("https://www.ncbi.nlm.nih.gov/protein/WP_272345862.1?report=genbank&amp;log$=prottop&amp;blast_rank=102&amp;RID=8XN3MCU5013","WP_272345862.1")</f>
        <v>WP_272345862.1</v>
      </c>
    </row>
    <row r="194" spans="1:5">
      <c r="A194" s="4" t="s">
        <v>308</v>
      </c>
      <c r="B194" s="9">
        <v>0.97</v>
      </c>
      <c r="C194" s="10">
        <v>1.0000000000000001E-86</v>
      </c>
      <c r="D194" s="5">
        <v>42.2</v>
      </c>
      <c r="E194" s="11" t="str">
        <f>HYPERLINK("https://www.ncbi.nlm.nih.gov/protein/MED4060261.1?report=genbank&amp;log$=prottop&amp;blast_rank=159&amp;RID=8XN3MCU5013","MED4060261.1")</f>
        <v>MED4060261.1</v>
      </c>
    </row>
    <row r="195" spans="1:5">
      <c r="A195" s="4" t="s">
        <v>268</v>
      </c>
      <c r="B195" s="9">
        <v>0.97</v>
      </c>
      <c r="C195" s="10">
        <v>2E-95</v>
      </c>
      <c r="D195" s="5">
        <v>42.11</v>
      </c>
      <c r="E195" s="11" t="str">
        <f>HYPERLINK("https://www.ncbi.nlm.nih.gov/protein/WP_337237710.1?report=genbank&amp;log$=prottop&amp;blast_rank=63&amp;RID=8XN3MCU5013","WP_337237710.1")</f>
        <v>WP_337237710.1</v>
      </c>
    </row>
    <row r="196" spans="1:5">
      <c r="A196" s="4" t="s">
        <v>269</v>
      </c>
      <c r="B196" s="9">
        <v>0.97</v>
      </c>
      <c r="C196" s="10">
        <v>3.0000000000000001E-95</v>
      </c>
      <c r="D196" s="5">
        <v>42.11</v>
      </c>
      <c r="E196" s="11" t="str">
        <f>HYPERLINK("https://www.ncbi.nlm.nih.gov/protein/WP_349468555.1?report=genbank&amp;log$=prottop&amp;blast_rank=64&amp;RID=8XN3MCU5013","WP_349468555.1")</f>
        <v>WP_349468555.1</v>
      </c>
    </row>
    <row r="197" spans="1:5">
      <c r="A197" s="4" t="s">
        <v>476</v>
      </c>
      <c r="B197" s="9">
        <v>0.92</v>
      </c>
      <c r="C197" s="10">
        <v>7.0000000000000001E-63</v>
      </c>
      <c r="D197" s="5">
        <v>41.98</v>
      </c>
      <c r="E197" s="11" t="str">
        <f>HYPERLINK("https://www.ncbi.nlm.nih.gov/protein/KFA97940.1?report=genbank&amp;log$=prottop&amp;blast_rank=495&amp;RID=8XN3MCU5013","KFA97940.1")</f>
        <v>KFA97940.1</v>
      </c>
    </row>
    <row r="198" spans="1:5">
      <c r="A198" s="4" t="s">
        <v>119</v>
      </c>
      <c r="B198" s="9">
        <v>0.97</v>
      </c>
      <c r="C198" s="10">
        <v>8.0000000000000003E-89</v>
      </c>
      <c r="D198" s="5">
        <v>41.95</v>
      </c>
      <c r="E198" s="11" t="str">
        <f>HYPERLINK("https://www.ncbi.nlm.nih.gov/protein/WP_002125325.1?report=genbank&amp;log$=prottop&amp;blast_rank=140&amp;RID=8XN3MCU5013","WP_002125325.1")</f>
        <v>WP_002125325.1</v>
      </c>
    </row>
    <row r="199" spans="1:5">
      <c r="A199" s="4" t="s">
        <v>284</v>
      </c>
      <c r="B199" s="9">
        <v>1</v>
      </c>
      <c r="C199" s="10">
        <v>3.0000000000000002E-91</v>
      </c>
      <c r="D199" s="5">
        <v>41.81</v>
      </c>
      <c r="E199" s="11" t="str">
        <f>HYPERLINK("https://www.ncbi.nlm.nih.gov/protein/MCY7604336.1?report=genbank&amp;log$=prottop&amp;blast_rank=111&amp;RID=8XN3MCU5013","MCY7604336.1")</f>
        <v>MCY7604336.1</v>
      </c>
    </row>
    <row r="200" spans="1:5">
      <c r="A200" s="4" t="s">
        <v>285</v>
      </c>
      <c r="B200" s="9">
        <v>1</v>
      </c>
      <c r="C200" s="10">
        <v>3.0000000000000002E-91</v>
      </c>
      <c r="D200" s="5">
        <v>41.81</v>
      </c>
      <c r="E200" s="11" t="str">
        <f>HYPERLINK("https://www.ncbi.nlm.nih.gov/protein/WP_052746859.1?report=genbank&amp;log$=prottop&amp;blast_rank=112&amp;RID=8XN3MCU5013","WP_052746859.1")</f>
        <v>WP_052746859.1</v>
      </c>
    </row>
    <row r="201" spans="1:5">
      <c r="A201" s="4" t="s">
        <v>358</v>
      </c>
      <c r="B201" s="9">
        <v>1</v>
      </c>
      <c r="C201" s="10">
        <v>2E-78</v>
      </c>
      <c r="D201" s="5">
        <v>41.71</v>
      </c>
      <c r="E201" s="11" t="str">
        <f>HYPERLINK("https://www.ncbi.nlm.nih.gov/protein/WP_065705121.1?report=genbank&amp;log$=prottop&amp;blast_rank=232&amp;RID=8XN3MCU5013","WP_065705121.1")</f>
        <v>WP_065705121.1</v>
      </c>
    </row>
    <row r="202" spans="1:5">
      <c r="A202" s="4" t="s">
        <v>298</v>
      </c>
      <c r="B202" s="9">
        <v>0.93</v>
      </c>
      <c r="C202" s="10">
        <v>4.0000000000000002E-89</v>
      </c>
      <c r="D202" s="5">
        <v>41.57</v>
      </c>
      <c r="E202" s="11" t="str">
        <f>HYPERLINK("https://www.ncbi.nlm.nih.gov/protein/RXS43250.1?report=genbank&amp;log$=prottop&amp;blast_rank=135&amp;RID=8XN3MCU5013","RXS43250.1")</f>
        <v>RXS43250.1</v>
      </c>
    </row>
    <row r="203" spans="1:5">
      <c r="A203" s="4" t="s">
        <v>259</v>
      </c>
      <c r="B203" s="9">
        <v>0.97</v>
      </c>
      <c r="C203" s="10">
        <v>1.9999999999999998E-96</v>
      </c>
      <c r="D203" s="5">
        <v>41.52</v>
      </c>
      <c r="E203" s="11" t="str">
        <f>HYPERLINK("https://www.ncbi.nlm.nih.gov/protein/WP_153673579.1?report=genbank&amp;log$=prottop&amp;blast_rank=51&amp;RID=8XN3MCU5013","WP_153673579.1")</f>
        <v>WP_153673579.1</v>
      </c>
    </row>
    <row r="204" spans="1:5">
      <c r="A204" s="4" t="s">
        <v>265</v>
      </c>
      <c r="B204" s="9">
        <v>0.97</v>
      </c>
      <c r="C204" s="10">
        <v>6.0000000000000003E-96</v>
      </c>
      <c r="D204" s="5">
        <v>41.52</v>
      </c>
      <c r="E204" s="11" t="str">
        <f>HYPERLINK("https://www.ncbi.nlm.nih.gov/protein/WP_313091612.1?report=genbank&amp;log$=prottop&amp;blast_rank=58&amp;RID=8XN3MCU5013","WP_313091612.1")</f>
        <v>WP_313091612.1</v>
      </c>
    </row>
    <row r="205" spans="1:5">
      <c r="A205" s="4" t="s">
        <v>297</v>
      </c>
      <c r="B205" s="9">
        <v>0.95</v>
      </c>
      <c r="C205" s="10">
        <v>4.0000000000000002E-89</v>
      </c>
      <c r="D205" s="5">
        <v>41.42</v>
      </c>
      <c r="E205" s="11" t="str">
        <f>HYPERLINK("https://www.ncbi.nlm.nih.gov/protein/NCN44104.1?report=genbank&amp;log$=prottop&amp;blast_rank=133&amp;RID=8XN3MCU5013","NCN44104.1")</f>
        <v>NCN44104.1</v>
      </c>
    </row>
    <row r="206" spans="1:5">
      <c r="A206" s="4" t="s">
        <v>387</v>
      </c>
      <c r="B206" s="9">
        <v>0.96</v>
      </c>
      <c r="C206" s="10">
        <v>5.9999999999999997E-75</v>
      </c>
      <c r="D206" s="5">
        <v>41.42</v>
      </c>
      <c r="E206" s="11" t="str">
        <f>HYPERLINK("https://www.ncbi.nlm.nih.gov/protein/WP_133822243.1?report=genbank&amp;log$=prottop&amp;blast_rank=272&amp;RID=8XN3MCU5013","WP_133822243.1")</f>
        <v>WP_133822243.1</v>
      </c>
    </row>
    <row r="207" spans="1:5">
      <c r="A207" s="4" t="s">
        <v>283</v>
      </c>
      <c r="B207" s="9">
        <v>0.88</v>
      </c>
      <c r="C207" s="10">
        <v>1.0000000000000001E-86</v>
      </c>
      <c r="D207" s="5">
        <v>41.4</v>
      </c>
      <c r="E207" s="11" t="str">
        <f>HYPERLINK("https://www.ncbi.nlm.nih.gov/protein/HAT3767176.1?report=genbank&amp;log$=prottop&amp;blast_rank=158&amp;RID=8XN3MCU5013","HAT3767176.1")</f>
        <v>HAT3767176.1</v>
      </c>
    </row>
    <row r="208" spans="1:5">
      <c r="A208" s="4" t="s">
        <v>129</v>
      </c>
      <c r="B208" s="9">
        <v>0.97</v>
      </c>
      <c r="C208" s="10">
        <v>9.9999999999999993E-89</v>
      </c>
      <c r="D208" s="5">
        <v>41.38</v>
      </c>
      <c r="E208" s="11" t="str">
        <f>HYPERLINK("https://www.ncbi.nlm.nih.gov/protein/WP_032043609.1?report=genbank&amp;log$=prottop&amp;blast_rank=141&amp;RID=8XN3MCU5013","WP_032043609.1")</f>
        <v>WP_032043609.1</v>
      </c>
    </row>
    <row r="209" spans="1:5">
      <c r="A209" s="4" t="s">
        <v>150</v>
      </c>
      <c r="B209" s="9">
        <v>0.87</v>
      </c>
      <c r="C209" s="10">
        <v>3.0000000000000003E-67</v>
      </c>
      <c r="D209" s="5">
        <v>41.29</v>
      </c>
      <c r="E209" s="11" t="str">
        <f>HYPERLINK("https://www.ncbi.nlm.nih.gov/protein/WGE07099.1?report=genbank&amp;log$=prottop&amp;blast_rank=432&amp;RID=8XN3MCU5013","WGE07099.1")</f>
        <v>WGE07099.1</v>
      </c>
    </row>
    <row r="210" spans="1:5">
      <c r="A210" s="4" t="s">
        <v>256</v>
      </c>
      <c r="B210" s="9">
        <v>0.97</v>
      </c>
      <c r="C210" s="10">
        <v>3.0000000000000002E-97</v>
      </c>
      <c r="D210" s="5">
        <v>41.28</v>
      </c>
      <c r="E210" s="11" t="str">
        <f>HYPERLINK("https://www.ncbi.nlm.nih.gov/protein/WP_272686145.1?report=genbank&amp;log$=prottop&amp;blast_rank=47&amp;RID=8XN3MCU5013","WP_272686145.1")</f>
        <v>WP_272686145.1</v>
      </c>
    </row>
    <row r="211" spans="1:5">
      <c r="A211" s="4" t="s">
        <v>295</v>
      </c>
      <c r="B211" s="9">
        <v>0.97</v>
      </c>
      <c r="C211" s="10">
        <v>2.0000000000000001E-89</v>
      </c>
      <c r="D211" s="5">
        <v>41.28</v>
      </c>
      <c r="E211" s="11" t="str">
        <f>HYPERLINK("https://www.ncbi.nlm.nih.gov/protein/WP_201666102.1?report=genbank&amp;log$=prottop&amp;blast_rank=127&amp;RID=8XN3MCU5013","WP_201666102.1")</f>
        <v>WP_201666102.1</v>
      </c>
    </row>
    <row r="212" spans="1:5">
      <c r="A212" s="4" t="s">
        <v>295</v>
      </c>
      <c r="B212" s="9">
        <v>0.97</v>
      </c>
      <c r="C212" s="10">
        <v>2.9999999999999999E-89</v>
      </c>
      <c r="D212" s="5">
        <v>41.28</v>
      </c>
      <c r="E212" s="11" t="str">
        <f>HYPERLINK("https://www.ncbi.nlm.nih.gov/protein/QCR84693.1?report=genbank&amp;log$=prottop&amp;blast_rank=132&amp;RID=8XN3MCU5013","QCR84693.1")</f>
        <v>QCR84693.1</v>
      </c>
    </row>
    <row r="213" spans="1:5">
      <c r="A213" s="4" t="s">
        <v>299</v>
      </c>
      <c r="B213" s="9">
        <v>0.97</v>
      </c>
      <c r="C213" s="10">
        <v>6.9999999999999994E-89</v>
      </c>
      <c r="D213" s="5">
        <v>41.28</v>
      </c>
      <c r="E213" s="11" t="str">
        <f>HYPERLINK("https://www.ncbi.nlm.nih.gov/protein/ALD64013.1?report=genbank&amp;log$=prottop&amp;blast_rank=139&amp;RID=8XN3MCU5013","ALD64013.1")</f>
        <v>ALD64013.1</v>
      </c>
    </row>
    <row r="214" spans="1:5">
      <c r="A214" s="4" t="s">
        <v>147</v>
      </c>
      <c r="B214" s="9">
        <v>0.97</v>
      </c>
      <c r="C214" s="10">
        <v>2E-85</v>
      </c>
      <c r="D214" s="5">
        <v>41.28</v>
      </c>
      <c r="E214" s="11" t="str">
        <f>HYPERLINK("https://www.ncbi.nlm.nih.gov/protein/WP_235471756.1?report=genbank&amp;log$=prottop&amp;blast_rank=171&amp;RID=8XN3MCU5013","WP_235471756.1")</f>
        <v>WP_235471756.1</v>
      </c>
    </row>
    <row r="215" spans="1:5">
      <c r="A215" s="4" t="s">
        <v>284</v>
      </c>
      <c r="B215" s="9">
        <v>1</v>
      </c>
      <c r="C215" s="10">
        <v>3.0000000000000002E-90</v>
      </c>
      <c r="D215" s="5">
        <v>41.24</v>
      </c>
      <c r="E215" s="11" t="str">
        <f>HYPERLINK("https://www.ncbi.nlm.nih.gov/protein/WP_144678759.1?report=genbank&amp;log$=prottop&amp;blast_rank=119&amp;RID=8XN3MCU5013","WP_144678759.1")</f>
        <v>WP_144678759.1</v>
      </c>
    </row>
    <row r="216" spans="1:5">
      <c r="A216" s="4" t="s">
        <v>342</v>
      </c>
      <c r="B216" s="9">
        <v>0.93</v>
      </c>
      <c r="C216" s="10">
        <v>1E-79</v>
      </c>
      <c r="D216" s="5">
        <v>41.21</v>
      </c>
      <c r="E216" s="11" t="str">
        <f>HYPERLINK("https://www.ncbi.nlm.nih.gov/protein/WP_162510584.1?report=genbank&amp;log$=prottop&amp;blast_rank=212&amp;RID=8XN3MCU5013","WP_162510584.1")</f>
        <v>WP_162510584.1</v>
      </c>
    </row>
    <row r="217" spans="1:5">
      <c r="A217" s="4" t="s">
        <v>440</v>
      </c>
      <c r="B217" s="9">
        <v>0.93</v>
      </c>
      <c r="C217" s="10">
        <v>1.9999999999999999E-69</v>
      </c>
      <c r="D217" s="5">
        <v>41.18</v>
      </c>
      <c r="E217" s="11" t="str">
        <f>HYPERLINK("https://www.ncbi.nlm.nih.gov/protein/MBS0374918.1?report=genbank&amp;log$=prottop&amp;blast_rank=390&amp;RID=8XN3MCU5013","MBS0374918.1")</f>
        <v>MBS0374918.1</v>
      </c>
    </row>
    <row r="218" spans="1:5">
      <c r="A218" s="4" t="s">
        <v>324</v>
      </c>
      <c r="B218" s="9">
        <v>0.96</v>
      </c>
      <c r="C218" s="10">
        <v>6.0000000000000002E-84</v>
      </c>
      <c r="D218" s="5">
        <v>41.07</v>
      </c>
      <c r="E218" s="11" t="str">
        <f>HYPERLINK("https://www.ncbi.nlm.nih.gov/protein/RYE26846.1?report=genbank&amp;log$=prottop&amp;blast_rank=187&amp;RID=8XN3MCU5013","RYE26846.1")</f>
        <v>RYE26846.1</v>
      </c>
    </row>
    <row r="219" spans="1:5">
      <c r="A219" s="4" t="s">
        <v>72</v>
      </c>
      <c r="B219" s="9">
        <v>0.97</v>
      </c>
      <c r="C219" s="10">
        <v>2E-91</v>
      </c>
      <c r="D219" s="5">
        <v>41.04</v>
      </c>
      <c r="E219" s="11" t="str">
        <f>HYPERLINK("https://www.ncbi.nlm.nih.gov/protein/WP_003652877.1?report=genbank&amp;log$=prottop&amp;blast_rank=110&amp;RID=8XN3MCU5013","WP_003652877.1")</f>
        <v>WP_003652877.1</v>
      </c>
    </row>
    <row r="220" spans="1:5">
      <c r="A220" s="4" t="s">
        <v>332</v>
      </c>
      <c r="B220" s="9">
        <v>0.97</v>
      </c>
      <c r="C220" s="10">
        <v>4.9999999999999998E-83</v>
      </c>
      <c r="D220" s="5">
        <v>40.98</v>
      </c>
      <c r="E220" s="11" t="str">
        <f>HYPERLINK("https://www.ncbi.nlm.nih.gov/protein/MBI2196100.1?report=genbank&amp;log$=prottop&amp;blast_rank=196&amp;RID=8XN3MCU5013","MBI2196100.1")</f>
        <v>MBI2196100.1</v>
      </c>
    </row>
    <row r="221" spans="1:5">
      <c r="A221" s="4" t="s">
        <v>407</v>
      </c>
      <c r="B221" s="9">
        <v>0.94</v>
      </c>
      <c r="C221" s="10">
        <v>4.9999999999999998E-73</v>
      </c>
      <c r="D221" s="5">
        <v>40.96</v>
      </c>
      <c r="E221" s="11" t="str">
        <f>HYPERLINK("https://www.ncbi.nlm.nih.gov/protein/WP_150034180.1?report=genbank&amp;log$=prottop&amp;blast_rank=305&amp;RID=8XN3MCU5013","WP_150034180.1")</f>
        <v>WP_150034180.1</v>
      </c>
    </row>
    <row r="222" spans="1:5">
      <c r="A222" s="4" t="s">
        <v>277</v>
      </c>
      <c r="B222" s="9">
        <v>0.97</v>
      </c>
      <c r="C222" s="10">
        <v>9.999999999999999E-94</v>
      </c>
      <c r="D222" s="5">
        <v>40.94</v>
      </c>
      <c r="E222" s="11" t="str">
        <f>HYPERLINK("https://www.ncbi.nlm.nih.gov/protein/WP_272689840.1?report=genbank&amp;log$=prottop&amp;blast_rank=83&amp;RID=8XN3MCU5013","WP_272689840.1")</f>
        <v>WP_272689840.1</v>
      </c>
    </row>
    <row r="223" spans="1:5">
      <c r="A223" s="4" t="s">
        <v>280</v>
      </c>
      <c r="B223" s="9">
        <v>0.97</v>
      </c>
      <c r="C223" s="10">
        <v>2E-90</v>
      </c>
      <c r="D223" s="5">
        <v>40.94</v>
      </c>
      <c r="E223" s="11" t="str">
        <f>HYPERLINK("https://www.ncbi.nlm.nih.gov/protein/EFH2760041.1?report=genbank&amp;log$=prottop&amp;blast_rank=118&amp;RID=8XN3MCU5013","EFH2760041.1")</f>
        <v>EFH2760041.1</v>
      </c>
    </row>
    <row r="224" spans="1:5">
      <c r="A224" s="4" t="s">
        <v>331</v>
      </c>
      <c r="B224" s="9">
        <v>0.97</v>
      </c>
      <c r="C224" s="10">
        <v>3.0000000000000001E-83</v>
      </c>
      <c r="D224" s="5">
        <v>40.94</v>
      </c>
      <c r="E224" s="11" t="str">
        <f>HYPERLINK("https://www.ncbi.nlm.nih.gov/protein/WP_003468126.1?report=genbank&amp;log$=prottop&amp;blast_rank=195&amp;RID=8XN3MCU5013","WP_003468126.1")</f>
        <v>WP_003468126.1</v>
      </c>
    </row>
    <row r="225" spans="1:5">
      <c r="A225" s="4" t="s">
        <v>411</v>
      </c>
      <c r="B225" s="9">
        <v>0.94</v>
      </c>
      <c r="C225" s="10">
        <v>9.9999999999999997E-73</v>
      </c>
      <c r="D225" s="5">
        <v>40.700000000000003</v>
      </c>
      <c r="E225" s="11" t="str">
        <f>HYPERLINK("https://www.ncbi.nlm.nih.gov/protein/WP_296135539.1?report=genbank&amp;log$=prottop&amp;blast_rank=310&amp;RID=8XN3MCU5013","WP_296135539.1")</f>
        <v>WP_296135539.1</v>
      </c>
    </row>
    <row r="226" spans="1:5">
      <c r="A226" s="4" t="s">
        <v>320</v>
      </c>
      <c r="B226" s="9">
        <v>0.92</v>
      </c>
      <c r="C226" s="10">
        <v>2.0000000000000001E-84</v>
      </c>
      <c r="D226" s="5">
        <v>40.61</v>
      </c>
      <c r="E226" s="11" t="str">
        <f>HYPERLINK("https://www.ncbi.nlm.nih.gov/protein/WP_084983991.1?report=genbank&amp;log$=prottop&amp;blast_rank=183&amp;RID=8XN3MCU5013","WP_084983991.1")</f>
        <v>WP_084983991.1</v>
      </c>
    </row>
    <row r="227" spans="1:5">
      <c r="A227" s="4" t="s">
        <v>339</v>
      </c>
      <c r="B227" s="9">
        <v>0.97</v>
      </c>
      <c r="C227" s="10">
        <v>7.0000000000000003E-80</v>
      </c>
      <c r="D227" s="5">
        <v>40.590000000000003</v>
      </c>
      <c r="E227" s="11" t="str">
        <f>HYPERLINK("https://www.ncbi.nlm.nih.gov/protein/WP_052679280.1?report=genbank&amp;log$=prottop&amp;blast_rank=209&amp;RID=8XN3MCU5013","WP_052679280.1")</f>
        <v>WP_052679280.1</v>
      </c>
    </row>
    <row r="228" spans="1:5">
      <c r="A228" s="4" t="s">
        <v>378</v>
      </c>
      <c r="B228" s="9">
        <v>0.97</v>
      </c>
      <c r="C228" s="10">
        <v>9.0000000000000001E-76</v>
      </c>
      <c r="D228" s="5">
        <v>40.590000000000003</v>
      </c>
      <c r="E228" s="11" t="str">
        <f>HYPERLINK("https://www.ncbi.nlm.nih.gov/protein/OFW28590.1?report=genbank&amp;log$=prottop&amp;blast_rank=260&amp;RID=8XN3MCU5013","OFW28590.1")</f>
        <v>OFW28590.1</v>
      </c>
    </row>
    <row r="229" spans="1:5">
      <c r="A229" s="4" t="s">
        <v>285</v>
      </c>
      <c r="B229" s="9">
        <v>1</v>
      </c>
      <c r="C229" s="10">
        <v>1E-73</v>
      </c>
      <c r="D229" s="5">
        <v>40.57</v>
      </c>
      <c r="E229" s="11" t="str">
        <f>HYPERLINK("https://www.ncbi.nlm.nih.gov/protein/WP_052510545.1?report=genbank&amp;log$=prottop&amp;blast_rank=295&amp;RID=8XN3MCU5013","WP_052510545.1")</f>
        <v>WP_052510545.1</v>
      </c>
    </row>
    <row r="230" spans="1:5">
      <c r="A230" s="4" t="s">
        <v>403</v>
      </c>
      <c r="B230" s="9">
        <v>1</v>
      </c>
      <c r="C230" s="10">
        <v>3.0000000000000001E-73</v>
      </c>
      <c r="D230" s="5">
        <v>40.57</v>
      </c>
      <c r="E230" s="11" t="str">
        <f>HYPERLINK("https://www.ncbi.nlm.nih.gov/protein/WP_160249306.1?report=genbank&amp;log$=prottop&amp;blast_rank=300&amp;RID=8XN3MCU5013","WP_160249306.1")</f>
        <v>WP_160249306.1</v>
      </c>
    </row>
    <row r="231" spans="1:5">
      <c r="A231" s="4" t="s">
        <v>408</v>
      </c>
      <c r="B231" s="9">
        <v>1</v>
      </c>
      <c r="C231" s="10">
        <v>4.9999999999999998E-73</v>
      </c>
      <c r="D231" s="5">
        <v>40.57</v>
      </c>
      <c r="E231" s="11" t="str">
        <f>HYPERLINK("https://www.ncbi.nlm.nih.gov/protein/WP_257731023.1?report=genbank&amp;log$=prottop&amp;blast_rank=306&amp;RID=8XN3MCU5013","WP_257731023.1")</f>
        <v>WP_257731023.1</v>
      </c>
    </row>
    <row r="232" spans="1:5">
      <c r="A232" s="4" t="s">
        <v>459</v>
      </c>
      <c r="B232" s="9">
        <v>0.95</v>
      </c>
      <c r="C232" s="10">
        <v>4.9999999999999999E-67</v>
      </c>
      <c r="D232" s="5">
        <v>40.479999999999997</v>
      </c>
      <c r="E232" s="11" t="str">
        <f>HYPERLINK("https://www.ncbi.nlm.nih.gov/protein/WP_343711924.1?report=genbank&amp;log$=prottop&amp;blast_rank=434&amp;RID=8XN3MCU5013","WP_343711924.1")</f>
        <v>WP_343711924.1</v>
      </c>
    </row>
    <row r="233" spans="1:5">
      <c r="A233" s="4" t="s">
        <v>129</v>
      </c>
      <c r="B233" s="9">
        <v>0.88</v>
      </c>
      <c r="C233" s="10">
        <v>8.0000000000000003E-84</v>
      </c>
      <c r="D233" s="5">
        <v>40.380000000000003</v>
      </c>
      <c r="E233" s="11" t="str">
        <f>HYPERLINK("https://www.ncbi.nlm.nih.gov/protein/WP_274799791.1?report=genbank&amp;log$=prottop&amp;blast_rank=189&amp;RID=8XN3MCU5013","WP_274799791.1")</f>
        <v>WP_274799791.1</v>
      </c>
    </row>
    <row r="234" spans="1:5">
      <c r="A234" s="4" t="s">
        <v>316</v>
      </c>
      <c r="B234" s="9">
        <v>0.97</v>
      </c>
      <c r="C234" s="10">
        <v>2.0000000000000001E-84</v>
      </c>
      <c r="D234" s="5">
        <v>40.340000000000003</v>
      </c>
      <c r="E234" s="11" t="str">
        <f>HYPERLINK("https://www.ncbi.nlm.nih.gov/protein/MDP2816041.1?report=genbank&amp;log$=prottop&amp;blast_rank=178&amp;RID=8XN3MCU5013","MDP2816041.1")</f>
        <v>MDP2816041.1</v>
      </c>
    </row>
    <row r="235" spans="1:5">
      <c r="A235" s="4" t="s">
        <v>414</v>
      </c>
      <c r="B235" s="9">
        <v>0.93</v>
      </c>
      <c r="C235" s="10">
        <v>3.0000000000000001E-72</v>
      </c>
      <c r="D235" s="5">
        <v>40.340000000000003</v>
      </c>
      <c r="E235" s="11" t="str">
        <f>HYPERLINK("https://www.ncbi.nlm.nih.gov/protein/MCE2717976.1?report=genbank&amp;log$=prottop&amp;blast_rank=325&amp;RID=8XN3MCU5013","MCE2717976.1")</f>
        <v>MCE2717976.1</v>
      </c>
    </row>
    <row r="236" spans="1:5">
      <c r="A236" s="4" t="s">
        <v>283</v>
      </c>
      <c r="B236" s="9">
        <v>0.97</v>
      </c>
      <c r="C236" s="10">
        <v>1E-91</v>
      </c>
      <c r="D236" s="5">
        <v>40.119999999999997</v>
      </c>
      <c r="E236" s="11" t="str">
        <f>HYPERLINK("https://www.ncbi.nlm.nih.gov/protein/WP_036421462.1?report=genbank&amp;log$=prottop&amp;blast_rank=108&amp;RID=8XN3MCU5013","WP_036421462.1")</f>
        <v>WP_036421462.1</v>
      </c>
    </row>
    <row r="237" spans="1:5">
      <c r="A237" s="4" t="s">
        <v>293</v>
      </c>
      <c r="B237" s="9">
        <v>0.97</v>
      </c>
      <c r="C237" s="10">
        <v>1E-89</v>
      </c>
      <c r="D237" s="5">
        <v>40.119999999999997</v>
      </c>
      <c r="E237" s="11" t="str">
        <f>HYPERLINK("https://www.ncbi.nlm.nih.gov/protein/MCU9603060.1?report=genbank&amp;log$=prottop&amp;blast_rank=125&amp;RID=8XN3MCU5013","MCU9603060.1")</f>
        <v>MCU9603060.1</v>
      </c>
    </row>
    <row r="238" spans="1:5">
      <c r="A238" s="4" t="s">
        <v>293</v>
      </c>
      <c r="B238" s="9">
        <v>0.97</v>
      </c>
      <c r="C238" s="10">
        <v>4.9999999999999997E-89</v>
      </c>
      <c r="D238" s="5">
        <v>40.119999999999997</v>
      </c>
      <c r="E238" s="11" t="str">
        <f>HYPERLINK("https://www.ncbi.nlm.nih.gov/protein/MBI6367377.1?report=genbank&amp;log$=prottop&amp;blast_rank=137&amp;RID=8XN3MCU5013","MBI6367377.1")</f>
        <v>MBI6367377.1</v>
      </c>
    </row>
    <row r="239" spans="1:5">
      <c r="A239" s="4" t="s">
        <v>293</v>
      </c>
      <c r="B239" s="9">
        <v>0.97</v>
      </c>
      <c r="C239" s="10">
        <v>5.9999999999999999E-89</v>
      </c>
      <c r="D239" s="5">
        <v>40.119999999999997</v>
      </c>
      <c r="E239" s="11" t="str">
        <f>HYPERLINK("https://www.ncbi.nlm.nih.gov/protein/WP_204371079.1?report=genbank&amp;log$=prottop&amp;blast_rank=138&amp;RID=8XN3MCU5013","WP_204371079.1")</f>
        <v>WP_204371079.1</v>
      </c>
    </row>
    <row r="240" spans="1:5">
      <c r="A240" s="4" t="s">
        <v>267</v>
      </c>
      <c r="B240" s="9">
        <v>0.97</v>
      </c>
      <c r="C240" s="10">
        <v>7.0000000000000002E-88</v>
      </c>
      <c r="D240" s="5">
        <v>40.119999999999997</v>
      </c>
      <c r="E240" s="11" t="str">
        <f>HYPERLINK("https://www.ncbi.nlm.nih.gov/protein/WP_208692933.1?report=genbank&amp;log$=prottop&amp;blast_rank=145&amp;RID=8XN3MCU5013","WP_208692933.1")</f>
        <v>WP_208692933.1</v>
      </c>
    </row>
    <row r="241" spans="1:5">
      <c r="A241" s="4" t="s">
        <v>307</v>
      </c>
      <c r="B241" s="9">
        <v>0.97</v>
      </c>
      <c r="C241" s="10">
        <v>8.9999999999999992E-87</v>
      </c>
      <c r="D241" s="5">
        <v>40.119999999999997</v>
      </c>
      <c r="E241" s="11" t="str">
        <f>HYPERLINK("https://www.ncbi.nlm.nih.gov/protein/WP_123754448.1?report=genbank&amp;log$=prottop&amp;blast_rank=156&amp;RID=8XN3MCU5013","WP_123754448.1")</f>
        <v>WP_123754448.1</v>
      </c>
    </row>
    <row r="242" spans="1:5">
      <c r="A242" s="4" t="s">
        <v>391</v>
      </c>
      <c r="B242" s="9">
        <v>0.95</v>
      </c>
      <c r="C242" s="10">
        <v>1.9999999999999999E-74</v>
      </c>
      <c r="D242" s="5">
        <v>39.880000000000003</v>
      </c>
      <c r="E242" s="11" t="str">
        <f>HYPERLINK("https://www.ncbi.nlm.nih.gov/protein/WP_346094001.1?report=genbank&amp;log$=prottop&amp;blast_rank=279&amp;RID=8XN3MCU5013","WP_346094001.1")</f>
        <v>WP_346094001.1</v>
      </c>
    </row>
    <row r="243" spans="1:5">
      <c r="A243" s="4" t="s">
        <v>259</v>
      </c>
      <c r="B243" s="9">
        <v>0.97</v>
      </c>
      <c r="C243" s="10">
        <v>2E-91</v>
      </c>
      <c r="D243" s="5">
        <v>39.770000000000003</v>
      </c>
      <c r="E243" s="11" t="str">
        <f>HYPERLINK("https://www.ncbi.nlm.nih.gov/protein/ELR5287152.1?report=genbank&amp;log$=prottop&amp;blast_rank=109&amp;RID=8XN3MCU5013","ELR5287152.1")</f>
        <v>ELR5287152.1</v>
      </c>
    </row>
    <row r="244" spans="1:5">
      <c r="A244" s="4" t="s">
        <v>311</v>
      </c>
      <c r="B244" s="9">
        <v>0.97</v>
      </c>
      <c r="C244" s="10">
        <v>3.9999999999999999E-85</v>
      </c>
      <c r="D244" s="5">
        <v>39.770000000000003</v>
      </c>
      <c r="E244" s="11" t="str">
        <f>HYPERLINK("https://www.ncbi.nlm.nih.gov/protein/WP_336654264.1?report=genbank&amp;log$=prottop&amp;blast_rank=173&amp;RID=8XN3MCU5013","WP_336654264.1")</f>
        <v>WP_336654264.1</v>
      </c>
    </row>
    <row r="245" spans="1:5">
      <c r="A245" s="4" t="s">
        <v>319</v>
      </c>
      <c r="B245" s="9">
        <v>0.94</v>
      </c>
      <c r="C245" s="10">
        <v>2.0000000000000001E-84</v>
      </c>
      <c r="D245" s="5">
        <v>39.76</v>
      </c>
      <c r="E245" s="11" t="str">
        <f>HYPERLINK("https://www.ncbi.nlm.nih.gov/protein/WP_191691503.1?report=genbank&amp;log$=prottop&amp;blast_rank=181&amp;RID=8XN3MCU5013","WP_191691503.1")</f>
        <v>WP_191691503.1</v>
      </c>
    </row>
    <row r="246" spans="1:5">
      <c r="A246" s="4" t="s">
        <v>283</v>
      </c>
      <c r="B246" s="9">
        <v>0.93</v>
      </c>
      <c r="C246" s="10">
        <v>7.0000000000000006E-83</v>
      </c>
      <c r="D246" s="5">
        <v>39.76</v>
      </c>
      <c r="E246" s="11" t="str">
        <f>HYPERLINK("https://www.ncbi.nlm.nih.gov/protein/WP_204962272.1?report=genbank&amp;log$=prottop&amp;blast_rank=197&amp;RID=8XN3MCU5013","WP_204962272.1")</f>
        <v>WP_204962272.1</v>
      </c>
    </row>
    <row r="247" spans="1:5">
      <c r="A247" s="4" t="s">
        <v>129</v>
      </c>
      <c r="B247" s="9">
        <v>0.97</v>
      </c>
      <c r="C247" s="10">
        <v>4.9999999999999997E-89</v>
      </c>
      <c r="D247" s="5">
        <v>39.659999999999997</v>
      </c>
      <c r="E247" s="11" t="str">
        <f>HYPERLINK("https://www.ncbi.nlm.nih.gov/protein/WP_101422960.1?report=genbank&amp;log$=prottop&amp;blast_rank=136&amp;RID=8XN3MCU5013","WP_101422960.1")</f>
        <v>WP_101422960.1</v>
      </c>
    </row>
    <row r="248" spans="1:5">
      <c r="A248" s="4" t="s">
        <v>304</v>
      </c>
      <c r="B248" s="9">
        <v>0.97</v>
      </c>
      <c r="C248" s="10">
        <v>2E-87</v>
      </c>
      <c r="D248" s="5">
        <v>39.53</v>
      </c>
      <c r="E248" s="11" t="str">
        <f>HYPERLINK("https://www.ncbi.nlm.nih.gov/protein/WP_205439495.1?report=genbank&amp;log$=prottop&amp;blast_rank=150&amp;RID=8XN3MCU5013","WP_205439495.1")</f>
        <v>WP_205439495.1</v>
      </c>
    </row>
    <row r="249" spans="1:5">
      <c r="A249" s="4" t="s">
        <v>94</v>
      </c>
      <c r="B249" s="9">
        <v>0.97</v>
      </c>
      <c r="C249" s="10">
        <v>8.0000000000000001E-87</v>
      </c>
      <c r="D249" s="5">
        <v>39.53</v>
      </c>
      <c r="E249" s="11" t="str">
        <f>HYPERLINK("https://www.ncbi.nlm.nih.gov/protein/WP_164543365.1?report=genbank&amp;log$=prottop&amp;blast_rank=155&amp;RID=8XN3MCU5013","WP_164543365.1")</f>
        <v>WP_164543365.1</v>
      </c>
    </row>
    <row r="250" spans="1:5">
      <c r="A250" s="4" t="s">
        <v>283</v>
      </c>
      <c r="B250" s="9">
        <v>0.97</v>
      </c>
      <c r="C250" s="10">
        <v>2.0000000000000002E-86</v>
      </c>
      <c r="D250" s="5">
        <v>39.409999999999997</v>
      </c>
      <c r="E250" s="11" t="str">
        <f>HYPERLINK("https://www.ncbi.nlm.nih.gov/protein/WP_111759584.1?report=genbank&amp;log$=prottop&amp;blast_rank=161&amp;RID=8XN3MCU5013","WP_111759584.1")</f>
        <v>WP_111759584.1</v>
      </c>
    </row>
    <row r="251" spans="1:5">
      <c r="A251" s="4" t="s">
        <v>361</v>
      </c>
      <c r="B251" s="9">
        <v>0.97</v>
      </c>
      <c r="C251" s="10">
        <v>4E-78</v>
      </c>
      <c r="D251" s="5">
        <v>39.409999999999997</v>
      </c>
      <c r="E251" s="11" t="str">
        <f>HYPERLINK("https://www.ncbi.nlm.nih.gov/protein/WP_240220875.1?report=genbank&amp;log$=prottop&amp;blast_rank=236&amp;RID=8XN3MCU5013","WP_240220875.1")</f>
        <v>WP_240220875.1</v>
      </c>
    </row>
    <row r="252" spans="1:5">
      <c r="A252" s="4" t="s">
        <v>410</v>
      </c>
      <c r="B252" s="9">
        <v>0.94</v>
      </c>
      <c r="C252" s="10">
        <v>8E-73</v>
      </c>
      <c r="D252" s="5">
        <v>39.409999999999997</v>
      </c>
      <c r="E252" s="11" t="str">
        <f>HYPERLINK("https://www.ncbi.nlm.nih.gov/protein/WP_066733513.1?report=genbank&amp;log$=prottop&amp;blast_rank=309&amp;RID=8XN3MCU5013","WP_066733513.1")</f>
        <v>WP_066733513.1</v>
      </c>
    </row>
    <row r="253" spans="1:5">
      <c r="A253" s="4" t="s">
        <v>323</v>
      </c>
      <c r="B253" s="9">
        <v>0.93</v>
      </c>
      <c r="C253" s="10">
        <v>5.0000000000000002E-84</v>
      </c>
      <c r="D253" s="5">
        <v>39.39</v>
      </c>
      <c r="E253" s="11" t="str">
        <f>HYPERLINK("https://www.ncbi.nlm.nih.gov/protein/WP_266193397.1?report=genbank&amp;log$=prottop&amp;blast_rank=186&amp;RID=8XN3MCU5013","WP_266193397.1")</f>
        <v>WP_266193397.1</v>
      </c>
    </row>
    <row r="254" spans="1:5">
      <c r="A254" s="4" t="s">
        <v>373</v>
      </c>
      <c r="B254" s="9">
        <v>0.96</v>
      </c>
      <c r="C254" s="10">
        <v>3.9999999999999997E-76</v>
      </c>
      <c r="D254" s="5">
        <v>39.31</v>
      </c>
      <c r="E254" s="11" t="str">
        <f>HYPERLINK("https://www.ncbi.nlm.nih.gov/protein/ELQ7838599.1?report=genbank&amp;log$=prottop&amp;blast_rank=255&amp;RID=8XN3MCU5013","ELQ7838599.1")</f>
        <v>ELQ7838599.1</v>
      </c>
    </row>
    <row r="255" spans="1:5">
      <c r="A255" s="4" t="s">
        <v>343</v>
      </c>
      <c r="B255" s="9">
        <v>0.98</v>
      </c>
      <c r="C255" s="10">
        <v>1E-79</v>
      </c>
      <c r="D255" s="5">
        <v>39.200000000000003</v>
      </c>
      <c r="E255" s="11" t="str">
        <f>HYPERLINK("https://www.ncbi.nlm.nih.gov/protein/WP_215831901.1?report=genbank&amp;log$=prottop&amp;blast_rank=213&amp;RID=8XN3MCU5013","WP_215831901.1")</f>
        <v>WP_215831901.1</v>
      </c>
    </row>
    <row r="256" spans="1:5">
      <c r="A256" s="4" t="s">
        <v>434</v>
      </c>
      <c r="B256" s="9">
        <v>0.97</v>
      </c>
      <c r="C256" s="10">
        <v>2E-70</v>
      </c>
      <c r="D256" s="5">
        <v>39.200000000000003</v>
      </c>
      <c r="E256" s="11" t="str">
        <f>HYPERLINK("https://www.ncbi.nlm.nih.gov/protein/HUT86179.1?report=genbank&amp;log$=prottop&amp;blast_rank=370&amp;RID=8XN3MCU5013","HUT86179.1")</f>
        <v>HUT86179.1</v>
      </c>
    </row>
    <row r="257" spans="1:5">
      <c r="A257" s="4" t="s">
        <v>317</v>
      </c>
      <c r="B257" s="9">
        <v>0.97</v>
      </c>
      <c r="C257" s="10">
        <v>2.0000000000000001E-84</v>
      </c>
      <c r="D257" s="5">
        <v>39.18</v>
      </c>
      <c r="E257" s="11" t="str">
        <f>HYPERLINK("https://www.ncbi.nlm.nih.gov/protein/WP_198328803.1?report=genbank&amp;log$=prottop&amp;blast_rank=179&amp;RID=8XN3MCU5013","WP_198328803.1")</f>
        <v>WP_198328803.1</v>
      </c>
    </row>
    <row r="258" spans="1:5">
      <c r="A258" s="4" t="s">
        <v>129</v>
      </c>
      <c r="B258" s="9">
        <v>0.97</v>
      </c>
      <c r="C258" s="10">
        <v>7.0000000000000002E-88</v>
      </c>
      <c r="D258" s="5">
        <v>39.08</v>
      </c>
      <c r="E258" s="11" t="str">
        <f>HYPERLINK("https://www.ncbi.nlm.nih.gov/protein/MDC5109287.1?report=genbank&amp;log$=prottop&amp;blast_rank=146&amp;RID=8XN3MCU5013","MDC5109287.1")</f>
        <v>MDC5109287.1</v>
      </c>
    </row>
    <row r="259" spans="1:5">
      <c r="A259" s="4" t="s">
        <v>267</v>
      </c>
      <c r="B259" s="9">
        <v>0.92</v>
      </c>
      <c r="C259" s="10">
        <v>3.0000000000000001E-80</v>
      </c>
      <c r="D259" s="5">
        <v>39.049999999999997</v>
      </c>
      <c r="E259" s="11" t="str">
        <f>HYPERLINK("https://www.ncbi.nlm.nih.gov/protein/WP_064187513.1?report=genbank&amp;log$=prottop&amp;blast_rank=208&amp;RID=8XN3MCU5013","WP_064187513.1")</f>
        <v>WP_064187513.1</v>
      </c>
    </row>
    <row r="260" spans="1:5">
      <c r="A260" s="4" t="s">
        <v>365</v>
      </c>
      <c r="B260" s="9">
        <v>0.96</v>
      </c>
      <c r="C260" s="10">
        <v>6.9999999999999999E-78</v>
      </c>
      <c r="D260" s="5">
        <v>39.049999999999997</v>
      </c>
      <c r="E260" s="11" t="str">
        <f>HYPERLINK("https://www.ncbi.nlm.nih.gov/protein/WP_285435616.1?report=genbank&amp;log$=prottop&amp;blast_rank=242&amp;RID=8XN3MCU5013","WP_285435616.1")</f>
        <v>WP_285435616.1</v>
      </c>
    </row>
    <row r="261" spans="1:5">
      <c r="A261" s="4" t="s">
        <v>334</v>
      </c>
      <c r="B261" s="9">
        <v>0.97</v>
      </c>
      <c r="C261" s="10">
        <v>9.9999999999999996E-83</v>
      </c>
      <c r="D261" s="5">
        <v>39</v>
      </c>
      <c r="E261" s="11" t="str">
        <f>HYPERLINK("https://www.ncbi.nlm.nih.gov/protein/WP_156921021.1?report=genbank&amp;log$=prottop&amp;blast_rank=200&amp;RID=8XN3MCU5013","WP_156921021.1")</f>
        <v>WP_156921021.1</v>
      </c>
    </row>
    <row r="262" spans="1:5">
      <c r="A262" s="4" t="s">
        <v>325</v>
      </c>
      <c r="B262" s="9">
        <v>1</v>
      </c>
      <c r="C262" s="10">
        <v>7.0000000000000002E-84</v>
      </c>
      <c r="D262" s="5">
        <v>38.979999999999997</v>
      </c>
      <c r="E262" s="11" t="str">
        <f>HYPERLINK("https://www.ncbi.nlm.nih.gov/protein/WP_268396245.1?report=genbank&amp;log$=prottop&amp;blast_rank=188&amp;RID=8XN3MCU5013","WP_268396245.1")</f>
        <v>WP_268396245.1</v>
      </c>
    </row>
    <row r="263" spans="1:5">
      <c r="A263" s="4" t="s">
        <v>283</v>
      </c>
      <c r="B263" s="9">
        <v>0.97</v>
      </c>
      <c r="C263" s="10">
        <v>2.0000000000000001E-89</v>
      </c>
      <c r="D263" s="5">
        <v>38.950000000000003</v>
      </c>
      <c r="E263" s="11" t="str">
        <f>HYPERLINK("https://www.ncbi.nlm.nih.gov/protein/ENG2091244.1?report=genbank&amp;log$=prottop&amp;blast_rank=129&amp;RID=8XN3MCU5013","ENG2091244.1")</f>
        <v>ENG2091244.1</v>
      </c>
    </row>
    <row r="264" spans="1:5">
      <c r="A264" s="4" t="s">
        <v>283</v>
      </c>
      <c r="B264" s="9">
        <v>0.97</v>
      </c>
      <c r="C264" s="10">
        <v>2.0000000000000001E-89</v>
      </c>
      <c r="D264" s="5">
        <v>38.950000000000003</v>
      </c>
      <c r="E264" s="11" t="str">
        <f>HYPERLINK("https://www.ncbi.nlm.nih.gov/protein/HCR3195079.1?report=genbank&amp;log$=prottop&amp;blast_rank=130&amp;RID=8XN3MCU5013","HCR3195079.1")</f>
        <v>HCR3195079.1</v>
      </c>
    </row>
    <row r="265" spans="1:5">
      <c r="A265" s="4" t="s">
        <v>275</v>
      </c>
      <c r="B265" s="9">
        <v>0.97</v>
      </c>
      <c r="C265" s="10">
        <v>1.0000000000000001E-86</v>
      </c>
      <c r="D265" s="5">
        <v>38.950000000000003</v>
      </c>
      <c r="E265" s="11" t="str">
        <f>HYPERLINK("https://www.ncbi.nlm.nih.gov/protein/WP_048322094.1?report=genbank&amp;log$=prottop&amp;blast_rank=157&amp;RID=8XN3MCU5013","WP_048322094.1")</f>
        <v>WP_048322094.1</v>
      </c>
    </row>
    <row r="266" spans="1:5">
      <c r="A266" s="4" t="s">
        <v>283</v>
      </c>
      <c r="B266" s="9">
        <v>0.97</v>
      </c>
      <c r="C266" s="10">
        <v>3.0000000000000001E-86</v>
      </c>
      <c r="D266" s="5">
        <v>38.950000000000003</v>
      </c>
      <c r="E266" s="11" t="str">
        <f>HYPERLINK("https://www.ncbi.nlm.nih.gov/protein/WP_214270578.1?report=genbank&amp;log$=prottop&amp;blast_rank=163&amp;RID=8XN3MCU5013","WP_214270578.1")</f>
        <v>WP_214270578.1</v>
      </c>
    </row>
    <row r="267" spans="1:5">
      <c r="A267" s="4" t="s">
        <v>262</v>
      </c>
      <c r="B267" s="9">
        <v>0.97</v>
      </c>
      <c r="C267" s="10">
        <v>3.0000000000000001E-86</v>
      </c>
      <c r="D267" s="5">
        <v>38.950000000000003</v>
      </c>
      <c r="E267" s="11" t="str">
        <f>HYPERLINK("https://www.ncbi.nlm.nih.gov/protein/WP_248911721.1?report=genbank&amp;log$=prottop&amp;blast_rank=164&amp;RID=8XN3MCU5013","WP_248911721.1")</f>
        <v>WP_248911721.1</v>
      </c>
    </row>
    <row r="268" spans="1:5">
      <c r="A268" s="4" t="s">
        <v>283</v>
      </c>
      <c r="B268" s="9">
        <v>0.97</v>
      </c>
      <c r="C268" s="10">
        <v>4.0000000000000003E-86</v>
      </c>
      <c r="D268" s="5">
        <v>38.950000000000003</v>
      </c>
      <c r="E268" s="11" t="str">
        <f>HYPERLINK("https://www.ncbi.nlm.nih.gov/protein/WP_138919863.1?report=genbank&amp;log$=prottop&amp;blast_rank=166&amp;RID=8XN3MCU5013","WP_138919863.1")</f>
        <v>WP_138919863.1</v>
      </c>
    </row>
    <row r="269" spans="1:5">
      <c r="A269" s="4" t="s">
        <v>312</v>
      </c>
      <c r="B269" s="9">
        <v>0.97</v>
      </c>
      <c r="C269" s="10">
        <v>4.9999999999999999E-86</v>
      </c>
      <c r="D269" s="5">
        <v>38.950000000000003</v>
      </c>
      <c r="E269" s="11" t="str">
        <f>HYPERLINK("https://www.ncbi.nlm.nih.gov/protein/WP_183476454.1?report=genbank&amp;log$=prottop&amp;blast_rank=167&amp;RID=8XN3MCU5013","WP_183476454.1")</f>
        <v>WP_183476454.1</v>
      </c>
    </row>
    <row r="270" spans="1:5">
      <c r="A270" s="4" t="s">
        <v>262</v>
      </c>
      <c r="B270" s="9">
        <v>0.97</v>
      </c>
      <c r="C270" s="10">
        <v>9.9999999999999998E-86</v>
      </c>
      <c r="D270" s="5">
        <v>38.950000000000003</v>
      </c>
      <c r="E270" s="11" t="str">
        <f>HYPERLINK("https://www.ncbi.nlm.nih.gov/protein/HEE0644382.1?report=genbank&amp;log$=prottop&amp;blast_rank=169&amp;RID=8XN3MCU5013","HEE0644382.1")</f>
        <v>HEE0644382.1</v>
      </c>
    </row>
    <row r="271" spans="1:5">
      <c r="A271" s="4" t="s">
        <v>379</v>
      </c>
      <c r="B271" s="9">
        <v>0.97</v>
      </c>
      <c r="C271" s="10">
        <v>9.9999999999999996E-76</v>
      </c>
      <c r="D271" s="5">
        <v>38.950000000000003</v>
      </c>
      <c r="E271" s="11" t="str">
        <f>HYPERLINK("https://www.ncbi.nlm.nih.gov/protein/WP_290489872.1?report=genbank&amp;log$=prottop&amp;blast_rank=261&amp;RID=8XN3MCU5013","WP_290489872.1")</f>
        <v>WP_290489872.1</v>
      </c>
    </row>
    <row r="272" spans="1:5">
      <c r="A272" s="4" t="s">
        <v>369</v>
      </c>
      <c r="B272" s="9">
        <v>0.97</v>
      </c>
      <c r="C272" s="10">
        <v>7.9999999999999994E-77</v>
      </c>
      <c r="D272" s="5">
        <v>38.86</v>
      </c>
      <c r="E272" s="11" t="str">
        <f>HYPERLINK("https://www.ncbi.nlm.nih.gov/protein/WP_166264721.1?report=genbank&amp;log$=prottop&amp;blast_rank=248&amp;RID=8XN3MCU5013","WP_166264721.1")</f>
        <v>WP_166264721.1</v>
      </c>
    </row>
    <row r="273" spans="1:5">
      <c r="A273" s="4" t="s">
        <v>283</v>
      </c>
      <c r="B273" s="9">
        <v>0.97</v>
      </c>
      <c r="C273" s="10">
        <v>2E-85</v>
      </c>
      <c r="D273" s="5">
        <v>38.82</v>
      </c>
      <c r="E273" s="11" t="str">
        <f>HYPERLINK("https://www.ncbi.nlm.nih.gov/protein/WP_305004202.1?report=genbank&amp;log$=prottop&amp;blast_rank=170&amp;RID=8XN3MCU5013","WP_305004202.1")</f>
        <v>WP_305004202.1</v>
      </c>
    </row>
    <row r="274" spans="1:5">
      <c r="A274" s="4" t="s">
        <v>372</v>
      </c>
      <c r="B274" s="9">
        <v>0.92</v>
      </c>
      <c r="C274" s="10">
        <v>3.0000000000000002E-76</v>
      </c>
      <c r="D274" s="5">
        <v>38.729999999999997</v>
      </c>
      <c r="E274" s="11" t="str">
        <f>HYPERLINK("https://www.ncbi.nlm.nih.gov/protein/MDP5338044.1?report=genbank&amp;log$=prottop&amp;blast_rank=254&amp;RID=8XN3MCU5013","MDP5338044.1")</f>
        <v>MDP5338044.1</v>
      </c>
    </row>
    <row r="275" spans="1:5">
      <c r="A275" s="4" t="s">
        <v>355</v>
      </c>
      <c r="B275" s="9">
        <v>0.92</v>
      </c>
      <c r="C275" s="10">
        <v>9.0000000000000006E-79</v>
      </c>
      <c r="D275" s="5">
        <v>38.65</v>
      </c>
      <c r="E275" s="11" t="str">
        <f>HYPERLINK("https://www.ncbi.nlm.nih.gov/protein/RKY78195.1?report=genbank&amp;log$=prottop&amp;blast_rank=228&amp;RID=8XN3MCU5013","RKY78195.1")</f>
        <v>RKY78195.1</v>
      </c>
    </row>
    <row r="276" spans="1:5">
      <c r="A276" s="4" t="s">
        <v>280</v>
      </c>
      <c r="B276" s="9">
        <v>0.97</v>
      </c>
      <c r="C276" s="10">
        <v>2E-87</v>
      </c>
      <c r="D276" s="5">
        <v>38.6</v>
      </c>
      <c r="E276" s="11" t="str">
        <f>HYPERLINK("https://www.ncbi.nlm.nih.gov/protein/WP_057107417.1?report=genbank&amp;log$=prottop&amp;blast_rank=149&amp;RID=8XN3MCU5013","WP_057107417.1")</f>
        <v>WP_057107417.1</v>
      </c>
    </row>
    <row r="277" spans="1:5">
      <c r="A277" s="4" t="s">
        <v>311</v>
      </c>
      <c r="B277" s="9">
        <v>0.97</v>
      </c>
      <c r="C277" s="10">
        <v>3.0000000000000001E-86</v>
      </c>
      <c r="D277" s="5">
        <v>38.6</v>
      </c>
      <c r="E277" s="11" t="str">
        <f>HYPERLINK("https://www.ncbi.nlm.nih.gov/protein/WP_306737951.1?report=genbank&amp;log$=prottop&amp;blast_rank=165&amp;RID=8XN3MCU5013","WP_306737951.1")</f>
        <v>WP_306737951.1</v>
      </c>
    </row>
    <row r="278" spans="1:5">
      <c r="A278" s="4" t="s">
        <v>321</v>
      </c>
      <c r="B278" s="9">
        <v>0.97</v>
      </c>
      <c r="C278" s="10">
        <v>3.0000000000000001E-84</v>
      </c>
      <c r="D278" s="5">
        <v>38.6</v>
      </c>
      <c r="E278" s="11" t="str">
        <f>HYPERLINK("https://www.ncbi.nlm.nih.gov/protein/WP_193031081.1?report=genbank&amp;log$=prottop&amp;blast_rank=184&amp;RID=8XN3MCU5013","WP_193031081.1")</f>
        <v>WP_193031081.1</v>
      </c>
    </row>
    <row r="279" spans="1:5">
      <c r="A279" s="4" t="s">
        <v>394</v>
      </c>
      <c r="B279" s="9">
        <v>0.96</v>
      </c>
      <c r="C279" s="10">
        <v>6.0000000000000001E-74</v>
      </c>
      <c r="D279" s="5">
        <v>38.6</v>
      </c>
      <c r="E279" s="11" t="str">
        <f>HYPERLINK("https://www.ncbi.nlm.nih.gov/protein/WP_104881526.1?report=genbank&amp;log$=prottop&amp;blast_rank=287&amp;RID=8XN3MCU5013","WP_104881526.1")</f>
        <v>WP_104881526.1</v>
      </c>
    </row>
    <row r="280" spans="1:5">
      <c r="A280" s="4" t="s">
        <v>395</v>
      </c>
      <c r="B280" s="9">
        <v>0.94</v>
      </c>
      <c r="C280" s="10">
        <v>7.0000000000000003E-74</v>
      </c>
      <c r="D280" s="5">
        <v>38.549999999999997</v>
      </c>
      <c r="E280" s="11" t="str">
        <f>HYPERLINK("https://www.ncbi.nlm.nih.gov/protein/WP_052769690.1?report=genbank&amp;log$=prottop&amp;blast_rank=288&amp;RID=8XN3MCU5013","WP_052769690.1")</f>
        <v>WP_052769690.1</v>
      </c>
    </row>
    <row r="281" spans="1:5">
      <c r="A281" s="4" t="s">
        <v>129</v>
      </c>
      <c r="B281" s="9">
        <v>0.91</v>
      </c>
      <c r="C281" s="10">
        <v>4E-78</v>
      </c>
      <c r="D281" s="5">
        <v>38.51</v>
      </c>
      <c r="E281" s="11" t="str">
        <f>HYPERLINK("https://www.ncbi.nlm.nih.gov/protein/WP_234693338.1?report=genbank&amp;log$=prottop&amp;blast_rank=238&amp;RID=8XN3MCU5013","WP_234693338.1")</f>
        <v>WP_234693338.1</v>
      </c>
    </row>
    <row r="282" spans="1:5">
      <c r="A282" s="4" t="s">
        <v>129</v>
      </c>
      <c r="B282" s="9">
        <v>0.91</v>
      </c>
      <c r="C282" s="10">
        <v>9.9999999999999993E-78</v>
      </c>
      <c r="D282" s="5">
        <v>38.51</v>
      </c>
      <c r="E282" s="11" t="str">
        <f>HYPERLINK("https://www.ncbi.nlm.nih.gov/protein/MDV7645783.1?report=genbank&amp;log$=prottop&amp;blast_rank=243&amp;RID=8XN3MCU5013","MDV7645783.1")</f>
        <v>MDV7645783.1</v>
      </c>
    </row>
    <row r="283" spans="1:5">
      <c r="A283" s="4" t="s">
        <v>129</v>
      </c>
      <c r="B283" s="9">
        <v>0.91</v>
      </c>
      <c r="C283" s="10">
        <v>1.9999999999999999E-77</v>
      </c>
      <c r="D283" s="5">
        <v>38.51</v>
      </c>
      <c r="E283" s="11" t="str">
        <f>HYPERLINK("https://www.ncbi.nlm.nih.gov/protein/WP_262124250.1?report=genbank&amp;log$=prottop&amp;blast_rank=246&amp;RID=8XN3MCU5013","WP_262124250.1")</f>
        <v>WP_262124250.1</v>
      </c>
    </row>
    <row r="284" spans="1:5">
      <c r="A284" s="4" t="s">
        <v>436</v>
      </c>
      <c r="B284" s="9">
        <v>0.97</v>
      </c>
      <c r="C284" s="10">
        <v>9.9999999999999996E-70</v>
      </c>
      <c r="D284" s="5">
        <v>38.51</v>
      </c>
      <c r="E284" s="11" t="str">
        <f>HYPERLINK("https://www.ncbi.nlm.nih.gov/protein/WP_128818361.1?report=genbank&amp;log$=prottop&amp;blast_rank=383&amp;RID=8XN3MCU5013","WP_128818361.1")</f>
        <v>WP_128818361.1</v>
      </c>
    </row>
    <row r="285" spans="1:5">
      <c r="A285" s="4" t="s">
        <v>386</v>
      </c>
      <c r="B285" s="9">
        <v>0.96</v>
      </c>
      <c r="C285" s="10">
        <v>3.9999999999999998E-75</v>
      </c>
      <c r="D285" s="5">
        <v>38.46</v>
      </c>
      <c r="E285" s="11" t="str">
        <f>HYPERLINK("https://www.ncbi.nlm.nih.gov/protein/WP_198717587.1?report=genbank&amp;log$=prottop&amp;blast_rank=270&amp;RID=8XN3MCU5013","WP_198717587.1")</f>
        <v>WP_198717587.1</v>
      </c>
    </row>
    <row r="286" spans="1:5">
      <c r="A286" s="4" t="s">
        <v>421</v>
      </c>
      <c r="B286" s="9">
        <v>1</v>
      </c>
      <c r="C286" s="10">
        <v>9.9999999999999992E-72</v>
      </c>
      <c r="D286" s="5">
        <v>38.42</v>
      </c>
      <c r="E286" s="11" t="str">
        <f>HYPERLINK("https://www.ncbi.nlm.nih.gov/protein/WIT27628.1?report=genbank&amp;log$=prottop&amp;blast_rank=343&amp;RID=8XN3MCU5013","WIT27628.1")</f>
        <v>WIT27628.1</v>
      </c>
    </row>
    <row r="287" spans="1:5">
      <c r="A287" s="4" t="s">
        <v>444</v>
      </c>
      <c r="B287" s="9">
        <v>0.96</v>
      </c>
      <c r="C287" s="10">
        <v>1.0000000000000001E-68</v>
      </c>
      <c r="D287" s="5">
        <v>38.369999999999997</v>
      </c>
      <c r="E287" s="11" t="str">
        <f>HYPERLINK("https://www.ncbi.nlm.nih.gov/protein/WP_158950356.1?report=genbank&amp;log$=prottop&amp;blast_rank=397&amp;RID=8XN3MCU5013","WP_158950356.1")</f>
        <v>WP_158950356.1</v>
      </c>
    </row>
    <row r="288" spans="1:5">
      <c r="A288" s="4" t="s">
        <v>352</v>
      </c>
      <c r="B288" s="9">
        <v>0.97</v>
      </c>
      <c r="C288" s="10">
        <v>8E-79</v>
      </c>
      <c r="D288" s="5">
        <v>38.29</v>
      </c>
      <c r="E288" s="11" t="str">
        <f>HYPERLINK("https://www.ncbi.nlm.nih.gov/protein/WNZ58231.1?report=genbank&amp;log$=prottop&amp;blast_rank=225&amp;RID=8XN3MCU5013","WNZ58231.1")</f>
        <v>WNZ58231.1</v>
      </c>
    </row>
    <row r="289" spans="1:5">
      <c r="A289" s="4" t="s">
        <v>409</v>
      </c>
      <c r="B289" s="9">
        <v>0.98</v>
      </c>
      <c r="C289" s="10">
        <v>8E-73</v>
      </c>
      <c r="D289" s="5">
        <v>38.25</v>
      </c>
      <c r="E289" s="11" t="str">
        <f>HYPERLINK("https://www.ncbi.nlm.nih.gov/protein/WP_018394534.1?report=genbank&amp;log$=prottop&amp;blast_rank=308&amp;RID=8XN3MCU5013","WP_018394534.1")</f>
        <v>WP_018394534.1</v>
      </c>
    </row>
    <row r="290" spans="1:5">
      <c r="A290" s="4" t="s">
        <v>366</v>
      </c>
      <c r="B290" s="9">
        <v>0.94</v>
      </c>
      <c r="C290" s="10">
        <v>1.9999999999999999E-77</v>
      </c>
      <c r="D290" s="5">
        <v>38.1</v>
      </c>
      <c r="E290" s="11" t="str">
        <f>HYPERLINK("https://www.ncbi.nlm.nih.gov/protein/WP_343633742.1?report=genbank&amp;log$=prottop&amp;blast_rank=244&amp;RID=8XN3MCU5013","WP_343633742.1")</f>
        <v>WP_343633742.1</v>
      </c>
    </row>
    <row r="291" spans="1:5">
      <c r="A291" s="4" t="s">
        <v>129</v>
      </c>
      <c r="B291" s="9">
        <v>0.97</v>
      </c>
      <c r="C291" s="10">
        <v>1.9999999999999999E-82</v>
      </c>
      <c r="D291" s="5">
        <v>38.01</v>
      </c>
      <c r="E291" s="11" t="str">
        <f>HYPERLINK("https://www.ncbi.nlm.nih.gov/protein/MDC4457885.1?report=genbank&amp;log$=prottop&amp;blast_rank=202&amp;RID=8XN3MCU5013","MDC4457885.1")</f>
        <v>MDC4457885.1</v>
      </c>
    </row>
    <row r="292" spans="1:5">
      <c r="A292" s="4" t="s">
        <v>406</v>
      </c>
      <c r="B292" s="9">
        <v>0.96</v>
      </c>
      <c r="C292" s="10">
        <v>4E-73</v>
      </c>
      <c r="D292" s="5">
        <v>38.01</v>
      </c>
      <c r="E292" s="11" t="str">
        <f>HYPERLINK("https://www.ncbi.nlm.nih.gov/protein/WP_322213827.1?report=genbank&amp;log$=prottop&amp;blast_rank=304&amp;RID=8XN3MCU5013","WP_322213827.1")</f>
        <v>WP_322213827.1</v>
      </c>
    </row>
    <row r="293" spans="1:5">
      <c r="A293" s="4" t="s">
        <v>336</v>
      </c>
      <c r="B293" s="9">
        <v>0.97</v>
      </c>
      <c r="C293" s="10">
        <v>9.9999999999999996E-82</v>
      </c>
      <c r="D293" s="5">
        <v>37.93</v>
      </c>
      <c r="E293" s="11" t="str">
        <f>HYPERLINK("https://www.ncbi.nlm.nih.gov/protein/WP_050740692.1?report=genbank&amp;log$=prottop&amp;blast_rank=204&amp;RID=8XN3MCU5013","WP_050740692.1")</f>
        <v>WP_050740692.1</v>
      </c>
    </row>
    <row r="294" spans="1:5">
      <c r="A294" s="4" t="s">
        <v>388</v>
      </c>
      <c r="B294" s="9">
        <v>0.93</v>
      </c>
      <c r="C294" s="10">
        <v>9.0000000000000006E-75</v>
      </c>
      <c r="D294" s="5">
        <v>37.909999999999997</v>
      </c>
      <c r="E294" s="11" t="str">
        <f>HYPERLINK("https://www.ncbi.nlm.nih.gov/protein/WP_322718092.1?report=genbank&amp;log$=prottop&amp;blast_rank=273&amp;RID=8XN3MCU5013","WP_322718092.1")</f>
        <v>WP_322718092.1</v>
      </c>
    </row>
    <row r="295" spans="1:5">
      <c r="A295" s="4" t="s">
        <v>405</v>
      </c>
      <c r="B295" s="9">
        <v>0.96</v>
      </c>
      <c r="C295" s="10">
        <v>4E-73</v>
      </c>
      <c r="D295" s="5">
        <v>37.869999999999997</v>
      </c>
      <c r="E295" s="11" t="str">
        <f>HYPERLINK("https://www.ncbi.nlm.nih.gov/protein/WP_066674256.1?report=genbank&amp;log$=prottop&amp;blast_rank=303&amp;RID=8XN3MCU5013","WP_066674256.1")</f>
        <v>WP_066674256.1</v>
      </c>
    </row>
    <row r="296" spans="1:5">
      <c r="A296" s="4" t="s">
        <v>383</v>
      </c>
      <c r="B296" s="9">
        <v>0.93</v>
      </c>
      <c r="C296" s="10">
        <v>1.9999999999999999E-75</v>
      </c>
      <c r="D296" s="5">
        <v>37.78</v>
      </c>
      <c r="E296" s="11" t="str">
        <f>HYPERLINK("https://www.ncbi.nlm.nih.gov/protein/WP_107806807.1?report=genbank&amp;log$=prottop&amp;blast_rank=265&amp;RID=8XN3MCU5013","WP_107806807.1")</f>
        <v>WP_107806807.1</v>
      </c>
    </row>
    <row r="297" spans="1:5">
      <c r="A297" s="4" t="s">
        <v>416</v>
      </c>
      <c r="B297" s="9">
        <v>0.92</v>
      </c>
      <c r="C297" s="10">
        <v>3.9999999999999999E-72</v>
      </c>
      <c r="D297" s="5">
        <v>37.700000000000003</v>
      </c>
      <c r="E297" s="11" t="str">
        <f>HYPERLINK("https://www.ncbi.nlm.nih.gov/protein/MBD2518631.1?report=genbank&amp;log$=prottop&amp;blast_rank=331&amp;RID=8XN3MCU5013","MBD2518631.1")</f>
        <v>MBD2518631.1</v>
      </c>
    </row>
    <row r="298" spans="1:5">
      <c r="A298" s="4" t="s">
        <v>417</v>
      </c>
      <c r="B298" s="9">
        <v>0.93</v>
      </c>
      <c r="C298" s="10">
        <v>4.9999999999999996E-72</v>
      </c>
      <c r="D298" s="5">
        <v>37.700000000000003</v>
      </c>
      <c r="E298" s="11" t="str">
        <f>HYPERLINK("https://www.ncbi.nlm.nih.gov/protein/RCJ25428.1?report=genbank&amp;log$=prottop&amp;blast_rank=332&amp;RID=8XN3MCU5013","RCJ25428.1")</f>
        <v>RCJ25428.1</v>
      </c>
    </row>
    <row r="299" spans="1:5">
      <c r="A299" s="4" t="s">
        <v>344</v>
      </c>
      <c r="B299" s="9">
        <v>0.97</v>
      </c>
      <c r="C299" s="10">
        <v>1E-79</v>
      </c>
      <c r="D299" s="5">
        <v>37.57</v>
      </c>
      <c r="E299" s="11" t="str">
        <f>HYPERLINK("https://www.ncbi.nlm.nih.gov/protein/WP_317053645.1?report=genbank&amp;log$=prottop&amp;blast_rank=214&amp;RID=8XN3MCU5013","WP_317053645.1")</f>
        <v>WP_317053645.1</v>
      </c>
    </row>
    <row r="300" spans="1:5">
      <c r="A300" s="4" t="s">
        <v>428</v>
      </c>
      <c r="B300" s="9">
        <v>0.96</v>
      </c>
      <c r="C300" s="10">
        <v>6.9999999999999998E-71</v>
      </c>
      <c r="D300" s="5">
        <v>37.57</v>
      </c>
      <c r="E300" s="11" t="str">
        <f>HYPERLINK("https://www.ncbi.nlm.nih.gov/protein/MCX6765889.1?report=genbank&amp;log$=prottop&amp;blast_rank=361&amp;RID=8XN3MCU5013","MCX6765889.1")</f>
        <v>MCX6765889.1</v>
      </c>
    </row>
    <row r="301" spans="1:5">
      <c r="A301" s="4" t="s">
        <v>129</v>
      </c>
      <c r="B301" s="9">
        <v>0.97</v>
      </c>
      <c r="C301" s="10">
        <v>2.0000000000000001E-84</v>
      </c>
      <c r="D301" s="5">
        <v>37.43</v>
      </c>
      <c r="E301" s="11" t="str">
        <f>HYPERLINK("https://www.ncbi.nlm.nih.gov/protein/MDO7524237.1?report=genbank&amp;log$=prottop&amp;blast_rank=176&amp;RID=8XN3MCU5013","MDO7524237.1")</f>
        <v>MDO7524237.1</v>
      </c>
    </row>
    <row r="302" spans="1:5">
      <c r="A302" s="4" t="s">
        <v>389</v>
      </c>
      <c r="B302" s="9">
        <v>0.93</v>
      </c>
      <c r="C302" s="10">
        <v>9.9999999999999996E-75</v>
      </c>
      <c r="D302" s="5">
        <v>37.36</v>
      </c>
      <c r="E302" s="11" t="str">
        <f>HYPERLINK("https://www.ncbi.nlm.nih.gov/protein/WP_289798269.1?report=genbank&amp;log$=prottop&amp;blast_rank=274&amp;RID=8XN3MCU5013","WP_289798269.1")</f>
        <v>WP_289798269.1</v>
      </c>
    </row>
    <row r="303" spans="1:5">
      <c r="A303" s="4" t="s">
        <v>466</v>
      </c>
      <c r="B303" s="9">
        <v>0.97</v>
      </c>
      <c r="C303" s="10">
        <v>7.9999999999999998E-66</v>
      </c>
      <c r="D303" s="5">
        <v>37.36</v>
      </c>
      <c r="E303" s="11" t="str">
        <f>HYPERLINK("https://www.ncbi.nlm.nih.gov/protein/HZL62465.1?report=genbank&amp;log$=prottop&amp;blast_rank=461&amp;RID=8XN3MCU5013","HZL62465.1")</f>
        <v>HZL62465.1</v>
      </c>
    </row>
    <row r="304" spans="1:5">
      <c r="A304" s="4" t="s">
        <v>450</v>
      </c>
      <c r="B304" s="9">
        <v>0.81</v>
      </c>
      <c r="C304" s="10">
        <v>3E-68</v>
      </c>
      <c r="D304" s="5">
        <v>37.33</v>
      </c>
      <c r="E304" s="11" t="str">
        <f>HYPERLINK("https://www.ncbi.nlm.nih.gov/protein/NLI69747.1?report=genbank&amp;log$=prottop&amp;blast_rank=406&amp;RID=8XN3MCU5013","NLI69747.1")</f>
        <v>NLI69747.1</v>
      </c>
    </row>
    <row r="305" spans="1:5">
      <c r="A305" s="4" t="s">
        <v>197</v>
      </c>
      <c r="B305" s="9">
        <v>1</v>
      </c>
      <c r="C305" s="10">
        <v>8.9999999999999998E-74</v>
      </c>
      <c r="D305" s="5">
        <v>37.29</v>
      </c>
      <c r="E305" s="11" t="str">
        <f>HYPERLINK("https://www.ncbi.nlm.nih.gov/protein/WP_268494211.1?report=genbank&amp;log$=prottop&amp;blast_rank=291&amp;RID=8XN3MCU5013","WP_268494211.1")</f>
        <v>WP_268494211.1</v>
      </c>
    </row>
    <row r="306" spans="1:5">
      <c r="A306" s="4" t="s">
        <v>197</v>
      </c>
      <c r="B306" s="9">
        <v>1</v>
      </c>
      <c r="C306" s="10">
        <v>8E-73</v>
      </c>
      <c r="D306" s="5">
        <v>37.29</v>
      </c>
      <c r="E306" s="11" t="str">
        <f>HYPERLINK("https://www.ncbi.nlm.nih.gov/protein/WP_268504492.1?report=genbank&amp;log$=prottop&amp;blast_rank=307&amp;RID=8XN3MCU5013","WP_268504492.1")</f>
        <v>WP_268504492.1</v>
      </c>
    </row>
    <row r="307" spans="1:5">
      <c r="A307" s="4" t="s">
        <v>346</v>
      </c>
      <c r="B307" s="9">
        <v>0.97</v>
      </c>
      <c r="C307" s="10">
        <v>2E-79</v>
      </c>
      <c r="D307" s="5">
        <v>37.14</v>
      </c>
      <c r="E307" s="11" t="str">
        <f>HYPERLINK("https://www.ncbi.nlm.nih.gov/protein/WP_134292453.1?report=genbank&amp;log$=prottop&amp;blast_rank=216&amp;RID=8XN3MCU5013","WP_134292453.1")</f>
        <v>WP_134292453.1</v>
      </c>
    </row>
    <row r="308" spans="1:5">
      <c r="A308" s="4" t="s">
        <v>248</v>
      </c>
      <c r="B308" s="9">
        <v>0.97</v>
      </c>
      <c r="C308" s="10">
        <v>6E-65</v>
      </c>
      <c r="D308" s="5">
        <v>37.14</v>
      </c>
      <c r="E308" s="11" t="str">
        <f>HYPERLINK("https://www.ncbi.nlm.nih.gov/protein/EKT4469790.1?report=genbank&amp;log$=prottop&amp;blast_rank=476&amp;RID=8XN3MCU5013","EKT4469790.1")</f>
        <v>EKT4469790.1</v>
      </c>
    </row>
    <row r="309" spans="1:5">
      <c r="A309" s="4" t="s">
        <v>399</v>
      </c>
      <c r="B309" s="9">
        <v>0.92</v>
      </c>
      <c r="C309" s="10">
        <v>2E-73</v>
      </c>
      <c r="D309" s="5">
        <v>37.08</v>
      </c>
      <c r="E309" s="11" t="str">
        <f>HYPERLINK("https://www.ncbi.nlm.nih.gov/protein/MBI2302920.1?report=genbank&amp;log$=prottop&amp;blast_rank=296&amp;RID=8XN3MCU5013","MBI2302920.1")</f>
        <v>MBI2302920.1</v>
      </c>
    </row>
    <row r="310" spans="1:5">
      <c r="A310" s="4" t="s">
        <v>335</v>
      </c>
      <c r="B310" s="9">
        <v>0.97</v>
      </c>
      <c r="C310" s="10">
        <v>3.9999999999999998E-82</v>
      </c>
      <c r="D310" s="5">
        <v>37.06</v>
      </c>
      <c r="E310" s="11" t="str">
        <f>HYPERLINK("https://www.ncbi.nlm.nih.gov/protein/WP_282984723.1?report=genbank&amp;log$=prottop&amp;blast_rank=203&amp;RID=8XN3MCU5013","WP_282984723.1")</f>
        <v>WP_282984723.1</v>
      </c>
    </row>
    <row r="311" spans="1:5">
      <c r="A311" s="4" t="s">
        <v>337</v>
      </c>
      <c r="B311" s="9">
        <v>0.97</v>
      </c>
      <c r="C311" s="10">
        <v>5.9999999999999998E-81</v>
      </c>
      <c r="D311" s="5">
        <v>37.06</v>
      </c>
      <c r="E311" s="11" t="str">
        <f>HYPERLINK("https://www.ncbi.nlm.nih.gov/protein/HAV1523927.1?report=genbank&amp;log$=prottop&amp;blast_rank=206&amp;RID=8XN3MCU5013","HAV1523927.1")</f>
        <v>HAV1523927.1</v>
      </c>
    </row>
    <row r="312" spans="1:5">
      <c r="A312" s="4" t="s">
        <v>129</v>
      </c>
      <c r="B312" s="9">
        <v>0.94</v>
      </c>
      <c r="C312" s="10">
        <v>1.9999999999999999E-64</v>
      </c>
      <c r="D312" s="5">
        <v>37.06</v>
      </c>
      <c r="E312" s="11" t="str">
        <f>HYPERLINK("https://www.ncbi.nlm.nih.gov/protein/WP_140978664.1?report=genbank&amp;log$=prottop&amp;blast_rank=481&amp;RID=8XN3MCU5013","WP_140978664.1")</f>
        <v>WP_140978664.1</v>
      </c>
    </row>
    <row r="313" spans="1:5">
      <c r="A313" s="4" t="s">
        <v>430</v>
      </c>
      <c r="B313" s="9">
        <v>0.97</v>
      </c>
      <c r="C313" s="10">
        <v>7.9999999999999997E-64</v>
      </c>
      <c r="D313" s="5">
        <v>36.96</v>
      </c>
      <c r="E313" s="11" t="str">
        <f>HYPERLINK("https://www.ncbi.nlm.nih.gov/protein/MBM3576404.1?report=genbank&amp;log$=prottop&amp;blast_rank=489&amp;RID=8XN3MCU5013","MBM3576404.1")</f>
        <v>MBM3576404.1</v>
      </c>
    </row>
    <row r="314" spans="1:5">
      <c r="A314" s="4" t="s">
        <v>371</v>
      </c>
      <c r="B314" s="9">
        <v>0.96</v>
      </c>
      <c r="C314" s="10">
        <v>1.9999999999999999E-76</v>
      </c>
      <c r="D314" s="5">
        <v>36.78</v>
      </c>
      <c r="E314" s="11" t="str">
        <f>HYPERLINK("https://www.ncbi.nlm.nih.gov/protein/WP_345334137.1?report=genbank&amp;log$=prottop&amp;blast_rank=252&amp;RID=8XN3MCU5013","WP_345334137.1")</f>
        <v>WP_345334137.1</v>
      </c>
    </row>
    <row r="315" spans="1:5">
      <c r="A315" s="4" t="s">
        <v>447</v>
      </c>
      <c r="B315" s="9">
        <v>0.97</v>
      </c>
      <c r="C315" s="10">
        <v>2.0000000000000001E-68</v>
      </c>
      <c r="D315" s="5">
        <v>36.78</v>
      </c>
      <c r="E315" s="11" t="str">
        <f>HYPERLINK("https://www.ncbi.nlm.nih.gov/protein/WP_249586535.1?report=genbank&amp;log$=prottop&amp;blast_rank=402&amp;RID=8XN3MCU5013","WP_249586535.1")</f>
        <v>WP_249586535.1</v>
      </c>
    </row>
    <row r="316" spans="1:5">
      <c r="A316" s="4" t="s">
        <v>364</v>
      </c>
      <c r="B316" s="9">
        <v>0.94</v>
      </c>
      <c r="C316" s="10">
        <v>5.9999999999999998E-78</v>
      </c>
      <c r="D316" s="5">
        <v>36.75</v>
      </c>
      <c r="E316" s="11" t="str">
        <f>HYPERLINK("https://www.ncbi.nlm.nih.gov/protein/WP_141125148.1?report=genbank&amp;log$=prottop&amp;blast_rank=241&amp;RID=8XN3MCU5013","WP_141125148.1")</f>
        <v>WP_141125148.1</v>
      </c>
    </row>
    <row r="317" spans="1:5">
      <c r="A317" s="4" t="s">
        <v>423</v>
      </c>
      <c r="B317" s="9">
        <v>0.93</v>
      </c>
      <c r="C317" s="10">
        <v>9.9999999999999992E-72</v>
      </c>
      <c r="D317" s="5">
        <v>36.67</v>
      </c>
      <c r="E317" s="11" t="str">
        <f>HYPERLINK("https://www.ncbi.nlm.nih.gov/protein/WP_015217042.1?report=genbank&amp;log$=prottop&amp;blast_rank=346&amp;RID=8XN3MCU5013","WP_015217042.1")</f>
        <v>WP_015217042.1</v>
      </c>
    </row>
    <row r="318" spans="1:5">
      <c r="A318" s="4" t="s">
        <v>472</v>
      </c>
      <c r="B318" s="9">
        <v>0.85</v>
      </c>
      <c r="C318" s="10">
        <v>3.9999999999999999E-64</v>
      </c>
      <c r="D318" s="5">
        <v>36.67</v>
      </c>
      <c r="E318" s="11" t="str">
        <f>HYPERLINK("https://www.ncbi.nlm.nih.gov/protein/WP_085211389.1?report=genbank&amp;log$=prottop&amp;blast_rank=486&amp;RID=8XN3MCU5013","WP_085211389.1")</f>
        <v>WP_085211389.1</v>
      </c>
    </row>
    <row r="319" spans="1:5">
      <c r="A319" s="4" t="s">
        <v>367</v>
      </c>
      <c r="B319" s="9">
        <v>0.96</v>
      </c>
      <c r="C319" s="10">
        <v>1.9999999999999999E-77</v>
      </c>
      <c r="D319" s="5">
        <v>36.630000000000003</v>
      </c>
      <c r="E319" s="11" t="str">
        <f>HYPERLINK("https://www.ncbi.nlm.nih.gov/protein/WP_182677466.1?report=genbank&amp;log$=prottop&amp;blast_rank=245&amp;RID=8XN3MCU5013","WP_182677466.1")</f>
        <v>WP_182677466.1</v>
      </c>
    </row>
    <row r="320" spans="1:5">
      <c r="A320" s="4" t="s">
        <v>400</v>
      </c>
      <c r="B320" s="9">
        <v>0.97</v>
      </c>
      <c r="C320" s="10">
        <v>2E-73</v>
      </c>
      <c r="D320" s="5">
        <v>36.57</v>
      </c>
      <c r="E320" s="11" t="str">
        <f>HYPERLINK("https://www.ncbi.nlm.nih.gov/protein/WP_134326503.1?report=genbank&amp;log$=prottop&amp;blast_rank=297&amp;RID=8XN3MCU5013","WP_134326503.1")</f>
        <v>WP_134326503.1</v>
      </c>
    </row>
    <row r="321" spans="1:5">
      <c r="A321" s="4" t="s">
        <v>463</v>
      </c>
      <c r="B321" s="9">
        <v>0.92</v>
      </c>
      <c r="C321" s="10">
        <v>3.0000000000000002E-66</v>
      </c>
      <c r="D321" s="5">
        <v>36.53</v>
      </c>
      <c r="E321" s="11" t="str">
        <f>HYPERLINK("https://www.ncbi.nlm.nih.gov/protein/WP_168153017.1?report=genbank&amp;log$=prottop&amp;blast_rank=454&amp;RID=8XN3MCU5013","WP_168153017.1")</f>
        <v>WP_168153017.1</v>
      </c>
    </row>
    <row r="322" spans="1:5">
      <c r="A322" s="4" t="s">
        <v>121</v>
      </c>
      <c r="B322" s="9">
        <v>0.94</v>
      </c>
      <c r="C322" s="10">
        <v>3.0000000000000001E-64</v>
      </c>
      <c r="D322" s="5">
        <v>36.47</v>
      </c>
      <c r="E322" s="11" t="str">
        <f>HYPERLINK("https://www.ncbi.nlm.nih.gov/protein/HEM7531418.1?report=genbank&amp;log$=prottop&amp;blast_rank=482&amp;RID=8XN3MCU5013","HEM7531418.1")</f>
        <v>HEM7531418.1</v>
      </c>
    </row>
    <row r="323" spans="1:5">
      <c r="A323" s="4" t="s">
        <v>129</v>
      </c>
      <c r="B323" s="9">
        <v>0.94</v>
      </c>
      <c r="C323" s="10">
        <v>3.0000000000000001E-64</v>
      </c>
      <c r="D323" s="5">
        <v>36.47</v>
      </c>
      <c r="E323" s="11" t="str">
        <f>HYPERLINK("https://www.ncbi.nlm.nih.gov/protein/HDJ7835204.1?report=genbank&amp;log$=prottop&amp;blast_rank=483&amp;RID=8XN3MCU5013","HDJ7835204.1")</f>
        <v>HDJ7835204.1</v>
      </c>
    </row>
    <row r="324" spans="1:5">
      <c r="A324" s="4" t="s">
        <v>119</v>
      </c>
      <c r="B324" s="9">
        <v>0.94</v>
      </c>
      <c r="C324" s="10">
        <v>3.0000000000000001E-64</v>
      </c>
      <c r="D324" s="5">
        <v>36.47</v>
      </c>
      <c r="E324" s="11" t="str">
        <f>HYPERLINK("https://www.ncbi.nlm.nih.gov/protein/WP_004888402.1?report=genbank&amp;log$=prottop&amp;blast_rank=484&amp;RID=8XN3MCU5013","WP_004888402.1")</f>
        <v>WP_004888402.1</v>
      </c>
    </row>
    <row r="325" spans="1:5">
      <c r="A325" s="4" t="s">
        <v>121</v>
      </c>
      <c r="B325" s="9">
        <v>0.94</v>
      </c>
      <c r="C325" s="10">
        <v>3.0000000000000001E-64</v>
      </c>
      <c r="D325" s="5">
        <v>36.47</v>
      </c>
      <c r="E325" s="11" t="str">
        <f>HYPERLINK("https://www.ncbi.nlm.nih.gov/protein/WP_057082301.1?report=genbank&amp;log$=prottop&amp;blast_rank=485&amp;RID=8XN3MCU5013","WP_057082301.1")</f>
        <v>WP_057082301.1</v>
      </c>
    </row>
    <row r="326" spans="1:5">
      <c r="A326" s="4" t="s">
        <v>443</v>
      </c>
      <c r="B326" s="9">
        <v>0.92</v>
      </c>
      <c r="C326" s="10">
        <v>9.0000000000000002E-69</v>
      </c>
      <c r="D326" s="5">
        <v>36.42</v>
      </c>
      <c r="E326" s="11" t="str">
        <f>HYPERLINK("https://www.ncbi.nlm.nih.gov/protein/WP_299970432.1?report=genbank&amp;log$=prottop&amp;blast_rank=396&amp;RID=8XN3MCU5013","WP_299970432.1")</f>
        <v>WP_299970432.1</v>
      </c>
    </row>
    <row r="327" spans="1:5">
      <c r="A327" s="4" t="s">
        <v>292</v>
      </c>
      <c r="B327" s="9">
        <v>0.97</v>
      </c>
      <c r="C327" s="10">
        <v>1E-73</v>
      </c>
      <c r="D327" s="5">
        <v>36.36</v>
      </c>
      <c r="E327" s="11" t="str">
        <f>HYPERLINK("https://www.ncbi.nlm.nih.gov/protein/WP_071698664.1?report=genbank&amp;log$=prottop&amp;blast_rank=293&amp;RID=8XN3MCU5013","WP_071698664.1")</f>
        <v>WP_071698664.1</v>
      </c>
    </row>
    <row r="328" spans="1:5">
      <c r="A328" s="4" t="s">
        <v>341</v>
      </c>
      <c r="B328" s="9">
        <v>0.96</v>
      </c>
      <c r="C328" s="10">
        <v>9.0000000000000006E-80</v>
      </c>
      <c r="D328" s="5">
        <v>36.31</v>
      </c>
      <c r="E328" s="11" t="str">
        <f>HYPERLINK("https://www.ncbi.nlm.nih.gov/protein/WP_310515276.1?report=genbank&amp;log$=prottop&amp;blast_rank=211&amp;RID=8XN3MCU5013","WP_310515276.1")</f>
        <v>WP_310515276.1</v>
      </c>
    </row>
    <row r="329" spans="1:5">
      <c r="A329" s="4" t="s">
        <v>461</v>
      </c>
      <c r="B329" s="9">
        <v>0.97</v>
      </c>
      <c r="C329" s="10">
        <v>9.9999999999999998E-67</v>
      </c>
      <c r="D329" s="5">
        <v>36.26</v>
      </c>
      <c r="E329" s="11" t="str">
        <f>HYPERLINK("https://www.ncbi.nlm.nih.gov/protein/WP_161696415.1?report=genbank&amp;log$=prottop&amp;blast_rank=442&amp;RID=8XN3MCU5013","WP_161696415.1")</f>
        <v>WP_161696415.1</v>
      </c>
    </row>
    <row r="330" spans="1:5">
      <c r="A330" s="4" t="s">
        <v>446</v>
      </c>
      <c r="B330" s="9">
        <v>0.97</v>
      </c>
      <c r="C330" s="10">
        <v>1.0000000000000001E-68</v>
      </c>
      <c r="D330" s="5">
        <v>36.21</v>
      </c>
      <c r="E330" s="11" t="str">
        <f>HYPERLINK("https://www.ncbi.nlm.nih.gov/protein/WP_309049071.1?report=genbank&amp;log$=prottop&amp;blast_rank=399&amp;RID=8XN3MCU5013","WP_309049071.1")</f>
        <v>WP_309049071.1</v>
      </c>
    </row>
    <row r="331" spans="1:5">
      <c r="A331" s="4" t="s">
        <v>458</v>
      </c>
      <c r="B331" s="9">
        <v>0.98</v>
      </c>
      <c r="C331" s="10">
        <v>1.9999999999999999E-67</v>
      </c>
      <c r="D331" s="5">
        <v>36.21</v>
      </c>
      <c r="E331" s="11" t="str">
        <f>HYPERLINK("https://www.ncbi.nlm.nih.gov/protein/MDC0535543.1?report=genbank&amp;log$=prottop&amp;blast_rank=431&amp;RID=8XN3MCU5013","MDC0535543.1")</f>
        <v>MDC0535543.1</v>
      </c>
    </row>
    <row r="332" spans="1:5">
      <c r="A332" s="4" t="s">
        <v>471</v>
      </c>
      <c r="B332" s="9">
        <v>0.92</v>
      </c>
      <c r="C332" s="10">
        <v>7.0000000000000001E-65</v>
      </c>
      <c r="D332" s="5">
        <v>36.200000000000003</v>
      </c>
      <c r="E332" s="11" t="str">
        <f>HYPERLINK("https://www.ncbi.nlm.nih.gov/protein/WP_007121570.1?report=genbank&amp;log$=prottop&amp;blast_rank=478&amp;RID=8XN3MCU5013","WP_007121570.1")</f>
        <v>WP_007121570.1</v>
      </c>
    </row>
    <row r="333" spans="1:5">
      <c r="A333" s="4" t="s">
        <v>129</v>
      </c>
      <c r="B333" s="9">
        <v>0.94</v>
      </c>
      <c r="C333" s="10">
        <v>4.9999999999999998E-75</v>
      </c>
      <c r="D333" s="5">
        <v>36.090000000000003</v>
      </c>
      <c r="E333" s="11" t="str">
        <f>HYPERLINK("https://www.ncbi.nlm.nih.gov/protein/WP_065719055.1?report=genbank&amp;log$=prottop&amp;blast_rank=271&amp;RID=8XN3MCU5013","WP_065719055.1")</f>
        <v>WP_065719055.1</v>
      </c>
    </row>
    <row r="334" spans="1:5">
      <c r="A334" s="4" t="s">
        <v>452</v>
      </c>
      <c r="B334" s="9">
        <v>0.97</v>
      </c>
      <c r="C334" s="10">
        <v>9.9999999999999994E-68</v>
      </c>
      <c r="D334" s="5">
        <v>36.07</v>
      </c>
      <c r="E334" s="11" t="str">
        <f>HYPERLINK("https://www.ncbi.nlm.nih.gov/protein/HUV42974.1?report=genbank&amp;log$=prottop&amp;blast_rank=418&amp;RID=8XN3MCU5013","HUV42974.1")</f>
        <v>HUV42974.1</v>
      </c>
    </row>
    <row r="335" spans="1:5">
      <c r="A335" s="4" t="s">
        <v>462</v>
      </c>
      <c r="B335" s="9">
        <v>0.97</v>
      </c>
      <c r="C335" s="10">
        <v>9.9999999999999998E-67</v>
      </c>
      <c r="D335" s="5">
        <v>36.07</v>
      </c>
      <c r="E335" s="11" t="str">
        <f>HYPERLINK("https://www.ncbi.nlm.nih.gov/protein/OGY11168.1?report=genbank&amp;log$=prottop&amp;blast_rank=443&amp;RID=8XN3MCU5013","OGY11168.1")</f>
        <v>OGY11168.1</v>
      </c>
    </row>
    <row r="336" spans="1:5">
      <c r="A336" s="4" t="s">
        <v>34</v>
      </c>
      <c r="B336" s="9">
        <v>0.97</v>
      </c>
      <c r="C336" s="10">
        <v>7.0000000000000001E-66</v>
      </c>
      <c r="D336" s="5">
        <v>36.07</v>
      </c>
      <c r="E336" s="11" t="str">
        <f>HYPERLINK("https://www.ncbi.nlm.nih.gov/protein/MDO8571760.1?report=genbank&amp;log$=prottop&amp;blast_rank=459&amp;RID=8XN3MCU5013","MDO8571760.1")</f>
        <v>MDO8571760.1</v>
      </c>
    </row>
    <row r="337" spans="1:5">
      <c r="A337" s="4" t="s">
        <v>351</v>
      </c>
      <c r="B337" s="9">
        <v>0.96</v>
      </c>
      <c r="C337" s="10">
        <v>5E-79</v>
      </c>
      <c r="D337" s="5">
        <v>36.049999999999997</v>
      </c>
      <c r="E337" s="11" t="str">
        <f>HYPERLINK("https://www.ncbi.nlm.nih.gov/protein/WP_182741877.1?report=genbank&amp;log$=prottop&amp;blast_rank=224&amp;RID=8XN3MCU5013","WP_182741877.1")</f>
        <v>WP_182741877.1</v>
      </c>
    </row>
    <row r="338" spans="1:5">
      <c r="A338" s="4" t="s">
        <v>340</v>
      </c>
      <c r="B338" s="9">
        <v>0.97</v>
      </c>
      <c r="C338" s="10">
        <v>7.0000000000000003E-80</v>
      </c>
      <c r="D338" s="5">
        <v>35.880000000000003</v>
      </c>
      <c r="E338" s="11" t="str">
        <f>HYPERLINK("https://www.ncbi.nlm.nih.gov/protein/WP_213760395.1?report=genbank&amp;log$=prottop&amp;blast_rank=210&amp;RID=8XN3MCU5013","WP_213760395.1")</f>
        <v>WP_213760395.1</v>
      </c>
    </row>
    <row r="339" spans="1:5">
      <c r="A339" s="4" t="s">
        <v>246</v>
      </c>
      <c r="B339" s="9">
        <v>0.97</v>
      </c>
      <c r="C339" s="10">
        <v>3E-79</v>
      </c>
      <c r="D339" s="5">
        <v>35.880000000000003</v>
      </c>
      <c r="E339" s="11" t="str">
        <f>HYPERLINK("https://www.ncbi.nlm.nih.gov/protein/DAF30477.1?report=genbank&amp;log$=prottop&amp;blast_rank=218&amp;RID=8XN3MCU5013","DAF30477.1")</f>
        <v>DAF30477.1</v>
      </c>
    </row>
    <row r="340" spans="1:5">
      <c r="A340" s="4" t="s">
        <v>449</v>
      </c>
      <c r="B340" s="9">
        <v>0.93</v>
      </c>
      <c r="C340" s="10">
        <v>3E-68</v>
      </c>
      <c r="D340" s="5">
        <v>35.71</v>
      </c>
      <c r="E340" s="11" t="str">
        <f>HYPERLINK("https://www.ncbi.nlm.nih.gov/protein/WP_253538839.1?report=genbank&amp;log$=prottop&amp;blast_rank=405&amp;RID=8XN3MCU5013","WP_253538839.1")</f>
        <v>WP_253538839.1</v>
      </c>
    </row>
    <row r="341" spans="1:5">
      <c r="A341" s="4" t="s">
        <v>437</v>
      </c>
      <c r="B341" s="9">
        <v>0.97</v>
      </c>
      <c r="C341" s="10">
        <v>9.9999999999999996E-70</v>
      </c>
      <c r="D341" s="5">
        <v>35.67</v>
      </c>
      <c r="E341" s="11" t="str">
        <f>HYPERLINK("https://www.ncbi.nlm.nih.gov/protein/WP_071405731.1?report=genbank&amp;log$=prottop&amp;blast_rank=384&amp;RID=8XN3MCU5013","WP_071405731.1")</f>
        <v>WP_071405731.1</v>
      </c>
    </row>
    <row r="342" spans="1:5">
      <c r="A342" s="4" t="s">
        <v>468</v>
      </c>
      <c r="B342" s="9">
        <v>0.97</v>
      </c>
      <c r="C342" s="10">
        <v>1.9999999999999998E-65</v>
      </c>
      <c r="D342" s="5">
        <v>35.630000000000003</v>
      </c>
      <c r="E342" s="11" t="str">
        <f>HYPERLINK("https://www.ncbi.nlm.nih.gov/protein/WP_015234367.1?report=genbank&amp;log$=prottop&amp;blast_rank=466&amp;RID=8XN3MCU5013","WP_015234367.1")</f>
        <v>WP_015234367.1</v>
      </c>
    </row>
    <row r="343" spans="1:5">
      <c r="A343" s="4" t="s">
        <v>465</v>
      </c>
      <c r="B343" s="9">
        <v>0.96</v>
      </c>
      <c r="C343" s="10">
        <v>7.0000000000000001E-66</v>
      </c>
      <c r="D343" s="5">
        <v>35.56</v>
      </c>
      <c r="E343" s="11" t="str">
        <f>HYPERLINK("https://www.ncbi.nlm.nih.gov/protein/KKU80453.1?report=genbank&amp;log$=prottop&amp;blast_rank=460&amp;RID=8XN3MCU5013","KKU80453.1")</f>
        <v>KKU80453.1</v>
      </c>
    </row>
    <row r="344" spans="1:5">
      <c r="A344" s="4" t="s">
        <v>473</v>
      </c>
      <c r="B344" s="9">
        <v>0.93</v>
      </c>
      <c r="C344" s="10">
        <v>7.0000000000000006E-64</v>
      </c>
      <c r="D344" s="5">
        <v>35.54</v>
      </c>
      <c r="E344" s="11" t="str">
        <f>HYPERLINK("https://www.ncbi.nlm.nih.gov/protein/WP_141753675.1?report=genbank&amp;log$=prottop&amp;blast_rank=488&amp;RID=8XN3MCU5013","WP_141753675.1")</f>
        <v>WP_141753675.1</v>
      </c>
    </row>
    <row r="345" spans="1:5">
      <c r="A345" s="4" t="s">
        <v>438</v>
      </c>
      <c r="B345" s="9">
        <v>0.96</v>
      </c>
      <c r="C345" s="10">
        <v>9.9999999999999996E-70</v>
      </c>
      <c r="D345" s="5">
        <v>35.36</v>
      </c>
      <c r="E345" s="11" t="str">
        <f>HYPERLINK("https://www.ncbi.nlm.nih.gov/protein/MBE7524877.1?report=genbank&amp;log$=prottop&amp;blast_rank=385&amp;RID=8XN3MCU5013","MBE7524877.1")</f>
        <v>MBE7524877.1</v>
      </c>
    </row>
    <row r="346" spans="1:5">
      <c r="A346" s="4" t="s">
        <v>453</v>
      </c>
      <c r="B346" s="9">
        <v>0.96</v>
      </c>
      <c r="C346" s="10">
        <v>1.9999999999999999E-67</v>
      </c>
      <c r="D346" s="5">
        <v>35.36</v>
      </c>
      <c r="E346" s="11" t="str">
        <f>HYPERLINK("https://www.ncbi.nlm.nih.gov/protein/PIZ66813.1?report=genbank&amp;log$=prottop&amp;blast_rank=420&amp;RID=8XN3MCU5013","PIZ66813.1")</f>
        <v>PIZ66813.1</v>
      </c>
    </row>
    <row r="347" spans="1:5">
      <c r="A347" s="4" t="s">
        <v>420</v>
      </c>
      <c r="B347" s="9">
        <v>0.93</v>
      </c>
      <c r="C347" s="10">
        <v>9.0000000000000004E-72</v>
      </c>
      <c r="D347" s="5">
        <v>35.33</v>
      </c>
      <c r="E347" s="11" t="str">
        <f>HYPERLINK("https://www.ncbi.nlm.nih.gov/protein/WP_072100264.1?report=genbank&amp;log$=prottop&amp;blast_rank=340&amp;RID=8XN3MCU5013","WP_072100264.1")</f>
        <v>WP_072100264.1</v>
      </c>
    </row>
    <row r="348" spans="1:5">
      <c r="A348" s="4" t="s">
        <v>345</v>
      </c>
      <c r="B348" s="9">
        <v>0.97</v>
      </c>
      <c r="C348" s="10">
        <v>1E-79</v>
      </c>
      <c r="D348" s="5">
        <v>35.29</v>
      </c>
      <c r="E348" s="11" t="str">
        <f>HYPERLINK("https://www.ncbi.nlm.nih.gov/protein/WP_256027479.1?report=genbank&amp;log$=prottop&amp;blast_rank=215&amp;RID=8XN3MCU5013","WP_256027479.1")</f>
        <v>WP_256027479.1</v>
      </c>
    </row>
    <row r="349" spans="1:5">
      <c r="A349" s="4" t="s">
        <v>345</v>
      </c>
      <c r="B349" s="9">
        <v>0.97</v>
      </c>
      <c r="C349" s="10">
        <v>3E-79</v>
      </c>
      <c r="D349" s="5">
        <v>35.29</v>
      </c>
      <c r="E349" s="11" t="str">
        <f>HYPERLINK("https://www.ncbi.nlm.nih.gov/protein/HED6941711.1?report=genbank&amp;log$=prottop&amp;blast_rank=217&amp;RID=8XN3MCU5013","HED6941711.1")</f>
        <v>HED6941711.1</v>
      </c>
    </row>
    <row r="350" spans="1:5">
      <c r="A350" s="4" t="s">
        <v>347</v>
      </c>
      <c r="B350" s="9">
        <v>0.97</v>
      </c>
      <c r="C350" s="10">
        <v>4E-79</v>
      </c>
      <c r="D350" s="5">
        <v>35.29</v>
      </c>
      <c r="E350" s="11" t="str">
        <f>HYPERLINK("https://www.ncbi.nlm.nih.gov/protein/KAB0901143.1?report=genbank&amp;log$=prottop&amp;blast_rank=219&amp;RID=8XN3MCU5013","KAB0901143.1")</f>
        <v>KAB0901143.1</v>
      </c>
    </row>
    <row r="351" spans="1:5">
      <c r="A351" s="4" t="s">
        <v>347</v>
      </c>
      <c r="B351" s="9">
        <v>0.97</v>
      </c>
      <c r="C351" s="10">
        <v>5E-79</v>
      </c>
      <c r="D351" s="5">
        <v>35.29</v>
      </c>
      <c r="E351" s="11" t="str">
        <f>HYPERLINK("https://www.ncbi.nlm.nih.gov/protein/WP_105572766.1?report=genbank&amp;log$=prottop&amp;blast_rank=223&amp;RID=8XN3MCU5013","WP_105572766.1")</f>
        <v>WP_105572766.1</v>
      </c>
    </row>
    <row r="352" spans="1:5">
      <c r="A352" s="4" t="s">
        <v>275</v>
      </c>
      <c r="B352" s="9">
        <v>0.97</v>
      </c>
      <c r="C352" s="10">
        <v>9.9999999999999997E-73</v>
      </c>
      <c r="D352" s="5">
        <v>35.229999999999997</v>
      </c>
      <c r="E352" s="11" t="str">
        <f>HYPERLINK("https://www.ncbi.nlm.nih.gov/protein/WP_044703079.1?report=genbank&amp;log$=prottop&amp;blast_rank=311&amp;RID=8XN3MCU5013","WP_044703079.1")</f>
        <v>WP_044703079.1</v>
      </c>
    </row>
    <row r="353" spans="1:5">
      <c r="A353" s="4" t="s">
        <v>412</v>
      </c>
      <c r="B353" s="9">
        <v>0.97</v>
      </c>
      <c r="C353" s="10">
        <v>1.9999999999999999E-72</v>
      </c>
      <c r="D353" s="5">
        <v>35.229999999999997</v>
      </c>
      <c r="E353" s="11" t="str">
        <f>HYPERLINK("https://www.ncbi.nlm.nih.gov/protein/WP_048240887.1?report=genbank&amp;log$=prottop&amp;blast_rank=316&amp;RID=8XN3MCU5013","WP_048240887.1")</f>
        <v>WP_048240887.1</v>
      </c>
    </row>
    <row r="354" spans="1:5">
      <c r="A354" s="4" t="s">
        <v>413</v>
      </c>
      <c r="B354" s="9">
        <v>0.97</v>
      </c>
      <c r="C354" s="10">
        <v>1.9999999999999999E-72</v>
      </c>
      <c r="D354" s="5">
        <v>35.229999999999997</v>
      </c>
      <c r="E354" s="11" t="str">
        <f>HYPERLINK("https://www.ncbi.nlm.nih.gov/protein/HEF0124995.1?report=genbank&amp;log$=prottop&amp;blast_rank=320&amp;RID=8XN3MCU5013","HEF0124995.1")</f>
        <v>HEF0124995.1</v>
      </c>
    </row>
    <row r="355" spans="1:5">
      <c r="A355" s="4" t="s">
        <v>292</v>
      </c>
      <c r="B355" s="9">
        <v>0.97</v>
      </c>
      <c r="C355" s="10">
        <v>3.9999999999999999E-72</v>
      </c>
      <c r="D355" s="5">
        <v>35.229999999999997</v>
      </c>
      <c r="E355" s="11" t="str">
        <f>HYPERLINK("https://www.ncbi.nlm.nih.gov/protein/ENI6631706.1?report=genbank&amp;log$=prottop&amp;blast_rank=329&amp;RID=8XN3MCU5013","ENI6631706.1")</f>
        <v>ENI6631706.1</v>
      </c>
    </row>
    <row r="356" spans="1:5">
      <c r="A356" s="4" t="s">
        <v>292</v>
      </c>
      <c r="B356" s="9">
        <v>0.97</v>
      </c>
      <c r="C356" s="10">
        <v>3.9999999999999999E-72</v>
      </c>
      <c r="D356" s="5">
        <v>35.229999999999997</v>
      </c>
      <c r="E356" s="11" t="str">
        <f>HYPERLINK("https://www.ncbi.nlm.nih.gov/protein/EGT0627470.1?report=genbank&amp;log$=prottop&amp;blast_rank=330&amp;RID=8XN3MCU5013","EGT0627470.1")</f>
        <v>EGT0627470.1</v>
      </c>
    </row>
    <row r="357" spans="1:5">
      <c r="A357" s="4" t="s">
        <v>419</v>
      </c>
      <c r="B357" s="9">
        <v>0.97</v>
      </c>
      <c r="C357" s="10">
        <v>7E-72</v>
      </c>
      <c r="D357" s="5">
        <v>35.229999999999997</v>
      </c>
      <c r="E357" s="11" t="str">
        <f>HYPERLINK("https://www.ncbi.nlm.nih.gov/protein/WP_130236556.1?report=genbank&amp;log$=prottop&amp;blast_rank=337&amp;RID=8XN3MCU5013","WP_130236556.1")</f>
        <v>WP_130236556.1</v>
      </c>
    </row>
    <row r="358" spans="1:5">
      <c r="A358" s="4" t="s">
        <v>429</v>
      </c>
      <c r="B358" s="9">
        <v>0.97</v>
      </c>
      <c r="C358" s="10">
        <v>7.9999999999999993E-71</v>
      </c>
      <c r="D358" s="5">
        <v>35.229999999999997</v>
      </c>
      <c r="E358" s="11" t="str">
        <f>HYPERLINK("https://www.ncbi.nlm.nih.gov/protein/WP_107164413.1?report=genbank&amp;log$=prottop&amp;blast_rank=363&amp;RID=8XN3MCU5013","WP_107164413.1")</f>
        <v>WP_107164413.1</v>
      </c>
    </row>
    <row r="359" spans="1:5">
      <c r="A359" s="4" t="s">
        <v>347</v>
      </c>
      <c r="B359" s="9">
        <v>0.9</v>
      </c>
      <c r="C359" s="10">
        <v>5.0000000000000003E-69</v>
      </c>
      <c r="D359" s="5">
        <v>35.22</v>
      </c>
      <c r="E359" s="11" t="str">
        <f>HYPERLINK("https://www.ncbi.nlm.nih.gov/protein/EKK4003068.1?report=genbank&amp;log$=prottop&amp;blast_rank=393&amp;RID=8XN3MCU5013","EKK4003068.1")</f>
        <v>EKK4003068.1</v>
      </c>
    </row>
    <row r="360" spans="1:5">
      <c r="A360" s="4" t="s">
        <v>362</v>
      </c>
      <c r="B360" s="9">
        <v>0.95</v>
      </c>
      <c r="C360" s="10">
        <v>4E-78</v>
      </c>
      <c r="D360" s="5">
        <v>35.119999999999997</v>
      </c>
      <c r="E360" s="11" t="str">
        <f>HYPERLINK("https://www.ncbi.nlm.nih.gov/protein/WP_296823998.1?report=genbank&amp;log$=prottop&amp;blast_rank=237&amp;RID=8XN3MCU5013","WP_296823998.1")</f>
        <v>WP_296823998.1</v>
      </c>
    </row>
    <row r="361" spans="1:5">
      <c r="A361" s="4" t="s">
        <v>129</v>
      </c>
      <c r="B361" s="9">
        <v>0.94</v>
      </c>
      <c r="C361" s="10">
        <v>3.0000000000000001E-72</v>
      </c>
      <c r="D361" s="5">
        <v>35.119999999999997</v>
      </c>
      <c r="E361" s="11" t="str">
        <f>HYPERLINK("https://www.ncbi.nlm.nih.gov/protein/WP_001084012.1?report=genbank&amp;log$=prottop&amp;blast_rank=327&amp;RID=8XN3MCU5013","WP_001084012.1")</f>
        <v>WP_001084012.1</v>
      </c>
    </row>
    <row r="362" spans="1:5">
      <c r="A362" s="4" t="s">
        <v>357</v>
      </c>
      <c r="B362" s="9">
        <v>0.96</v>
      </c>
      <c r="C362" s="10">
        <v>1E-78</v>
      </c>
      <c r="D362" s="5">
        <v>34.880000000000003</v>
      </c>
      <c r="E362" s="11" t="str">
        <f>HYPERLINK("https://www.ncbi.nlm.nih.gov/protein/WP_197153078.1?report=genbank&amp;log$=prottop&amp;blast_rank=230&amp;RID=8XN3MCU5013","WP_197153078.1")</f>
        <v>WP_197153078.1</v>
      </c>
    </row>
    <row r="363" spans="1:5">
      <c r="A363" s="4" t="s">
        <v>401</v>
      </c>
      <c r="B363" s="9">
        <v>0.96</v>
      </c>
      <c r="C363" s="10">
        <v>3.0000000000000001E-73</v>
      </c>
      <c r="D363" s="5">
        <v>34.880000000000003</v>
      </c>
      <c r="E363" s="11" t="str">
        <f>HYPERLINK("https://www.ncbi.nlm.nih.gov/protein/PHZ28063.1?report=genbank&amp;log$=prottop&amp;blast_rank=298&amp;RID=8XN3MCU5013","PHZ28063.1")</f>
        <v>PHZ28063.1</v>
      </c>
    </row>
    <row r="364" spans="1:5">
      <c r="A364" s="4" t="s">
        <v>380</v>
      </c>
      <c r="B364" s="9">
        <v>0.97</v>
      </c>
      <c r="C364" s="10">
        <v>9.9999999999999996E-76</v>
      </c>
      <c r="D364" s="5">
        <v>34.86</v>
      </c>
      <c r="E364" s="11" t="str">
        <f>HYPERLINK("https://www.ncbi.nlm.nih.gov/protein/CAG0943683.1?report=genbank&amp;log$=prottop&amp;blast_rank=262&amp;RID=8XN3MCU5013","CAG0943683.1")</f>
        <v>CAG0943683.1</v>
      </c>
    </row>
    <row r="365" spans="1:5">
      <c r="A365" s="4" t="s">
        <v>474</v>
      </c>
      <c r="B365" s="9">
        <v>0.97</v>
      </c>
      <c r="C365" s="10">
        <v>7.9999999999999997E-64</v>
      </c>
      <c r="D365" s="5">
        <v>34.78</v>
      </c>
      <c r="E365" s="11" t="str">
        <f>HYPERLINK("https://www.ncbi.nlm.nih.gov/protein/HVM77888.1?report=genbank&amp;log$=prottop&amp;blast_rank=490&amp;RID=8XN3MCU5013","HVM77888.1")</f>
        <v>HVM77888.1</v>
      </c>
    </row>
    <row r="366" spans="1:5">
      <c r="A366" s="4" t="s">
        <v>360</v>
      </c>
      <c r="B366" s="9">
        <v>0.97</v>
      </c>
      <c r="C366" s="10">
        <v>2.9999999999999999E-78</v>
      </c>
      <c r="D366" s="5">
        <v>34.71</v>
      </c>
      <c r="E366" s="11" t="str">
        <f>HYPERLINK("https://www.ncbi.nlm.nih.gov/protein/WP_257116547.1?report=genbank&amp;log$=prottop&amp;blast_rank=234&amp;RID=8XN3MCU5013","WP_257116547.1")</f>
        <v>WP_257116547.1</v>
      </c>
    </row>
    <row r="367" spans="1:5">
      <c r="A367" s="4" t="s">
        <v>280</v>
      </c>
      <c r="B367" s="9">
        <v>0.97</v>
      </c>
      <c r="C367" s="10">
        <v>5.9999999999999998E-78</v>
      </c>
      <c r="D367" s="5">
        <v>34.71</v>
      </c>
      <c r="E367" s="11" t="str">
        <f>HYPERLINK("https://www.ncbi.nlm.nih.gov/protein/EIV7481133.1?report=genbank&amp;log$=prottop&amp;blast_rank=239&amp;RID=8XN3MCU5013","EIV7481133.1")</f>
        <v>EIV7481133.1</v>
      </c>
    </row>
    <row r="368" spans="1:5">
      <c r="A368" s="4" t="s">
        <v>292</v>
      </c>
      <c r="B368" s="9">
        <v>0.97</v>
      </c>
      <c r="C368" s="10">
        <v>9.9999999999999992E-72</v>
      </c>
      <c r="D368" s="5">
        <v>34.659999999999997</v>
      </c>
      <c r="E368" s="11" t="str">
        <f>HYPERLINK("https://www.ncbi.nlm.nih.gov/protein/WP_353417929.1?report=genbank&amp;log$=prottop&amp;blast_rank=342&amp;RID=8XN3MCU5013","WP_353417929.1")</f>
        <v>WP_353417929.1</v>
      </c>
    </row>
    <row r="369" spans="1:5">
      <c r="A369" s="4" t="s">
        <v>292</v>
      </c>
      <c r="B369" s="9">
        <v>0.97</v>
      </c>
      <c r="C369" s="10">
        <v>9.9999999999999992E-72</v>
      </c>
      <c r="D369" s="5">
        <v>34.659999999999997</v>
      </c>
      <c r="E369" s="11" t="str">
        <f>HYPERLINK("https://www.ncbi.nlm.nih.gov/protein/WP_200039267.1?report=genbank&amp;log$=prottop&amp;blast_rank=347&amp;RID=8XN3MCU5013","WP_200039267.1")</f>
        <v>WP_200039267.1</v>
      </c>
    </row>
    <row r="370" spans="1:5">
      <c r="A370" s="4" t="s">
        <v>432</v>
      </c>
      <c r="B370" s="9">
        <v>0.97</v>
      </c>
      <c r="C370" s="10">
        <v>2E-70</v>
      </c>
      <c r="D370" s="5">
        <v>34.659999999999997</v>
      </c>
      <c r="E370" s="11" t="str">
        <f>HYPERLINK("https://www.ncbi.nlm.nih.gov/protein/WP_287107497.1?report=genbank&amp;log$=prottop&amp;blast_rank=368&amp;RID=8XN3MCU5013","WP_287107497.1")</f>
        <v>WP_287107497.1</v>
      </c>
    </row>
    <row r="371" spans="1:5">
      <c r="A371" s="4" t="s">
        <v>347</v>
      </c>
      <c r="B371" s="9">
        <v>0.9</v>
      </c>
      <c r="C371" s="10">
        <v>9.9999999999999996E-70</v>
      </c>
      <c r="D371" s="5">
        <v>34.590000000000003</v>
      </c>
      <c r="E371" s="11" t="str">
        <f>HYPERLINK("https://www.ncbi.nlm.nih.gov/protein/ELY3762641.1?report=genbank&amp;log$=prottop&amp;blast_rank=379&amp;RID=8XN3MCU5013","ELY3762641.1")</f>
        <v>ELY3762641.1</v>
      </c>
    </row>
    <row r="372" spans="1:5">
      <c r="A372" s="4" t="s">
        <v>424</v>
      </c>
      <c r="B372" s="9">
        <v>0.97</v>
      </c>
      <c r="C372" s="10">
        <v>1.9999999999999998E-71</v>
      </c>
      <c r="D372" s="5">
        <v>34.47</v>
      </c>
      <c r="E372" s="11" t="str">
        <f>HYPERLINK("https://www.ncbi.nlm.nih.gov/protein/WP_024105838.1?report=genbank&amp;log$=prottop&amp;blast_rank=349&amp;RID=8XN3MCU5013","WP_024105838.1")</f>
        <v>WP_024105838.1</v>
      </c>
    </row>
    <row r="373" spans="1:5">
      <c r="A373" s="4" t="s">
        <v>454</v>
      </c>
      <c r="B373" s="9">
        <v>0.9</v>
      </c>
      <c r="C373" s="10">
        <v>1.9999999999999999E-67</v>
      </c>
      <c r="D373" s="5">
        <v>34.380000000000003</v>
      </c>
      <c r="E373" s="11" t="str">
        <f>HYPERLINK("https://www.ncbi.nlm.nih.gov/protein/WP_225770559.1?report=genbank&amp;log$=prottop&amp;blast_rank=421&amp;RID=8XN3MCU5013","WP_225770559.1")</f>
        <v>WP_225770559.1</v>
      </c>
    </row>
    <row r="374" spans="1:5">
      <c r="A374" s="4" t="s">
        <v>404</v>
      </c>
      <c r="B374" s="9">
        <v>0.94</v>
      </c>
      <c r="C374" s="10">
        <v>3.0000000000000001E-73</v>
      </c>
      <c r="D374" s="5">
        <v>34.340000000000003</v>
      </c>
      <c r="E374" s="11" t="str">
        <f>HYPERLINK("https://www.ncbi.nlm.nih.gov/protein/HED6272798.1?report=genbank&amp;log$=prottop&amp;blast_rank=301&amp;RID=8XN3MCU5013","HED6272798.1")</f>
        <v>HED6272798.1</v>
      </c>
    </row>
    <row r="375" spans="1:5">
      <c r="A375" s="4" t="s">
        <v>396</v>
      </c>
      <c r="B375" s="9">
        <v>0.97</v>
      </c>
      <c r="C375" s="10">
        <v>7.0000000000000003E-74</v>
      </c>
      <c r="D375" s="5">
        <v>34.299999999999997</v>
      </c>
      <c r="E375" s="11" t="str">
        <f>HYPERLINK("https://www.ncbi.nlm.nih.gov/protein/WP_212632594.1?report=genbank&amp;log$=prottop&amp;blast_rank=289&amp;RID=8XN3MCU5013","WP_212632594.1")</f>
        <v>WP_212632594.1</v>
      </c>
    </row>
    <row r="376" spans="1:5">
      <c r="A376" s="4" t="s">
        <v>464</v>
      </c>
      <c r="B376" s="9">
        <v>0.92</v>
      </c>
      <c r="C376" s="10">
        <v>6.0000000000000004E-66</v>
      </c>
      <c r="D376" s="5">
        <v>34.299999999999997</v>
      </c>
      <c r="E376" s="11" t="str">
        <f>HYPERLINK("https://www.ncbi.nlm.nih.gov/protein/MBD8565014.1?report=genbank&amp;log$=prottop&amp;blast_rank=458&amp;RID=8XN3MCU5013","MBD8565014.1")</f>
        <v>MBD8565014.1</v>
      </c>
    </row>
    <row r="377" spans="1:5">
      <c r="A377" s="4" t="s">
        <v>375</v>
      </c>
      <c r="B377" s="9">
        <v>0.95</v>
      </c>
      <c r="C377" s="10">
        <v>3.9999999999999997E-76</v>
      </c>
      <c r="D377" s="5">
        <v>34.130000000000003</v>
      </c>
      <c r="E377" s="11" t="str">
        <f>HYPERLINK("https://www.ncbi.nlm.nih.gov/protein/WP_324037665.1?report=genbank&amp;log$=prottop&amp;blast_rank=257&amp;RID=8XN3MCU5013","WP_324037665.1")</f>
        <v>WP_324037665.1</v>
      </c>
    </row>
    <row r="378" spans="1:5">
      <c r="A378" s="4" t="s">
        <v>422</v>
      </c>
      <c r="B378" s="9">
        <v>0.93</v>
      </c>
      <c r="C378" s="10">
        <v>9.9999999999999992E-72</v>
      </c>
      <c r="D378" s="5">
        <v>34.130000000000003</v>
      </c>
      <c r="E378" s="11" t="str">
        <f>HYPERLINK("https://www.ncbi.nlm.nih.gov/protein/WP_227722428.1?report=genbank&amp;log$=prottop&amp;blast_rank=345&amp;RID=8XN3MCU5013","WP_227722428.1")</f>
        <v>WP_227722428.1</v>
      </c>
    </row>
    <row r="379" spans="1:5">
      <c r="A379" s="4" t="s">
        <v>425</v>
      </c>
      <c r="B379" s="9">
        <v>0.96</v>
      </c>
      <c r="C379" s="10">
        <v>6.0000000000000003E-71</v>
      </c>
      <c r="D379" s="5">
        <v>34.1</v>
      </c>
      <c r="E379" s="11" t="str">
        <f>HYPERLINK("https://www.ncbi.nlm.nih.gov/protein/HNC91776.1?report=genbank&amp;log$=prottop&amp;blast_rank=358&amp;RID=8XN3MCU5013","HNC91776.1")</f>
        <v>HNC91776.1</v>
      </c>
    </row>
    <row r="380" spans="1:5">
      <c r="A380" s="4" t="s">
        <v>457</v>
      </c>
      <c r="B380" s="9">
        <v>0.97</v>
      </c>
      <c r="C380" s="10">
        <v>1.9999999999999999E-67</v>
      </c>
      <c r="D380" s="5">
        <v>34.090000000000003</v>
      </c>
      <c r="E380" s="11" t="str">
        <f>HYPERLINK("https://www.ncbi.nlm.nih.gov/protein/WP_074029326.1?report=genbank&amp;log$=prottop&amp;blast_rank=424&amp;RID=8XN3MCU5013","WP_074029326.1")</f>
        <v>WP_074029326.1</v>
      </c>
    </row>
    <row r="381" spans="1:5">
      <c r="A381" s="4" t="s">
        <v>280</v>
      </c>
      <c r="B381" s="9">
        <v>0.88</v>
      </c>
      <c r="C381" s="10">
        <v>1.0000000000000001E-68</v>
      </c>
      <c r="D381" s="5">
        <v>33.96</v>
      </c>
      <c r="E381" s="11" t="str">
        <f>HYPERLINK("https://www.ncbi.nlm.nih.gov/protein/EJF7529722.1?report=genbank&amp;log$=prottop&amp;blast_rank=400&amp;RID=8XN3MCU5013","EJF7529722.1")</f>
        <v>EJF7529722.1</v>
      </c>
    </row>
    <row r="382" spans="1:5">
      <c r="A382" s="4" t="s">
        <v>280</v>
      </c>
      <c r="B382" s="9">
        <v>0.9</v>
      </c>
      <c r="C382" s="10">
        <v>9.9999999999999996E-70</v>
      </c>
      <c r="D382" s="5">
        <v>33.950000000000003</v>
      </c>
      <c r="E382" s="11" t="str">
        <f>HYPERLINK("https://www.ncbi.nlm.nih.gov/protein/HBA3814663.1?report=genbank&amp;log$=prottop&amp;blast_rank=386&amp;RID=8XN3MCU5013","HBA3814663.1")</f>
        <v>HBA3814663.1</v>
      </c>
    </row>
    <row r="383" spans="1:5">
      <c r="A383" s="4" t="s">
        <v>280</v>
      </c>
      <c r="B383" s="9">
        <v>0.92</v>
      </c>
      <c r="C383" s="10">
        <v>9.9999999999999992E-72</v>
      </c>
      <c r="D383" s="5">
        <v>33.94</v>
      </c>
      <c r="E383" s="11" t="str">
        <f>HYPERLINK("https://www.ncbi.nlm.nih.gov/protein/HDI6281354.1?report=genbank&amp;log$=prottop&amp;blast_rank=344&amp;RID=8XN3MCU5013","HDI6281354.1")</f>
        <v>HDI6281354.1</v>
      </c>
    </row>
    <row r="384" spans="1:5">
      <c r="A384" s="4" t="s">
        <v>280</v>
      </c>
      <c r="B384" s="9">
        <v>0.92</v>
      </c>
      <c r="C384" s="10">
        <v>1.9999999999999998E-71</v>
      </c>
      <c r="D384" s="5">
        <v>33.94</v>
      </c>
      <c r="E384" s="11" t="str">
        <f>HYPERLINK("https://www.ncbi.nlm.nih.gov/protein/WP_238308991.1?report=genbank&amp;log$=prottop&amp;blast_rank=348&amp;RID=8XN3MCU5013","WP_238308991.1")</f>
        <v>WP_238308991.1</v>
      </c>
    </row>
    <row r="385" spans="1:5">
      <c r="A385" s="4" t="s">
        <v>280</v>
      </c>
      <c r="B385" s="9">
        <v>0.92</v>
      </c>
      <c r="C385" s="10">
        <v>1.9999999999999998E-71</v>
      </c>
      <c r="D385" s="5">
        <v>33.94</v>
      </c>
      <c r="E385" s="11" t="str">
        <f>HYPERLINK("https://www.ncbi.nlm.nih.gov/protein/EFO0318461.1?report=genbank&amp;log$=prottop&amp;blast_rank=351&amp;RID=8XN3MCU5013","EFO0318461.1")</f>
        <v>EFO0318461.1</v>
      </c>
    </row>
    <row r="386" spans="1:5">
      <c r="A386" s="4" t="s">
        <v>280</v>
      </c>
      <c r="B386" s="9">
        <v>0.92</v>
      </c>
      <c r="C386" s="10">
        <v>1.9999999999999998E-71</v>
      </c>
      <c r="D386" s="5">
        <v>33.94</v>
      </c>
      <c r="E386" s="11" t="str">
        <f>HYPERLINK("https://www.ncbi.nlm.nih.gov/protein/HBI8169275.1?report=genbank&amp;log$=prottop&amp;blast_rank=352&amp;RID=8XN3MCU5013","HBI8169275.1")</f>
        <v>HBI8169275.1</v>
      </c>
    </row>
    <row r="387" spans="1:5">
      <c r="A387" s="4" t="s">
        <v>426</v>
      </c>
      <c r="B387" s="9">
        <v>0.92</v>
      </c>
      <c r="C387" s="10">
        <v>9.9999999999999996E-70</v>
      </c>
      <c r="D387" s="5">
        <v>33.94</v>
      </c>
      <c r="E387" s="11" t="str">
        <f>HYPERLINK("https://www.ncbi.nlm.nih.gov/protein/CFR19570.1?report=genbank&amp;log$=prottop&amp;blast_rank=387&amp;RID=8XN3MCU5013","CFR19570.1")</f>
        <v>CFR19570.1</v>
      </c>
    </row>
    <row r="388" spans="1:5">
      <c r="A388" s="4" t="s">
        <v>456</v>
      </c>
      <c r="B388" s="9">
        <v>0.92</v>
      </c>
      <c r="C388" s="10">
        <v>1.9999999999999999E-67</v>
      </c>
      <c r="D388" s="5">
        <v>33.94</v>
      </c>
      <c r="E388" s="11" t="str">
        <f>HYPERLINK("https://www.ncbi.nlm.nih.gov/protein/MCG1030756.1?report=genbank&amp;log$=prottop&amp;blast_rank=423&amp;RID=8XN3MCU5013","MCG1030756.1")</f>
        <v>MCG1030756.1</v>
      </c>
    </row>
    <row r="389" spans="1:5">
      <c r="A389" s="4" t="s">
        <v>129</v>
      </c>
      <c r="B389" s="9">
        <v>0.94</v>
      </c>
      <c r="C389" s="10">
        <v>3.0000000000000001E-71</v>
      </c>
      <c r="D389" s="5">
        <v>33.93</v>
      </c>
      <c r="E389" s="11" t="str">
        <f>HYPERLINK("https://www.ncbi.nlm.nih.gov/protein/WP_269496865.1?report=genbank&amp;log$=prottop&amp;blast_rank=353&amp;RID=8XN3MCU5013","WP_269496865.1")</f>
        <v>WP_269496865.1</v>
      </c>
    </row>
    <row r="390" spans="1:5">
      <c r="A390" s="4" t="s">
        <v>129</v>
      </c>
      <c r="B390" s="9">
        <v>0.94</v>
      </c>
      <c r="C390" s="10">
        <v>3.9999999999999997E-71</v>
      </c>
      <c r="D390" s="5">
        <v>33.93</v>
      </c>
      <c r="E390" s="11" t="str">
        <f>HYPERLINK("https://www.ncbi.nlm.nih.gov/protein/WP_001084011.1?report=genbank&amp;log$=prottop&amp;blast_rank=356&amp;RID=8XN3MCU5013","WP_001084011.1")</f>
        <v>WP_001084011.1</v>
      </c>
    </row>
    <row r="391" spans="1:5">
      <c r="A391" s="4" t="s">
        <v>129</v>
      </c>
      <c r="B391" s="9">
        <v>0.94</v>
      </c>
      <c r="C391" s="10">
        <v>1E-70</v>
      </c>
      <c r="D391" s="5">
        <v>33.93</v>
      </c>
      <c r="E391" s="11" t="str">
        <f>HYPERLINK("https://www.ncbi.nlm.nih.gov/protein/WP_137415120.1?report=genbank&amp;log$=prottop&amp;blast_rank=365&amp;RID=8XN3MCU5013","WP_137415120.1")</f>
        <v>WP_137415120.1</v>
      </c>
    </row>
    <row r="392" spans="1:5">
      <c r="A392" s="4" t="s">
        <v>280</v>
      </c>
      <c r="B392" s="9">
        <v>0.95</v>
      </c>
      <c r="C392" s="10">
        <v>6.0000000000000003E-72</v>
      </c>
      <c r="D392" s="5">
        <v>33.92</v>
      </c>
      <c r="E392" s="11" t="str">
        <f>HYPERLINK("https://www.ncbi.nlm.nih.gov/protein/EFN6176003.1?report=genbank&amp;log$=prottop&amp;blast_rank=335&amp;RID=8XN3MCU5013","EFN6176003.1")</f>
        <v>EFN6176003.1</v>
      </c>
    </row>
    <row r="393" spans="1:5">
      <c r="A393" s="4" t="s">
        <v>280</v>
      </c>
      <c r="B393" s="9">
        <v>0.9</v>
      </c>
      <c r="C393" s="10">
        <v>2.9999999999999999E-69</v>
      </c>
      <c r="D393" s="5">
        <v>33.74</v>
      </c>
      <c r="E393" s="11" t="str">
        <f>HYPERLINK("https://www.ncbi.nlm.nih.gov/protein/HBM7501667.1?report=genbank&amp;log$=prottop&amp;blast_rank=392&amp;RID=8XN3MCU5013","HBM7501667.1")</f>
        <v>HBM7501667.1</v>
      </c>
    </row>
    <row r="394" spans="1:5">
      <c r="A394" s="4" t="s">
        <v>479</v>
      </c>
      <c r="B394" s="9">
        <v>0.92</v>
      </c>
      <c r="C394" s="10">
        <v>2.0000000000000001E-62</v>
      </c>
      <c r="D394" s="5">
        <v>33.74</v>
      </c>
      <c r="E394" s="11" t="str">
        <f>HYPERLINK("https://www.ncbi.nlm.nih.gov/protein/WP_342852959.1?report=genbank&amp;log$=prottop&amp;blast_rank=500&amp;RID=8XN3MCU5013","WP_342852959.1")</f>
        <v>WP_342852959.1</v>
      </c>
    </row>
    <row r="395" spans="1:5">
      <c r="A395" s="4" t="s">
        <v>402</v>
      </c>
      <c r="B395" s="9">
        <v>0.94</v>
      </c>
      <c r="C395" s="10">
        <v>3.0000000000000001E-73</v>
      </c>
      <c r="D395" s="5">
        <v>33.729999999999997</v>
      </c>
      <c r="E395" s="11" t="str">
        <f>HYPERLINK("https://www.ncbi.nlm.nih.gov/protein/WP_128340220.1?report=genbank&amp;log$=prottop&amp;blast_rank=299&amp;RID=8XN3MCU5013","WP_128340220.1")</f>
        <v>WP_128340220.1</v>
      </c>
    </row>
    <row r="396" spans="1:5">
      <c r="A396" s="4" t="s">
        <v>426</v>
      </c>
      <c r="B396" s="9">
        <v>0.94</v>
      </c>
      <c r="C396" s="10">
        <v>6.0000000000000003E-71</v>
      </c>
      <c r="D396" s="5">
        <v>33.729999999999997</v>
      </c>
      <c r="E396" s="11" t="str">
        <f>HYPERLINK("https://www.ncbi.nlm.nih.gov/protein/WP_057634751.1?report=genbank&amp;log$=prottop&amp;blast_rank=359&amp;RID=8XN3MCU5013","WP_057634751.1")</f>
        <v>WP_057634751.1</v>
      </c>
    </row>
    <row r="397" spans="1:5">
      <c r="A397" s="4" t="s">
        <v>67</v>
      </c>
      <c r="B397" s="9">
        <v>0.95</v>
      </c>
      <c r="C397" s="10">
        <v>1E-78</v>
      </c>
      <c r="D397" s="5">
        <v>33.68</v>
      </c>
      <c r="E397" s="11" t="str">
        <f>HYPERLINK("https://www.ncbi.nlm.nih.gov/protein/WP_286412123.1?report=genbank&amp;log$=prottop&amp;blast_rank=231&amp;RID=8XN3MCU5013","WP_286412123.1")</f>
        <v>WP_286412123.1</v>
      </c>
    </row>
    <row r="398" spans="1:5">
      <c r="A398" s="4" t="s">
        <v>398</v>
      </c>
      <c r="B398" s="9">
        <v>0.94</v>
      </c>
      <c r="C398" s="10">
        <v>1E-73</v>
      </c>
      <c r="D398" s="5">
        <v>33.67</v>
      </c>
      <c r="E398" s="11" t="str">
        <f>HYPERLINK("https://www.ncbi.nlm.nih.gov/protein/WP_166110979.1?report=genbank&amp;log$=prottop&amp;blast_rank=292&amp;RID=8XN3MCU5013","WP_166110979.1")</f>
        <v>WP_166110979.1</v>
      </c>
    </row>
    <row r="399" spans="1:5">
      <c r="A399" s="4" t="s">
        <v>280</v>
      </c>
      <c r="B399" s="9">
        <v>0.91</v>
      </c>
      <c r="C399" s="10">
        <v>9.9999999999999996E-70</v>
      </c>
      <c r="D399" s="5">
        <v>33.54</v>
      </c>
      <c r="E399" s="11" t="str">
        <f>HYPERLINK("https://www.ncbi.nlm.nih.gov/protein/HCN9040282.1?report=genbank&amp;log$=prottop&amp;blast_rank=380&amp;RID=8XN3MCU5013","HCN9040282.1")</f>
        <v>HCN9040282.1</v>
      </c>
    </row>
    <row r="400" spans="1:5">
      <c r="A400" s="4" t="s">
        <v>350</v>
      </c>
      <c r="B400" s="9">
        <v>0.97</v>
      </c>
      <c r="C400" s="10">
        <v>5E-79</v>
      </c>
      <c r="D400" s="5">
        <v>33.53</v>
      </c>
      <c r="E400" s="11" t="str">
        <f>HYPERLINK("https://www.ncbi.nlm.nih.gov/protein/WP_270222638.1?report=genbank&amp;log$=prottop&amp;blast_rank=222&amp;RID=8XN3MCU5013","WP_270222638.1")</f>
        <v>WP_270222638.1</v>
      </c>
    </row>
    <row r="401" spans="1:5">
      <c r="A401" s="4" t="s">
        <v>296</v>
      </c>
      <c r="B401" s="9">
        <v>0.97</v>
      </c>
      <c r="C401" s="10">
        <v>1.9999999999999999E-72</v>
      </c>
      <c r="D401" s="5">
        <v>33.520000000000003</v>
      </c>
      <c r="E401" s="11" t="str">
        <f>HYPERLINK("https://www.ncbi.nlm.nih.gov/protein/WP_039023674.1?report=genbank&amp;log$=prottop&amp;blast_rank=322&amp;RID=8XN3MCU5013","WP_039023674.1")</f>
        <v>WP_039023674.1</v>
      </c>
    </row>
    <row r="402" spans="1:5">
      <c r="A402" s="4" t="s">
        <v>415</v>
      </c>
      <c r="B402" s="9">
        <v>0.97</v>
      </c>
      <c r="C402" s="10">
        <v>3.0000000000000001E-72</v>
      </c>
      <c r="D402" s="5">
        <v>33.520000000000003</v>
      </c>
      <c r="E402" s="11" t="str">
        <f>HYPERLINK("https://www.ncbi.nlm.nih.gov/protein/WP_249895966.1?report=genbank&amp;log$=prottop&amp;blast_rank=328&amp;RID=8XN3MCU5013","WP_249895966.1")</f>
        <v>WP_249895966.1</v>
      </c>
    </row>
    <row r="403" spans="1:5">
      <c r="A403" s="4" t="s">
        <v>280</v>
      </c>
      <c r="B403" s="9">
        <v>0.97</v>
      </c>
      <c r="C403" s="10">
        <v>3.0000000000000001E-73</v>
      </c>
      <c r="D403" s="5">
        <v>33.33</v>
      </c>
      <c r="E403" s="11" t="str">
        <f>HYPERLINK("https://www.ncbi.nlm.nih.gov/protein/MDM8889178.1?report=genbank&amp;log$=prottop&amp;blast_rank=302&amp;RID=8XN3MCU5013","MDM8889178.1")</f>
        <v>MDM8889178.1</v>
      </c>
    </row>
    <row r="404" spans="1:5">
      <c r="A404" s="4" t="s">
        <v>280</v>
      </c>
      <c r="B404" s="9">
        <v>0.95</v>
      </c>
      <c r="C404" s="10">
        <v>9.9999999999999997E-73</v>
      </c>
      <c r="D404" s="5">
        <v>33.33</v>
      </c>
      <c r="E404" s="11" t="str">
        <f>HYPERLINK("https://www.ncbi.nlm.nih.gov/protein/WP_097415458.1?report=genbank&amp;log$=prottop&amp;blast_rank=312&amp;RID=8XN3MCU5013","WP_097415458.1")</f>
        <v>WP_097415458.1</v>
      </c>
    </row>
    <row r="405" spans="1:5">
      <c r="A405" s="4" t="s">
        <v>280</v>
      </c>
      <c r="B405" s="9">
        <v>0.95</v>
      </c>
      <c r="C405" s="10">
        <v>9.9999999999999997E-73</v>
      </c>
      <c r="D405" s="5">
        <v>33.33</v>
      </c>
      <c r="E405" s="11" t="str">
        <f>HYPERLINK("https://www.ncbi.nlm.nih.gov/protein/HAV2199207.1?report=genbank&amp;log$=prottop&amp;blast_rank=313&amp;RID=8XN3MCU5013","HAV2199207.1")</f>
        <v>HAV2199207.1</v>
      </c>
    </row>
    <row r="406" spans="1:5">
      <c r="A406" s="4" t="s">
        <v>280</v>
      </c>
      <c r="B406" s="9">
        <v>0.95</v>
      </c>
      <c r="C406" s="10">
        <v>1.9999999999999999E-72</v>
      </c>
      <c r="D406" s="5">
        <v>33.33</v>
      </c>
      <c r="E406" s="11" t="str">
        <f>HYPERLINK("https://www.ncbi.nlm.nih.gov/protein/MDY9505944.1?report=genbank&amp;log$=prottop&amp;blast_rank=314&amp;RID=8XN3MCU5013","MDY9505944.1")</f>
        <v>MDY9505944.1</v>
      </c>
    </row>
    <row r="407" spans="1:5">
      <c r="A407" s="4" t="s">
        <v>280</v>
      </c>
      <c r="B407" s="9">
        <v>0.95</v>
      </c>
      <c r="C407" s="10">
        <v>1.9999999999999999E-72</v>
      </c>
      <c r="D407" s="5">
        <v>33.33</v>
      </c>
      <c r="E407" s="11" t="str">
        <f>HYPERLINK("https://www.ncbi.nlm.nih.gov/protein/WP_243043434.1?report=genbank&amp;log$=prottop&amp;blast_rank=317&amp;RID=8XN3MCU5013","WP_243043434.1")</f>
        <v>WP_243043434.1</v>
      </c>
    </row>
    <row r="408" spans="1:5">
      <c r="A408" s="4" t="s">
        <v>280</v>
      </c>
      <c r="B408" s="9">
        <v>0.95</v>
      </c>
      <c r="C408" s="10">
        <v>1.9999999999999999E-72</v>
      </c>
      <c r="D408" s="5">
        <v>33.33</v>
      </c>
      <c r="E408" s="11" t="str">
        <f>HYPERLINK("https://www.ncbi.nlm.nih.gov/protein/ELF7673603.1?report=genbank&amp;log$=prottop&amp;blast_rank=319&amp;RID=8XN3MCU5013","ELF7673603.1")</f>
        <v>ELF7673603.1</v>
      </c>
    </row>
    <row r="409" spans="1:5">
      <c r="A409" s="4" t="s">
        <v>280</v>
      </c>
      <c r="B409" s="9">
        <v>0.95</v>
      </c>
      <c r="C409" s="10">
        <v>1.9999999999999999E-72</v>
      </c>
      <c r="D409" s="5">
        <v>33.33</v>
      </c>
      <c r="E409" s="11" t="str">
        <f>HYPERLINK("https://www.ncbi.nlm.nih.gov/protein/WP_024228295.1?report=genbank&amp;log$=prottop&amp;blast_rank=321&amp;RID=8XN3MCU5013","WP_024228295.1")</f>
        <v>WP_024228295.1</v>
      </c>
    </row>
    <row r="410" spans="1:5">
      <c r="A410" s="4" t="s">
        <v>280</v>
      </c>
      <c r="B410" s="9">
        <v>0.95</v>
      </c>
      <c r="C410" s="10">
        <v>1.9999999999999999E-72</v>
      </c>
      <c r="D410" s="5">
        <v>33.33</v>
      </c>
      <c r="E410" s="11" t="str">
        <f>HYPERLINK("https://www.ncbi.nlm.nih.gov/protein/WP_074539693.1?report=genbank&amp;log$=prottop&amp;blast_rank=323&amp;RID=8XN3MCU5013","WP_074539693.1")</f>
        <v>WP_074539693.1</v>
      </c>
    </row>
    <row r="411" spans="1:5">
      <c r="A411" s="4" t="s">
        <v>280</v>
      </c>
      <c r="B411" s="9">
        <v>0.95</v>
      </c>
      <c r="C411" s="10">
        <v>1.9999999999999999E-72</v>
      </c>
      <c r="D411" s="5">
        <v>33.33</v>
      </c>
      <c r="E411" s="11" t="str">
        <f>HYPERLINK("https://www.ncbi.nlm.nih.gov/protein/MCK2194309.1?report=genbank&amp;log$=prottop&amp;blast_rank=324&amp;RID=8XN3MCU5013","MCK2194309.1")</f>
        <v>MCK2194309.1</v>
      </c>
    </row>
    <row r="412" spans="1:5">
      <c r="A412" s="4" t="s">
        <v>275</v>
      </c>
      <c r="B412" s="9">
        <v>0.95</v>
      </c>
      <c r="C412" s="10">
        <v>3.0000000000000001E-72</v>
      </c>
      <c r="D412" s="5">
        <v>33.33</v>
      </c>
      <c r="E412" s="11" t="str">
        <f>HYPERLINK("https://www.ncbi.nlm.nih.gov/protein/WP_016236634.1?report=genbank&amp;log$=prottop&amp;blast_rank=326&amp;RID=8XN3MCU5013","WP_016236634.1")</f>
        <v>WP_016236634.1</v>
      </c>
    </row>
    <row r="413" spans="1:5">
      <c r="A413" s="4" t="s">
        <v>280</v>
      </c>
      <c r="B413" s="9">
        <v>0.95</v>
      </c>
      <c r="C413" s="10">
        <v>4.9999999999999996E-72</v>
      </c>
      <c r="D413" s="5">
        <v>33.33</v>
      </c>
      <c r="E413" s="11" t="str">
        <f>HYPERLINK("https://www.ncbi.nlm.nih.gov/protein/WP_220423374.1?report=genbank&amp;log$=prottop&amp;blast_rank=333&amp;RID=8XN3MCU5013","WP_220423374.1")</f>
        <v>WP_220423374.1</v>
      </c>
    </row>
    <row r="414" spans="1:5">
      <c r="A414" s="4" t="s">
        <v>280</v>
      </c>
      <c r="B414" s="9">
        <v>0.95</v>
      </c>
      <c r="C414" s="10">
        <v>6.0000000000000003E-72</v>
      </c>
      <c r="D414" s="5">
        <v>33.33</v>
      </c>
      <c r="E414" s="11" t="str">
        <f>HYPERLINK("https://www.ncbi.nlm.nih.gov/protein/EFN8266054.1?report=genbank&amp;log$=prottop&amp;blast_rank=334&amp;RID=8XN3MCU5013","EFN8266054.1")</f>
        <v>EFN8266054.1</v>
      </c>
    </row>
    <row r="415" spans="1:5">
      <c r="A415" s="4" t="s">
        <v>418</v>
      </c>
      <c r="B415" s="9">
        <v>0.93</v>
      </c>
      <c r="C415" s="10">
        <v>6.0000000000000003E-72</v>
      </c>
      <c r="D415" s="5">
        <v>33.33</v>
      </c>
      <c r="E415" s="11" t="str">
        <f>HYPERLINK("https://www.ncbi.nlm.nih.gov/protein/WP_193134505.1?report=genbank&amp;log$=prottop&amp;blast_rank=336&amp;RID=8XN3MCU5013","WP_193134505.1")</f>
        <v>WP_193134505.1</v>
      </c>
    </row>
    <row r="416" spans="1:5">
      <c r="A416" s="4" t="s">
        <v>280</v>
      </c>
      <c r="B416" s="9">
        <v>0.95</v>
      </c>
      <c r="C416" s="10">
        <v>7E-72</v>
      </c>
      <c r="D416" s="5">
        <v>33.33</v>
      </c>
      <c r="E416" s="11" t="str">
        <f>HYPERLINK("https://www.ncbi.nlm.nih.gov/protein/WP_001332857.1?report=genbank&amp;log$=prottop&amp;blast_rank=338&amp;RID=8XN3MCU5013","WP_001332857.1")</f>
        <v>WP_001332857.1</v>
      </c>
    </row>
    <row r="417" spans="1:5">
      <c r="A417" s="4" t="s">
        <v>280</v>
      </c>
      <c r="B417" s="9">
        <v>0.95</v>
      </c>
      <c r="C417" s="10">
        <v>9.0000000000000004E-72</v>
      </c>
      <c r="D417" s="5">
        <v>33.33</v>
      </c>
      <c r="E417" s="11" t="str">
        <f>HYPERLINK("https://www.ncbi.nlm.nih.gov/protein/WP_332287024.1?report=genbank&amp;log$=prottop&amp;blast_rank=341&amp;RID=8XN3MCU5013","WP_332287024.1")</f>
        <v>WP_332287024.1</v>
      </c>
    </row>
    <row r="418" spans="1:5">
      <c r="A418" s="4" t="s">
        <v>280</v>
      </c>
      <c r="B418" s="9">
        <v>0.95</v>
      </c>
      <c r="C418" s="10">
        <v>3.9999999999999997E-71</v>
      </c>
      <c r="D418" s="5">
        <v>33.33</v>
      </c>
      <c r="E418" s="11" t="str">
        <f>HYPERLINK("https://www.ncbi.nlm.nih.gov/protein/HBH8520906.1?report=genbank&amp;log$=prottop&amp;blast_rank=355&amp;RID=8XN3MCU5013","HBH8520906.1")</f>
        <v>HBH8520906.1</v>
      </c>
    </row>
    <row r="419" spans="1:5">
      <c r="A419" s="4" t="s">
        <v>360</v>
      </c>
      <c r="B419" s="9">
        <v>0.97</v>
      </c>
      <c r="C419" s="10">
        <v>4.9999999999999998E-70</v>
      </c>
      <c r="D419" s="5">
        <v>33.33</v>
      </c>
      <c r="E419" s="11" t="str">
        <f>HYPERLINK("https://www.ncbi.nlm.nih.gov/protein/WP_333486740.1?report=genbank&amp;log$=prottop&amp;blast_rank=377&amp;RID=8XN3MCU5013","WP_333486740.1")</f>
        <v>WP_333486740.1</v>
      </c>
    </row>
    <row r="420" spans="1:5">
      <c r="A420" s="4" t="s">
        <v>311</v>
      </c>
      <c r="B420" s="9">
        <v>0.92</v>
      </c>
      <c r="C420" s="10">
        <v>6E-68</v>
      </c>
      <c r="D420" s="5">
        <v>33.33</v>
      </c>
      <c r="E420" s="11" t="str">
        <f>HYPERLINK("https://www.ncbi.nlm.nih.gov/protein/WP_172747861.1?report=genbank&amp;log$=prottop&amp;blast_rank=411&amp;RID=8XN3MCU5013","WP_172747861.1")</f>
        <v>WP_172747861.1</v>
      </c>
    </row>
    <row r="421" spans="1:5">
      <c r="A421" s="4" t="s">
        <v>280</v>
      </c>
      <c r="B421" s="9">
        <v>0.88</v>
      </c>
      <c r="C421" s="10">
        <v>2E-66</v>
      </c>
      <c r="D421" s="5">
        <v>33.33</v>
      </c>
      <c r="E421" s="11" t="str">
        <f>HYPERLINK("https://www.ncbi.nlm.nih.gov/protein/HDX7727301.1?report=genbank&amp;log$=prottop&amp;blast_rank=451&amp;RID=8XN3MCU5013","HDX7727301.1")</f>
        <v>HDX7727301.1</v>
      </c>
    </row>
    <row r="422" spans="1:5">
      <c r="A422" s="4" t="s">
        <v>280</v>
      </c>
      <c r="B422" s="9">
        <v>0.88</v>
      </c>
      <c r="C422" s="10">
        <v>2E-66</v>
      </c>
      <c r="D422" s="5">
        <v>33.33</v>
      </c>
      <c r="E422" s="11" t="str">
        <f>HYPERLINK("https://www.ncbi.nlm.nih.gov/protein/HAJ7343556.1?report=genbank&amp;log$=prottop&amp;blast_rank=452&amp;RID=8XN3MCU5013","HAJ7343556.1")</f>
        <v>HAJ7343556.1</v>
      </c>
    </row>
    <row r="423" spans="1:5">
      <c r="A423" s="4" t="s">
        <v>340</v>
      </c>
      <c r="B423" s="9">
        <v>0.92</v>
      </c>
      <c r="C423" s="10">
        <v>2E-66</v>
      </c>
      <c r="D423" s="5">
        <v>33.33</v>
      </c>
      <c r="E423" s="11" t="str">
        <f>HYPERLINK("https://www.ncbi.nlm.nih.gov/protein/MEP9170155.1?report=genbank&amp;log$=prottop&amp;blast_rank=453&amp;RID=8XN3MCU5013","MEP9170155.1")</f>
        <v>MEP9170155.1</v>
      </c>
    </row>
    <row r="424" spans="1:5">
      <c r="A424" s="4" t="s">
        <v>280</v>
      </c>
      <c r="B424" s="9">
        <v>0.88</v>
      </c>
      <c r="C424" s="10">
        <v>3.9999999999999999E-66</v>
      </c>
      <c r="D424" s="5">
        <v>33.33</v>
      </c>
      <c r="E424" s="11" t="str">
        <f>HYPERLINK("https://www.ncbi.nlm.nih.gov/protein/HCO0402977.1?report=genbank&amp;log$=prottop&amp;blast_rank=456&amp;RID=8XN3MCU5013","HCO0402977.1")</f>
        <v>HCO0402977.1</v>
      </c>
    </row>
    <row r="425" spans="1:5">
      <c r="A425" s="4" t="s">
        <v>445</v>
      </c>
      <c r="B425" s="9">
        <v>0.92</v>
      </c>
      <c r="C425" s="10">
        <v>1.0000000000000001E-68</v>
      </c>
      <c r="D425" s="5">
        <v>33.159999999999997</v>
      </c>
      <c r="E425" s="11" t="str">
        <f>HYPERLINK("https://www.ncbi.nlm.nih.gov/protein/WP_175858414.1?report=genbank&amp;log$=prottop&amp;blast_rank=398&amp;RID=8XN3MCU5013","WP_175858414.1")</f>
        <v>WP_175858414.1</v>
      </c>
    </row>
    <row r="426" spans="1:5">
      <c r="A426" s="4" t="s">
        <v>280</v>
      </c>
      <c r="B426" s="9">
        <v>0.94</v>
      </c>
      <c r="C426" s="10">
        <v>2E-70</v>
      </c>
      <c r="D426" s="5">
        <v>33.14</v>
      </c>
      <c r="E426" s="11" t="str">
        <f>HYPERLINK("https://www.ncbi.nlm.nih.gov/protein/EJH6891298.1?report=genbank&amp;log$=prottop&amp;blast_rank=372&amp;RID=8XN3MCU5013","EJH6891298.1")</f>
        <v>EJH6891298.1</v>
      </c>
    </row>
    <row r="427" spans="1:5">
      <c r="A427" s="4" t="s">
        <v>280</v>
      </c>
      <c r="B427" s="9">
        <v>0.94</v>
      </c>
      <c r="C427" s="10">
        <v>4E-70</v>
      </c>
      <c r="D427" s="5">
        <v>33.14</v>
      </c>
      <c r="E427" s="11" t="str">
        <f>HYPERLINK("https://www.ncbi.nlm.nih.gov/protein/HCN7764576.1?report=genbank&amp;log$=prottop&amp;blast_rank=375&amp;RID=8XN3MCU5013","HCN7764576.1")</f>
        <v>HCN7764576.1</v>
      </c>
    </row>
    <row r="428" spans="1:5">
      <c r="A428" s="4" t="s">
        <v>347</v>
      </c>
      <c r="B428" s="9">
        <v>0.94</v>
      </c>
      <c r="C428" s="10">
        <v>4E-70</v>
      </c>
      <c r="D428" s="5">
        <v>33.14</v>
      </c>
      <c r="E428" s="11" t="str">
        <f>HYPERLINK("https://www.ncbi.nlm.nih.gov/protein/EKY2102383.1?report=genbank&amp;log$=prottop&amp;blast_rank=376&amp;RID=8XN3MCU5013","EKY2102383.1")</f>
        <v>EKY2102383.1</v>
      </c>
    </row>
    <row r="429" spans="1:5">
      <c r="A429" s="4" t="s">
        <v>280</v>
      </c>
      <c r="B429" s="9">
        <v>0.94</v>
      </c>
      <c r="C429" s="10">
        <v>9.9999999999999996E-70</v>
      </c>
      <c r="D429" s="5">
        <v>33.14</v>
      </c>
      <c r="E429" s="11" t="str">
        <f>HYPERLINK("https://www.ncbi.nlm.nih.gov/protein/EIS3871806.1?report=genbank&amp;log$=prottop&amp;blast_rank=381&amp;RID=8XN3MCU5013","EIS3871806.1")</f>
        <v>EIS3871806.1</v>
      </c>
    </row>
    <row r="430" spans="1:5">
      <c r="A430" s="4" t="s">
        <v>280</v>
      </c>
      <c r="B430" s="9">
        <v>0.89</v>
      </c>
      <c r="C430" s="10">
        <v>9.9999999999999998E-67</v>
      </c>
      <c r="D430" s="5">
        <v>33.119999999999997</v>
      </c>
      <c r="E430" s="11" t="str">
        <f>HYPERLINK("https://www.ncbi.nlm.nih.gov/protein/HCN4702004.1?report=genbank&amp;log$=prottop&amp;blast_rank=446&amp;RID=8XN3MCU5013","HCN4702004.1")</f>
        <v>HCN4702004.1</v>
      </c>
    </row>
    <row r="431" spans="1:5">
      <c r="A431" s="4" t="s">
        <v>442</v>
      </c>
      <c r="B431" s="9">
        <v>0.97</v>
      </c>
      <c r="C431" s="10">
        <v>5.9999999999999998E-69</v>
      </c>
      <c r="D431" s="5">
        <v>32.950000000000003</v>
      </c>
      <c r="E431" s="11" t="str">
        <f>HYPERLINK("https://www.ncbi.nlm.nih.gov/protein/WP_133137755.1?report=genbank&amp;log$=prottop&amp;blast_rank=395&amp;RID=8XN3MCU5013","WP_133137755.1")</f>
        <v>WP_133137755.1</v>
      </c>
    </row>
    <row r="432" spans="1:5">
      <c r="A432" s="4" t="s">
        <v>280</v>
      </c>
      <c r="B432" s="9">
        <v>0.95</v>
      </c>
      <c r="C432" s="10">
        <v>7.9999999999999997E-72</v>
      </c>
      <c r="D432" s="5">
        <v>32.75</v>
      </c>
      <c r="E432" s="11" t="str">
        <f>HYPERLINK("https://www.ncbi.nlm.nih.gov/protein/WP_279988101.1?report=genbank&amp;log$=prottop&amp;blast_rank=339&amp;RID=8XN3MCU5013","WP_279988101.1")</f>
        <v>WP_279988101.1</v>
      </c>
    </row>
    <row r="433" spans="1:5">
      <c r="A433" s="4" t="s">
        <v>280</v>
      </c>
      <c r="B433" s="9">
        <v>0.95</v>
      </c>
      <c r="C433" s="10">
        <v>3.0000000000000001E-71</v>
      </c>
      <c r="D433" s="5">
        <v>32.75</v>
      </c>
      <c r="E433" s="11" t="str">
        <f>HYPERLINK("https://www.ncbi.nlm.nih.gov/protein/ELZ4607349.1?report=genbank&amp;log$=prottop&amp;blast_rank=354&amp;RID=8XN3MCU5013","ELZ4607349.1")</f>
        <v>ELZ4607349.1</v>
      </c>
    </row>
    <row r="434" spans="1:5">
      <c r="A434" s="4" t="s">
        <v>280</v>
      </c>
      <c r="B434" s="9">
        <v>0.95</v>
      </c>
      <c r="C434" s="10">
        <v>5E-71</v>
      </c>
      <c r="D434" s="5">
        <v>32.75</v>
      </c>
      <c r="E434" s="11" t="str">
        <f>HYPERLINK("https://www.ncbi.nlm.nih.gov/protein/WP_332390790.1?report=genbank&amp;log$=prottop&amp;blast_rank=357&amp;RID=8XN3MCU5013","WP_332390790.1")</f>
        <v>WP_332390790.1</v>
      </c>
    </row>
    <row r="435" spans="1:5">
      <c r="A435" s="4" t="s">
        <v>280</v>
      </c>
      <c r="B435" s="9">
        <v>0.95</v>
      </c>
      <c r="C435" s="10">
        <v>1E-70</v>
      </c>
      <c r="D435" s="5">
        <v>32.75</v>
      </c>
      <c r="E435" s="11" t="str">
        <f>HYPERLINK("https://www.ncbi.nlm.nih.gov/protein/MHY44989.1?report=genbank&amp;log$=prottop&amp;blast_rank=364&amp;RID=8XN3MCU5013","MHY44989.1")</f>
        <v>MHY44989.1</v>
      </c>
    </row>
    <row r="436" spans="1:5">
      <c r="A436" s="4" t="s">
        <v>280</v>
      </c>
      <c r="B436" s="9">
        <v>0.95</v>
      </c>
      <c r="C436" s="10">
        <v>3.0000000000000001E-70</v>
      </c>
      <c r="D436" s="5">
        <v>32.75</v>
      </c>
      <c r="E436" s="11" t="str">
        <f>HYPERLINK("https://www.ncbi.nlm.nih.gov/protein/WP_286622025.1?report=genbank&amp;log$=prottop&amp;blast_rank=373&amp;RID=8XN3MCU5013","WP_286622025.1")</f>
        <v>WP_286622025.1</v>
      </c>
    </row>
    <row r="437" spans="1:5">
      <c r="A437" s="4" t="s">
        <v>280</v>
      </c>
      <c r="B437" s="9">
        <v>0.92</v>
      </c>
      <c r="C437" s="10">
        <v>1.9999999999999999E-67</v>
      </c>
      <c r="D437" s="5">
        <v>32.729999999999997</v>
      </c>
      <c r="E437" s="11" t="str">
        <f>HYPERLINK("https://www.ncbi.nlm.nih.gov/protein/EJF7554513.1?report=genbank&amp;log$=prottop&amp;blast_rank=427&amp;RID=8XN3MCU5013","EJF7554513.1")</f>
        <v>EJF7554513.1</v>
      </c>
    </row>
    <row r="438" spans="1:5">
      <c r="A438" s="4" t="s">
        <v>280</v>
      </c>
      <c r="B438" s="9">
        <v>0.92</v>
      </c>
      <c r="C438" s="10">
        <v>1.9999999999999999E-67</v>
      </c>
      <c r="D438" s="5">
        <v>32.729999999999997</v>
      </c>
      <c r="E438" s="11" t="str">
        <f>HYPERLINK("https://www.ncbi.nlm.nih.gov/protein/EHV0109348.1?report=genbank&amp;log$=prottop&amp;blast_rank=429&amp;RID=8XN3MCU5013","EHV0109348.1")</f>
        <v>EHV0109348.1</v>
      </c>
    </row>
    <row r="439" spans="1:5">
      <c r="A439" s="4" t="s">
        <v>275</v>
      </c>
      <c r="B439" s="9">
        <v>0.92</v>
      </c>
      <c r="C439" s="10">
        <v>3.0000000000000002E-66</v>
      </c>
      <c r="D439" s="5">
        <v>32.729999999999997</v>
      </c>
      <c r="E439" s="11" t="str">
        <f>HYPERLINK("https://www.ncbi.nlm.nih.gov/protein/WP_166498916.1?report=genbank&amp;log$=prottop&amp;blast_rank=455&amp;RID=8XN3MCU5013","WP_166498916.1")</f>
        <v>WP_166498916.1</v>
      </c>
    </row>
    <row r="440" spans="1:5">
      <c r="A440" s="4" t="s">
        <v>340</v>
      </c>
      <c r="B440" s="9">
        <v>0.92</v>
      </c>
      <c r="C440" s="10">
        <v>1.9999999999999998E-65</v>
      </c>
      <c r="D440" s="5">
        <v>32.729999999999997</v>
      </c>
      <c r="E440" s="11" t="str">
        <f>HYPERLINK("https://www.ncbi.nlm.nih.gov/protein/WP_133982922.1?report=genbank&amp;log$=prottop&amp;blast_rank=467&amp;RID=8XN3MCU5013","WP_133982922.1")</f>
        <v>WP_133982922.1</v>
      </c>
    </row>
    <row r="441" spans="1:5">
      <c r="A441" s="4" t="s">
        <v>469</v>
      </c>
      <c r="B441" s="9">
        <v>0.98</v>
      </c>
      <c r="C441" s="10">
        <v>1.9999999999999998E-65</v>
      </c>
      <c r="D441" s="5">
        <v>32.61</v>
      </c>
      <c r="E441" s="11" t="str">
        <f>HYPERLINK("https://www.ncbi.nlm.nih.gov/protein/MCK5491473.1?report=genbank&amp;log$=prottop&amp;blast_rank=469&amp;RID=8XN3MCU5013","MCK5491473.1")</f>
        <v>MCK5491473.1</v>
      </c>
    </row>
    <row r="442" spans="1:5">
      <c r="A442" s="4" t="s">
        <v>34</v>
      </c>
      <c r="B442" s="9">
        <v>0.96</v>
      </c>
      <c r="C442" s="10">
        <v>9.0000000000000003E-67</v>
      </c>
      <c r="D442" s="5">
        <v>32.6</v>
      </c>
      <c r="E442" s="11" t="str">
        <f>HYPERLINK("https://www.ncbi.nlm.nih.gov/protein/MCD4761634.1?report=genbank&amp;log$=prottop&amp;blast_rank=439&amp;RID=8XN3MCU5013","MCD4761634.1")</f>
        <v>MCD4761634.1</v>
      </c>
    </row>
    <row r="443" spans="1:5">
      <c r="A443" s="4" t="s">
        <v>280</v>
      </c>
      <c r="B443" s="9">
        <v>0.92</v>
      </c>
      <c r="C443" s="10">
        <v>9.9999999999999994E-68</v>
      </c>
      <c r="D443" s="5">
        <v>32.53</v>
      </c>
      <c r="E443" s="11" t="str">
        <f>HYPERLINK("https://www.ncbi.nlm.nih.gov/protein/HAO2984450.1?report=genbank&amp;log$=prottop&amp;blast_rank=417&amp;RID=8XN3MCU5013","HAO2984450.1")</f>
        <v>HAO2984450.1</v>
      </c>
    </row>
    <row r="444" spans="1:5">
      <c r="A444" s="4" t="s">
        <v>280</v>
      </c>
      <c r="B444" s="9">
        <v>0.92</v>
      </c>
      <c r="C444" s="10">
        <v>9.9999999999999994E-68</v>
      </c>
      <c r="D444" s="5">
        <v>32.53</v>
      </c>
      <c r="E444" s="11" t="str">
        <f>HYPERLINK("https://www.ncbi.nlm.nih.gov/protein/HBA8201789.1?report=genbank&amp;log$=prottop&amp;blast_rank=419&amp;RID=8XN3MCU5013","HBA8201789.1")</f>
        <v>HBA8201789.1</v>
      </c>
    </row>
    <row r="445" spans="1:5">
      <c r="A445" s="4" t="s">
        <v>280</v>
      </c>
      <c r="B445" s="9">
        <v>0.93</v>
      </c>
      <c r="C445" s="10">
        <v>4.0000000000000003E-68</v>
      </c>
      <c r="D445" s="5">
        <v>32.340000000000003</v>
      </c>
      <c r="E445" s="11" t="str">
        <f>HYPERLINK("https://www.ncbi.nlm.nih.gov/protein/EHR7910993.1?report=genbank&amp;log$=prottop&amp;blast_rank=408&amp;RID=8XN3MCU5013","EHR7910993.1")</f>
        <v>EHR7910993.1</v>
      </c>
    </row>
    <row r="446" spans="1:5">
      <c r="A446" s="4" t="s">
        <v>280</v>
      </c>
      <c r="B446" s="9">
        <v>0.91</v>
      </c>
      <c r="C446" s="10">
        <v>9.9999999999999998E-67</v>
      </c>
      <c r="D446" s="5">
        <v>32.32</v>
      </c>
      <c r="E446" s="11" t="str">
        <f>HYPERLINK("https://www.ncbi.nlm.nih.gov/protein/HCN8826502.1?report=genbank&amp;log$=prottop&amp;blast_rank=440&amp;RID=8XN3MCU5013","HCN8826502.1")</f>
        <v>HCN8826502.1</v>
      </c>
    </row>
    <row r="447" spans="1:5">
      <c r="A447" s="4" t="s">
        <v>280</v>
      </c>
      <c r="B447" s="9">
        <v>0.91</v>
      </c>
      <c r="C447" s="10">
        <v>9.9999999999999998E-67</v>
      </c>
      <c r="D447" s="5">
        <v>32.32</v>
      </c>
      <c r="E447" s="11" t="str">
        <f>HYPERLINK("https://www.ncbi.nlm.nih.gov/protein/HBA7627064.1?report=genbank&amp;log$=prottop&amp;blast_rank=447&amp;RID=8XN3MCU5013","HBA7627064.1")</f>
        <v>HBA7627064.1</v>
      </c>
    </row>
    <row r="448" spans="1:5">
      <c r="A448" s="4" t="s">
        <v>280</v>
      </c>
      <c r="B448" s="9">
        <v>0.89</v>
      </c>
      <c r="C448" s="10">
        <v>3E-65</v>
      </c>
      <c r="D448" s="5">
        <v>32.299999999999997</v>
      </c>
      <c r="E448" s="11" t="str">
        <f>HYPERLINK("https://www.ncbi.nlm.nih.gov/protein/EHD5786647.1?report=genbank&amp;log$=prottop&amp;blast_rank=472&amp;RID=8XN3MCU5013","EHD5786647.1")</f>
        <v>EHD5786647.1</v>
      </c>
    </row>
    <row r="449" spans="1:5">
      <c r="A449" s="4" t="s">
        <v>431</v>
      </c>
      <c r="B449" s="9">
        <v>0.95</v>
      </c>
      <c r="C449" s="10">
        <v>1E-70</v>
      </c>
      <c r="D449" s="5">
        <v>32.29</v>
      </c>
      <c r="E449" s="11" t="str">
        <f>HYPERLINK("https://www.ncbi.nlm.nih.gov/protein/WP_248122468.1?report=genbank&amp;log$=prottop&amp;blast_rank=367&amp;RID=8XN3MCU5013","WP_248122468.1")</f>
        <v>WP_248122468.1</v>
      </c>
    </row>
    <row r="450" spans="1:5">
      <c r="A450" s="4" t="s">
        <v>191</v>
      </c>
      <c r="B450" s="9">
        <v>0.95</v>
      </c>
      <c r="C450" s="10">
        <v>9.9999999999999996E-70</v>
      </c>
      <c r="D450" s="5">
        <v>32.29</v>
      </c>
      <c r="E450" s="11" t="str">
        <f>HYPERLINK("https://www.ncbi.nlm.nih.gov/protein/MBK5646129.1?report=genbank&amp;log$=prottop&amp;blast_rank=382&amp;RID=8XN3MCU5013","MBK5646129.1")</f>
        <v>MBK5646129.1</v>
      </c>
    </row>
    <row r="451" spans="1:5">
      <c r="A451" s="4" t="s">
        <v>64</v>
      </c>
      <c r="B451" s="9">
        <v>0.95</v>
      </c>
      <c r="C451" s="10">
        <v>9.9999999999999996E-70</v>
      </c>
      <c r="D451" s="5">
        <v>32.29</v>
      </c>
      <c r="E451" s="11" t="str">
        <f>HYPERLINK("https://www.ncbi.nlm.nih.gov/protein/WP_348933120.1?report=genbank&amp;log$=prottop&amp;blast_rank=388&amp;RID=8XN3MCU5013","WP_348933120.1")</f>
        <v>WP_348933120.1</v>
      </c>
    </row>
    <row r="452" spans="1:5">
      <c r="A452" s="4" t="s">
        <v>280</v>
      </c>
      <c r="B452" s="9">
        <v>0.88</v>
      </c>
      <c r="C452" s="10">
        <v>5.9999999999999996E-63</v>
      </c>
      <c r="D452" s="5">
        <v>32.28</v>
      </c>
      <c r="E452" s="11" t="str">
        <f>HYPERLINK("https://www.ncbi.nlm.nih.gov/protein/HCN8373909.1?report=genbank&amp;log$=prottop&amp;blast_rank=494&amp;RID=8XN3MCU5013","HCN8373909.1")</f>
        <v>HCN8373909.1</v>
      </c>
    </row>
    <row r="453" spans="1:5">
      <c r="A453" s="4" t="s">
        <v>280</v>
      </c>
      <c r="B453" s="9">
        <v>0.97</v>
      </c>
      <c r="C453" s="10">
        <v>7.9999999999999993E-71</v>
      </c>
      <c r="D453" s="5">
        <v>32.18</v>
      </c>
      <c r="E453" s="11" t="str">
        <f>HYPERLINK("https://www.ncbi.nlm.nih.gov/protein/HCO5386383.1?report=genbank&amp;log$=prottop&amp;blast_rank=362&amp;RID=8XN3MCU5013","HCO5386383.1")</f>
        <v>HCO5386383.1</v>
      </c>
    </row>
    <row r="454" spans="1:5">
      <c r="A454" s="4" t="s">
        <v>345</v>
      </c>
      <c r="B454" s="9">
        <v>0.97</v>
      </c>
      <c r="C454" s="10">
        <v>4.0000000000000003E-68</v>
      </c>
      <c r="D454" s="5">
        <v>32.159999999999997</v>
      </c>
      <c r="E454" s="11" t="str">
        <f>HYPERLINK("https://www.ncbi.nlm.nih.gov/protein/WP_248179695.1?report=genbank&amp;log$=prottop&amp;blast_rank=409&amp;RID=8XN3MCU5013","WP_248179695.1")</f>
        <v>WP_248179695.1</v>
      </c>
    </row>
    <row r="455" spans="1:5">
      <c r="A455" s="4" t="s">
        <v>280</v>
      </c>
      <c r="B455" s="9">
        <v>0.95</v>
      </c>
      <c r="C455" s="10">
        <v>4.0000000000000003E-68</v>
      </c>
      <c r="D455" s="5">
        <v>32.159999999999997</v>
      </c>
      <c r="E455" s="11" t="str">
        <f>HYPERLINK("https://www.ncbi.nlm.nih.gov/protein/EFL6973502.1?report=genbank&amp;log$=prottop&amp;blast_rank=410&amp;RID=8XN3MCU5013","EFL6973502.1")</f>
        <v>EFL6973502.1</v>
      </c>
    </row>
    <row r="456" spans="1:5">
      <c r="A456" s="4" t="s">
        <v>340</v>
      </c>
      <c r="B456" s="9">
        <v>0.92</v>
      </c>
      <c r="C456" s="10">
        <v>1.9999999999999998E-65</v>
      </c>
      <c r="D456" s="5">
        <v>32.119999999999997</v>
      </c>
      <c r="E456" s="11" t="str">
        <f>HYPERLINK("https://www.ncbi.nlm.nih.gov/protein/HCT3244663.1?report=genbank&amp;log$=prottop&amp;blast_rank=470&amp;RID=8XN3MCU5013","HCT3244663.1")</f>
        <v>HCT3244663.1</v>
      </c>
    </row>
    <row r="457" spans="1:5">
      <c r="A457" s="4" t="s">
        <v>275</v>
      </c>
      <c r="B457" s="9">
        <v>0.92</v>
      </c>
      <c r="C457" s="10">
        <v>7.0000000000000001E-65</v>
      </c>
      <c r="D457" s="5">
        <v>32.119999999999997</v>
      </c>
      <c r="E457" s="11" t="str">
        <f>HYPERLINK("https://www.ncbi.nlm.nih.gov/protein/WP_063160442.1?report=genbank&amp;log$=prottop&amp;blast_rank=477&amp;RID=8XN3MCU5013","WP_063160442.1")</f>
        <v>WP_063160442.1</v>
      </c>
    </row>
    <row r="458" spans="1:5">
      <c r="A458" s="4" t="s">
        <v>280</v>
      </c>
      <c r="B458" s="9">
        <v>0.9</v>
      </c>
      <c r="C458" s="10">
        <v>6.0000000000000004E-66</v>
      </c>
      <c r="D458" s="5">
        <v>31.9</v>
      </c>
      <c r="E458" s="11" t="str">
        <f>HYPERLINK("https://www.ncbi.nlm.nih.gov/protein/EJW6754999.1?report=genbank&amp;log$=prottop&amp;blast_rank=457&amp;RID=8XN3MCU5013","EJW6754999.1")</f>
        <v>EJW6754999.1</v>
      </c>
    </row>
    <row r="459" spans="1:5">
      <c r="A459" s="4" t="s">
        <v>280</v>
      </c>
      <c r="B459" s="9">
        <v>0.9</v>
      </c>
      <c r="C459" s="10">
        <v>8.9999999999999995E-66</v>
      </c>
      <c r="D459" s="5">
        <v>31.9</v>
      </c>
      <c r="E459" s="11" t="str">
        <f>HYPERLINK("https://www.ncbi.nlm.nih.gov/protein/EHI1058916.1?report=genbank&amp;log$=prottop&amp;blast_rank=462&amp;RID=8XN3MCU5013","EHI1058916.1")</f>
        <v>EHI1058916.1</v>
      </c>
    </row>
    <row r="460" spans="1:5">
      <c r="A460" s="4" t="s">
        <v>427</v>
      </c>
      <c r="B460" s="9">
        <v>0.92</v>
      </c>
      <c r="C460" s="10">
        <v>6.0000000000000003E-71</v>
      </c>
      <c r="D460" s="5">
        <v>31.75</v>
      </c>
      <c r="E460" s="11" t="str">
        <f>HYPERLINK("https://www.ncbi.nlm.nih.gov/protein/MAO64039.1?report=genbank&amp;log$=prottop&amp;blast_rank=360&amp;RID=8XN3MCU5013","MAO64039.1")</f>
        <v>MAO64039.1</v>
      </c>
    </row>
    <row r="461" spans="1:5">
      <c r="A461" s="4" t="s">
        <v>272</v>
      </c>
      <c r="B461" s="9">
        <v>0.92</v>
      </c>
      <c r="C461" s="10">
        <v>9.9999999999999997E-65</v>
      </c>
      <c r="D461" s="5">
        <v>31.72</v>
      </c>
      <c r="E461" s="11" t="str">
        <f>HYPERLINK("https://www.ncbi.nlm.nih.gov/protein/MCH7501272.1?report=genbank&amp;log$=prottop&amp;blast_rank=480&amp;RID=8XN3MCU5013","MCH7501272.1")</f>
        <v>MCH7501272.1</v>
      </c>
    </row>
    <row r="462" spans="1:5">
      <c r="A462" s="4" t="s">
        <v>292</v>
      </c>
      <c r="B462" s="9">
        <v>0.96</v>
      </c>
      <c r="C462" s="10">
        <v>8E-70</v>
      </c>
      <c r="D462" s="5">
        <v>31.58</v>
      </c>
      <c r="E462" s="11" t="str">
        <f>HYPERLINK("https://www.ncbi.nlm.nih.gov/protein/WP_181518063.1?report=genbank&amp;log$=prottop&amp;blast_rank=378&amp;RID=8XN3MCU5013","WP_181518063.1")</f>
        <v>WP_181518063.1</v>
      </c>
    </row>
    <row r="463" spans="1:5">
      <c r="A463" s="4" t="s">
        <v>433</v>
      </c>
      <c r="B463" s="9">
        <v>0.97</v>
      </c>
      <c r="C463" s="10">
        <v>2E-70</v>
      </c>
      <c r="D463" s="5">
        <v>31.31</v>
      </c>
      <c r="E463" s="11" t="str">
        <f>HYPERLINK("https://www.ncbi.nlm.nih.gov/protein/MCH8744085.1?report=genbank&amp;log$=prottop&amp;blast_rank=369&amp;RID=8XN3MCU5013","MCH8744085.1")</f>
        <v>MCH8744085.1</v>
      </c>
    </row>
    <row r="464" spans="1:5">
      <c r="A464" s="4" t="s">
        <v>15</v>
      </c>
      <c r="B464" s="9">
        <v>0.92</v>
      </c>
      <c r="C464" s="10">
        <v>2.0000000000000001E-68</v>
      </c>
      <c r="D464" s="5">
        <v>31.25</v>
      </c>
      <c r="E464" s="11" t="str">
        <f>HYPERLINK("https://www.ncbi.nlm.nih.gov/protein/EHR1162057.1?report=genbank&amp;log$=prottop&amp;blast_rank=403&amp;RID=8XN3MCU5013","EHR1162057.1")</f>
        <v>EHR1162057.1</v>
      </c>
    </row>
    <row r="465" spans="1:5">
      <c r="A465" s="4" t="s">
        <v>262</v>
      </c>
      <c r="B465" s="9">
        <v>0.94</v>
      </c>
      <c r="C465" s="10">
        <v>4.0000000000000003E-68</v>
      </c>
      <c r="D465" s="5">
        <v>31.05</v>
      </c>
      <c r="E465" s="11" t="str">
        <f>HYPERLINK("https://www.ncbi.nlm.nih.gov/protein/WP_065520957.1?report=genbank&amp;log$=prottop&amp;blast_rank=407&amp;RID=8XN3MCU5013","WP_065520957.1")</f>
        <v>WP_065520957.1</v>
      </c>
    </row>
    <row r="466" spans="1:5">
      <c r="A466" s="4" t="s">
        <v>267</v>
      </c>
      <c r="B466" s="9">
        <v>0.94</v>
      </c>
      <c r="C466" s="10">
        <v>9.9999999999999994E-68</v>
      </c>
      <c r="D466" s="5">
        <v>31.05</v>
      </c>
      <c r="E466" s="11" t="str">
        <f>HYPERLINK("https://www.ncbi.nlm.nih.gov/protein/WP_136049619.1?report=genbank&amp;log$=prottop&amp;blast_rank=414&amp;RID=8XN3MCU5013","WP_136049619.1")</f>
        <v>WP_136049619.1</v>
      </c>
    </row>
    <row r="467" spans="1:5">
      <c r="A467" s="4" t="s">
        <v>467</v>
      </c>
      <c r="B467" s="9">
        <v>0.97</v>
      </c>
      <c r="C467" s="10">
        <v>9.9999999999999992E-66</v>
      </c>
      <c r="D467" s="5">
        <v>30.65</v>
      </c>
      <c r="E467" s="11" t="str">
        <f>HYPERLINK("https://www.ncbi.nlm.nih.gov/protein/PHR22024.1?report=genbank&amp;log$=prottop&amp;blast_rank=463&amp;RID=8XN3MCU5013","PHR22024.1")</f>
        <v>PHR22024.1</v>
      </c>
    </row>
    <row r="468" spans="1:5">
      <c r="A468" s="4" t="s">
        <v>435</v>
      </c>
      <c r="B468" s="9">
        <v>0.94</v>
      </c>
      <c r="C468" s="10">
        <v>3.0000000000000001E-70</v>
      </c>
      <c r="D468" s="5">
        <v>30.57</v>
      </c>
      <c r="E468" s="11" t="str">
        <f>HYPERLINK("https://www.ncbi.nlm.nih.gov/protein/WP_105052950.1?report=genbank&amp;log$=prottop&amp;blast_rank=374&amp;RID=8XN3MCU5013","WP_105052950.1")</f>
        <v>WP_105052950.1</v>
      </c>
    </row>
    <row r="469" spans="1:5">
      <c r="A469" s="4" t="s">
        <v>267</v>
      </c>
      <c r="B469" s="9">
        <v>0.94</v>
      </c>
      <c r="C469" s="10">
        <v>3.0000000000000003E-67</v>
      </c>
      <c r="D469" s="5">
        <v>30.53</v>
      </c>
      <c r="E469" s="11" t="str">
        <f>HYPERLINK("https://www.ncbi.nlm.nih.gov/protein/WP_100781092.1?report=genbank&amp;log$=prottop&amp;blast_rank=433&amp;RID=8XN3MCU5013","WP_100781092.1")</f>
        <v>WP_100781092.1</v>
      </c>
    </row>
    <row r="470" spans="1:5">
      <c r="A470" s="4" t="s">
        <v>262</v>
      </c>
      <c r="B470" s="9">
        <v>0.94</v>
      </c>
      <c r="C470" s="10">
        <v>4.9999999999999999E-67</v>
      </c>
      <c r="D470" s="5">
        <v>30.53</v>
      </c>
      <c r="E470" s="11" t="str">
        <f>HYPERLINK("https://www.ncbi.nlm.nih.gov/protein/WP_040088789.1?report=genbank&amp;log$=prottop&amp;blast_rank=435&amp;RID=8XN3MCU5013","WP_040088789.1")</f>
        <v>WP_040088789.1</v>
      </c>
    </row>
    <row r="471" spans="1:5">
      <c r="A471" s="4" t="s">
        <v>267</v>
      </c>
      <c r="B471" s="9">
        <v>0.94</v>
      </c>
      <c r="C471" s="10">
        <v>9.9999999999999998E-67</v>
      </c>
      <c r="D471" s="5">
        <v>30.53</v>
      </c>
      <c r="E471" s="11" t="str">
        <f>HYPERLINK("https://www.ncbi.nlm.nih.gov/protein/WP_220995546.1?report=genbank&amp;log$=prottop&amp;blast_rank=441&amp;RID=8XN3MCU5013","WP_220995546.1")</f>
        <v>WP_220995546.1</v>
      </c>
    </row>
    <row r="472" spans="1:5">
      <c r="A472" s="4" t="s">
        <v>262</v>
      </c>
      <c r="B472" s="9">
        <v>0.94</v>
      </c>
      <c r="C472" s="10">
        <v>9.9999999999999998E-67</v>
      </c>
      <c r="D472" s="5">
        <v>30.53</v>
      </c>
      <c r="E472" s="11" t="str">
        <f>HYPERLINK("https://www.ncbi.nlm.nih.gov/protein/HBR4779483.1?report=genbank&amp;log$=prottop&amp;blast_rank=448&amp;RID=8XN3MCU5013","HBR4779483.1")</f>
        <v>HBR4779483.1</v>
      </c>
    </row>
    <row r="473" spans="1:5">
      <c r="A473" s="4" t="s">
        <v>262</v>
      </c>
      <c r="B473" s="9">
        <v>0.94</v>
      </c>
      <c r="C473" s="10">
        <v>2E-66</v>
      </c>
      <c r="D473" s="5">
        <v>30.53</v>
      </c>
      <c r="E473" s="11" t="str">
        <f>HYPERLINK("https://www.ncbi.nlm.nih.gov/protein/HBT8318564.1?report=genbank&amp;log$=prottop&amp;blast_rank=450&amp;RID=8XN3MCU5013","HBT8318564.1")</f>
        <v>HBT8318564.1</v>
      </c>
    </row>
    <row r="474" spans="1:5">
      <c r="A474" s="4" t="s">
        <v>439</v>
      </c>
      <c r="B474" s="9">
        <v>0.93</v>
      </c>
      <c r="C474" s="10">
        <v>1.9999999999999999E-69</v>
      </c>
      <c r="D474" s="5">
        <v>30.41</v>
      </c>
      <c r="E474" s="11" t="str">
        <f>HYPERLINK("https://www.ncbi.nlm.nih.gov/protein/HDS4351428.1?report=genbank&amp;log$=prottop&amp;blast_rank=391&amp;RID=8XN3MCU5013","HDS4351428.1")</f>
        <v>HDS4351428.1</v>
      </c>
    </row>
    <row r="475" spans="1:5">
      <c r="A475" s="4" t="s">
        <v>448</v>
      </c>
      <c r="B475" s="9">
        <v>0.97</v>
      </c>
      <c r="C475" s="10">
        <v>3E-68</v>
      </c>
      <c r="D475" s="5">
        <v>30.39</v>
      </c>
      <c r="E475" s="11" t="str">
        <f>HYPERLINK("https://www.ncbi.nlm.nih.gov/protein/VTS58952.1?report=genbank&amp;log$=prottop&amp;blast_rank=404&amp;RID=8XN3MCU5013","VTS58952.1")</f>
        <v>VTS58952.1</v>
      </c>
    </row>
    <row r="476" spans="1:5">
      <c r="A476" s="4" t="s">
        <v>267</v>
      </c>
      <c r="B476" s="9">
        <v>0.96</v>
      </c>
      <c r="C476" s="10">
        <v>8.0000000000000005E-68</v>
      </c>
      <c r="D476" s="5">
        <v>30.35</v>
      </c>
      <c r="E476" s="11" t="str">
        <f>HYPERLINK("https://www.ncbi.nlm.nih.gov/protein/WP_141522383.1?report=genbank&amp;log$=prottop&amp;blast_rank=413&amp;RID=8XN3MCU5013","WP_141522383.1")</f>
        <v>WP_141522383.1</v>
      </c>
    </row>
    <row r="477" spans="1:5">
      <c r="A477" s="4" t="s">
        <v>267</v>
      </c>
      <c r="B477" s="9">
        <v>0.96</v>
      </c>
      <c r="C477" s="10">
        <v>9.9999999999999994E-68</v>
      </c>
      <c r="D477" s="5">
        <v>30.35</v>
      </c>
      <c r="E477" s="11" t="str">
        <f>HYPERLINK("https://www.ncbi.nlm.nih.gov/protein/WP_138110181.1?report=genbank&amp;log$=prottop&amp;blast_rank=416&amp;RID=8XN3MCU5013","WP_138110181.1")</f>
        <v>WP_138110181.1</v>
      </c>
    </row>
    <row r="478" spans="1:5">
      <c r="A478" s="4" t="s">
        <v>262</v>
      </c>
      <c r="B478" s="9">
        <v>0.94</v>
      </c>
      <c r="C478" s="10">
        <v>1.9999999999999998E-65</v>
      </c>
      <c r="D478" s="5">
        <v>30</v>
      </c>
      <c r="E478" s="11" t="str">
        <f>HYPERLINK("https://www.ncbi.nlm.nih.gov/protein/WP_023341859.1?report=genbank&amp;log$=prottop&amp;blast_rank=468&amp;RID=8XN3MCU5013","WP_023341859.1")</f>
        <v>WP_023341859.1</v>
      </c>
    </row>
    <row r="479" spans="1:5">
      <c r="A479" s="4" t="s">
        <v>262</v>
      </c>
      <c r="B479" s="9">
        <v>0.94</v>
      </c>
      <c r="C479" s="10">
        <v>2.0000000000000001E-63</v>
      </c>
      <c r="D479" s="5">
        <v>30</v>
      </c>
      <c r="E479" s="11" t="str">
        <f>HYPERLINK("https://www.ncbi.nlm.nih.gov/protein/ELI7031713.1?report=genbank&amp;log$=prottop&amp;blast_rank=491&amp;RID=8XN3MCU5013","ELI7031713.1")</f>
        <v>ELI7031713.1</v>
      </c>
    </row>
    <row r="480" spans="1:5">
      <c r="A480" s="4" t="s">
        <v>460</v>
      </c>
      <c r="B480" s="9">
        <v>0.92</v>
      </c>
      <c r="C480" s="10">
        <v>6.0000000000000006E-67</v>
      </c>
      <c r="D480" s="5">
        <v>29.95</v>
      </c>
      <c r="E480" s="11" t="str">
        <f>HYPERLINK("https://www.ncbi.nlm.nih.gov/protein/WP_117241026.1?report=genbank&amp;log$=prottop&amp;blast_rank=436&amp;RID=8XN3MCU5013","WP_117241026.1")</f>
        <v>WP_117241026.1</v>
      </c>
    </row>
    <row r="481" spans="1:5">
      <c r="A481" s="4" t="s">
        <v>262</v>
      </c>
      <c r="B481" s="9">
        <v>0.92</v>
      </c>
      <c r="C481" s="10">
        <v>7.0000000000000001E-67</v>
      </c>
      <c r="D481" s="5">
        <v>29.95</v>
      </c>
      <c r="E481" s="11" t="str">
        <f>HYPERLINK("https://www.ncbi.nlm.nih.gov/protein/ELN9411558.1?report=genbank&amp;log$=prottop&amp;blast_rank=437&amp;RID=8XN3MCU5013","ELN9411558.1")</f>
        <v>ELN9411558.1</v>
      </c>
    </row>
    <row r="482" spans="1:5">
      <c r="A482" s="4" t="s">
        <v>273</v>
      </c>
      <c r="B482" s="9">
        <v>0.92</v>
      </c>
      <c r="C482" s="10">
        <v>7.0000000000000001E-67</v>
      </c>
      <c r="D482" s="5">
        <v>29.95</v>
      </c>
      <c r="E482" s="11" t="str">
        <f>HYPERLINK("https://www.ncbi.nlm.nih.gov/protein/HBQ5720532.1?report=genbank&amp;log$=prottop&amp;blast_rank=438&amp;RID=8XN3MCU5013","HBQ5720532.1")</f>
        <v>HBQ5720532.1</v>
      </c>
    </row>
    <row r="483" spans="1:5">
      <c r="A483" s="4" t="s">
        <v>262</v>
      </c>
      <c r="B483" s="9">
        <v>0.92</v>
      </c>
      <c r="C483" s="10">
        <v>9.9999999999999998E-67</v>
      </c>
      <c r="D483" s="5">
        <v>29.95</v>
      </c>
      <c r="E483" s="11" t="str">
        <f>HYPERLINK("https://www.ncbi.nlm.nih.gov/protein/WP_065809150.1?report=genbank&amp;log$=prottop&amp;blast_rank=444&amp;RID=8XN3MCU5013","WP_065809150.1")</f>
        <v>WP_065809150.1</v>
      </c>
    </row>
    <row r="484" spans="1:5">
      <c r="A484" s="4" t="s">
        <v>267</v>
      </c>
      <c r="B484" s="9">
        <v>0.92</v>
      </c>
      <c r="C484" s="10">
        <v>9.9999999999999998E-67</v>
      </c>
      <c r="D484" s="5">
        <v>29.95</v>
      </c>
      <c r="E484" s="11" t="str">
        <f>HYPERLINK("https://www.ncbi.nlm.nih.gov/protein/WP_117114244.1?report=genbank&amp;log$=prottop&amp;blast_rank=445&amp;RID=8XN3MCU5013","WP_117114244.1")</f>
        <v>WP_117114244.1</v>
      </c>
    </row>
    <row r="485" spans="1:5">
      <c r="A485" s="4" t="s">
        <v>266</v>
      </c>
      <c r="B485" s="9">
        <v>0.92</v>
      </c>
      <c r="C485" s="10">
        <v>2E-66</v>
      </c>
      <c r="D485" s="5">
        <v>29.95</v>
      </c>
      <c r="E485" s="11" t="str">
        <f>HYPERLINK("https://www.ncbi.nlm.nih.gov/protein/WP_217332872.1?report=genbank&amp;log$=prottop&amp;blast_rank=449&amp;RID=8XN3MCU5013","WP_217332872.1")</f>
        <v>WP_217332872.1</v>
      </c>
    </row>
    <row r="486" spans="1:5">
      <c r="A486" s="4" t="s">
        <v>439</v>
      </c>
      <c r="B486" s="9">
        <v>0.93</v>
      </c>
      <c r="C486" s="10">
        <v>1.9999999999999999E-69</v>
      </c>
      <c r="D486" s="5">
        <v>29.9</v>
      </c>
      <c r="E486" s="11" t="str">
        <f>HYPERLINK("https://www.ncbi.nlm.nih.gov/protein/WP_087450067.1?report=genbank&amp;log$=prottop&amp;blast_rank=389&amp;RID=8XN3MCU5013","WP_087450067.1")</f>
        <v>WP_087450067.1</v>
      </c>
    </row>
    <row r="487" spans="1:5">
      <c r="A487" s="4" t="s">
        <v>441</v>
      </c>
      <c r="B487" s="9">
        <v>0.97</v>
      </c>
      <c r="C487" s="10">
        <v>5.9999999999999998E-69</v>
      </c>
      <c r="D487" s="5">
        <v>29.55</v>
      </c>
      <c r="E487" s="11" t="str">
        <f>HYPERLINK("https://www.ncbi.nlm.nih.gov/protein/WP_318357674.1?report=genbank&amp;log$=prottop&amp;blast_rank=394&amp;RID=8XN3MCU5013","WP_318357674.1")</f>
        <v>WP_318357674.1</v>
      </c>
    </row>
    <row r="488" spans="1:5">
      <c r="A488" s="4" t="s">
        <v>262</v>
      </c>
      <c r="B488" s="9">
        <v>0.94</v>
      </c>
      <c r="C488" s="10">
        <v>3E-65</v>
      </c>
      <c r="D488" s="5">
        <v>29.47</v>
      </c>
      <c r="E488" s="11" t="str">
        <f>HYPERLINK("https://www.ncbi.nlm.nih.gov/protein/WP_101867207.1?report=genbank&amp;log$=prottop&amp;blast_rank=471&amp;RID=8XN3MCU5013","WP_101867207.1")</f>
        <v>WP_101867207.1</v>
      </c>
    </row>
    <row r="489" spans="1:5">
      <c r="A489" s="4" t="s">
        <v>267</v>
      </c>
      <c r="B489" s="9">
        <v>0.94</v>
      </c>
      <c r="C489" s="10">
        <v>4.9999999999999998E-65</v>
      </c>
      <c r="D489" s="5">
        <v>29.47</v>
      </c>
      <c r="E489" s="11" t="str">
        <f>HYPERLINK("https://www.ncbi.nlm.nih.gov/protein/WP_117023992.1?report=genbank&amp;log$=prottop&amp;blast_rank=473&amp;RID=8XN3MCU5013","WP_117023992.1")</f>
        <v>WP_117023992.1</v>
      </c>
    </row>
    <row r="490" spans="1:5">
      <c r="A490" s="4" t="s">
        <v>460</v>
      </c>
      <c r="B490" s="9">
        <v>0.94</v>
      </c>
      <c r="C490" s="10">
        <v>6E-65</v>
      </c>
      <c r="D490" s="5">
        <v>29.47</v>
      </c>
      <c r="E490" s="11" t="str">
        <f>HYPERLINK("https://www.ncbi.nlm.nih.gov/protein/WP_136047462.1?report=genbank&amp;log$=prottop&amp;blast_rank=475&amp;RID=8XN3MCU5013","WP_136047462.1")</f>
        <v>WP_136047462.1</v>
      </c>
    </row>
    <row r="491" spans="1:5">
      <c r="A491" s="4" t="s">
        <v>262</v>
      </c>
      <c r="B491" s="9">
        <v>0.94</v>
      </c>
      <c r="C491" s="10">
        <v>7.0000000000000001E-65</v>
      </c>
      <c r="D491" s="5">
        <v>29.47</v>
      </c>
      <c r="E491" s="11" t="str">
        <f>HYPERLINK("https://www.ncbi.nlm.nih.gov/protein/HBR4417906.1?report=genbank&amp;log$=prottop&amp;blast_rank=479&amp;RID=8XN3MCU5013","HBR4417906.1")</f>
        <v>HBR4417906.1</v>
      </c>
    </row>
    <row r="492" spans="1:5">
      <c r="A492" s="4" t="s">
        <v>470</v>
      </c>
      <c r="B492" s="9">
        <v>0.94</v>
      </c>
      <c r="C492" s="10">
        <v>4.9999999999999998E-65</v>
      </c>
      <c r="D492" s="5">
        <v>28.95</v>
      </c>
      <c r="E492" s="11" t="str">
        <f>HYPERLINK("https://www.ncbi.nlm.nih.gov/protein/WP_325958911.1?report=genbank&amp;log$=prottop&amp;blast_rank=474&amp;RID=8XN3MCU5013","WP_325958911.1")</f>
        <v>WP_325958911.1</v>
      </c>
    </row>
    <row r="493" spans="1:5">
      <c r="A493" s="4" t="s">
        <v>262</v>
      </c>
      <c r="B493" s="9">
        <v>0.94</v>
      </c>
      <c r="C493" s="10">
        <v>3.9999999999999999E-64</v>
      </c>
      <c r="D493" s="5">
        <v>28.95</v>
      </c>
      <c r="E493" s="11" t="str">
        <f>HYPERLINK("https://www.ncbi.nlm.nih.gov/protein/WP_319853363.1?report=genbank&amp;log$=prottop&amp;blast_rank=487&amp;RID=8XN3MCU5013","WP_319853363.1")</f>
        <v>WP_319853363.1</v>
      </c>
    </row>
    <row r="494" spans="1:5">
      <c r="A494" s="4" t="s">
        <v>455</v>
      </c>
      <c r="B494" s="9">
        <v>0.92</v>
      </c>
      <c r="C494" s="10">
        <v>1.9999999999999999E-67</v>
      </c>
      <c r="D494" s="5">
        <v>28.93</v>
      </c>
      <c r="E494" s="11" t="str">
        <f>HYPERLINK("https://www.ncbi.nlm.nih.gov/protein/HBU5930261.1?report=genbank&amp;log$=prottop&amp;blast_rank=422&amp;RID=8XN3MCU5013","HBU5930261.1")</f>
        <v>HBU5930261.1</v>
      </c>
    </row>
    <row r="495" spans="1:5">
      <c r="A495" s="4" t="s">
        <v>262</v>
      </c>
      <c r="B495" s="9">
        <v>0.92</v>
      </c>
      <c r="C495" s="10">
        <v>1.9999999999999999E-67</v>
      </c>
      <c r="D495" s="5">
        <v>28.93</v>
      </c>
      <c r="E495" s="11" t="str">
        <f>HYPERLINK("https://www.ncbi.nlm.nih.gov/protein/WP_080934745.1?report=genbank&amp;log$=prottop&amp;blast_rank=425&amp;RID=8XN3MCU5013","WP_080934745.1")</f>
        <v>WP_080934745.1</v>
      </c>
    </row>
    <row r="496" spans="1:5">
      <c r="A496" s="4" t="s">
        <v>267</v>
      </c>
      <c r="B496" s="9">
        <v>0.92</v>
      </c>
      <c r="C496" s="10">
        <v>1.9999999999999999E-67</v>
      </c>
      <c r="D496" s="5">
        <v>28.93</v>
      </c>
      <c r="E496" s="11" t="str">
        <f>HYPERLINK("https://www.ncbi.nlm.nih.gov/protein/WP_114475088.1?report=genbank&amp;log$=prottop&amp;blast_rank=426&amp;RID=8XN3MCU5013","WP_114475088.1")</f>
        <v>WP_114475088.1</v>
      </c>
    </row>
    <row r="497" spans="1:5">
      <c r="A497" s="4" t="s">
        <v>262</v>
      </c>
      <c r="B497" s="9">
        <v>0.92</v>
      </c>
      <c r="C497" s="10">
        <v>1.9999999999999999E-67</v>
      </c>
      <c r="D497" s="5">
        <v>28.93</v>
      </c>
      <c r="E497" s="11" t="str">
        <f>HYPERLINK("https://www.ncbi.nlm.nih.gov/protein/EKX7968991.1?report=genbank&amp;log$=prottop&amp;blast_rank=428&amp;RID=8XN3MCU5013","EKX7968991.1")</f>
        <v>EKX7968991.1</v>
      </c>
    </row>
    <row r="498" spans="1:5">
      <c r="A498" s="4" t="s">
        <v>262</v>
      </c>
      <c r="B498" s="9">
        <v>0.92</v>
      </c>
      <c r="C498" s="10">
        <v>1.9999999999999999E-67</v>
      </c>
      <c r="D498" s="5">
        <v>28.93</v>
      </c>
      <c r="E498" s="11" t="str">
        <f>HYPERLINK("https://www.ncbi.nlm.nih.gov/protein/HCA5653963.1?report=genbank&amp;log$=prottop&amp;blast_rank=430&amp;RID=8XN3MCU5013","HCA5653963.1")</f>
        <v>HCA5653963.1</v>
      </c>
    </row>
    <row r="499" spans="1:5">
      <c r="A499" s="4" t="s">
        <v>478</v>
      </c>
      <c r="B499" s="9">
        <v>0.95</v>
      </c>
      <c r="C499" s="10">
        <v>1E-62</v>
      </c>
      <c r="D499" s="5">
        <v>28.8</v>
      </c>
      <c r="E499" s="11" t="str">
        <f>HYPERLINK("https://www.ncbi.nlm.nih.gov/protein/HCI4571404.1?report=genbank&amp;log$=prottop&amp;blast_rank=498&amp;RID=8XN3MCU5013","HCI4571404.1")</f>
        <v>HCI4571404.1</v>
      </c>
    </row>
    <row r="500" spans="1:5">
      <c r="A500" s="4" t="s">
        <v>262</v>
      </c>
      <c r="B500" s="9">
        <v>0.96</v>
      </c>
      <c r="C500" s="10">
        <v>9.9999999999999992E-66</v>
      </c>
      <c r="D500" s="5">
        <v>28.64</v>
      </c>
      <c r="E500" s="11" t="str">
        <f>HYPERLINK("https://www.ncbi.nlm.nih.gov/protein/HCI7550398.1?report=genbank&amp;log$=prottop&amp;blast_rank=464&amp;RID=8XN3MCU5013","HCI7550398.1")</f>
        <v>HCI7550398.1</v>
      </c>
    </row>
    <row r="501" spans="1:5">
      <c r="A501" s="4" t="s">
        <v>460</v>
      </c>
      <c r="B501" s="9">
        <v>0.96</v>
      </c>
      <c r="C501" s="10">
        <v>1.9999999999999998E-65</v>
      </c>
      <c r="D501" s="5">
        <v>28.64</v>
      </c>
      <c r="E501" s="11" t="str">
        <f>HYPERLINK("https://www.ncbi.nlm.nih.gov/protein/WP_137963085.1?report=genbank&amp;log$=prottop&amp;blast_rank=465&amp;RID=8XN3MCU5013","WP_137963085.1")</f>
        <v>WP_137963085.1</v>
      </c>
    </row>
    <row r="502" spans="1:5">
      <c r="A502" s="4" t="s">
        <v>262</v>
      </c>
      <c r="B502" s="9">
        <v>0.96</v>
      </c>
      <c r="C502" s="10">
        <v>1E-62</v>
      </c>
      <c r="D502" s="5">
        <v>28.5</v>
      </c>
      <c r="E502" s="11" t="str">
        <f>HYPERLINK("https://www.ncbi.nlm.nih.gov/protein/HCD5965786.1?report=genbank&amp;log$=prottop&amp;blast_rank=496&amp;RID=8XN3MCU5013","HCD5965786.1")</f>
        <v>HCD5965786.1</v>
      </c>
    </row>
    <row r="503" spans="1:5">
      <c r="A503" s="4" t="s">
        <v>470</v>
      </c>
      <c r="B503" s="9">
        <v>0.94</v>
      </c>
      <c r="C503" s="10">
        <v>2.9999999999999998E-63</v>
      </c>
      <c r="D503" s="5">
        <v>28.42</v>
      </c>
      <c r="E503" s="11" t="str">
        <f>HYPERLINK("https://www.ncbi.nlm.nih.gov/protein/WP_325938763.1?report=genbank&amp;log$=prottop&amp;blast_rank=493&amp;RID=8XN3MCU5013","WP_325938763.1")</f>
        <v>WP_325938763.1</v>
      </c>
    </row>
    <row r="504" spans="1:5">
      <c r="A504" s="4" t="s">
        <v>477</v>
      </c>
      <c r="B504" s="9">
        <v>0.97</v>
      </c>
      <c r="C504" s="10">
        <v>1E-62</v>
      </c>
      <c r="D504" s="5">
        <v>28.21</v>
      </c>
      <c r="E504" s="11" t="str">
        <f>HYPERLINK("https://www.ncbi.nlm.nih.gov/protein/HCI6064313.1?report=genbank&amp;log$=prottop&amp;blast_rank=497&amp;RID=8XN3MCU5013","HCI6064313.1")</f>
        <v>HCI6064313.1</v>
      </c>
    </row>
    <row r="505" spans="1:5">
      <c r="A505" s="4" t="s">
        <v>267</v>
      </c>
      <c r="B505" s="9">
        <v>0.97</v>
      </c>
      <c r="C505" s="10">
        <v>2.0000000000000001E-62</v>
      </c>
      <c r="D505" s="5">
        <v>28.21</v>
      </c>
      <c r="E505" s="11" t="str">
        <f>HYPERLINK("https://www.ncbi.nlm.nih.gov/protein/WP_188203528.1?report=genbank&amp;log$=prottop&amp;blast_rank=499&amp;RID=8XN3MCU5013","WP_188203528.1")</f>
        <v>WP_188203528.1</v>
      </c>
    </row>
    <row r="506" spans="1:5">
      <c r="A506" s="4" t="s">
        <v>475</v>
      </c>
      <c r="B506" s="9">
        <v>0.97</v>
      </c>
      <c r="C506" s="10">
        <v>2.9999999999999998E-63</v>
      </c>
      <c r="D506" s="5">
        <v>26.67</v>
      </c>
      <c r="E506" s="11" t="str">
        <f>HYPERLINK("https://www.ncbi.nlm.nih.gov/protein/WP_234565565.1?report=genbank&amp;log$=prottop&amp;blast_rank=492&amp;RID=8XN3MCU5013","WP_234565565.1")</f>
        <v>WP_234565565.1</v>
      </c>
    </row>
    <row r="507" spans="1:5">
      <c r="A507" s="4" t="s">
        <v>10</v>
      </c>
      <c r="B507" s="5" t="s">
        <v>11</v>
      </c>
      <c r="C507" s="5" t="s">
        <v>12</v>
      </c>
      <c r="D507" s="5" t="s">
        <v>13</v>
      </c>
      <c r="E507" s="11" t="s">
        <v>14</v>
      </c>
    </row>
    <row r="511" spans="1:5">
      <c r="A511" s="4" t="s">
        <v>480</v>
      </c>
    </row>
  </sheetData>
  <sortState xmlns:xlrd2="http://schemas.microsoft.com/office/spreadsheetml/2017/richdata2" ref="A7:E506">
    <sortCondition descending="1" ref="D7:D506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53BEC-A7E4-2C45-9084-050538305A33}">
  <dimension ref="A1:E511"/>
  <sheetViews>
    <sheetView workbookViewId="0">
      <selection sqref="A1:XFD3"/>
    </sheetView>
  </sheetViews>
  <sheetFormatPr baseColWidth="10" defaultColWidth="25" defaultRowHeight="16"/>
  <cols>
    <col min="1" max="1" width="30.83203125" style="4" customWidth="1"/>
    <col min="2" max="4" width="30.83203125" style="5" customWidth="1"/>
    <col min="5" max="5" width="30.83203125" style="11" customWidth="1"/>
    <col min="6" max="16384" width="25" style="4"/>
  </cols>
  <sheetData>
    <row r="1" spans="1:5" s="26" customFormat="1" ht="18">
      <c r="A1" s="26" t="s">
        <v>481</v>
      </c>
      <c r="B1" s="27"/>
      <c r="C1" s="27"/>
      <c r="D1" s="27"/>
      <c r="E1" s="33"/>
    </row>
    <row r="2" spans="1:5" s="26" customFormat="1" ht="18">
      <c r="A2" s="29" t="s">
        <v>482</v>
      </c>
      <c r="B2" s="27"/>
      <c r="C2" s="27"/>
      <c r="D2" s="27"/>
      <c r="E2" s="33"/>
    </row>
    <row r="3" spans="1:5" s="26" customFormat="1" ht="18">
      <c r="A3" s="29" t="s">
        <v>483</v>
      </c>
      <c r="B3" s="27"/>
      <c r="C3" s="27"/>
      <c r="D3" s="27"/>
      <c r="E3" s="33"/>
    </row>
    <row r="6" spans="1:5" s="7" customFormat="1">
      <c r="A6" s="7" t="s">
        <v>10</v>
      </c>
      <c r="B6" s="8" t="s">
        <v>11</v>
      </c>
      <c r="C6" s="8" t="s">
        <v>12</v>
      </c>
      <c r="D6" s="8" t="s">
        <v>13</v>
      </c>
      <c r="E6" s="12" t="s">
        <v>14</v>
      </c>
    </row>
    <row r="7" spans="1:5">
      <c r="A7" s="4" t="s">
        <v>15</v>
      </c>
      <c r="B7" s="9">
        <v>1</v>
      </c>
      <c r="C7" s="10">
        <v>2.9999999999999999E-121</v>
      </c>
      <c r="D7" s="5">
        <v>100</v>
      </c>
      <c r="E7" s="11" t="str">
        <f>HYPERLINK("https://www.ncbi.nlm.nih.gov/protein/WP_229652597.1?report=genbank&amp;log$=prottop&amp;blast_rank=141&amp;RID=8XNW7U47013","WP_229652597.1")</f>
        <v>WP_229652597.1</v>
      </c>
    </row>
    <row r="8" spans="1:5">
      <c r="A8" s="4" t="s">
        <v>43</v>
      </c>
      <c r="B8" s="9">
        <v>1</v>
      </c>
      <c r="C8" s="10">
        <v>9.9999999999999998E-121</v>
      </c>
      <c r="D8" s="5">
        <v>100</v>
      </c>
      <c r="E8" s="11" t="str">
        <f>HYPERLINK("https://www.ncbi.nlm.nih.gov/protein/WP_011105965.1?report=genbank&amp;log$=prottop&amp;blast_rank=148&amp;RID=8XNW7U47013","WP_011105965.1")</f>
        <v>WP_011105965.1</v>
      </c>
    </row>
    <row r="9" spans="1:5">
      <c r="A9" s="4" t="s">
        <v>238</v>
      </c>
      <c r="B9" s="9">
        <v>1</v>
      </c>
      <c r="C9" s="10">
        <v>3.9999999999999999E-120</v>
      </c>
      <c r="D9" s="5">
        <v>99.5</v>
      </c>
      <c r="E9" s="11" t="str">
        <f>HYPERLINK("https://www.ncbi.nlm.nih.gov/protein/EGQ8020009.1?report=genbank&amp;log$=prottop&amp;blast_rank=161&amp;RID=8XNW7U47013","EGQ8020009.1")</f>
        <v>EGQ8020009.1</v>
      </c>
    </row>
    <row r="10" spans="1:5">
      <c r="A10" s="4" t="s">
        <v>15</v>
      </c>
      <c r="B10" s="9">
        <v>1</v>
      </c>
      <c r="C10" s="10">
        <v>3.0000000000000002E-119</v>
      </c>
      <c r="D10" s="5">
        <v>99.5</v>
      </c>
      <c r="E10" s="11" t="str">
        <f>HYPERLINK("https://www.ncbi.nlm.nih.gov/protein/EGU9031304.1?report=genbank&amp;log$=prottop&amp;blast_rank=176&amp;RID=8XNW7U47013","EGU9031304.1")</f>
        <v>EGU9031304.1</v>
      </c>
    </row>
    <row r="11" spans="1:5">
      <c r="A11" s="4" t="s">
        <v>15</v>
      </c>
      <c r="B11" s="9">
        <v>1</v>
      </c>
      <c r="C11" s="10">
        <v>9.9999999999999999E-119</v>
      </c>
      <c r="D11" s="5">
        <v>99.5</v>
      </c>
      <c r="E11" s="11" t="str">
        <f>HYPERLINK("https://www.ncbi.nlm.nih.gov/protein/TOL18210.1?report=genbank&amp;log$=prottop&amp;blast_rank=187&amp;RID=8XNW7U47013","TOL18210.1")</f>
        <v>TOL18210.1</v>
      </c>
    </row>
    <row r="12" spans="1:5">
      <c r="A12" s="4" t="s">
        <v>15</v>
      </c>
      <c r="B12" s="9">
        <v>0.97</v>
      </c>
      <c r="C12" s="10">
        <v>2.0000000000000001E-117</v>
      </c>
      <c r="D12" s="5">
        <v>99.48</v>
      </c>
      <c r="E12" s="11" t="str">
        <f>HYPERLINK("https://www.ncbi.nlm.nih.gov/protein/WP_021483869.1?report=genbank&amp;log$=prottop&amp;blast_rank=210&amp;RID=8XNW7U47013","WP_021483869.1")</f>
        <v>WP_021483869.1</v>
      </c>
    </row>
    <row r="13" spans="1:5">
      <c r="A13" s="4" t="s">
        <v>43</v>
      </c>
      <c r="B13" s="9">
        <v>0.96</v>
      </c>
      <c r="C13" s="10">
        <v>5E-117</v>
      </c>
      <c r="D13" s="5">
        <v>99.48</v>
      </c>
      <c r="E13" s="11" t="str">
        <f>HYPERLINK("https://www.ncbi.nlm.nih.gov/protein/WP_005483293.1?report=genbank&amp;log$=prottop&amp;blast_rank=219&amp;RID=8XNW7U47013","WP_005483293.1")</f>
        <v>WP_005483293.1</v>
      </c>
    </row>
    <row r="14" spans="1:5">
      <c r="A14" s="4" t="s">
        <v>15</v>
      </c>
      <c r="B14" s="9">
        <v>0.91</v>
      </c>
      <c r="C14" s="10">
        <v>8.0000000000000004E-110</v>
      </c>
      <c r="D14" s="5">
        <v>99.45</v>
      </c>
      <c r="E14" s="11" t="str">
        <f>HYPERLINK("https://www.ncbi.nlm.nih.gov/protein/WP_025580670.1?report=genbank&amp;log$=prottop&amp;blast_rank=335&amp;RID=8XNW7U47013","WP_025580670.1")</f>
        <v>WP_025580670.1</v>
      </c>
    </row>
    <row r="15" spans="1:5">
      <c r="A15" s="4" t="s">
        <v>15</v>
      </c>
      <c r="B15" s="9">
        <v>0.89</v>
      </c>
      <c r="C15" s="10">
        <v>9.0000000000000002E-109</v>
      </c>
      <c r="D15" s="5">
        <v>99.44</v>
      </c>
      <c r="E15" s="11" t="str">
        <f>HYPERLINK("https://www.ncbi.nlm.nih.gov/protein/WP_237666895.1?report=genbank&amp;log$=prottop&amp;blast_rank=360&amp;RID=8XNW7U47013","WP_237666895.1")</f>
        <v>WP_237666895.1</v>
      </c>
    </row>
    <row r="16" spans="1:5">
      <c r="A16" s="4" t="s">
        <v>238</v>
      </c>
      <c r="B16" s="9">
        <v>0.96</v>
      </c>
      <c r="C16" s="10">
        <v>2E-116</v>
      </c>
      <c r="D16" s="5">
        <v>98.96</v>
      </c>
      <c r="E16" s="11" t="str">
        <f>HYPERLINK("https://www.ncbi.nlm.nih.gov/protein/WP_213892045.1?report=genbank&amp;log$=prottop&amp;blast_rank=226&amp;RID=8XNW7U47013","WP_213892045.1")</f>
        <v>WP_213892045.1</v>
      </c>
    </row>
    <row r="17" spans="1:5">
      <c r="A17" s="4" t="s">
        <v>15</v>
      </c>
      <c r="B17" s="9">
        <v>0.96</v>
      </c>
      <c r="C17" s="10">
        <v>6.0000000000000005E-116</v>
      </c>
      <c r="D17" s="5">
        <v>98.96</v>
      </c>
      <c r="E17" s="11" t="str">
        <f>HYPERLINK("https://www.ncbi.nlm.nih.gov/protein/HCH3821794.1?report=genbank&amp;log$=prottop&amp;blast_rank=233&amp;RID=8XNW7U47013","HCH3821794.1")</f>
        <v>HCH3821794.1</v>
      </c>
    </row>
    <row r="18" spans="1:5">
      <c r="A18" s="4" t="s">
        <v>15</v>
      </c>
      <c r="B18" s="9">
        <v>0.96</v>
      </c>
      <c r="C18" s="10">
        <v>8E-116</v>
      </c>
      <c r="D18" s="5">
        <v>98.96</v>
      </c>
      <c r="E18" s="11" t="str">
        <f>HYPERLINK("https://www.ncbi.nlm.nih.gov/protein/HCE2860375.1?report=genbank&amp;log$=prottop&amp;blast_rank=234&amp;RID=8XNW7U47013","HCE2860375.1")</f>
        <v>HCE2860375.1</v>
      </c>
    </row>
    <row r="19" spans="1:5">
      <c r="A19" s="4" t="s">
        <v>15</v>
      </c>
      <c r="B19" s="9">
        <v>0.96</v>
      </c>
      <c r="C19" s="10">
        <v>1.0000000000000001E-115</v>
      </c>
      <c r="D19" s="5">
        <v>98.96</v>
      </c>
      <c r="E19" s="11" t="str">
        <f>HYPERLINK("https://www.ncbi.nlm.nih.gov/protein/EIO4610136.1?report=genbank&amp;log$=prottop&amp;blast_rank=243&amp;RID=8XNW7U47013","EIO4610136.1")</f>
        <v>EIO4610136.1</v>
      </c>
    </row>
    <row r="20" spans="1:5">
      <c r="A20" s="4" t="s">
        <v>15</v>
      </c>
      <c r="B20" s="9">
        <v>0.96</v>
      </c>
      <c r="C20" s="10">
        <v>7.0000000000000004E-115</v>
      </c>
      <c r="D20" s="5">
        <v>98.96</v>
      </c>
      <c r="E20" s="11" t="str">
        <f>HYPERLINK("https://www.ncbi.nlm.nih.gov/protein/WP_219585896.1?report=genbank&amp;log$=prottop&amp;blast_rank=251&amp;RID=8XNW7U47013","WP_219585896.1")</f>
        <v>WP_219585896.1</v>
      </c>
    </row>
    <row r="21" spans="1:5">
      <c r="A21" s="4" t="s">
        <v>588</v>
      </c>
      <c r="B21" s="9">
        <v>1</v>
      </c>
      <c r="C21" s="10">
        <v>7.9999999999999998E-120</v>
      </c>
      <c r="D21" s="5">
        <v>98.49</v>
      </c>
      <c r="E21" s="11" t="str">
        <f>HYPERLINK("https://www.ncbi.nlm.nih.gov/protein/KIN12088.1?report=genbank&amp;log$=prottop&amp;blast_rank=164&amp;RID=8XNW7U47013","KIN12088.1")</f>
        <v>KIN12088.1</v>
      </c>
    </row>
    <row r="22" spans="1:5">
      <c r="A22" s="4" t="s">
        <v>588</v>
      </c>
      <c r="B22" s="9">
        <v>0.96</v>
      </c>
      <c r="C22" s="10">
        <v>4E-116</v>
      </c>
      <c r="D22" s="5">
        <v>97.93</v>
      </c>
      <c r="E22" s="11" t="str">
        <f>HYPERLINK("https://www.ncbi.nlm.nih.gov/protein/WP_209419664.1?report=genbank&amp;log$=prottop&amp;blast_rank=229&amp;RID=8XNW7U47013","WP_209419664.1")</f>
        <v>WP_209419664.1</v>
      </c>
    </row>
    <row r="23" spans="1:5">
      <c r="A23" s="4" t="s">
        <v>240</v>
      </c>
      <c r="B23" s="9">
        <v>0.96</v>
      </c>
      <c r="C23" s="10">
        <v>1.0000000000000001E-115</v>
      </c>
      <c r="D23" s="5">
        <v>96.89</v>
      </c>
      <c r="E23" s="11" t="str">
        <f>HYPERLINK("https://www.ncbi.nlm.nih.gov/protein/EKO3466503.1?report=genbank&amp;log$=prottop&amp;blast_rank=241&amp;RID=8XNW7U47013","EKO3466503.1")</f>
        <v>EKO3466503.1</v>
      </c>
    </row>
    <row r="24" spans="1:5">
      <c r="A24" s="4" t="s">
        <v>715</v>
      </c>
      <c r="B24" s="9">
        <v>0.84</v>
      </c>
      <c r="C24" s="10">
        <v>9.9999999999999993E-103</v>
      </c>
      <c r="D24" s="5">
        <v>96.43</v>
      </c>
      <c r="E24" s="11" t="str">
        <f>HYPERLINK("https://www.ncbi.nlm.nih.gov/protein/WP_045403633.1?report=genbank&amp;log$=prottop&amp;blast_rank=432&amp;RID=8XNW7U47013","WP_045403633.1")</f>
        <v>WP_045403633.1</v>
      </c>
    </row>
    <row r="25" spans="1:5">
      <c r="A25" s="4" t="s">
        <v>18</v>
      </c>
      <c r="B25" s="9">
        <v>0.98</v>
      </c>
      <c r="C25" s="10">
        <v>3.0000000000000001E-120</v>
      </c>
      <c r="D25" s="5">
        <v>95.94</v>
      </c>
      <c r="E25" s="11" t="str">
        <f>HYPERLINK("https://www.ncbi.nlm.nih.gov/protein/RZR20395.1?report=genbank&amp;log$=prottop&amp;blast_rank=159&amp;RID=8XNW7U47013","RZR20395.1")</f>
        <v>RZR20395.1</v>
      </c>
    </row>
    <row r="26" spans="1:5">
      <c r="A26" s="4" t="s">
        <v>43</v>
      </c>
      <c r="B26" s="9">
        <v>0.96</v>
      </c>
      <c r="C26" s="10">
        <v>4.0000000000000001E-117</v>
      </c>
      <c r="D26" s="5">
        <v>95.34</v>
      </c>
      <c r="E26" s="11" t="str">
        <f>HYPERLINK("https://www.ncbi.nlm.nih.gov/protein/WP_165387079.1?report=genbank&amp;log$=prottop&amp;blast_rank=217&amp;RID=8XNW7U47013","WP_165387079.1")</f>
        <v>WP_165387079.1</v>
      </c>
    </row>
    <row r="27" spans="1:5">
      <c r="A27" s="4" t="s">
        <v>238</v>
      </c>
      <c r="B27" s="9">
        <v>0.87</v>
      </c>
      <c r="C27" s="10">
        <v>9.9999999999999993E-103</v>
      </c>
      <c r="D27" s="5">
        <v>94.29</v>
      </c>
      <c r="E27" s="11" t="str">
        <f>HYPERLINK("https://www.ncbi.nlm.nih.gov/protein/WP_213869246.1?report=genbank&amp;log$=prottop&amp;blast_rank=431&amp;RID=8XNW7U47013","WP_213869246.1")</f>
        <v>WP_213869246.1</v>
      </c>
    </row>
    <row r="28" spans="1:5">
      <c r="A28" s="4" t="s">
        <v>15</v>
      </c>
      <c r="B28" s="9">
        <v>0.96</v>
      </c>
      <c r="C28" s="10">
        <v>6.0000000000000002E-111</v>
      </c>
      <c r="D28" s="5">
        <v>86.53</v>
      </c>
      <c r="E28" s="11" t="str">
        <f>HYPERLINK("https://www.ncbi.nlm.nih.gov/protein/WP_254662637.1?report=genbank&amp;log$=prottop&amp;blast_rank=315&amp;RID=8XNW7U47013","WP_254662637.1")</f>
        <v>WP_254662637.1</v>
      </c>
    </row>
    <row r="29" spans="1:5">
      <c r="A29" s="4" t="s">
        <v>242</v>
      </c>
      <c r="B29" s="9">
        <v>0.96</v>
      </c>
      <c r="C29" s="10">
        <v>4.9999999999999997E-113</v>
      </c>
      <c r="D29" s="5">
        <v>84.97</v>
      </c>
      <c r="E29" s="11" t="str">
        <f>HYPERLINK("https://www.ncbi.nlm.nih.gov/protein/WP_318469952.1?report=genbank&amp;log$=prottop&amp;blast_rank=282&amp;RID=8XNW7U47013","WP_318469952.1")</f>
        <v>WP_318469952.1</v>
      </c>
    </row>
    <row r="30" spans="1:5">
      <c r="A30" s="4" t="s">
        <v>242</v>
      </c>
      <c r="B30" s="9">
        <v>0.96</v>
      </c>
      <c r="C30" s="10">
        <v>6.0000000000000002E-113</v>
      </c>
      <c r="D30" s="5">
        <v>84.46</v>
      </c>
      <c r="E30" s="11" t="str">
        <f>HYPERLINK("https://www.ncbi.nlm.nih.gov/protein/WP_060988606.1?report=genbank&amp;log$=prottop&amp;blast_rank=285&amp;RID=8XNW7U47013","WP_060988606.1")</f>
        <v>WP_060988606.1</v>
      </c>
    </row>
    <row r="31" spans="1:5">
      <c r="A31" s="4" t="s">
        <v>242</v>
      </c>
      <c r="B31" s="9">
        <v>0.96</v>
      </c>
      <c r="C31" s="10">
        <v>9.9999999999999995E-113</v>
      </c>
      <c r="D31" s="5">
        <v>84.46</v>
      </c>
      <c r="E31" s="11" t="str">
        <f>HYPERLINK("https://www.ncbi.nlm.nih.gov/protein/WP_318463959.1?report=genbank&amp;log$=prottop&amp;blast_rank=288&amp;RID=8XNW7U47013","WP_318463959.1")</f>
        <v>WP_318463959.1</v>
      </c>
    </row>
    <row r="32" spans="1:5">
      <c r="A32" s="4" t="s">
        <v>668</v>
      </c>
      <c r="B32" s="9">
        <v>0.96</v>
      </c>
      <c r="C32" s="10">
        <v>9.9999999999999999E-110</v>
      </c>
      <c r="D32" s="5">
        <v>63.21</v>
      </c>
      <c r="E32" s="11" t="str">
        <f>HYPERLINK("https://www.ncbi.nlm.nih.gov/protein/MDA3927226.1?report=genbank&amp;log$=prottop&amp;blast_rank=341&amp;RID=8XNW7U47013","MDA3927226.1")</f>
        <v>MDA3927226.1</v>
      </c>
    </row>
    <row r="33" spans="1:5">
      <c r="A33" s="4" t="s">
        <v>199</v>
      </c>
      <c r="B33" s="9">
        <v>0.93</v>
      </c>
      <c r="C33" s="10">
        <v>2.9999999999999999E-108</v>
      </c>
      <c r="D33" s="5">
        <v>60.96</v>
      </c>
      <c r="E33" s="11" t="str">
        <f>HYPERLINK("https://www.ncbi.nlm.nih.gov/protein/MBC8472931.1?report=genbank&amp;log$=prottop&amp;blast_rank=364&amp;RID=8XNW7U47013","MBC8472931.1")</f>
        <v>MBC8472931.1</v>
      </c>
    </row>
    <row r="34" spans="1:5">
      <c r="A34" s="4" t="s">
        <v>699</v>
      </c>
      <c r="B34" s="9">
        <v>0.96</v>
      </c>
      <c r="C34" s="10">
        <v>1.9999999999999999E-104</v>
      </c>
      <c r="D34" s="5">
        <v>60.62</v>
      </c>
      <c r="E34" s="11" t="str">
        <f>HYPERLINK("https://www.ncbi.nlm.nih.gov/protein/MDM5147957.1?report=genbank&amp;log$=prottop&amp;blast_rank=402&amp;RID=8XNW7U47013","MDM5147957.1")</f>
        <v>MDM5147957.1</v>
      </c>
    </row>
    <row r="35" spans="1:5">
      <c r="A35" s="4" t="s">
        <v>662</v>
      </c>
      <c r="B35" s="9">
        <v>0.95</v>
      </c>
      <c r="C35" s="10">
        <v>4.0000000000000002E-110</v>
      </c>
      <c r="D35" s="5">
        <v>60.53</v>
      </c>
      <c r="E35" s="11" t="str">
        <f>HYPERLINK("https://www.ncbi.nlm.nih.gov/protein/MBL8493192.1?report=genbank&amp;log$=prottop&amp;blast_rank=331&amp;RID=8XNW7U47013","MBL8493192.1")</f>
        <v>MBL8493192.1</v>
      </c>
    </row>
    <row r="36" spans="1:5">
      <c r="A36" s="4" t="s">
        <v>686</v>
      </c>
      <c r="B36" s="9">
        <v>1</v>
      </c>
      <c r="C36" s="10">
        <v>2E-107</v>
      </c>
      <c r="D36" s="5">
        <v>60.3</v>
      </c>
      <c r="E36" s="11" t="str">
        <f>HYPERLINK("https://www.ncbi.nlm.nih.gov/protein/MBU1852338.1?report=genbank&amp;log$=prottop&amp;blast_rank=375&amp;RID=8XNW7U47013","MBU1852338.1")</f>
        <v>MBU1852338.1</v>
      </c>
    </row>
    <row r="37" spans="1:5">
      <c r="A37" s="4" t="s">
        <v>641</v>
      </c>
      <c r="B37" s="9">
        <v>0.96</v>
      </c>
      <c r="C37" s="10">
        <v>6.0000000000000002E-113</v>
      </c>
      <c r="D37" s="5">
        <v>59.9</v>
      </c>
      <c r="E37" s="11" t="str">
        <f>HYPERLINK("https://www.ncbi.nlm.nih.gov/protein/OPX93479.1?report=genbank&amp;log$=prottop&amp;blast_rank=284&amp;RID=8XNW7U47013","OPX93479.1")</f>
        <v>OPX93479.1</v>
      </c>
    </row>
    <row r="38" spans="1:5">
      <c r="A38" s="4" t="s">
        <v>603</v>
      </c>
      <c r="B38" s="9">
        <v>1</v>
      </c>
      <c r="C38" s="10">
        <v>4E-116</v>
      </c>
      <c r="D38" s="5">
        <v>59.8</v>
      </c>
      <c r="E38" s="11" t="str">
        <f>HYPERLINK("https://www.ncbi.nlm.nih.gov/protein/MBU4199830.1?report=genbank&amp;log$=prottop&amp;blast_rank=228&amp;RID=8XNW7U47013","MBU4199830.1")</f>
        <v>MBU4199830.1</v>
      </c>
    </row>
    <row r="39" spans="1:5">
      <c r="A39" s="4" t="s">
        <v>649</v>
      </c>
      <c r="B39" s="9">
        <v>0.96</v>
      </c>
      <c r="C39" s="10">
        <v>5.0000000000000004E-112</v>
      </c>
      <c r="D39" s="5">
        <v>59.59</v>
      </c>
      <c r="E39" s="11" t="str">
        <f>HYPERLINK("https://www.ncbi.nlm.nih.gov/protein/WP_107562035.1?report=genbank&amp;log$=prottop&amp;blast_rank=298&amp;RID=8XNW7U47013","WP_107562035.1")</f>
        <v>WP_107562035.1</v>
      </c>
    </row>
    <row r="40" spans="1:5">
      <c r="A40" s="4" t="s">
        <v>656</v>
      </c>
      <c r="B40" s="9">
        <v>0.94</v>
      </c>
      <c r="C40" s="10">
        <v>5.0000000000000003E-111</v>
      </c>
      <c r="D40" s="5">
        <v>59.26</v>
      </c>
      <c r="E40" s="11" t="str">
        <f>HYPERLINK("https://www.ncbi.nlm.nih.gov/protein/MDD2367199.1?report=genbank&amp;log$=prottop&amp;blast_rank=313&amp;RID=8XNW7U47013","MDD2367199.1")</f>
        <v>MDD2367199.1</v>
      </c>
    </row>
    <row r="41" spans="1:5">
      <c r="A41" s="4" t="s">
        <v>647</v>
      </c>
      <c r="B41" s="9">
        <v>0.96</v>
      </c>
      <c r="C41" s="10">
        <v>3.9999999999999998E-112</v>
      </c>
      <c r="D41" s="5">
        <v>59.18</v>
      </c>
      <c r="E41" s="11" t="str">
        <f>HYPERLINK("https://www.ncbi.nlm.nih.gov/protein/WP_300190335.1?report=genbank&amp;log$=prottop&amp;blast_rank=296&amp;RID=8XNW7U47013","WP_300190335.1")</f>
        <v>WP_300190335.1</v>
      </c>
    </row>
    <row r="42" spans="1:5">
      <c r="A42" s="4" t="s">
        <v>440</v>
      </c>
      <c r="B42" s="9">
        <v>1</v>
      </c>
      <c r="C42" s="10">
        <v>5.0000000000000003E-116</v>
      </c>
      <c r="D42" s="5">
        <v>58.79</v>
      </c>
      <c r="E42" s="11" t="str">
        <f>HYPERLINK("https://www.ncbi.nlm.nih.gov/protein/MBU2055076.1?report=genbank&amp;log$=prottop&amp;blast_rank=230&amp;RID=8XNW7U47013","MBU2055076.1")</f>
        <v>MBU2055076.1</v>
      </c>
    </row>
    <row r="43" spans="1:5">
      <c r="A43" s="4" t="s">
        <v>122</v>
      </c>
      <c r="B43" s="9">
        <v>0.97</v>
      </c>
      <c r="C43" s="10">
        <v>2.9999999999999997E-107</v>
      </c>
      <c r="D43" s="5">
        <v>58.76</v>
      </c>
      <c r="E43" s="11" t="str">
        <f>HYPERLINK("https://www.ncbi.nlm.nih.gov/protein/MBT4400903.1?report=genbank&amp;log$=prottop&amp;blast_rank=377&amp;RID=8XNW7U47013","MBT4400903.1")</f>
        <v>MBT4400903.1</v>
      </c>
    </row>
    <row r="44" spans="1:5">
      <c r="A44" s="4" t="s">
        <v>627</v>
      </c>
      <c r="B44" s="9">
        <v>0.96</v>
      </c>
      <c r="C44" s="10">
        <v>3.0000000000000001E-113</v>
      </c>
      <c r="D44" s="5">
        <v>58.67</v>
      </c>
      <c r="E44" s="11" t="str">
        <f>HYPERLINK("https://www.ncbi.nlm.nih.gov/protein/MDO8464843.1?report=genbank&amp;log$=prottop&amp;blast_rank=279&amp;RID=8XNW7U47013","MDO8464843.1")</f>
        <v>MDO8464843.1</v>
      </c>
    </row>
    <row r="45" spans="1:5">
      <c r="A45" s="4" t="s">
        <v>627</v>
      </c>
      <c r="B45" s="9">
        <v>0.96</v>
      </c>
      <c r="C45" s="10">
        <v>3.0000000000000001E-112</v>
      </c>
      <c r="D45" s="5">
        <v>58.55</v>
      </c>
      <c r="E45" s="11" t="str">
        <f>HYPERLINK("https://www.ncbi.nlm.nih.gov/protein/MDD4963247.1?report=genbank&amp;log$=prottop&amp;blast_rank=293&amp;RID=8XNW7U47013","MDD4963247.1")</f>
        <v>MDD4963247.1</v>
      </c>
    </row>
    <row r="46" spans="1:5">
      <c r="A46" s="4" t="s">
        <v>310</v>
      </c>
      <c r="B46" s="9">
        <v>1</v>
      </c>
      <c r="C46" s="10">
        <v>6.9999999999999997E-117</v>
      </c>
      <c r="D46" s="5">
        <v>58.29</v>
      </c>
      <c r="E46" s="11" t="str">
        <f>HYPERLINK("https://www.ncbi.nlm.nih.gov/protein/MCX5826609.1?report=genbank&amp;log$=prottop&amp;blast_rank=221&amp;RID=8XNW7U47013","MCX5826609.1")</f>
        <v>MCX5826609.1</v>
      </c>
    </row>
    <row r="47" spans="1:5">
      <c r="A47" s="4" t="s">
        <v>627</v>
      </c>
      <c r="B47" s="9">
        <v>0.95</v>
      </c>
      <c r="C47" s="10">
        <v>2.0000000000000001E-114</v>
      </c>
      <c r="D47" s="5">
        <v>57.89</v>
      </c>
      <c r="E47" s="11" t="str">
        <f>HYPERLINK("https://www.ncbi.nlm.nih.gov/protein/HEU0188941.1?report=genbank&amp;log$=prottop&amp;blast_rank=259&amp;RID=8XNW7U47013","HEU0188941.1")</f>
        <v>HEU0188941.1</v>
      </c>
    </row>
    <row r="48" spans="1:5">
      <c r="A48" s="4" t="s">
        <v>663</v>
      </c>
      <c r="B48" s="9">
        <v>0.94</v>
      </c>
      <c r="C48" s="10">
        <v>4.0000000000000002E-110</v>
      </c>
      <c r="D48" s="5">
        <v>57.67</v>
      </c>
      <c r="E48" s="11" t="str">
        <f>HYPERLINK("https://www.ncbi.nlm.nih.gov/protein/WP_249960681.1?report=genbank&amp;log$=prottop&amp;blast_rank=332&amp;RID=8XNW7U47013","WP_249960681.1")</f>
        <v>WP_249960681.1</v>
      </c>
    </row>
    <row r="49" spans="1:5">
      <c r="A49" s="4" t="s">
        <v>663</v>
      </c>
      <c r="B49" s="9">
        <v>0.94</v>
      </c>
      <c r="C49" s="10">
        <v>2E-109</v>
      </c>
      <c r="D49" s="5">
        <v>57.67</v>
      </c>
      <c r="E49" s="11" t="str">
        <f>HYPERLINK("https://www.ncbi.nlm.nih.gov/protein/WP_136121865.1?report=genbank&amp;log$=prottop&amp;blast_rank=349&amp;RID=8XNW7U47013","WP_136121865.1")</f>
        <v>WP_136121865.1</v>
      </c>
    </row>
    <row r="50" spans="1:5">
      <c r="A50" s="4" t="s">
        <v>666</v>
      </c>
      <c r="B50" s="9">
        <v>0.96</v>
      </c>
      <c r="C50" s="10">
        <v>9.9999999999999999E-110</v>
      </c>
      <c r="D50" s="5">
        <v>57.51</v>
      </c>
      <c r="E50" s="11" t="str">
        <f>HYPERLINK("https://www.ncbi.nlm.nih.gov/protein/NLI29139.1?report=genbank&amp;log$=prottop&amp;blast_rank=338&amp;RID=8XNW7U47013","NLI29139.1")</f>
        <v>NLI29139.1</v>
      </c>
    </row>
    <row r="51" spans="1:5">
      <c r="A51" s="4" t="s">
        <v>724</v>
      </c>
      <c r="B51" s="9">
        <v>0.92</v>
      </c>
      <c r="C51" s="10">
        <v>3.0000000000000003E-101</v>
      </c>
      <c r="D51" s="5">
        <v>57.45</v>
      </c>
      <c r="E51" s="11" t="str">
        <f>HYPERLINK("https://www.ncbi.nlm.nih.gov/protein/HEY5041933.1?report=genbank&amp;log$=prottop&amp;blast_rank=453&amp;RID=8XNW7U47013","HEY5041933.1")</f>
        <v>HEY5041933.1</v>
      </c>
    </row>
    <row r="52" spans="1:5">
      <c r="A52" s="4" t="s">
        <v>310</v>
      </c>
      <c r="B52" s="9">
        <v>0.89</v>
      </c>
      <c r="C52" s="10">
        <v>1.9999999999999999E-112</v>
      </c>
      <c r="D52" s="5">
        <v>57.22</v>
      </c>
      <c r="E52" s="11" t="str">
        <f>HYPERLINK("https://www.ncbi.nlm.nih.gov/protein/MBT7892594.1?report=genbank&amp;log$=prottop&amp;blast_rank=292&amp;RID=8XNW7U47013","MBT7892594.1")</f>
        <v>MBT7892594.1</v>
      </c>
    </row>
    <row r="53" spans="1:5">
      <c r="A53" s="4" t="s">
        <v>310</v>
      </c>
      <c r="B53" s="9">
        <v>0.94</v>
      </c>
      <c r="C53" s="10">
        <v>9.9999999999999995E-113</v>
      </c>
      <c r="D53" s="5">
        <v>57.14</v>
      </c>
      <c r="E53" s="11" t="str">
        <f>HYPERLINK("https://www.ncbi.nlm.nih.gov/protein/HDM78541.1?report=genbank&amp;log$=prottop&amp;blast_rank=290&amp;RID=8XNW7U47013","HDM78541.1")</f>
        <v>HDM78541.1</v>
      </c>
    </row>
    <row r="54" spans="1:5">
      <c r="A54" s="4" t="s">
        <v>452</v>
      </c>
      <c r="B54" s="9">
        <v>0.91</v>
      </c>
      <c r="C54" s="10">
        <v>2.0000000000000001E-108</v>
      </c>
      <c r="D54" s="5">
        <v>57.07</v>
      </c>
      <c r="E54" s="11" t="str">
        <f>HYPERLINK("https://www.ncbi.nlm.nih.gov/protein/MBU4017460.1?report=genbank&amp;log$=prottop&amp;blast_rank=361&amp;RID=8XNW7U47013","MBU4017460.1")</f>
        <v>MBU4017460.1</v>
      </c>
    </row>
    <row r="55" spans="1:5">
      <c r="A55" s="4" t="s">
        <v>644</v>
      </c>
      <c r="B55" s="9">
        <v>0.96</v>
      </c>
      <c r="C55" s="10">
        <v>9.9999999999999995E-113</v>
      </c>
      <c r="D55" s="5">
        <v>56.99</v>
      </c>
      <c r="E55" s="11" t="str">
        <f>HYPERLINK("https://www.ncbi.nlm.nih.gov/protein/WP_194742833.1?report=genbank&amp;log$=prottop&amp;blast_rank=289&amp;RID=8XNW7U47013","WP_194742833.1")</f>
        <v>WP_194742833.1</v>
      </c>
    </row>
    <row r="56" spans="1:5">
      <c r="A56" s="4" t="s">
        <v>579</v>
      </c>
      <c r="B56" s="9">
        <v>0.83</v>
      </c>
      <c r="C56" s="10">
        <v>8E-107</v>
      </c>
      <c r="D56" s="5">
        <v>56.89</v>
      </c>
      <c r="E56" s="11" t="str">
        <f>HYPERLINK("https://www.ncbi.nlm.nih.gov/protein/MCY7100568.1?report=genbank&amp;log$=prottop&amp;blast_rank=384&amp;RID=8XNW7U47013","MCY7100568.1")</f>
        <v>MCY7100568.1</v>
      </c>
    </row>
    <row r="57" spans="1:5">
      <c r="A57" s="4" t="s">
        <v>592</v>
      </c>
      <c r="B57" s="9">
        <v>0.94</v>
      </c>
      <c r="C57" s="10">
        <v>2E-119</v>
      </c>
      <c r="D57" s="5">
        <v>56.61</v>
      </c>
      <c r="E57" s="11" t="str">
        <f>HYPERLINK("https://www.ncbi.nlm.nih.gov/protein/WP_011366936.1?report=genbank&amp;log$=prottop&amp;blast_rank=172&amp;RID=8XNW7U47013","WP_011366936.1")</f>
        <v>WP_011366936.1</v>
      </c>
    </row>
    <row r="58" spans="1:5">
      <c r="A58" s="4" t="s">
        <v>593</v>
      </c>
      <c r="B58" s="9">
        <v>0.94</v>
      </c>
      <c r="C58" s="10">
        <v>4.0000000000000001E-119</v>
      </c>
      <c r="D58" s="5">
        <v>56.61</v>
      </c>
      <c r="E58" s="11" t="str">
        <f>HYPERLINK("https://www.ncbi.nlm.nih.gov/protein/WP_324350520.1?report=genbank&amp;log$=prottop&amp;blast_rank=179&amp;RID=8XNW7U47013","WP_324350520.1")</f>
        <v>WP_324350520.1</v>
      </c>
    </row>
    <row r="59" spans="1:5">
      <c r="A59" s="4" t="s">
        <v>594</v>
      </c>
      <c r="B59" s="9">
        <v>0.94</v>
      </c>
      <c r="C59" s="10">
        <v>6.0000000000000004E-119</v>
      </c>
      <c r="D59" s="5">
        <v>56.61</v>
      </c>
      <c r="E59" s="11" t="str">
        <f>HYPERLINK("https://www.ncbi.nlm.nih.gov/protein/WP_051327283.1?report=genbank&amp;log$=prottop&amp;blast_rank=180&amp;RID=8XNW7U47013","WP_051327283.1")</f>
        <v>WP_051327283.1</v>
      </c>
    </row>
    <row r="60" spans="1:5">
      <c r="A60" s="4" t="s">
        <v>692</v>
      </c>
      <c r="B60" s="9">
        <v>0.92</v>
      </c>
      <c r="C60" s="10">
        <v>3.0000000000000002E-106</v>
      </c>
      <c r="D60" s="5">
        <v>56.52</v>
      </c>
      <c r="E60" s="11" t="str">
        <f>HYPERLINK("https://www.ncbi.nlm.nih.gov/protein/MBW7897981.1?report=genbank&amp;log$=prottop&amp;blast_rank=389&amp;RID=8XNW7U47013","MBW7897981.1")</f>
        <v>MBW7897981.1</v>
      </c>
    </row>
    <row r="61" spans="1:5">
      <c r="A61" s="4" t="s">
        <v>112</v>
      </c>
      <c r="B61" s="9">
        <v>0.92</v>
      </c>
      <c r="C61" s="10">
        <v>3.0000000000000001E-113</v>
      </c>
      <c r="D61" s="5">
        <v>56.45</v>
      </c>
      <c r="E61" s="11" t="str">
        <f>HYPERLINK("https://www.ncbi.nlm.nih.gov/protein/MBN2729221.1?report=genbank&amp;log$=prottop&amp;blast_rank=276&amp;RID=8XNW7U47013","MBN2729221.1")</f>
        <v>MBN2729221.1</v>
      </c>
    </row>
    <row r="62" spans="1:5">
      <c r="A62" s="4" t="s">
        <v>632</v>
      </c>
      <c r="B62" s="9">
        <v>0.98</v>
      </c>
      <c r="C62" s="10">
        <v>8.0000000000000004E-114</v>
      </c>
      <c r="D62" s="5">
        <v>56.12</v>
      </c>
      <c r="E62" s="11" t="str">
        <f>HYPERLINK("https://www.ncbi.nlm.nih.gov/protein/MDE7227008.1?report=genbank&amp;log$=prottop&amp;blast_rank=268&amp;RID=8XNW7U47013","MDE7227008.1")</f>
        <v>MDE7227008.1</v>
      </c>
    </row>
    <row r="63" spans="1:5">
      <c r="A63" s="4" t="s">
        <v>602</v>
      </c>
      <c r="B63" s="9">
        <v>0.94</v>
      </c>
      <c r="C63" s="10">
        <v>6.0000000000000004E-118</v>
      </c>
      <c r="D63" s="5">
        <v>56.08</v>
      </c>
      <c r="E63" s="11" t="str">
        <f>HYPERLINK("https://www.ncbi.nlm.nih.gov/protein/WP_246908892.1?report=genbank&amp;log$=prottop&amp;blast_rank=201&amp;RID=8XNW7U47013","WP_246908892.1")</f>
        <v>WP_246908892.1</v>
      </c>
    </row>
    <row r="64" spans="1:5">
      <c r="A64" s="4" t="s">
        <v>25</v>
      </c>
      <c r="B64" s="9">
        <v>0.94</v>
      </c>
      <c r="C64" s="10">
        <v>6.0000000000000005E-116</v>
      </c>
      <c r="D64" s="5">
        <v>56.08</v>
      </c>
      <c r="E64" s="11" t="str">
        <f>HYPERLINK("https://www.ncbi.nlm.nih.gov/protein/MCH5280125.1?report=genbank&amp;log$=prottop&amp;blast_rank=232&amp;RID=8XNW7U47013","MCH5280125.1")</f>
        <v>MCH5280125.1</v>
      </c>
    </row>
    <row r="65" spans="1:5">
      <c r="A65" s="4" t="s">
        <v>579</v>
      </c>
      <c r="B65" s="9">
        <v>0.88</v>
      </c>
      <c r="C65" s="10">
        <v>8.9999999999999994E-114</v>
      </c>
      <c r="D65" s="5">
        <v>55.93</v>
      </c>
      <c r="E65" s="11" t="str">
        <f>HYPERLINK("https://www.ncbi.nlm.nih.gov/protein/MCY7079428.1?report=genbank&amp;log$=prottop&amp;blast_rank=269&amp;RID=8XNW7U47013","MCY7079428.1")</f>
        <v>MCY7079428.1</v>
      </c>
    </row>
    <row r="66" spans="1:5">
      <c r="A66" s="4" t="s">
        <v>679</v>
      </c>
      <c r="B66" s="9">
        <v>0.97</v>
      </c>
      <c r="C66" s="10">
        <v>6.0000000000000004E-109</v>
      </c>
      <c r="D66" s="5">
        <v>55.9</v>
      </c>
      <c r="E66" s="11" t="str">
        <f>HYPERLINK("https://www.ncbi.nlm.nih.gov/protein/MDZ4852278.1?report=genbank&amp;log$=prottop&amp;blast_rank=356&amp;RID=8XNW7U47013","MDZ4852278.1")</f>
        <v>MDZ4852278.1</v>
      </c>
    </row>
    <row r="67" spans="1:5">
      <c r="A67" s="4" t="s">
        <v>583</v>
      </c>
      <c r="B67" s="9">
        <v>0.94</v>
      </c>
      <c r="C67" s="10">
        <v>2E-118</v>
      </c>
      <c r="D67" s="5">
        <v>55.85</v>
      </c>
      <c r="E67" s="11" t="str">
        <f>HYPERLINK("https://www.ncbi.nlm.nih.gov/protein/NLA43767.1?report=genbank&amp;log$=prottop&amp;blast_rank=188&amp;RID=8XNW7U47013","NLA43767.1")</f>
        <v>NLA43767.1</v>
      </c>
    </row>
    <row r="68" spans="1:5">
      <c r="A68" s="4" t="s">
        <v>737</v>
      </c>
      <c r="B68" s="9">
        <v>0.94</v>
      </c>
      <c r="C68" s="10">
        <v>8.0000000000000002E-99</v>
      </c>
      <c r="D68" s="5">
        <v>55.85</v>
      </c>
      <c r="E68" s="11" t="str">
        <f>HYPERLINK("https://www.ncbi.nlm.nih.gov/protein/WP_224964751.1?report=genbank&amp;log$=prottop&amp;blast_rank=493&amp;RID=8XNW7U47013","WP_224964751.1")</f>
        <v>WP_224964751.1</v>
      </c>
    </row>
    <row r="69" spans="1:5">
      <c r="A69" s="4" t="s">
        <v>657</v>
      </c>
      <c r="B69" s="9">
        <v>0.94</v>
      </c>
      <c r="C69" s="10">
        <v>5.0000000000000003E-111</v>
      </c>
      <c r="D69" s="5">
        <v>55.79</v>
      </c>
      <c r="E69" s="11" t="str">
        <f>HYPERLINK("https://www.ncbi.nlm.nih.gov/protein/MBT6691174.1?report=genbank&amp;log$=prottop&amp;blast_rank=314&amp;RID=8XNW7U47013","MBT6691174.1")</f>
        <v>MBT6691174.1</v>
      </c>
    </row>
    <row r="70" spans="1:5">
      <c r="A70" s="4" t="s">
        <v>685</v>
      </c>
      <c r="B70" s="9">
        <v>0.96</v>
      </c>
      <c r="C70" s="10">
        <v>2E-107</v>
      </c>
      <c r="D70" s="5">
        <v>55.67</v>
      </c>
      <c r="E70" s="11" t="str">
        <f>HYPERLINK("https://www.ncbi.nlm.nih.gov/protein/WP_021615551.1?report=genbank&amp;log$=prottop&amp;blast_rank=373&amp;RID=8XNW7U47013","WP_021615551.1")</f>
        <v>WP_021615551.1</v>
      </c>
    </row>
    <row r="71" spans="1:5">
      <c r="A71" s="4" t="s">
        <v>607</v>
      </c>
      <c r="B71" s="9">
        <v>0.94</v>
      </c>
      <c r="C71" s="10">
        <v>2.9999999999999999E-117</v>
      </c>
      <c r="D71" s="5">
        <v>55.56</v>
      </c>
      <c r="E71" s="11" t="str">
        <f>HYPERLINK("https://www.ncbi.nlm.nih.gov/protein/WP_319561242.1?report=genbank&amp;log$=prottop&amp;blast_rank=214&amp;RID=8XNW7U47013","WP_319561242.1")</f>
        <v>WP_319561242.1</v>
      </c>
    </row>
    <row r="72" spans="1:5">
      <c r="A72" s="4" t="s">
        <v>561</v>
      </c>
      <c r="B72" s="9">
        <v>0.91</v>
      </c>
      <c r="C72" s="10">
        <v>4.0000000000000002E-115</v>
      </c>
      <c r="D72" s="5">
        <v>55.43</v>
      </c>
      <c r="E72" s="11" t="str">
        <f>HYPERLINK("https://www.ncbi.nlm.nih.gov/protein/WP_239906929.1?report=genbank&amp;log$=prottop&amp;blast_rank=249&amp;RID=8XNW7U47013","WP_239906929.1")</f>
        <v>WP_239906929.1</v>
      </c>
    </row>
    <row r="73" spans="1:5">
      <c r="A73" s="4" t="s">
        <v>577</v>
      </c>
      <c r="B73" s="9">
        <v>0.94</v>
      </c>
      <c r="C73" s="10">
        <v>9.9999999999999998E-122</v>
      </c>
      <c r="D73" s="5">
        <v>55.26</v>
      </c>
      <c r="E73" s="11" t="str">
        <f>HYPERLINK("https://www.ncbi.nlm.nih.gov/protein/VUW95590.1?report=genbank&amp;log$=prottop&amp;blast_rank=133&amp;RID=8XNW7U47013","VUW95590.1")</f>
        <v>VUW95590.1</v>
      </c>
    </row>
    <row r="74" spans="1:5">
      <c r="A74" s="4" t="s">
        <v>577</v>
      </c>
      <c r="B74" s="9">
        <v>0.94</v>
      </c>
      <c r="C74" s="10">
        <v>2E-119</v>
      </c>
      <c r="D74" s="5">
        <v>55.26</v>
      </c>
      <c r="E74" s="11" t="str">
        <f>HYPERLINK("https://www.ncbi.nlm.nih.gov/protein/WP_186286764.1?report=genbank&amp;log$=prottop&amp;blast_rank=174&amp;RID=8XNW7U47013","WP_186286764.1")</f>
        <v>WP_186286764.1</v>
      </c>
    </row>
    <row r="75" spans="1:5">
      <c r="A75" s="4" t="s">
        <v>605</v>
      </c>
      <c r="B75" s="9">
        <v>0.94</v>
      </c>
      <c r="C75" s="10">
        <v>2.0000000000000001E-117</v>
      </c>
      <c r="D75" s="5">
        <v>55.26</v>
      </c>
      <c r="E75" s="11" t="str">
        <f>HYPERLINK("https://www.ncbi.nlm.nih.gov/protein/WP_242943873.1?report=genbank&amp;log$=prottop&amp;blast_rank=209&amp;RID=8XNW7U47013","WP_242943873.1")</f>
        <v>WP_242943873.1</v>
      </c>
    </row>
    <row r="76" spans="1:5">
      <c r="A76" s="4" t="s">
        <v>605</v>
      </c>
      <c r="B76" s="9">
        <v>0.94</v>
      </c>
      <c r="C76" s="10">
        <v>1.0000000000000001E-115</v>
      </c>
      <c r="D76" s="5">
        <v>55.26</v>
      </c>
      <c r="E76" s="11" t="str">
        <f>HYPERLINK("https://www.ncbi.nlm.nih.gov/protein/WP_200903913.1?report=genbank&amp;log$=prottop&amp;blast_rank=238&amp;RID=8XNW7U47013","WP_200903913.1")</f>
        <v>WP_200903913.1</v>
      </c>
    </row>
    <row r="77" spans="1:5">
      <c r="A77" s="4" t="s">
        <v>617</v>
      </c>
      <c r="B77" s="9">
        <v>0.94</v>
      </c>
      <c r="C77" s="10">
        <v>1.0000000000000001E-115</v>
      </c>
      <c r="D77" s="5">
        <v>55.26</v>
      </c>
      <c r="E77" s="11" t="str">
        <f>HYPERLINK("https://www.ncbi.nlm.nih.gov/protein/WP_084820773.1?report=genbank&amp;log$=prottop&amp;blast_rank=240&amp;RID=8XNW7U47013","WP_084820773.1")</f>
        <v>WP_084820773.1</v>
      </c>
    </row>
    <row r="78" spans="1:5">
      <c r="A78" s="4" t="s">
        <v>620</v>
      </c>
      <c r="B78" s="9">
        <v>0.94</v>
      </c>
      <c r="C78" s="10">
        <v>3.0000000000000002E-115</v>
      </c>
      <c r="D78" s="5">
        <v>55.26</v>
      </c>
      <c r="E78" s="11" t="str">
        <f>HYPERLINK("https://www.ncbi.nlm.nih.gov/protein/WP_343779276.1?report=genbank&amp;log$=prottop&amp;blast_rank=247&amp;RID=8XNW7U47013","WP_343779276.1")</f>
        <v>WP_343779276.1</v>
      </c>
    </row>
    <row r="79" spans="1:5">
      <c r="A79" s="4" t="s">
        <v>620</v>
      </c>
      <c r="B79" s="9">
        <v>0.94</v>
      </c>
      <c r="C79" s="10">
        <v>4.0000000000000002E-115</v>
      </c>
      <c r="D79" s="5">
        <v>55.26</v>
      </c>
      <c r="E79" s="11" t="str">
        <f>HYPERLINK("https://www.ncbi.nlm.nih.gov/protein/WP_016207963.1?report=genbank&amp;log$=prottop&amp;blast_rank=248&amp;RID=8XNW7U47013","WP_016207963.1")</f>
        <v>WP_016207963.1</v>
      </c>
    </row>
    <row r="80" spans="1:5">
      <c r="A80" s="4" t="s">
        <v>617</v>
      </c>
      <c r="B80" s="9">
        <v>0.94</v>
      </c>
      <c r="C80" s="10">
        <v>3.0000000000000002E-114</v>
      </c>
      <c r="D80" s="5">
        <v>55.26</v>
      </c>
      <c r="E80" s="11" t="str">
        <f>HYPERLINK("https://www.ncbi.nlm.nih.gov/protein/KLE15015.1?report=genbank&amp;log$=prottop&amp;blast_rank=260&amp;RID=8XNW7U47013","KLE15015.1")</f>
        <v>KLE15015.1</v>
      </c>
    </row>
    <row r="81" spans="1:5">
      <c r="A81" s="4" t="s">
        <v>199</v>
      </c>
      <c r="B81" s="9">
        <v>0.94</v>
      </c>
      <c r="C81" s="10">
        <v>9.0000000000000002E-112</v>
      </c>
      <c r="D81" s="5">
        <v>55.26</v>
      </c>
      <c r="E81" s="11" t="str">
        <f>HYPERLINK("https://www.ncbi.nlm.nih.gov/protein/MDC1141855.1?report=genbank&amp;log$=prottop&amp;blast_rank=303&amp;RID=8XNW7U47013","MDC1141855.1")</f>
        <v>MDC1141855.1</v>
      </c>
    </row>
    <row r="82" spans="1:5">
      <c r="A82" s="4" t="s">
        <v>452</v>
      </c>
      <c r="B82" s="9">
        <v>0.94</v>
      </c>
      <c r="C82" s="10">
        <v>2.0000000000000002E-111</v>
      </c>
      <c r="D82" s="5">
        <v>55.26</v>
      </c>
      <c r="E82" s="11" t="str">
        <f>HYPERLINK("https://www.ncbi.nlm.nih.gov/protein/MBU3979227.1?report=genbank&amp;log$=prottop&amp;blast_rank=310&amp;RID=8XNW7U47013","MBU3979227.1")</f>
        <v>MBU3979227.1</v>
      </c>
    </row>
    <row r="83" spans="1:5">
      <c r="A83" s="4" t="s">
        <v>595</v>
      </c>
      <c r="B83" s="9">
        <v>0.94</v>
      </c>
      <c r="C83" s="10">
        <v>6.9999999999999997E-119</v>
      </c>
      <c r="D83" s="5">
        <v>55.03</v>
      </c>
      <c r="E83" s="11" t="str">
        <f>HYPERLINK("https://www.ncbi.nlm.nih.gov/protein/MDT8371260.1?report=genbank&amp;log$=prottop&amp;blast_rank=181&amp;RID=8XNW7U47013","MDT8371260.1")</f>
        <v>MDT8371260.1</v>
      </c>
    </row>
    <row r="84" spans="1:5">
      <c r="A84" s="4" t="s">
        <v>578</v>
      </c>
      <c r="B84" s="9">
        <v>0.94</v>
      </c>
      <c r="C84" s="10">
        <v>2E-118</v>
      </c>
      <c r="D84" s="5">
        <v>55.03</v>
      </c>
      <c r="E84" s="11" t="str">
        <f>HYPERLINK("https://www.ncbi.nlm.nih.gov/protein/WP_227834272.1?report=genbank&amp;log$=prottop&amp;blast_rank=190&amp;RID=8XNW7U47013","WP_227834272.1")</f>
        <v>WP_227834272.1</v>
      </c>
    </row>
    <row r="85" spans="1:5">
      <c r="A85" s="4" t="s">
        <v>600</v>
      </c>
      <c r="B85" s="9">
        <v>0.94</v>
      </c>
      <c r="C85" s="10">
        <v>3.9999999999999999E-118</v>
      </c>
      <c r="D85" s="5">
        <v>55.03</v>
      </c>
      <c r="E85" s="11" t="str">
        <f>HYPERLINK("https://www.ncbi.nlm.nih.gov/protein/MBS7134845.1?report=genbank&amp;log$=prottop&amp;blast_rank=196&amp;RID=8XNW7U47013","MBS7134845.1")</f>
        <v>MBS7134845.1</v>
      </c>
    </row>
    <row r="86" spans="1:5">
      <c r="A86" s="4" t="s">
        <v>328</v>
      </c>
      <c r="B86" s="9">
        <v>0.94</v>
      </c>
      <c r="C86" s="10">
        <v>6.9999999999999999E-112</v>
      </c>
      <c r="D86" s="5">
        <v>55.03</v>
      </c>
      <c r="E86" s="11" t="str">
        <f>HYPERLINK("https://www.ncbi.nlm.nih.gov/protein/NLT28642.1?report=genbank&amp;log$=prottop&amp;blast_rank=300&amp;RID=8XNW7U47013","NLT28642.1")</f>
        <v>NLT28642.1</v>
      </c>
    </row>
    <row r="87" spans="1:5">
      <c r="A87" s="4" t="s">
        <v>669</v>
      </c>
      <c r="B87" s="9">
        <v>0.94</v>
      </c>
      <c r="C87" s="10">
        <v>9.9999999999999999E-110</v>
      </c>
      <c r="D87" s="5">
        <v>55.03</v>
      </c>
      <c r="E87" s="11" t="str">
        <f>HYPERLINK("https://www.ncbi.nlm.nih.gov/protein/HPJ15517.1?report=genbank&amp;log$=prottop&amp;blast_rank=342&amp;RID=8XNW7U47013","HPJ15517.1")</f>
        <v>HPJ15517.1</v>
      </c>
    </row>
    <row r="88" spans="1:5">
      <c r="A88" s="4" t="s">
        <v>571</v>
      </c>
      <c r="B88" s="9">
        <v>0.95</v>
      </c>
      <c r="C88" s="10">
        <v>6.0000000000000001E-122</v>
      </c>
      <c r="D88" s="5">
        <v>54.97</v>
      </c>
      <c r="E88" s="11" t="str">
        <f>HYPERLINK("https://www.ncbi.nlm.nih.gov/protein/EPX89157.1?report=genbank&amp;log$=prottop&amp;blast_rank=126&amp;RID=8XNW7U47013","EPX89157.1")</f>
        <v>EPX89157.1</v>
      </c>
    </row>
    <row r="89" spans="1:5">
      <c r="A89" s="4" t="s">
        <v>579</v>
      </c>
      <c r="B89" s="9">
        <v>0.95</v>
      </c>
      <c r="C89" s="10">
        <v>9.9999999999999998E-121</v>
      </c>
      <c r="D89" s="5">
        <v>54.97</v>
      </c>
      <c r="E89" s="11" t="str">
        <f>HYPERLINK("https://www.ncbi.nlm.nih.gov/protein/WP_007521970.1?report=genbank&amp;log$=prottop&amp;blast_rank=147&amp;RID=8XNW7U47013","WP_007521970.1")</f>
        <v>WP_007521970.1</v>
      </c>
    </row>
    <row r="90" spans="1:5">
      <c r="A90" s="4" t="s">
        <v>579</v>
      </c>
      <c r="B90" s="9">
        <v>0.95</v>
      </c>
      <c r="C90" s="10">
        <v>9.9999999999999998E-121</v>
      </c>
      <c r="D90" s="5">
        <v>54.97</v>
      </c>
      <c r="E90" s="11" t="str">
        <f>HYPERLINK("https://www.ncbi.nlm.nih.gov/protein/WP_084881806.1?report=genbank&amp;log$=prottop&amp;blast_rank=152&amp;RID=8XNW7U47013","WP_084881806.1")</f>
        <v>WP_084881806.1</v>
      </c>
    </row>
    <row r="91" spans="1:5">
      <c r="A91" s="4" t="s">
        <v>584</v>
      </c>
      <c r="B91" s="9">
        <v>0.95</v>
      </c>
      <c r="C91" s="10">
        <v>2E-120</v>
      </c>
      <c r="D91" s="5">
        <v>54.97</v>
      </c>
      <c r="E91" s="11" t="str">
        <f>HYPERLINK("https://www.ncbi.nlm.nih.gov/protein/WP_033585404.1?report=genbank&amp;log$=prottop&amp;blast_rank=155&amp;RID=8XNW7U47013","WP_033585404.1")</f>
        <v>WP_033585404.1</v>
      </c>
    </row>
    <row r="92" spans="1:5">
      <c r="A92" s="4" t="s">
        <v>669</v>
      </c>
      <c r="B92" s="9">
        <v>0.85</v>
      </c>
      <c r="C92" s="10">
        <v>6.0000000000000006E-101</v>
      </c>
      <c r="D92" s="5">
        <v>54.97</v>
      </c>
      <c r="E92" s="11" t="str">
        <f>HYPERLINK("https://www.ncbi.nlm.nih.gov/protein/RKX88401.1?report=genbank&amp;log$=prottop&amp;blast_rank=461&amp;RID=8XNW7U47013","RKX88401.1")</f>
        <v>RKX88401.1</v>
      </c>
    </row>
    <row r="93" spans="1:5">
      <c r="A93" s="4" t="s">
        <v>580</v>
      </c>
      <c r="B93" s="9">
        <v>0.98</v>
      </c>
      <c r="C93" s="10">
        <v>2.9999999999999999E-121</v>
      </c>
      <c r="D93" s="5">
        <v>54.82</v>
      </c>
      <c r="E93" s="11" t="str">
        <f>HYPERLINK("https://www.ncbi.nlm.nih.gov/protein/WP_125844465.1?report=genbank&amp;log$=prottop&amp;blast_rank=139&amp;RID=8XNW7U47013","WP_125844465.1")</f>
        <v>WP_125844465.1</v>
      </c>
    </row>
    <row r="94" spans="1:5">
      <c r="A94" s="4" t="s">
        <v>579</v>
      </c>
      <c r="B94" s="9">
        <v>0.98</v>
      </c>
      <c r="C94" s="10">
        <v>9.9999999999999998E-121</v>
      </c>
      <c r="D94" s="5">
        <v>54.82</v>
      </c>
      <c r="E94" s="11" t="str">
        <f>HYPERLINK("https://www.ncbi.nlm.nih.gov/protein/WP_084920816.1?report=genbank&amp;log$=prottop&amp;blast_rank=150&amp;RID=8XNW7U47013","WP_084920816.1")</f>
        <v>WP_084920816.1</v>
      </c>
    </row>
    <row r="95" spans="1:5">
      <c r="A95" s="4" t="s">
        <v>586</v>
      </c>
      <c r="B95" s="9">
        <v>0.98</v>
      </c>
      <c r="C95" s="10">
        <v>2E-120</v>
      </c>
      <c r="D95" s="5">
        <v>54.82</v>
      </c>
      <c r="E95" s="11" t="str">
        <f>HYPERLINK("https://www.ncbi.nlm.nih.gov/protein/EGL91483.1?report=genbank&amp;log$=prottop&amp;blast_rank=157&amp;RID=8XNW7U47013","EGL91483.1")</f>
        <v>EGL91483.1</v>
      </c>
    </row>
    <row r="96" spans="1:5">
      <c r="A96" s="4" t="s">
        <v>561</v>
      </c>
      <c r="B96" s="9">
        <v>0.94</v>
      </c>
      <c r="C96" s="10">
        <v>2.0000000000000001E-123</v>
      </c>
      <c r="D96" s="5">
        <v>54.74</v>
      </c>
      <c r="E96" s="11" t="str">
        <f>HYPERLINK("https://www.ncbi.nlm.nih.gov/protein/KAA9230046.1?report=genbank&amp;log$=prottop&amp;blast_rank=109&amp;RID=8XNW7U47013","KAA9230046.1")</f>
        <v>KAA9230046.1</v>
      </c>
    </row>
    <row r="97" spans="1:5">
      <c r="A97" s="4" t="s">
        <v>562</v>
      </c>
      <c r="B97" s="9">
        <v>0.94</v>
      </c>
      <c r="C97" s="10">
        <v>2.0000000000000001E-123</v>
      </c>
      <c r="D97" s="5">
        <v>54.74</v>
      </c>
      <c r="E97" s="11" t="str">
        <f>HYPERLINK("https://www.ncbi.nlm.nih.gov/protein/ETI85030.1?report=genbank&amp;log$=prottop&amp;blast_rank=110&amp;RID=8XNW7U47013","ETI85030.1")</f>
        <v>ETI85030.1</v>
      </c>
    </row>
    <row r="98" spans="1:5">
      <c r="A98" s="4" t="s">
        <v>561</v>
      </c>
      <c r="B98" s="9">
        <v>0.94</v>
      </c>
      <c r="C98" s="10">
        <v>2.0000000000000001E-123</v>
      </c>
      <c r="D98" s="5">
        <v>54.74</v>
      </c>
      <c r="E98" s="11" t="str">
        <f>HYPERLINK("https://www.ncbi.nlm.nih.gov/protein/PLA02651.1?report=genbank&amp;log$=prottop&amp;blast_rank=111&amp;RID=8XNW7U47013","PLA02651.1")</f>
        <v>PLA02651.1</v>
      </c>
    </row>
    <row r="99" spans="1:5">
      <c r="A99" s="4" t="s">
        <v>561</v>
      </c>
      <c r="B99" s="9">
        <v>0.94</v>
      </c>
      <c r="C99" s="10">
        <v>2.9999999999999998E-123</v>
      </c>
      <c r="D99" s="5">
        <v>54.74</v>
      </c>
      <c r="E99" s="11" t="str">
        <f>HYPERLINK("https://www.ncbi.nlm.nih.gov/protein/NGG15088.1?report=genbank&amp;log$=prottop&amp;blast_rank=112&amp;RID=8XNW7U47013","NGG15088.1")</f>
        <v>NGG15088.1</v>
      </c>
    </row>
    <row r="100" spans="1:5">
      <c r="A100" s="4" t="s">
        <v>561</v>
      </c>
      <c r="B100" s="9">
        <v>0.94</v>
      </c>
      <c r="C100" s="10">
        <v>8.0000000000000005E-122</v>
      </c>
      <c r="D100" s="5">
        <v>54.74</v>
      </c>
      <c r="E100" s="11" t="str">
        <f>HYPERLINK("https://www.ncbi.nlm.nih.gov/protein/MCW1052048.1?report=genbank&amp;log$=prottop&amp;blast_rank=130&amp;RID=8XNW7U47013","MCW1052048.1")</f>
        <v>MCW1052048.1</v>
      </c>
    </row>
    <row r="101" spans="1:5">
      <c r="A101" s="4" t="s">
        <v>561</v>
      </c>
      <c r="B101" s="9">
        <v>0.94</v>
      </c>
      <c r="C101" s="10">
        <v>2E-121</v>
      </c>
      <c r="D101" s="5">
        <v>54.74</v>
      </c>
      <c r="E101" s="11" t="str">
        <f>HYPERLINK("https://www.ncbi.nlm.nih.gov/protein/WP_003037927.1?report=genbank&amp;log$=prottop&amp;blast_rank=135&amp;RID=8XNW7U47013","WP_003037927.1")</f>
        <v>WP_003037927.1</v>
      </c>
    </row>
    <row r="102" spans="1:5">
      <c r="A102" s="4" t="s">
        <v>561</v>
      </c>
      <c r="B102" s="9">
        <v>0.94</v>
      </c>
      <c r="C102" s="10">
        <v>2E-119</v>
      </c>
      <c r="D102" s="5">
        <v>54.74</v>
      </c>
      <c r="E102" s="11" t="str">
        <f>HYPERLINK("https://www.ncbi.nlm.nih.gov/protein/MBX9102162.1?report=genbank&amp;log$=prottop&amp;blast_rank=173&amp;RID=8XNW7U47013","MBX9102162.1")</f>
        <v>MBX9102162.1</v>
      </c>
    </row>
    <row r="103" spans="1:5">
      <c r="A103" s="4" t="s">
        <v>578</v>
      </c>
      <c r="B103" s="9">
        <v>0.94</v>
      </c>
      <c r="C103" s="10">
        <v>3.0000000000000002E-119</v>
      </c>
      <c r="D103" s="5">
        <v>54.74</v>
      </c>
      <c r="E103" s="11" t="str">
        <f>HYPERLINK("https://www.ncbi.nlm.nih.gov/protein/WP_042754072.1?report=genbank&amp;log$=prottop&amp;blast_rank=177&amp;RID=8XNW7U47013","WP_042754072.1")</f>
        <v>WP_042754072.1</v>
      </c>
    </row>
    <row r="104" spans="1:5">
      <c r="A104" s="4" t="s">
        <v>578</v>
      </c>
      <c r="B104" s="9">
        <v>0.94</v>
      </c>
      <c r="C104" s="10">
        <v>3.0000000000000002E-119</v>
      </c>
      <c r="D104" s="5">
        <v>54.74</v>
      </c>
      <c r="E104" s="11" t="str">
        <f>HYPERLINK("https://www.ncbi.nlm.nih.gov/protein/WP_038677433.1?report=genbank&amp;log$=prottop&amp;blast_rank=178&amp;RID=8XNW7U47013","WP_038677433.1")</f>
        <v>WP_038677433.1</v>
      </c>
    </row>
    <row r="105" spans="1:5">
      <c r="A105" s="4" t="s">
        <v>639</v>
      </c>
      <c r="B105" s="9">
        <v>0.96</v>
      </c>
      <c r="C105" s="10">
        <v>3.9999999999999999E-113</v>
      </c>
      <c r="D105" s="5">
        <v>54.69</v>
      </c>
      <c r="E105" s="11" t="str">
        <f>HYPERLINK("https://www.ncbi.nlm.nih.gov/protein/WP_278908134.1?report=genbank&amp;log$=prottop&amp;blast_rank=281&amp;RID=8XNW7U47013","WP_278908134.1")</f>
        <v>WP_278908134.1</v>
      </c>
    </row>
    <row r="106" spans="1:5">
      <c r="A106" s="4" t="s">
        <v>681</v>
      </c>
      <c r="B106" s="9">
        <v>0.96</v>
      </c>
      <c r="C106" s="10">
        <v>1.9999999999999999E-106</v>
      </c>
      <c r="D106" s="5">
        <v>54.64</v>
      </c>
      <c r="E106" s="11" t="str">
        <f>HYPERLINK("https://www.ncbi.nlm.nih.gov/protein/WP_314115818.1?report=genbank&amp;log$=prottop&amp;blast_rank=388&amp;RID=8XNW7U47013","WP_314115818.1")</f>
        <v>WP_314115818.1</v>
      </c>
    </row>
    <row r="107" spans="1:5">
      <c r="A107" s="4" t="s">
        <v>600</v>
      </c>
      <c r="B107" s="9">
        <v>0.94</v>
      </c>
      <c r="C107" s="10">
        <v>6.9999999999999997E-118</v>
      </c>
      <c r="D107" s="5">
        <v>54.5</v>
      </c>
      <c r="E107" s="11" t="str">
        <f>HYPERLINK("https://www.ncbi.nlm.nih.gov/protein/WP_073688757.1?report=genbank&amp;log$=prottop&amp;blast_rank=203&amp;RID=8XNW7U47013","WP_073688757.1")</f>
        <v>WP_073688757.1</v>
      </c>
    </row>
    <row r="108" spans="1:5">
      <c r="A108" s="4" t="s">
        <v>583</v>
      </c>
      <c r="B108" s="9">
        <v>0.94</v>
      </c>
      <c r="C108" s="10">
        <v>3.0000000000000002E-115</v>
      </c>
      <c r="D108" s="5">
        <v>54.5</v>
      </c>
      <c r="E108" s="11" t="str">
        <f>HYPERLINK("https://www.ncbi.nlm.nih.gov/protein/MDO4219650.1?report=genbank&amp;log$=prottop&amp;blast_rank=246&amp;RID=8XNW7U47013","MDO4219650.1")</f>
        <v>MDO4219650.1</v>
      </c>
    </row>
    <row r="109" spans="1:5">
      <c r="A109" s="4" t="s">
        <v>452</v>
      </c>
      <c r="B109" s="9">
        <v>0.94</v>
      </c>
      <c r="C109" s="10">
        <v>9.0000000000000002E-109</v>
      </c>
      <c r="D109" s="5">
        <v>54.5</v>
      </c>
      <c r="E109" s="11" t="str">
        <f>HYPERLINK("https://www.ncbi.nlm.nih.gov/protein/MDD5527553.1?report=genbank&amp;log$=prottop&amp;blast_rank=359&amp;RID=8XNW7U47013","MDD5527553.1")</f>
        <v>MDD5527553.1</v>
      </c>
    </row>
    <row r="110" spans="1:5">
      <c r="A110" s="4" t="s">
        <v>122</v>
      </c>
      <c r="B110" s="9">
        <v>0.94</v>
      </c>
      <c r="C110" s="10">
        <v>8.9999999999999995E-104</v>
      </c>
      <c r="D110" s="5">
        <v>54.5</v>
      </c>
      <c r="E110" s="11" t="str">
        <f>HYPERLINK("https://www.ncbi.nlm.nih.gov/protein/MBS1553177.1?report=genbank&amp;log$=prottop&amp;blast_rank=408&amp;RID=8XNW7U47013","MBS1553177.1")</f>
        <v>MBS1553177.1</v>
      </c>
    </row>
    <row r="111" spans="1:5">
      <c r="A111" s="4" t="s">
        <v>579</v>
      </c>
      <c r="B111" s="9">
        <v>0.95</v>
      </c>
      <c r="C111" s="10">
        <v>3.0000000000000001E-120</v>
      </c>
      <c r="D111" s="5">
        <v>54.45</v>
      </c>
      <c r="E111" s="11" t="str">
        <f>HYPERLINK("https://www.ncbi.nlm.nih.gov/protein/WP_061427401.1?report=genbank&amp;log$=prottop&amp;blast_rank=160&amp;RID=8XNW7U47013","WP_061427401.1")</f>
        <v>WP_061427401.1</v>
      </c>
    </row>
    <row r="112" spans="1:5">
      <c r="A112" s="4" t="s">
        <v>579</v>
      </c>
      <c r="B112" s="9">
        <v>0.95</v>
      </c>
      <c r="C112" s="10">
        <v>1E-119</v>
      </c>
      <c r="D112" s="5">
        <v>54.45</v>
      </c>
      <c r="E112" s="11" t="str">
        <f>HYPERLINK("https://www.ncbi.nlm.nih.gov/protein/WP_139689951.1?report=genbank&amp;log$=prottop&amp;blast_rank=169&amp;RID=8XNW7U47013","WP_139689951.1")</f>
        <v>WP_139689951.1</v>
      </c>
    </row>
    <row r="113" spans="1:5">
      <c r="A113" s="4" t="s">
        <v>702</v>
      </c>
      <c r="B113" s="9">
        <v>0.94</v>
      </c>
      <c r="C113" s="10">
        <v>9.9999999999999996E-104</v>
      </c>
      <c r="D113" s="5">
        <v>54.4</v>
      </c>
      <c r="E113" s="11" t="str">
        <f>HYPERLINK("https://www.ncbi.nlm.nih.gov/protein/WP_044973462.1?report=genbank&amp;log$=prottop&amp;blast_rank=409&amp;RID=8XNW7U47013","WP_044973462.1")</f>
        <v>WP_044973462.1</v>
      </c>
    </row>
    <row r="114" spans="1:5">
      <c r="A114" s="4" t="s">
        <v>578</v>
      </c>
      <c r="B114" s="9">
        <v>0.98</v>
      </c>
      <c r="C114" s="10">
        <v>2.9999999999999999E-121</v>
      </c>
      <c r="D114" s="5">
        <v>54.31</v>
      </c>
      <c r="E114" s="11" t="str">
        <f>HYPERLINK("https://www.ncbi.nlm.nih.gov/protein/WP_001166738.1?report=genbank&amp;log$=prottop&amp;blast_rank=142&amp;RID=8XNW7U47013","WP_001166738.1")</f>
        <v>WP_001166738.1</v>
      </c>
    </row>
    <row r="115" spans="1:5">
      <c r="A115" s="4" t="s">
        <v>583</v>
      </c>
      <c r="B115" s="9">
        <v>0.98</v>
      </c>
      <c r="C115" s="10">
        <v>2E-120</v>
      </c>
      <c r="D115" s="5">
        <v>54.31</v>
      </c>
      <c r="E115" s="11" t="str">
        <f>HYPERLINK("https://www.ncbi.nlm.nih.gov/protein/MBB1552463.1?report=genbank&amp;log$=prottop&amp;blast_rank=154&amp;RID=8XNW7U47013","MBB1552463.1")</f>
        <v>MBB1552463.1</v>
      </c>
    </row>
    <row r="116" spans="1:5">
      <c r="A116" s="4" t="s">
        <v>590</v>
      </c>
      <c r="B116" s="9">
        <v>0.98</v>
      </c>
      <c r="C116" s="10">
        <v>2E-119</v>
      </c>
      <c r="D116" s="5">
        <v>54.31</v>
      </c>
      <c r="E116" s="11" t="str">
        <f>HYPERLINK("https://www.ncbi.nlm.nih.gov/protein/WP_009730175.1?report=genbank&amp;log$=prottop&amp;blast_rank=170&amp;RID=8XNW7U47013","WP_009730175.1")</f>
        <v>WP_009730175.1</v>
      </c>
    </row>
    <row r="117" spans="1:5">
      <c r="A117" s="4" t="s">
        <v>579</v>
      </c>
      <c r="B117" s="9">
        <v>0.98</v>
      </c>
      <c r="C117" s="10">
        <v>9.9999999999999999E-119</v>
      </c>
      <c r="D117" s="5">
        <v>54.31</v>
      </c>
      <c r="E117" s="11" t="str">
        <f>HYPERLINK("https://www.ncbi.nlm.nih.gov/protein/WP_268720837.1?report=genbank&amp;log$=prottop&amp;blast_rank=185&amp;RID=8XNW7U47013","WP_268720837.1")</f>
        <v>WP_268720837.1</v>
      </c>
    </row>
    <row r="118" spans="1:5">
      <c r="A118" s="4" t="s">
        <v>34</v>
      </c>
      <c r="B118" s="9">
        <v>1</v>
      </c>
      <c r="C118" s="10">
        <v>2E-121</v>
      </c>
      <c r="D118" s="5">
        <v>54.27</v>
      </c>
      <c r="E118" s="11" t="str">
        <f>HYPERLINK("https://www.ncbi.nlm.nih.gov/protein/MDO4868492.1?report=genbank&amp;log$=prottop&amp;blast_rank=137&amp;RID=8XNW7U47013","MDO4868492.1")</f>
        <v>MDO4868492.1</v>
      </c>
    </row>
    <row r="119" spans="1:5">
      <c r="A119" s="4" t="s">
        <v>579</v>
      </c>
      <c r="B119" s="9">
        <v>0.94</v>
      </c>
      <c r="C119" s="10">
        <v>1.0000000000000001E-114</v>
      </c>
      <c r="D119" s="5">
        <v>54.26</v>
      </c>
      <c r="E119" s="11" t="str">
        <f>HYPERLINK("https://www.ncbi.nlm.nih.gov/protein/WP_084932541.1?report=genbank&amp;log$=prottop&amp;blast_rank=256&amp;RID=8XNW7U47013","WP_084932541.1")</f>
        <v>WP_084932541.1</v>
      </c>
    </row>
    <row r="120" spans="1:5">
      <c r="A120" s="4" t="s">
        <v>561</v>
      </c>
      <c r="B120" s="9">
        <v>0.94</v>
      </c>
      <c r="C120" s="10">
        <v>6.0000000000000001E-122</v>
      </c>
      <c r="D120" s="5">
        <v>54.21</v>
      </c>
      <c r="E120" s="11" t="str">
        <f>HYPERLINK("https://www.ncbi.nlm.nih.gov/protein/KAA9305894.1?report=genbank&amp;log$=prottop&amp;blast_rank=125&amp;RID=8XNW7U47013","KAA9305894.1")</f>
        <v>KAA9305894.1</v>
      </c>
    </row>
    <row r="121" spans="1:5">
      <c r="A121" s="4" t="s">
        <v>578</v>
      </c>
      <c r="B121" s="9">
        <v>0.94</v>
      </c>
      <c r="C121" s="10">
        <v>8.0000000000000001E-119</v>
      </c>
      <c r="D121" s="5">
        <v>54.21</v>
      </c>
      <c r="E121" s="11" t="str">
        <f>HYPERLINK("https://www.ncbi.nlm.nih.gov/protein/WP_106101032.1?report=genbank&amp;log$=prottop&amp;blast_rank=182&amp;RID=8XNW7U47013","WP_106101032.1")</f>
        <v>WP_106101032.1</v>
      </c>
    </row>
    <row r="122" spans="1:5">
      <c r="A122" s="4" t="s">
        <v>561</v>
      </c>
      <c r="B122" s="9">
        <v>0.94</v>
      </c>
      <c r="C122" s="10">
        <v>3.9999999999999999E-118</v>
      </c>
      <c r="D122" s="5">
        <v>54.21</v>
      </c>
      <c r="E122" s="11" t="str">
        <f>HYPERLINK("https://www.ncbi.nlm.nih.gov/protein/WP_338405160.1?report=genbank&amp;log$=prottop&amp;blast_rank=198&amp;RID=8XNW7U47013","WP_338405160.1")</f>
        <v>WP_338405160.1</v>
      </c>
    </row>
    <row r="123" spans="1:5">
      <c r="A123" s="4" t="s">
        <v>578</v>
      </c>
      <c r="B123" s="9">
        <v>0.94</v>
      </c>
      <c r="C123" s="10">
        <v>1E-117</v>
      </c>
      <c r="D123" s="5">
        <v>54.21</v>
      </c>
      <c r="E123" s="11" t="str">
        <f>HYPERLINK("https://www.ncbi.nlm.nih.gov/protein/WP_070811291.1?report=genbank&amp;log$=prottop&amp;blast_rank=205&amp;RID=8XNW7U47013","WP_070811291.1")</f>
        <v>WP_070811291.1</v>
      </c>
    </row>
    <row r="124" spans="1:5">
      <c r="A124" s="4" t="s">
        <v>561</v>
      </c>
      <c r="B124" s="9">
        <v>0.94</v>
      </c>
      <c r="C124" s="10">
        <v>2.0000000000000001E-117</v>
      </c>
      <c r="D124" s="5">
        <v>54.21</v>
      </c>
      <c r="E124" s="11" t="str">
        <f>HYPERLINK("https://www.ncbi.nlm.nih.gov/protein/WP_319633785.1?report=genbank&amp;log$=prottop&amp;blast_rank=208&amp;RID=8XNW7U47013","WP_319633785.1")</f>
        <v>WP_319633785.1</v>
      </c>
    </row>
    <row r="125" spans="1:5">
      <c r="A125" s="4" t="s">
        <v>561</v>
      </c>
      <c r="B125" s="9">
        <v>0.94</v>
      </c>
      <c r="C125" s="10">
        <v>2.0000000000000001E-117</v>
      </c>
      <c r="D125" s="5">
        <v>54.21</v>
      </c>
      <c r="E125" s="11" t="str">
        <f>HYPERLINK("https://www.ncbi.nlm.nih.gov/protein/MDU4568078.1?report=genbank&amp;log$=prottop&amp;blast_rank=211&amp;RID=8XNW7U47013","MDU4568078.1")</f>
        <v>MDU4568078.1</v>
      </c>
    </row>
    <row r="126" spans="1:5">
      <c r="A126" s="4" t="s">
        <v>640</v>
      </c>
      <c r="B126" s="9">
        <v>0.94</v>
      </c>
      <c r="C126" s="10">
        <v>4.9999999999999997E-113</v>
      </c>
      <c r="D126" s="5">
        <v>54.21</v>
      </c>
      <c r="E126" s="11" t="str">
        <f>HYPERLINK("https://www.ncbi.nlm.nih.gov/protein/POO88902.1?report=genbank&amp;log$=prottop&amp;blast_rank=283&amp;RID=8XNW7U47013","POO88902.1")</f>
        <v>POO88902.1</v>
      </c>
    </row>
    <row r="127" spans="1:5">
      <c r="A127" s="4" t="s">
        <v>673</v>
      </c>
      <c r="B127" s="9">
        <v>0.93</v>
      </c>
      <c r="C127" s="10">
        <v>2E-109</v>
      </c>
      <c r="D127" s="5">
        <v>54.01</v>
      </c>
      <c r="E127" s="11" t="str">
        <f>HYPERLINK("https://www.ncbi.nlm.nih.gov/protein/MBR6200189.1?report=genbank&amp;log$=prottop&amp;blast_rank=346&amp;RID=8XNW7U47013","MBR6200189.1")</f>
        <v>MBR6200189.1</v>
      </c>
    </row>
    <row r="128" spans="1:5">
      <c r="A128" s="4" t="s">
        <v>560</v>
      </c>
      <c r="B128" s="9">
        <v>0.94</v>
      </c>
      <c r="C128" s="10">
        <v>5.0000000000000003E-123</v>
      </c>
      <c r="D128" s="5">
        <v>53.97</v>
      </c>
      <c r="E128" s="11" t="str">
        <f>HYPERLINK("https://www.ncbi.nlm.nih.gov/protein/MBM6920827.1?report=genbank&amp;log$=prottop&amp;blast_rank=117&amp;RID=8XNW7U47013","MBM6920827.1")</f>
        <v>MBM6920827.1</v>
      </c>
    </row>
    <row r="129" spans="1:5">
      <c r="A129" s="4" t="s">
        <v>21</v>
      </c>
      <c r="B129" s="9">
        <v>0.94</v>
      </c>
      <c r="C129" s="10">
        <v>3.9999999999999999E-118</v>
      </c>
      <c r="D129" s="5">
        <v>53.97</v>
      </c>
      <c r="E129" s="11" t="str">
        <f>HYPERLINK("https://www.ncbi.nlm.nih.gov/protein/MBO5004441.1?report=genbank&amp;log$=prottop&amp;blast_rank=195&amp;RID=8XNW7U47013","MBO5004441.1")</f>
        <v>MBO5004441.1</v>
      </c>
    </row>
    <row r="130" spans="1:5">
      <c r="A130" s="4" t="s">
        <v>660</v>
      </c>
      <c r="B130" s="9">
        <v>0.94</v>
      </c>
      <c r="C130" s="10">
        <v>2.0000000000000001E-110</v>
      </c>
      <c r="D130" s="5">
        <v>53.97</v>
      </c>
      <c r="E130" s="11" t="str">
        <f>HYPERLINK("https://www.ncbi.nlm.nih.gov/protein/WP_007049890.1?report=genbank&amp;log$=prottop&amp;blast_rank=325&amp;RID=8XNW7U47013","WP_007049890.1")</f>
        <v>WP_007049890.1</v>
      </c>
    </row>
    <row r="131" spans="1:5">
      <c r="A131" s="4" t="s">
        <v>34</v>
      </c>
      <c r="B131" s="9">
        <v>0.94</v>
      </c>
      <c r="C131" s="10">
        <v>6.9999999999999997E-109</v>
      </c>
      <c r="D131" s="5">
        <v>53.97</v>
      </c>
      <c r="E131" s="11" t="str">
        <f>HYPERLINK("https://www.ncbi.nlm.nih.gov/protein/MBT3349540.1?report=genbank&amp;log$=prottop&amp;blast_rank=357&amp;RID=8XNW7U47013","MBT3349540.1")</f>
        <v>MBT3349540.1</v>
      </c>
    </row>
    <row r="132" spans="1:5">
      <c r="A132" s="4" t="s">
        <v>579</v>
      </c>
      <c r="B132" s="9">
        <v>0.95</v>
      </c>
      <c r="C132" s="10">
        <v>5E-117</v>
      </c>
      <c r="D132" s="5">
        <v>53.93</v>
      </c>
      <c r="E132" s="11" t="str">
        <f>HYPERLINK("https://www.ncbi.nlm.nih.gov/protein/WP_250316132.1?report=genbank&amp;log$=prottop&amp;blast_rank=218&amp;RID=8XNW7U47013","WP_250316132.1")</f>
        <v>WP_250316132.1</v>
      </c>
    </row>
    <row r="133" spans="1:5">
      <c r="A133" s="4" t="s">
        <v>703</v>
      </c>
      <c r="B133" s="9">
        <v>0.9</v>
      </c>
      <c r="C133" s="10">
        <v>1.9999999999999999E-103</v>
      </c>
      <c r="D133" s="5">
        <v>53.89</v>
      </c>
      <c r="E133" s="11" t="str">
        <f>HYPERLINK("https://www.ncbi.nlm.nih.gov/protein/WP_278748549.1?report=genbank&amp;log$=prottop&amp;blast_rank=413&amp;RID=8XNW7U47013","WP_278748549.1")</f>
        <v>WP_278748549.1</v>
      </c>
    </row>
    <row r="134" spans="1:5">
      <c r="A134" s="4" t="s">
        <v>569</v>
      </c>
      <c r="B134" s="9">
        <v>0.98</v>
      </c>
      <c r="C134" s="10">
        <v>4.9999999999999999E-122</v>
      </c>
      <c r="D134" s="5">
        <v>53.81</v>
      </c>
      <c r="E134" s="11" t="str">
        <f>HYPERLINK("https://www.ncbi.nlm.nih.gov/protein/WP_049536453.1?report=genbank&amp;log$=prottop&amp;blast_rank=123&amp;RID=8XNW7U47013","WP_049536453.1")</f>
        <v>WP_049536453.1</v>
      </c>
    </row>
    <row r="135" spans="1:5">
      <c r="A135" s="4" t="s">
        <v>578</v>
      </c>
      <c r="B135" s="9">
        <v>0.98</v>
      </c>
      <c r="C135" s="10">
        <v>2E-121</v>
      </c>
      <c r="D135" s="5">
        <v>53.81</v>
      </c>
      <c r="E135" s="11" t="str">
        <f>HYPERLINK("https://www.ncbi.nlm.nih.gov/protein/WP_038806121.1?report=genbank&amp;log$=prottop&amp;blast_rank=136&amp;RID=8XNW7U47013","WP_038806121.1")</f>
        <v>WP_038806121.1</v>
      </c>
    </row>
    <row r="136" spans="1:5">
      <c r="A136" s="4" t="s">
        <v>579</v>
      </c>
      <c r="B136" s="9">
        <v>0.98</v>
      </c>
      <c r="C136" s="10">
        <v>2E-121</v>
      </c>
      <c r="D136" s="5">
        <v>53.81</v>
      </c>
      <c r="E136" s="11" t="str">
        <f>HYPERLINK("https://www.ncbi.nlm.nih.gov/protein/WP_268718694.1?report=genbank&amp;log$=prottop&amp;blast_rank=138&amp;RID=8XNW7U47013","WP_268718694.1")</f>
        <v>WP_268718694.1</v>
      </c>
    </row>
    <row r="137" spans="1:5">
      <c r="A137" s="4" t="s">
        <v>579</v>
      </c>
      <c r="B137" s="9">
        <v>0.98</v>
      </c>
      <c r="C137" s="10">
        <v>4.9999999999999999E-121</v>
      </c>
      <c r="D137" s="5">
        <v>53.81</v>
      </c>
      <c r="E137" s="11" t="str">
        <f>HYPERLINK("https://www.ncbi.nlm.nih.gov/protein/WP_195216683.1?report=genbank&amp;log$=prottop&amp;blast_rank=146&amp;RID=8XNW7U47013","WP_195216683.1")</f>
        <v>WP_195216683.1</v>
      </c>
    </row>
    <row r="138" spans="1:5">
      <c r="A138" s="4" t="s">
        <v>585</v>
      </c>
      <c r="B138" s="9">
        <v>0.98</v>
      </c>
      <c r="C138" s="10">
        <v>2E-120</v>
      </c>
      <c r="D138" s="5">
        <v>53.81</v>
      </c>
      <c r="E138" s="11" t="str">
        <f>HYPERLINK("https://www.ncbi.nlm.nih.gov/protein/WP_221160795.1?report=genbank&amp;log$=prottop&amp;blast_rank=156&amp;RID=8XNW7U47013","WP_221160795.1")</f>
        <v>WP_221160795.1</v>
      </c>
    </row>
    <row r="139" spans="1:5">
      <c r="A139" s="4" t="s">
        <v>579</v>
      </c>
      <c r="B139" s="9">
        <v>0.98</v>
      </c>
      <c r="C139" s="10">
        <v>3.0000000000000001E-120</v>
      </c>
      <c r="D139" s="5">
        <v>53.81</v>
      </c>
      <c r="E139" s="11" t="str">
        <f>HYPERLINK("https://www.ncbi.nlm.nih.gov/protein/WP_268714382.1?report=genbank&amp;log$=prottop&amp;blast_rank=158&amp;RID=8XNW7U47013","WP_268714382.1")</f>
        <v>WP_268714382.1</v>
      </c>
    </row>
    <row r="140" spans="1:5">
      <c r="A140" s="4" t="s">
        <v>587</v>
      </c>
      <c r="B140" s="9">
        <v>0.98</v>
      </c>
      <c r="C140" s="10">
        <v>3.9999999999999999E-120</v>
      </c>
      <c r="D140" s="5">
        <v>53.81</v>
      </c>
      <c r="E140" s="11" t="str">
        <f>HYPERLINK("https://www.ncbi.nlm.nih.gov/protein/WP_001189513.1?report=genbank&amp;log$=prottop&amp;blast_rank=162&amp;RID=8XNW7U47013","WP_001189513.1")</f>
        <v>WP_001189513.1</v>
      </c>
    </row>
    <row r="141" spans="1:5">
      <c r="A141" s="4" t="s">
        <v>579</v>
      </c>
      <c r="B141" s="9">
        <v>0.98</v>
      </c>
      <c r="C141" s="10">
        <v>3.9999999999999999E-120</v>
      </c>
      <c r="D141" s="5">
        <v>53.81</v>
      </c>
      <c r="E141" s="11" t="str">
        <f>HYPERLINK("https://www.ncbi.nlm.nih.gov/protein/WP_125448366.1?report=genbank&amp;log$=prottop&amp;blast_rank=163&amp;RID=8XNW7U47013","WP_125448366.1")</f>
        <v>WP_125448366.1</v>
      </c>
    </row>
    <row r="142" spans="1:5">
      <c r="A142" s="4" t="s">
        <v>580</v>
      </c>
      <c r="B142" s="9">
        <v>0.98</v>
      </c>
      <c r="C142" s="10">
        <v>9E-120</v>
      </c>
      <c r="D142" s="5">
        <v>53.81</v>
      </c>
      <c r="E142" s="11" t="str">
        <f>HYPERLINK("https://www.ncbi.nlm.nih.gov/protein/WP_001166739.1?report=genbank&amp;log$=prottop&amp;blast_rank=165&amp;RID=8XNW7U47013","WP_001166739.1")</f>
        <v>WP_001166739.1</v>
      </c>
    </row>
    <row r="143" spans="1:5">
      <c r="A143" s="4" t="s">
        <v>591</v>
      </c>
      <c r="B143" s="9">
        <v>0.98</v>
      </c>
      <c r="C143" s="10">
        <v>2E-119</v>
      </c>
      <c r="D143" s="5">
        <v>53.81</v>
      </c>
      <c r="E143" s="11" t="str">
        <f>HYPERLINK("https://www.ncbi.nlm.nih.gov/protein/WP_001166737.1?report=genbank&amp;log$=prottop&amp;blast_rank=171&amp;RID=8XNW7U47013","WP_001166737.1")</f>
        <v>WP_001166737.1</v>
      </c>
    </row>
    <row r="144" spans="1:5">
      <c r="A144" s="4" t="s">
        <v>578</v>
      </c>
      <c r="B144" s="9">
        <v>0.98</v>
      </c>
      <c r="C144" s="10">
        <v>9.0000000000000005E-119</v>
      </c>
      <c r="D144" s="5">
        <v>53.81</v>
      </c>
      <c r="E144" s="11" t="str">
        <f>HYPERLINK("https://www.ncbi.nlm.nih.gov/protein/WP_002900215.1?report=genbank&amp;log$=prottop&amp;blast_rank=184&amp;RID=8XNW7U47013","WP_002900215.1")</f>
        <v>WP_002900215.1</v>
      </c>
    </row>
    <row r="145" spans="1:5">
      <c r="A145" s="4" t="s">
        <v>597</v>
      </c>
      <c r="B145" s="9">
        <v>0.98</v>
      </c>
      <c r="C145" s="10">
        <v>2E-118</v>
      </c>
      <c r="D145" s="5">
        <v>53.81</v>
      </c>
      <c r="E145" s="11" t="str">
        <f>HYPERLINK("https://www.ncbi.nlm.nih.gov/protein/WP_314366014.1?report=genbank&amp;log$=prottop&amp;blast_rank=189&amp;RID=8XNW7U47013","WP_314366014.1")</f>
        <v>WP_314366014.1</v>
      </c>
    </row>
    <row r="146" spans="1:5">
      <c r="A146" s="4" t="s">
        <v>604</v>
      </c>
      <c r="B146" s="9">
        <v>0.98</v>
      </c>
      <c r="C146" s="10">
        <v>1E-117</v>
      </c>
      <c r="D146" s="5">
        <v>53.81</v>
      </c>
      <c r="E146" s="11" t="str">
        <f>HYPERLINK("https://www.ncbi.nlm.nih.gov/protein/WP_176798840.1?report=genbank&amp;log$=prottop&amp;blast_rank=206&amp;RID=8XNW7U47013","WP_176798840.1")</f>
        <v>WP_176798840.1</v>
      </c>
    </row>
    <row r="147" spans="1:5">
      <c r="A147" s="4" t="s">
        <v>614</v>
      </c>
      <c r="B147" s="9">
        <v>0.94</v>
      </c>
      <c r="C147" s="10">
        <v>2E-116</v>
      </c>
      <c r="D147" s="5">
        <v>53.72</v>
      </c>
      <c r="E147" s="11" t="str">
        <f>HYPERLINK("https://www.ncbi.nlm.nih.gov/protein/HHY71206.1?report=genbank&amp;log$=prottop&amp;blast_rank=227&amp;RID=8XNW7U47013","HHY71206.1")</f>
        <v>HHY71206.1</v>
      </c>
    </row>
    <row r="148" spans="1:5">
      <c r="A148" s="4" t="s">
        <v>671</v>
      </c>
      <c r="B148" s="9">
        <v>0.94</v>
      </c>
      <c r="C148" s="10">
        <v>2E-109</v>
      </c>
      <c r="D148" s="5">
        <v>53.68</v>
      </c>
      <c r="E148" s="11" t="str">
        <f>HYPERLINK("https://www.ncbi.nlm.nih.gov/protein/MCB1202534.1?report=genbank&amp;log$=prottop&amp;blast_rank=344&amp;RID=8XNW7U47013","MCB1202534.1")</f>
        <v>MCB1202534.1</v>
      </c>
    </row>
    <row r="149" spans="1:5">
      <c r="A149" s="4" t="s">
        <v>738</v>
      </c>
      <c r="B149" s="9">
        <v>0.95</v>
      </c>
      <c r="C149" s="10">
        <v>8.0000000000000002E-99</v>
      </c>
      <c r="D149" s="5">
        <v>53.68</v>
      </c>
      <c r="E149" s="11" t="str">
        <f>HYPERLINK("https://www.ncbi.nlm.nih.gov/protein/WP_286876230.1?report=genbank&amp;log$=prottop&amp;blast_rank=494&amp;RID=8XNW7U47013","WP_286876230.1")</f>
        <v>WP_286876230.1</v>
      </c>
    </row>
    <row r="150" spans="1:5">
      <c r="A150" s="4" t="s">
        <v>688</v>
      </c>
      <c r="B150" s="9">
        <v>0.93</v>
      </c>
      <c r="C150" s="10">
        <v>2.9999999999999997E-107</v>
      </c>
      <c r="D150" s="5">
        <v>53.48</v>
      </c>
      <c r="E150" s="11" t="str">
        <f>HYPERLINK("https://www.ncbi.nlm.nih.gov/protein/MDO4697971.1?report=genbank&amp;log$=prottop&amp;blast_rank=379&amp;RID=8XNW7U47013","MDO4697971.1")</f>
        <v>MDO4697971.1</v>
      </c>
    </row>
    <row r="151" spans="1:5">
      <c r="A151" s="4" t="s">
        <v>112</v>
      </c>
      <c r="B151" s="9">
        <v>0.93</v>
      </c>
      <c r="C151" s="10">
        <v>4E-107</v>
      </c>
      <c r="D151" s="5">
        <v>53.48</v>
      </c>
      <c r="E151" s="11" t="str">
        <f>HYPERLINK("https://www.ncbi.nlm.nih.gov/protein/MDD2411515.1?report=genbank&amp;log$=prottop&amp;blast_rank=380&amp;RID=8XNW7U47013","MDD2411515.1")</f>
        <v>MDD2411515.1</v>
      </c>
    </row>
    <row r="152" spans="1:5">
      <c r="A152" s="4" t="s">
        <v>552</v>
      </c>
      <c r="B152" s="9">
        <v>0.94</v>
      </c>
      <c r="C152" s="10">
        <v>3.9999999999999999E-118</v>
      </c>
      <c r="D152" s="5">
        <v>53.44</v>
      </c>
      <c r="E152" s="11" t="str">
        <f>HYPERLINK("https://www.ncbi.nlm.nih.gov/protein/NLL67472.1?report=genbank&amp;log$=prottop&amp;blast_rank=199&amp;RID=8XNW7U47013","NLL67472.1")</f>
        <v>NLL67472.1</v>
      </c>
    </row>
    <row r="153" spans="1:5">
      <c r="A153" s="4" t="s">
        <v>613</v>
      </c>
      <c r="B153" s="9">
        <v>0.94</v>
      </c>
      <c r="C153" s="10">
        <v>2E-116</v>
      </c>
      <c r="D153" s="5">
        <v>53.44</v>
      </c>
      <c r="E153" s="11" t="str">
        <f>HYPERLINK("https://www.ncbi.nlm.nih.gov/protein/WP_245157115.1?report=genbank&amp;log$=prottop&amp;blast_rank=225&amp;RID=8XNW7U47013","WP_245157115.1")</f>
        <v>WP_245157115.1</v>
      </c>
    </row>
    <row r="154" spans="1:5">
      <c r="A154" s="4" t="s">
        <v>687</v>
      </c>
      <c r="B154" s="9">
        <v>0.96</v>
      </c>
      <c r="C154" s="10">
        <v>2.9999999999999997E-107</v>
      </c>
      <c r="D154" s="5">
        <v>53.37</v>
      </c>
      <c r="E154" s="11" t="str">
        <f>HYPERLINK("https://www.ncbi.nlm.nih.gov/protein/WP_234233996.1?report=genbank&amp;log$=prottop&amp;blast_rank=376&amp;RID=8XNW7U47013","WP_234233996.1")</f>
        <v>WP_234233996.1</v>
      </c>
    </row>
    <row r="155" spans="1:5">
      <c r="A155" s="4" t="s">
        <v>579</v>
      </c>
      <c r="B155" s="9">
        <v>0.98</v>
      </c>
      <c r="C155" s="10">
        <v>4.9999999999999999E-121</v>
      </c>
      <c r="D155" s="5">
        <v>53.3</v>
      </c>
      <c r="E155" s="11" t="str">
        <f>HYPERLINK("https://www.ncbi.nlm.nih.gov/protein/WP_084972418.1?report=genbank&amp;log$=prottop&amp;blast_rank=145&amp;RID=8XNW7U47013","WP_084972418.1")</f>
        <v>WP_084972418.1</v>
      </c>
    </row>
    <row r="156" spans="1:5">
      <c r="A156" s="4" t="s">
        <v>579</v>
      </c>
      <c r="B156" s="9">
        <v>0.98</v>
      </c>
      <c r="C156" s="10">
        <v>9.9999999999999998E-121</v>
      </c>
      <c r="D156" s="5">
        <v>53.3</v>
      </c>
      <c r="E156" s="11" t="str">
        <f>HYPERLINK("https://www.ncbi.nlm.nih.gov/protein/WP_061865492.1?report=genbank&amp;log$=prottop&amp;blast_rank=149&amp;RID=8XNW7U47013","WP_061865492.1")</f>
        <v>WP_061865492.1</v>
      </c>
    </row>
    <row r="157" spans="1:5">
      <c r="A157" s="4" t="s">
        <v>578</v>
      </c>
      <c r="B157" s="9">
        <v>0.98</v>
      </c>
      <c r="C157" s="10">
        <v>2E-120</v>
      </c>
      <c r="D157" s="5">
        <v>53.3</v>
      </c>
      <c r="E157" s="11" t="str">
        <f>HYPERLINK("https://www.ncbi.nlm.nih.gov/protein/WP_020901386.1?report=genbank&amp;log$=prottop&amp;blast_rank=153&amp;RID=8XNW7U47013","WP_020901386.1")</f>
        <v>WP_020901386.1</v>
      </c>
    </row>
    <row r="158" spans="1:5">
      <c r="A158" s="4" t="s">
        <v>580</v>
      </c>
      <c r="B158" s="9">
        <v>0.98</v>
      </c>
      <c r="C158" s="10">
        <v>1E-119</v>
      </c>
      <c r="D158" s="5">
        <v>53.3</v>
      </c>
      <c r="E158" s="11" t="str">
        <f>HYPERLINK("https://www.ncbi.nlm.nih.gov/protein/WP_125833827.1?report=genbank&amp;log$=prottop&amp;blast_rank=167&amp;RID=8XNW7U47013","WP_125833827.1")</f>
        <v>WP_125833827.1</v>
      </c>
    </row>
    <row r="159" spans="1:5">
      <c r="A159" s="4" t="s">
        <v>604</v>
      </c>
      <c r="B159" s="9">
        <v>0.98</v>
      </c>
      <c r="C159" s="10">
        <v>7.9999999999999999E-118</v>
      </c>
      <c r="D159" s="5">
        <v>53.3</v>
      </c>
      <c r="E159" s="11" t="str">
        <f>HYPERLINK("https://www.ncbi.nlm.nih.gov/protein/WP_002897438.1?report=genbank&amp;log$=prottop&amp;blast_rank=204&amp;RID=8XNW7U47013","WP_002897438.1")</f>
        <v>WP_002897438.1</v>
      </c>
    </row>
    <row r="160" spans="1:5">
      <c r="A160" s="4" t="s">
        <v>604</v>
      </c>
      <c r="B160" s="9">
        <v>0.98</v>
      </c>
      <c r="C160" s="10">
        <v>2.0000000000000001E-117</v>
      </c>
      <c r="D160" s="5">
        <v>53.3</v>
      </c>
      <c r="E160" s="11" t="str">
        <f>HYPERLINK("https://www.ncbi.nlm.nih.gov/protein/WP_125402035.1?report=genbank&amp;log$=prottop&amp;blast_rank=207&amp;RID=8XNW7U47013","WP_125402035.1")</f>
        <v>WP_125402035.1</v>
      </c>
    </row>
    <row r="161" spans="1:5">
      <c r="A161" s="4" t="s">
        <v>589</v>
      </c>
      <c r="B161" s="9">
        <v>1</v>
      </c>
      <c r="C161" s="10">
        <v>1E-119</v>
      </c>
      <c r="D161" s="5">
        <v>53.27</v>
      </c>
      <c r="E161" s="11" t="str">
        <f>HYPERLINK("https://www.ncbi.nlm.nih.gov/protein/ORO45407.1?report=genbank&amp;log$=prottop&amp;blast_rank=168&amp;RID=8XNW7U47013","ORO45407.1")</f>
        <v>ORO45407.1</v>
      </c>
    </row>
    <row r="162" spans="1:5">
      <c r="A162" s="4" t="s">
        <v>629</v>
      </c>
      <c r="B162" s="9">
        <v>0.94</v>
      </c>
      <c r="C162" s="10">
        <v>3.0000000000000002E-114</v>
      </c>
      <c r="D162" s="5">
        <v>53.16</v>
      </c>
      <c r="E162" s="11" t="str">
        <f>HYPERLINK("https://www.ncbi.nlm.nih.gov/protein/WP_311225141.1?report=genbank&amp;log$=prottop&amp;blast_rank=263&amp;RID=8XNW7U47013","WP_311225141.1")</f>
        <v>WP_311225141.1</v>
      </c>
    </row>
    <row r="163" spans="1:5">
      <c r="A163" s="4" t="s">
        <v>674</v>
      </c>
      <c r="B163" s="9">
        <v>0.94</v>
      </c>
      <c r="C163" s="10">
        <v>2E-109</v>
      </c>
      <c r="D163" s="5">
        <v>53.16</v>
      </c>
      <c r="E163" s="11" t="str">
        <f>HYPERLINK("https://www.ncbi.nlm.nih.gov/protein/HET56017.1?report=genbank&amp;log$=prottop&amp;blast_rank=347&amp;RID=8XNW7U47013","HET56017.1")</f>
        <v>HET56017.1</v>
      </c>
    </row>
    <row r="164" spans="1:5">
      <c r="A164" s="4" t="s">
        <v>579</v>
      </c>
      <c r="B164" s="9">
        <v>0.99</v>
      </c>
      <c r="C164" s="10">
        <v>9.9999999999999998E-121</v>
      </c>
      <c r="D164" s="5">
        <v>53.03</v>
      </c>
      <c r="E164" s="11" t="str">
        <f>HYPERLINK("https://www.ncbi.nlm.nih.gov/protein/MBS9400152.1?report=genbank&amp;log$=prottop&amp;blast_rank=151&amp;RID=8XNW7U47013","MBS9400152.1")</f>
        <v>MBS9400152.1</v>
      </c>
    </row>
    <row r="165" spans="1:5">
      <c r="A165" s="4" t="s">
        <v>552</v>
      </c>
      <c r="B165" s="9">
        <v>0.91</v>
      </c>
      <c r="C165" s="10">
        <v>9.9999999999999998E-114</v>
      </c>
      <c r="D165" s="5">
        <v>53.01</v>
      </c>
      <c r="E165" s="11" t="str">
        <f>HYPERLINK("https://www.ncbi.nlm.nih.gov/protein/NLE25352.1?report=genbank&amp;log$=prottop&amp;blast_rank=270&amp;RID=8XNW7U47013","NLE25352.1")</f>
        <v>NLE25352.1</v>
      </c>
    </row>
    <row r="166" spans="1:5">
      <c r="A166" s="4" t="s">
        <v>92</v>
      </c>
      <c r="B166" s="9">
        <v>0.94</v>
      </c>
      <c r="C166" s="10">
        <v>9.0000000000000002E-116</v>
      </c>
      <c r="D166" s="5">
        <v>52.91</v>
      </c>
      <c r="E166" s="11" t="str">
        <f>HYPERLINK("https://www.ncbi.nlm.nih.gov/protein/MCZ2338384.1?report=genbank&amp;log$=prottop&amp;blast_rank=235&amp;RID=8XNW7U47013","MCZ2338384.1")</f>
        <v>MCZ2338384.1</v>
      </c>
    </row>
    <row r="167" spans="1:5">
      <c r="A167" s="4" t="s">
        <v>179</v>
      </c>
      <c r="B167" s="9">
        <v>0.94</v>
      </c>
      <c r="C167" s="10">
        <v>4.0000000000000002E-101</v>
      </c>
      <c r="D167" s="5">
        <v>52.91</v>
      </c>
      <c r="E167" s="11" t="str">
        <f>HYPERLINK("https://www.ncbi.nlm.nih.gov/protein/MBI6038178.1?report=genbank&amp;log$=prottop&amp;blast_rank=455&amp;RID=8XNW7U47013","MBI6038178.1")</f>
        <v>MBI6038178.1</v>
      </c>
    </row>
    <row r="168" spans="1:5">
      <c r="A168" s="4" t="s">
        <v>179</v>
      </c>
      <c r="B168" s="9">
        <v>0.94</v>
      </c>
      <c r="C168" s="10">
        <v>1E-100</v>
      </c>
      <c r="D168" s="5">
        <v>52.91</v>
      </c>
      <c r="E168" s="11" t="str">
        <f>HYPERLINK("https://www.ncbi.nlm.nih.gov/protein/MBI6020805.1?report=genbank&amp;log$=prottop&amp;blast_rank=464&amp;RID=8XNW7U47013","MBI6020805.1")</f>
        <v>MBI6020805.1</v>
      </c>
    </row>
    <row r="169" spans="1:5">
      <c r="A169" s="4" t="s">
        <v>179</v>
      </c>
      <c r="B169" s="9">
        <v>0.94</v>
      </c>
      <c r="C169" s="10">
        <v>1E-99</v>
      </c>
      <c r="D169" s="5">
        <v>52.91</v>
      </c>
      <c r="E169" s="11" t="str">
        <f>HYPERLINK("https://www.ncbi.nlm.nih.gov/protein/WP_003471217.1?report=genbank&amp;log$=prottop&amp;blast_rank=478&amp;RID=8XNW7U47013","WP_003471217.1")</f>
        <v>WP_003471217.1</v>
      </c>
    </row>
    <row r="170" spans="1:5">
      <c r="A170" s="4" t="s">
        <v>179</v>
      </c>
      <c r="B170" s="9">
        <v>0.94</v>
      </c>
      <c r="C170" s="10">
        <v>2E-99</v>
      </c>
      <c r="D170" s="5">
        <v>52.91</v>
      </c>
      <c r="E170" s="11" t="str">
        <f>HYPERLINK("https://www.ncbi.nlm.nih.gov/protein/WP_198615123.1?report=genbank&amp;log$=prottop&amp;blast_rank=485&amp;RID=8XNW7U47013","WP_198615123.1")</f>
        <v>WP_198615123.1</v>
      </c>
    </row>
    <row r="171" spans="1:5">
      <c r="A171" s="4" t="s">
        <v>580</v>
      </c>
      <c r="B171" s="9">
        <v>0.98</v>
      </c>
      <c r="C171" s="10">
        <v>3.0000000000000002E-119</v>
      </c>
      <c r="D171" s="5">
        <v>52.79</v>
      </c>
      <c r="E171" s="11" t="str">
        <f>HYPERLINK("https://www.ncbi.nlm.nih.gov/protein/WP_125426198.1?report=genbank&amp;log$=prottop&amp;blast_rank=175&amp;RID=8XNW7U47013","WP_125426198.1")</f>
        <v>WP_125426198.1</v>
      </c>
    </row>
    <row r="172" spans="1:5">
      <c r="A172" s="4" t="s">
        <v>653</v>
      </c>
      <c r="B172" s="9">
        <v>0.98</v>
      </c>
      <c r="C172" s="10">
        <v>2.0000000000000002E-111</v>
      </c>
      <c r="D172" s="5">
        <v>52.79</v>
      </c>
      <c r="E172" s="11" t="str">
        <f>HYPERLINK("https://www.ncbi.nlm.nih.gov/protein/MDR1780259.1?report=genbank&amp;log$=prottop&amp;blast_rank=307&amp;RID=8XNW7U47013","MDR1780259.1")</f>
        <v>MDR1780259.1</v>
      </c>
    </row>
    <row r="173" spans="1:5">
      <c r="A173" s="4" t="s">
        <v>703</v>
      </c>
      <c r="B173" s="9">
        <v>0.98</v>
      </c>
      <c r="C173" s="10">
        <v>6E-102</v>
      </c>
      <c r="D173" s="5">
        <v>52.79</v>
      </c>
      <c r="E173" s="11" t="str">
        <f>HYPERLINK("https://www.ncbi.nlm.nih.gov/protein/WP_270208873.1?report=genbank&amp;log$=prottop&amp;blast_rank=444&amp;RID=8XNW7U47013","WP_270208873.1")</f>
        <v>WP_270208873.1</v>
      </c>
    </row>
    <row r="174" spans="1:5">
      <c r="A174" s="4" t="s">
        <v>21</v>
      </c>
      <c r="B174" s="9">
        <v>1</v>
      </c>
      <c r="C174" s="10">
        <v>9.0000000000000005E-119</v>
      </c>
      <c r="D174" s="5">
        <v>52.76</v>
      </c>
      <c r="E174" s="11" t="str">
        <f>HYPERLINK("https://www.ncbi.nlm.nih.gov/protein/MBR2404798.1?report=genbank&amp;log$=prottop&amp;blast_rank=183&amp;RID=8XNW7U47013","MBR2404798.1")</f>
        <v>MBR2404798.1</v>
      </c>
    </row>
    <row r="175" spans="1:5">
      <c r="A175" s="4" t="s">
        <v>646</v>
      </c>
      <c r="B175" s="9">
        <v>0.91</v>
      </c>
      <c r="C175" s="10">
        <v>3.0000000000000001E-112</v>
      </c>
      <c r="D175" s="5">
        <v>52.75</v>
      </c>
      <c r="E175" s="11" t="str">
        <f>HYPERLINK("https://www.ncbi.nlm.nih.gov/protein/MEE1038939.1?report=genbank&amp;log$=prottop&amp;blast_rank=294&amp;RID=8XNW7U47013","MEE1038939.1")</f>
        <v>MEE1038939.1</v>
      </c>
    </row>
    <row r="176" spans="1:5">
      <c r="A176" s="4" t="s">
        <v>598</v>
      </c>
      <c r="B176" s="9">
        <v>0.94</v>
      </c>
      <c r="C176" s="10">
        <v>3.0000000000000002E-118</v>
      </c>
      <c r="D176" s="5">
        <v>52.63</v>
      </c>
      <c r="E176" s="11" t="str">
        <f>HYPERLINK("https://www.ncbi.nlm.nih.gov/protein/WP_353892888.1?report=genbank&amp;log$=prottop&amp;blast_rank=192&amp;RID=8XNW7U47013","WP_353892888.1")</f>
        <v>WP_353892888.1</v>
      </c>
    </row>
    <row r="177" spans="1:5">
      <c r="A177" s="4" t="s">
        <v>651</v>
      </c>
      <c r="B177" s="9">
        <v>0.94</v>
      </c>
      <c r="C177" s="10">
        <v>6.9999999999999999E-112</v>
      </c>
      <c r="D177" s="5">
        <v>52.63</v>
      </c>
      <c r="E177" s="11" t="str">
        <f>HYPERLINK("https://www.ncbi.nlm.nih.gov/protein/NLZ24490.1?report=genbank&amp;log$=prottop&amp;blast_rank=301&amp;RID=8XNW7U47013","NLZ24490.1")</f>
        <v>NLZ24490.1</v>
      </c>
    </row>
    <row r="178" spans="1:5">
      <c r="A178" s="4" t="s">
        <v>698</v>
      </c>
      <c r="B178" s="9">
        <v>0.93</v>
      </c>
      <c r="C178" s="10">
        <v>1.9999999999999999E-104</v>
      </c>
      <c r="D178" s="5">
        <v>52.63</v>
      </c>
      <c r="E178" s="11" t="str">
        <f>HYPERLINK("https://www.ncbi.nlm.nih.gov/protein/WP_259337742.1?report=genbank&amp;log$=prottop&amp;blast_rank=400&amp;RID=8XNW7U47013","WP_259337742.1")</f>
        <v>WP_259337742.1</v>
      </c>
    </row>
    <row r="179" spans="1:5">
      <c r="A179" s="4" t="s">
        <v>698</v>
      </c>
      <c r="B179" s="9">
        <v>0.93</v>
      </c>
      <c r="C179" s="10">
        <v>3.0000000000000002E-104</v>
      </c>
      <c r="D179" s="5">
        <v>52.63</v>
      </c>
      <c r="E179" s="11" t="str">
        <f>HYPERLINK("https://www.ncbi.nlm.nih.gov/protein/RHL33676.1?report=genbank&amp;log$=prottop&amp;blast_rank=404&amp;RID=8XNW7U47013","RHL33676.1")</f>
        <v>RHL33676.1</v>
      </c>
    </row>
    <row r="180" spans="1:5">
      <c r="A180" s="4" t="s">
        <v>698</v>
      </c>
      <c r="B180" s="9">
        <v>0.93</v>
      </c>
      <c r="C180" s="10">
        <v>1.9999999999999999E-103</v>
      </c>
      <c r="D180" s="5">
        <v>52.63</v>
      </c>
      <c r="E180" s="11" t="str">
        <f>HYPERLINK("https://www.ncbi.nlm.nih.gov/protein/WP_301334890.1?report=genbank&amp;log$=prottop&amp;blast_rank=414&amp;RID=8XNW7U47013","WP_301334890.1")</f>
        <v>WP_301334890.1</v>
      </c>
    </row>
    <row r="181" spans="1:5">
      <c r="A181" s="4" t="s">
        <v>725</v>
      </c>
      <c r="B181" s="9">
        <v>0.94</v>
      </c>
      <c r="C181" s="10">
        <v>4.0000000000000002E-101</v>
      </c>
      <c r="D181" s="5">
        <v>52.63</v>
      </c>
      <c r="E181" s="11" t="str">
        <f>HYPERLINK("https://www.ncbi.nlm.nih.gov/protein/EKD42198.1?report=genbank&amp;log$=prottop&amp;blast_rank=456&amp;RID=8XNW7U47013","EKD42198.1")</f>
        <v>EKD42198.1</v>
      </c>
    </row>
    <row r="182" spans="1:5">
      <c r="A182" s="4" t="s">
        <v>623</v>
      </c>
      <c r="B182" s="9">
        <v>0.96</v>
      </c>
      <c r="C182" s="10">
        <v>1.0000000000000001E-114</v>
      </c>
      <c r="D182" s="5">
        <v>52.6</v>
      </c>
      <c r="E182" s="11" t="str">
        <f>HYPERLINK("https://www.ncbi.nlm.nih.gov/protein/WP_035401162.1?report=genbank&amp;log$=prottop&amp;blast_rank=253&amp;RID=8XNW7U47013","WP_035401162.1")</f>
        <v>WP_035401162.1</v>
      </c>
    </row>
    <row r="183" spans="1:5">
      <c r="A183" s="4" t="s">
        <v>606</v>
      </c>
      <c r="B183" s="9">
        <v>0.97</v>
      </c>
      <c r="C183" s="10">
        <v>3.0000000000000001E-113</v>
      </c>
      <c r="D183" s="5">
        <v>52.58</v>
      </c>
      <c r="E183" s="11" t="str">
        <f>HYPERLINK("https://www.ncbi.nlm.nih.gov/protein/MCI6847232.1?report=genbank&amp;log$=prottop&amp;blast_rank=278&amp;RID=8XNW7U47013","MCI6847232.1")</f>
        <v>MCI6847232.1</v>
      </c>
    </row>
    <row r="184" spans="1:5">
      <c r="A184" s="4" t="s">
        <v>655</v>
      </c>
      <c r="B184" s="9">
        <v>0.96</v>
      </c>
      <c r="C184" s="10">
        <v>3.0000000000000001E-111</v>
      </c>
      <c r="D184" s="5">
        <v>52.58</v>
      </c>
      <c r="E184" s="11" t="str">
        <f>HYPERLINK("https://www.ncbi.nlm.nih.gov/protein/WP_204625383.1?report=genbank&amp;log$=prottop&amp;blast_rank=312&amp;RID=8XNW7U47013","WP_204625383.1")</f>
        <v>WP_204625383.1</v>
      </c>
    </row>
    <row r="185" spans="1:5">
      <c r="A185" s="4" t="s">
        <v>655</v>
      </c>
      <c r="B185" s="9">
        <v>0.96</v>
      </c>
      <c r="C185" s="10">
        <v>1.0000000000000001E-110</v>
      </c>
      <c r="D185" s="5">
        <v>52.58</v>
      </c>
      <c r="E185" s="11" t="str">
        <f>HYPERLINK("https://www.ncbi.nlm.nih.gov/protein/WP_204629506.1?report=genbank&amp;log$=prottop&amp;blast_rank=322&amp;RID=8XNW7U47013","WP_204629506.1")</f>
        <v>WP_204629506.1</v>
      </c>
    </row>
    <row r="186" spans="1:5">
      <c r="A186" s="4" t="s">
        <v>505</v>
      </c>
      <c r="B186" s="9">
        <v>1</v>
      </c>
      <c r="C186" s="10">
        <v>3E-122</v>
      </c>
      <c r="D186" s="5">
        <v>52.5</v>
      </c>
      <c r="E186" s="11" t="str">
        <f>HYPERLINK("https://www.ncbi.nlm.nih.gov/protein/MBE6993413.1?report=genbank&amp;log$=prottop&amp;blast_rank=122&amp;RID=8XNW7U47013","MBE6993413.1")</f>
        <v>MBE6993413.1</v>
      </c>
    </row>
    <row r="187" spans="1:5">
      <c r="A187" s="4" t="s">
        <v>603</v>
      </c>
      <c r="B187" s="9">
        <v>1</v>
      </c>
      <c r="C187" s="10">
        <v>6.0000000000000004E-118</v>
      </c>
      <c r="D187" s="5">
        <v>52.5</v>
      </c>
      <c r="E187" s="11" t="str">
        <f>HYPERLINK("https://www.ncbi.nlm.nih.gov/protein/MCK9315696.1?report=genbank&amp;log$=prottop&amp;blast_rank=202&amp;RID=8XNW7U47013","MCK9315696.1")</f>
        <v>MCK9315696.1</v>
      </c>
    </row>
    <row r="188" spans="1:5">
      <c r="A188" s="4" t="s">
        <v>21</v>
      </c>
      <c r="B188" s="9">
        <v>0.92</v>
      </c>
      <c r="C188" s="10">
        <v>2.0000000000000002E-111</v>
      </c>
      <c r="D188" s="5">
        <v>52.43</v>
      </c>
      <c r="E188" s="11" t="str">
        <f>HYPERLINK("https://www.ncbi.nlm.nih.gov/protein/MBR6552928.1?report=genbank&amp;log$=prottop&amp;blast_rank=306&amp;RID=8XNW7U47013","MBR6552928.1")</f>
        <v>MBR6552928.1</v>
      </c>
    </row>
    <row r="189" spans="1:5">
      <c r="A189" s="4" t="s">
        <v>545</v>
      </c>
      <c r="B189" s="9">
        <v>0.93</v>
      </c>
      <c r="C189" s="10">
        <v>4E-125</v>
      </c>
      <c r="D189" s="5">
        <v>52.41</v>
      </c>
      <c r="E189" s="11" t="str">
        <f>HYPERLINK("https://www.ncbi.nlm.nih.gov/protein/MBP3039722.1?report=genbank&amp;log$=prottop&amp;blast_rank=84&amp;RID=8XNW7U47013","MBP3039722.1")</f>
        <v>MBP3039722.1</v>
      </c>
    </row>
    <row r="190" spans="1:5">
      <c r="A190" s="4" t="s">
        <v>179</v>
      </c>
      <c r="B190" s="9">
        <v>0.94</v>
      </c>
      <c r="C190" s="10">
        <v>3.0000000000000003E-101</v>
      </c>
      <c r="D190" s="5">
        <v>52.38</v>
      </c>
      <c r="E190" s="11" t="str">
        <f>HYPERLINK("https://www.ncbi.nlm.nih.gov/protein/WP_142710805.1?report=genbank&amp;log$=prottop&amp;blast_rank=451&amp;RID=8XNW7U47013","WP_142710805.1")</f>
        <v>WP_142710805.1</v>
      </c>
    </row>
    <row r="191" spans="1:5">
      <c r="A191" s="4" t="s">
        <v>179</v>
      </c>
      <c r="B191" s="9">
        <v>0.94</v>
      </c>
      <c r="C191" s="10">
        <v>1E-100</v>
      </c>
      <c r="D191" s="5">
        <v>52.38</v>
      </c>
      <c r="E191" s="11" t="str">
        <f>HYPERLINK("https://www.ncbi.nlm.nih.gov/protein/MDM0958488.1?report=genbank&amp;log$=prottop&amp;blast_rank=463&amp;RID=8XNW7U47013","MDM0958488.1")</f>
        <v>MDM0958488.1</v>
      </c>
    </row>
    <row r="192" spans="1:5">
      <c r="A192" s="4" t="s">
        <v>179</v>
      </c>
      <c r="B192" s="9">
        <v>0.94</v>
      </c>
      <c r="C192" s="10">
        <v>2E-100</v>
      </c>
      <c r="D192" s="5">
        <v>52.38</v>
      </c>
      <c r="E192" s="11" t="str">
        <f>HYPERLINK("https://www.ncbi.nlm.nih.gov/protein/MDU5651457.1?report=genbank&amp;log$=prottop&amp;blast_rank=465&amp;RID=8XNW7U47013","MDU5651457.1")</f>
        <v>MDU5651457.1</v>
      </c>
    </row>
    <row r="193" spans="1:5">
      <c r="A193" s="4" t="s">
        <v>179</v>
      </c>
      <c r="B193" s="9">
        <v>0.94</v>
      </c>
      <c r="C193" s="10">
        <v>6.0000000000000001E-100</v>
      </c>
      <c r="D193" s="5">
        <v>52.38</v>
      </c>
      <c r="E193" s="11" t="str">
        <f>HYPERLINK("https://www.ncbi.nlm.nih.gov/protein/WP_207737405.1?report=genbank&amp;log$=prottop&amp;blast_rank=472&amp;RID=8XNW7U47013","WP_207737405.1")</f>
        <v>WP_207737405.1</v>
      </c>
    </row>
    <row r="194" spans="1:5">
      <c r="A194" s="4" t="s">
        <v>179</v>
      </c>
      <c r="B194" s="9">
        <v>0.94</v>
      </c>
      <c r="C194" s="10">
        <v>7.0000000000000001E-100</v>
      </c>
      <c r="D194" s="5">
        <v>52.38</v>
      </c>
      <c r="E194" s="11" t="str">
        <f>HYPERLINK("https://www.ncbi.nlm.nih.gov/protein/MDK0629884.1?report=genbank&amp;log$=prottop&amp;blast_rank=475&amp;RID=8XNW7U47013","MDK0629884.1")</f>
        <v>MDK0629884.1</v>
      </c>
    </row>
    <row r="195" spans="1:5">
      <c r="A195" s="4" t="s">
        <v>179</v>
      </c>
      <c r="B195" s="9">
        <v>0.94</v>
      </c>
      <c r="C195" s="10">
        <v>9.0000000000000002E-100</v>
      </c>
      <c r="D195" s="5">
        <v>52.38</v>
      </c>
      <c r="E195" s="11" t="str">
        <f>HYPERLINK("https://www.ncbi.nlm.nih.gov/protein/WP_349405498.1?report=genbank&amp;log$=prottop&amp;blast_rank=476&amp;RID=8XNW7U47013","WP_349405498.1")</f>
        <v>WP_349405498.1</v>
      </c>
    </row>
    <row r="196" spans="1:5">
      <c r="A196" s="4" t="s">
        <v>179</v>
      </c>
      <c r="B196" s="9">
        <v>0.94</v>
      </c>
      <c r="C196" s="10">
        <v>4.9999999999999997E-99</v>
      </c>
      <c r="D196" s="5">
        <v>52.38</v>
      </c>
      <c r="E196" s="11" t="str">
        <f>HYPERLINK("https://www.ncbi.nlm.nih.gov/protein/MDK0534471.1?report=genbank&amp;log$=prottop&amp;blast_rank=491&amp;RID=8XNW7U47013","MDK0534471.1")</f>
        <v>MDK0534471.1</v>
      </c>
    </row>
    <row r="197" spans="1:5">
      <c r="A197" s="4" t="s">
        <v>25</v>
      </c>
      <c r="B197" s="9">
        <v>0.94</v>
      </c>
      <c r="C197" s="10">
        <v>2E-107</v>
      </c>
      <c r="D197" s="5">
        <v>52.36</v>
      </c>
      <c r="E197" s="11" t="str">
        <f>HYPERLINK("https://www.ncbi.nlm.nih.gov/protein/MBR0091013.1?report=genbank&amp;log$=prottop&amp;blast_rank=372&amp;RID=8XNW7U47013","MBR0091013.1")</f>
        <v>MBR0091013.1</v>
      </c>
    </row>
    <row r="198" spans="1:5">
      <c r="A198" s="4" t="s">
        <v>560</v>
      </c>
      <c r="B198" s="9">
        <v>0.98</v>
      </c>
      <c r="C198" s="10">
        <v>2.0000000000000001E-123</v>
      </c>
      <c r="D198" s="5">
        <v>52.28</v>
      </c>
      <c r="E198" s="11" t="str">
        <f>HYPERLINK("https://www.ncbi.nlm.nih.gov/protein/WP_204446129.1?report=genbank&amp;log$=prottop&amp;blast_rank=108&amp;RID=8XNW7U47013","WP_204446129.1")</f>
        <v>WP_204446129.1</v>
      </c>
    </row>
    <row r="199" spans="1:5">
      <c r="A199" s="4" t="s">
        <v>716</v>
      </c>
      <c r="B199" s="9">
        <v>0.98</v>
      </c>
      <c r="C199" s="10">
        <v>9.9999999999999993E-103</v>
      </c>
      <c r="D199" s="5">
        <v>52.28</v>
      </c>
      <c r="E199" s="11" t="str">
        <f>HYPERLINK("https://www.ncbi.nlm.nih.gov/protein/WP_308515224.1?report=genbank&amp;log$=prottop&amp;blast_rank=434&amp;RID=8XNW7U47013","WP_308515224.1")</f>
        <v>WP_308515224.1</v>
      </c>
    </row>
    <row r="200" spans="1:5">
      <c r="A200" s="4" t="s">
        <v>112</v>
      </c>
      <c r="B200" s="9">
        <v>0.9</v>
      </c>
      <c r="C200" s="10">
        <v>2.0000000000000001E-101</v>
      </c>
      <c r="D200" s="5">
        <v>52.2</v>
      </c>
      <c r="E200" s="11" t="str">
        <f>HYPERLINK("https://www.ncbi.nlm.nih.gov/protein/MEE4196566.1?report=genbank&amp;log$=prottop&amp;blast_rank=450&amp;RID=8XNW7U47013","MEE4196566.1")</f>
        <v>MEE4196566.1</v>
      </c>
    </row>
    <row r="201" spans="1:5">
      <c r="A201" s="4" t="s">
        <v>621</v>
      </c>
      <c r="B201" s="9">
        <v>0.94</v>
      </c>
      <c r="C201" s="10">
        <v>6.0000000000000003E-115</v>
      </c>
      <c r="D201" s="5">
        <v>52.13</v>
      </c>
      <c r="E201" s="11" t="str">
        <f>HYPERLINK("https://www.ncbi.nlm.nih.gov/protein/AVM67098.1?report=genbank&amp;log$=prottop&amp;blast_rank=250&amp;RID=8XNW7U47013","AVM67098.1")</f>
        <v>AVM67098.1</v>
      </c>
    </row>
    <row r="202" spans="1:5">
      <c r="A202" s="4" t="s">
        <v>642</v>
      </c>
      <c r="B202" s="9">
        <v>0.94</v>
      </c>
      <c r="C202" s="10">
        <v>7.9999999999999998E-113</v>
      </c>
      <c r="D202" s="5">
        <v>52.13</v>
      </c>
      <c r="E202" s="11" t="str">
        <f>HYPERLINK("https://www.ncbi.nlm.nih.gov/protein/WP_263275802.1?report=genbank&amp;log$=prottop&amp;blast_rank=286&amp;RID=8XNW7U47013","WP_263275802.1")</f>
        <v>WP_263275802.1</v>
      </c>
    </row>
    <row r="203" spans="1:5">
      <c r="A203" s="4" t="s">
        <v>654</v>
      </c>
      <c r="B203" s="9">
        <v>0.94</v>
      </c>
      <c r="C203" s="10">
        <v>2.0000000000000002E-111</v>
      </c>
      <c r="D203" s="5">
        <v>52.11</v>
      </c>
      <c r="E203" s="11" t="str">
        <f>HYPERLINK("https://www.ncbi.nlm.nih.gov/protein/WP_077541244.1?report=genbank&amp;log$=prottop&amp;blast_rank=308&amp;RID=8XNW7U47013","WP_077541244.1")</f>
        <v>WP_077541244.1</v>
      </c>
    </row>
    <row r="204" spans="1:5">
      <c r="A204" s="4" t="s">
        <v>707</v>
      </c>
      <c r="B204" s="9">
        <v>0.93</v>
      </c>
      <c r="C204" s="10">
        <v>3E-103</v>
      </c>
      <c r="D204" s="5">
        <v>52.11</v>
      </c>
      <c r="E204" s="11" t="str">
        <f>HYPERLINK("https://www.ncbi.nlm.nih.gov/protein/WP_276505492.1?report=genbank&amp;log$=prottop&amp;blast_rank=420&amp;RID=8XNW7U47013","WP_276505492.1")</f>
        <v>WP_276505492.1</v>
      </c>
    </row>
    <row r="205" spans="1:5">
      <c r="A205" s="4" t="s">
        <v>708</v>
      </c>
      <c r="B205" s="9">
        <v>0.93</v>
      </c>
      <c r="C205" s="10">
        <v>3.9999999999999998E-103</v>
      </c>
      <c r="D205" s="5">
        <v>52.11</v>
      </c>
      <c r="E205" s="11" t="str">
        <f>HYPERLINK("https://www.ncbi.nlm.nih.gov/protein/CDA54288.1?report=genbank&amp;log$=prottop&amp;blast_rank=421&amp;RID=8XNW7U47013","CDA54288.1")</f>
        <v>CDA54288.1</v>
      </c>
    </row>
    <row r="206" spans="1:5">
      <c r="A206" s="4" t="s">
        <v>711</v>
      </c>
      <c r="B206" s="9">
        <v>0.93</v>
      </c>
      <c r="C206" s="10">
        <v>6E-103</v>
      </c>
      <c r="D206" s="5">
        <v>52.11</v>
      </c>
      <c r="E206" s="11" t="str">
        <f>HYPERLINK("https://www.ncbi.nlm.nih.gov/protein/WP_235391878.1?report=genbank&amp;log$=prottop&amp;blast_rank=424&amp;RID=8XNW7U47013","WP_235391878.1")</f>
        <v>WP_235391878.1</v>
      </c>
    </row>
    <row r="207" spans="1:5">
      <c r="A207" s="4" t="s">
        <v>711</v>
      </c>
      <c r="B207" s="9">
        <v>0.93</v>
      </c>
      <c r="C207" s="10">
        <v>9.9999999999999993E-103</v>
      </c>
      <c r="D207" s="5">
        <v>52.11</v>
      </c>
      <c r="E207" s="11" t="str">
        <f>HYPERLINK("https://www.ncbi.nlm.nih.gov/protein/MCF2592055.1?report=genbank&amp;log$=prottop&amp;blast_rank=430&amp;RID=8XNW7U47013","MCF2592055.1")</f>
        <v>MCF2592055.1</v>
      </c>
    </row>
    <row r="208" spans="1:5">
      <c r="A208" s="4" t="s">
        <v>698</v>
      </c>
      <c r="B208" s="9">
        <v>0.93</v>
      </c>
      <c r="C208" s="10">
        <v>9.9999999999999993E-103</v>
      </c>
      <c r="D208" s="5">
        <v>52.11</v>
      </c>
      <c r="E208" s="11" t="str">
        <f>HYPERLINK("https://www.ncbi.nlm.nih.gov/protein/WP_259322670.1?report=genbank&amp;log$=prottop&amp;blast_rank=433&amp;RID=8XNW7U47013","WP_259322670.1")</f>
        <v>WP_259322670.1</v>
      </c>
    </row>
    <row r="209" spans="1:5">
      <c r="A209" s="4" t="s">
        <v>698</v>
      </c>
      <c r="B209" s="9">
        <v>0.93</v>
      </c>
      <c r="C209" s="10">
        <v>3E-102</v>
      </c>
      <c r="D209" s="5">
        <v>52.11</v>
      </c>
      <c r="E209" s="11" t="str">
        <f>HYPERLINK("https://www.ncbi.nlm.nih.gov/protein/RHA87824.1?report=genbank&amp;log$=prottop&amp;blast_rank=439&amp;RID=8XNW7U47013","RHA87824.1")</f>
        <v>RHA87824.1</v>
      </c>
    </row>
    <row r="210" spans="1:5">
      <c r="A210" s="4" t="s">
        <v>655</v>
      </c>
      <c r="B210" s="9">
        <v>0.96</v>
      </c>
      <c r="C210" s="10">
        <v>1.0000000000000001E-110</v>
      </c>
      <c r="D210" s="5">
        <v>52.06</v>
      </c>
      <c r="E210" s="11" t="str">
        <f>HYPERLINK("https://www.ncbi.nlm.nih.gov/protein/WP_204724344.1?report=genbank&amp;log$=prottop&amp;blast_rank=321&amp;RID=8XNW7U47013","WP_204724344.1")</f>
        <v>WP_204724344.1</v>
      </c>
    </row>
    <row r="211" spans="1:5">
      <c r="A211" s="4" t="s">
        <v>648</v>
      </c>
      <c r="B211" s="9">
        <v>0.96</v>
      </c>
      <c r="C211" s="10">
        <v>4.9999999999999997E-107</v>
      </c>
      <c r="D211" s="5">
        <v>52.06</v>
      </c>
      <c r="E211" s="11" t="str">
        <f>HYPERLINK("https://www.ncbi.nlm.nih.gov/protein/WP_075916458.1?report=genbank&amp;log$=prottop&amp;blast_rank=381&amp;RID=8XNW7U47013","WP_075916458.1")</f>
        <v>WP_075916458.1</v>
      </c>
    </row>
    <row r="212" spans="1:5">
      <c r="A212" s="4" t="s">
        <v>603</v>
      </c>
      <c r="B212" s="9">
        <v>1</v>
      </c>
      <c r="C212" s="10">
        <v>2.9999999999999999E-117</v>
      </c>
      <c r="D212" s="5">
        <v>52</v>
      </c>
      <c r="E212" s="11" t="str">
        <f>HYPERLINK("https://www.ncbi.nlm.nih.gov/protein/MDI9400645.1?report=genbank&amp;log$=prottop&amp;blast_rank=215&amp;RID=8XNW7U47013","MDI9400645.1")</f>
        <v>MDI9400645.1</v>
      </c>
    </row>
    <row r="213" spans="1:5">
      <c r="A213" s="4" t="s">
        <v>25</v>
      </c>
      <c r="B213" s="9">
        <v>0.94</v>
      </c>
      <c r="C213" s="10">
        <v>2.0000000000000001E-128</v>
      </c>
      <c r="D213" s="5">
        <v>51.85</v>
      </c>
      <c r="E213" s="11" t="str">
        <f>HYPERLINK("https://www.ncbi.nlm.nih.gov/protein/MBD5534852.1?report=genbank&amp;log$=prottop&amp;blast_rank=24&amp;RID=8XNW7U47013","MBD5534852.1")</f>
        <v>MBD5534852.1</v>
      </c>
    </row>
    <row r="214" spans="1:5">
      <c r="A214" s="4" t="s">
        <v>556</v>
      </c>
      <c r="B214" s="9">
        <v>0.94</v>
      </c>
      <c r="C214" s="10">
        <v>6.9999999999999997E-124</v>
      </c>
      <c r="D214" s="5">
        <v>51.85</v>
      </c>
      <c r="E214" s="11" t="str">
        <f>HYPERLINK("https://www.ncbi.nlm.nih.gov/protein/WP_329773348.1?report=genbank&amp;log$=prottop&amp;blast_rank=102&amp;RID=8XNW7U47013","WP_329773348.1")</f>
        <v>WP_329773348.1</v>
      </c>
    </row>
    <row r="215" spans="1:5">
      <c r="A215" s="4" t="s">
        <v>616</v>
      </c>
      <c r="B215" s="9">
        <v>0.94</v>
      </c>
      <c r="C215" s="10">
        <v>1.0000000000000001E-115</v>
      </c>
      <c r="D215" s="5">
        <v>51.85</v>
      </c>
      <c r="E215" s="11" t="str">
        <f>HYPERLINK("https://www.ncbi.nlm.nih.gov/protein/MBE5825243.1?report=genbank&amp;log$=prottop&amp;blast_rank=239&amp;RID=8XNW7U47013","MBE5825243.1")</f>
        <v>MBE5825243.1</v>
      </c>
    </row>
    <row r="216" spans="1:5">
      <c r="A216" s="4" t="s">
        <v>498</v>
      </c>
      <c r="B216" s="9">
        <v>0.94</v>
      </c>
      <c r="C216" s="10">
        <v>3.0000000000000002E-114</v>
      </c>
      <c r="D216" s="5">
        <v>51.85</v>
      </c>
      <c r="E216" s="11" t="str">
        <f>HYPERLINK("https://www.ncbi.nlm.nih.gov/protein/WP_343156053.1?report=genbank&amp;log$=prottop&amp;blast_rank=261&amp;RID=8XNW7U47013","WP_343156053.1")</f>
        <v>WP_343156053.1</v>
      </c>
    </row>
    <row r="217" spans="1:5">
      <c r="A217" s="4" t="s">
        <v>635</v>
      </c>
      <c r="B217" s="9">
        <v>0.94</v>
      </c>
      <c r="C217" s="10">
        <v>9.9999999999999998E-114</v>
      </c>
      <c r="D217" s="5">
        <v>51.85</v>
      </c>
      <c r="E217" s="11" t="str">
        <f>HYPERLINK("https://www.ncbi.nlm.nih.gov/protein/WP_242940543.1?report=genbank&amp;log$=prottop&amp;blast_rank=274&amp;RID=8XNW7U47013","WP_242940543.1")</f>
        <v>WP_242940543.1</v>
      </c>
    </row>
    <row r="218" spans="1:5">
      <c r="A218" s="4" t="s">
        <v>697</v>
      </c>
      <c r="B218" s="9">
        <v>0.94</v>
      </c>
      <c r="C218" s="10">
        <v>9.9999999999999993E-105</v>
      </c>
      <c r="D218" s="5">
        <v>51.85</v>
      </c>
      <c r="E218" s="11" t="str">
        <f>HYPERLINK("https://www.ncbi.nlm.nih.gov/protein/WP_230005076.1?report=genbank&amp;log$=prottop&amp;blast_rank=399&amp;RID=8XNW7U47013","WP_230005076.1")</f>
        <v>WP_230005076.1</v>
      </c>
    </row>
    <row r="219" spans="1:5">
      <c r="A219" s="4" t="s">
        <v>179</v>
      </c>
      <c r="B219" s="9">
        <v>0.94</v>
      </c>
      <c r="C219" s="10">
        <v>3.0000000000000001E-100</v>
      </c>
      <c r="D219" s="5">
        <v>51.85</v>
      </c>
      <c r="E219" s="11" t="str">
        <f>HYPERLINK("https://www.ncbi.nlm.nih.gov/protein/NGT64109.1?report=genbank&amp;log$=prottop&amp;blast_rank=467&amp;RID=8XNW7U47013","NGT64109.1")</f>
        <v>NGT64109.1</v>
      </c>
    </row>
    <row r="220" spans="1:5">
      <c r="A220" s="4" t="s">
        <v>179</v>
      </c>
      <c r="B220" s="9">
        <v>0.94</v>
      </c>
      <c r="C220" s="10">
        <v>4.0000000000000001E-99</v>
      </c>
      <c r="D220" s="5">
        <v>51.85</v>
      </c>
      <c r="E220" s="11" t="str">
        <f>HYPERLINK("https://www.ncbi.nlm.nih.gov/protein/WP_111693605.1?report=genbank&amp;log$=prottop&amp;blast_rank=489&amp;RID=8XNW7U47013","WP_111693605.1")</f>
        <v>WP_111693605.1</v>
      </c>
    </row>
    <row r="221" spans="1:5">
      <c r="A221" s="4" t="s">
        <v>179</v>
      </c>
      <c r="B221" s="9">
        <v>0.94</v>
      </c>
      <c r="C221" s="10">
        <v>4.0000000000000001E-99</v>
      </c>
      <c r="D221" s="5">
        <v>51.85</v>
      </c>
      <c r="E221" s="11" t="str">
        <f>HYPERLINK("https://www.ncbi.nlm.nih.gov/protein/MDK0933268.1?report=genbank&amp;log$=prottop&amp;blast_rank=490&amp;RID=8XNW7U47013","MDK0933268.1")</f>
        <v>MDK0933268.1</v>
      </c>
    </row>
    <row r="222" spans="1:5">
      <c r="A222" s="4" t="s">
        <v>684</v>
      </c>
      <c r="B222" s="9">
        <v>0.95</v>
      </c>
      <c r="C222" s="10">
        <v>1E-107</v>
      </c>
      <c r="D222" s="5">
        <v>51.83</v>
      </c>
      <c r="E222" s="11" t="str">
        <f>HYPERLINK("https://www.ncbi.nlm.nih.gov/protein/WP_296855045.1?report=genbank&amp;log$=prottop&amp;blast_rank=369&amp;RID=8XNW7U47013","WP_296855045.1")</f>
        <v>WP_296855045.1</v>
      </c>
    </row>
    <row r="223" spans="1:5">
      <c r="A223" s="4" t="s">
        <v>630</v>
      </c>
      <c r="B223" s="9">
        <v>0.96</v>
      </c>
      <c r="C223" s="10">
        <v>4.0000000000000002E-114</v>
      </c>
      <c r="D223" s="5">
        <v>51.81</v>
      </c>
      <c r="E223" s="11" t="str">
        <f>HYPERLINK("https://www.ncbi.nlm.nih.gov/protein/HIT37769.1?report=genbank&amp;log$=prottop&amp;blast_rank=264&amp;RID=8XNW7U47013","HIT37769.1")</f>
        <v>HIT37769.1</v>
      </c>
    </row>
    <row r="224" spans="1:5">
      <c r="A224" s="4" t="s">
        <v>689</v>
      </c>
      <c r="B224" s="9">
        <v>0.96</v>
      </c>
      <c r="C224" s="10">
        <v>5.9999999999999994E-107</v>
      </c>
      <c r="D224" s="5">
        <v>51.81</v>
      </c>
      <c r="E224" s="11" t="str">
        <f>HYPERLINK("https://www.ncbi.nlm.nih.gov/protein/MBE6512913.1?report=genbank&amp;log$=prottop&amp;blast_rank=382&amp;RID=8XNW7U47013","MBE6512913.1")</f>
        <v>MBE6512913.1</v>
      </c>
    </row>
    <row r="225" spans="1:5">
      <c r="A225" s="4" t="s">
        <v>575</v>
      </c>
      <c r="B225" s="9">
        <v>0.97</v>
      </c>
      <c r="C225" s="10">
        <v>3.9999999999999999E-118</v>
      </c>
      <c r="D225" s="5">
        <v>51.79</v>
      </c>
      <c r="E225" s="11" t="str">
        <f>HYPERLINK("https://www.ncbi.nlm.nih.gov/protein/OIJ16540.1?report=genbank&amp;log$=prottop&amp;blast_rank=197&amp;RID=8XNW7U47013","OIJ16540.1")</f>
        <v>OIJ16540.1</v>
      </c>
    </row>
    <row r="226" spans="1:5">
      <c r="A226" s="4" t="s">
        <v>726</v>
      </c>
      <c r="B226" s="9">
        <v>0.97</v>
      </c>
      <c r="C226" s="10">
        <v>5.0000000000000001E-101</v>
      </c>
      <c r="D226" s="5">
        <v>51.79</v>
      </c>
      <c r="E226" s="11" t="str">
        <f>HYPERLINK("https://www.ncbi.nlm.nih.gov/protein/WP_298024855.1?report=genbank&amp;log$=prottop&amp;blast_rank=459&amp;RID=8XNW7U47013","WP_298024855.1")</f>
        <v>WP_298024855.1</v>
      </c>
    </row>
    <row r="227" spans="1:5">
      <c r="A227" s="4" t="s">
        <v>726</v>
      </c>
      <c r="B227" s="9">
        <v>0.97</v>
      </c>
      <c r="C227" s="10">
        <v>3.0000000000000001E-100</v>
      </c>
      <c r="D227" s="5">
        <v>51.79</v>
      </c>
      <c r="E227" s="11" t="str">
        <f>HYPERLINK("https://www.ncbi.nlm.nih.gov/protein/WP_298704639.1?report=genbank&amp;log$=prottop&amp;blast_rank=468&amp;RID=8XNW7U47013","WP_298704639.1")</f>
        <v>WP_298704639.1</v>
      </c>
    </row>
    <row r="228" spans="1:5">
      <c r="A228" s="4" t="s">
        <v>582</v>
      </c>
      <c r="B228" s="9">
        <v>0.98</v>
      </c>
      <c r="C228" s="10">
        <v>3.9999999999999999E-121</v>
      </c>
      <c r="D228" s="5">
        <v>51.78</v>
      </c>
      <c r="E228" s="11" t="str">
        <f>HYPERLINK("https://www.ncbi.nlm.nih.gov/protein/WP_251246368.1?report=genbank&amp;log$=prottop&amp;blast_rank=143&amp;RID=8XNW7U47013","WP_251246368.1")</f>
        <v>WP_251246368.1</v>
      </c>
    </row>
    <row r="229" spans="1:5">
      <c r="A229" s="4" t="s">
        <v>618</v>
      </c>
      <c r="B229" s="9">
        <v>0.99</v>
      </c>
      <c r="C229" s="10">
        <v>1.0000000000000001E-115</v>
      </c>
      <c r="D229" s="5">
        <v>51.76</v>
      </c>
      <c r="E229" s="11" t="str">
        <f>HYPERLINK("https://www.ncbi.nlm.nih.gov/protein/WP_242942324.1?report=genbank&amp;log$=prottop&amp;blast_rank=242&amp;RID=8XNW7U47013","WP_242942324.1")</f>
        <v>WP_242942324.1</v>
      </c>
    </row>
    <row r="230" spans="1:5">
      <c r="A230" s="4" t="s">
        <v>628</v>
      </c>
      <c r="B230" s="9">
        <v>0.94</v>
      </c>
      <c r="C230" s="10">
        <v>3.0000000000000002E-114</v>
      </c>
      <c r="D230" s="5">
        <v>51.6</v>
      </c>
      <c r="E230" s="11" t="str">
        <f>HYPERLINK("https://www.ncbi.nlm.nih.gov/protein/WP_348938471.1?report=genbank&amp;log$=prottop&amp;blast_rank=262&amp;RID=8XNW7U47013","WP_348938471.1")</f>
        <v>WP_348938471.1</v>
      </c>
    </row>
    <row r="231" spans="1:5">
      <c r="A231" s="4" t="s">
        <v>544</v>
      </c>
      <c r="B231" s="9">
        <v>0.94</v>
      </c>
      <c r="C231" s="10">
        <v>8.9999999999999999E-111</v>
      </c>
      <c r="D231" s="5">
        <v>51.6</v>
      </c>
      <c r="E231" s="11" t="str">
        <f>HYPERLINK("https://www.ncbi.nlm.nih.gov/protein/WP_334116321.1?report=genbank&amp;log$=prottop&amp;blast_rank=318&amp;RID=8XNW7U47013","WP_334116321.1")</f>
        <v>WP_334116321.1</v>
      </c>
    </row>
    <row r="232" spans="1:5">
      <c r="A232" s="4" t="s">
        <v>655</v>
      </c>
      <c r="B232" s="9">
        <v>0.94</v>
      </c>
      <c r="C232" s="10">
        <v>2E-107</v>
      </c>
      <c r="D232" s="5">
        <v>51.58</v>
      </c>
      <c r="E232" s="11" t="str">
        <f>HYPERLINK("https://www.ncbi.nlm.nih.gov/protein/WP_114908319.1?report=genbank&amp;log$=prottop&amp;blast_rank=370&amp;RID=8XNW7U47013","WP_114908319.1")</f>
        <v>WP_114908319.1</v>
      </c>
    </row>
    <row r="233" spans="1:5">
      <c r="A233" s="4" t="s">
        <v>122</v>
      </c>
      <c r="B233" s="9">
        <v>0.94</v>
      </c>
      <c r="C233" s="10">
        <v>3E-103</v>
      </c>
      <c r="D233" s="5">
        <v>51.58</v>
      </c>
      <c r="E233" s="11" t="str">
        <f>HYPERLINK("https://www.ncbi.nlm.nih.gov/protein/MBN8702472.1?report=genbank&amp;log$=prottop&amp;blast_rank=417&amp;RID=8XNW7U47013","MBN8702472.1")</f>
        <v>MBN8702472.1</v>
      </c>
    </row>
    <row r="234" spans="1:5">
      <c r="A234" s="4" t="s">
        <v>710</v>
      </c>
      <c r="B234" s="9">
        <v>0.93</v>
      </c>
      <c r="C234" s="10">
        <v>4.9999999999999997E-103</v>
      </c>
      <c r="D234" s="5">
        <v>51.58</v>
      </c>
      <c r="E234" s="11" t="str">
        <f>HYPERLINK("https://www.ncbi.nlm.nih.gov/protein/WP_296973000.1?report=genbank&amp;log$=prottop&amp;blast_rank=423&amp;RID=8XNW7U47013","WP_296973000.1")</f>
        <v>WP_296973000.1</v>
      </c>
    </row>
    <row r="235" spans="1:5">
      <c r="A235" s="4" t="s">
        <v>498</v>
      </c>
      <c r="B235" s="9">
        <v>0.99</v>
      </c>
      <c r="C235" s="10">
        <v>7.9999999999999994E-129</v>
      </c>
      <c r="D235" s="5">
        <v>51.52</v>
      </c>
      <c r="E235" s="11" t="str">
        <f>HYPERLINK("https://www.ncbi.nlm.nih.gov/protein/WP_346206998.1?report=genbank&amp;log$=prottop&amp;blast_rank=18&amp;RID=8XNW7U47013","WP_346206998.1")</f>
        <v>WP_346206998.1</v>
      </c>
    </row>
    <row r="236" spans="1:5">
      <c r="A236" s="4" t="s">
        <v>559</v>
      </c>
      <c r="B236" s="9">
        <v>0.99</v>
      </c>
      <c r="C236" s="10">
        <v>2.0000000000000001E-123</v>
      </c>
      <c r="D236" s="5">
        <v>51.52</v>
      </c>
      <c r="E236" s="11" t="str">
        <f>HYPERLINK("https://www.ncbi.nlm.nih.gov/protein/CAC9706177.1?report=genbank&amp;log$=prottop&amp;blast_rank=107&amp;RID=8XNW7U47013","CAC9706177.1")</f>
        <v>CAC9706177.1</v>
      </c>
    </row>
    <row r="237" spans="1:5">
      <c r="A237" s="4" t="s">
        <v>570</v>
      </c>
      <c r="B237" s="9">
        <v>0.99</v>
      </c>
      <c r="C237" s="10">
        <v>4.9999999999999999E-122</v>
      </c>
      <c r="D237" s="5">
        <v>51.52</v>
      </c>
      <c r="E237" s="11" t="str">
        <f>HYPERLINK("https://www.ncbi.nlm.nih.gov/protein/MBN2826558.1?report=genbank&amp;log$=prottop&amp;blast_rank=124&amp;RID=8XNW7U47013","MBN2826558.1")</f>
        <v>MBN2826558.1</v>
      </c>
    </row>
    <row r="238" spans="1:5">
      <c r="A238" s="4" t="s">
        <v>575</v>
      </c>
      <c r="B238" s="9">
        <v>0.99</v>
      </c>
      <c r="C238" s="10">
        <v>8.0000000000000005E-122</v>
      </c>
      <c r="D238" s="5">
        <v>51.52</v>
      </c>
      <c r="E238" s="11" t="str">
        <f>HYPERLINK("https://www.ncbi.nlm.nih.gov/protein/WP_084788111.1?report=genbank&amp;log$=prottop&amp;blast_rank=131&amp;RID=8XNW7U47013","WP_084788111.1")</f>
        <v>WP_084788111.1</v>
      </c>
    </row>
    <row r="239" spans="1:5">
      <c r="A239" s="4" t="s">
        <v>599</v>
      </c>
      <c r="B239" s="9">
        <v>0.98</v>
      </c>
      <c r="C239" s="10">
        <v>3.9999999999999999E-118</v>
      </c>
      <c r="D239" s="5">
        <v>51.52</v>
      </c>
      <c r="E239" s="11" t="str">
        <f>HYPERLINK("https://www.ncbi.nlm.nih.gov/protein/WP_026666624.1?report=genbank&amp;log$=prottop&amp;blast_rank=194&amp;RID=8XNW7U47013","WP_026666624.1")</f>
        <v>WP_026666624.1</v>
      </c>
    </row>
    <row r="240" spans="1:5">
      <c r="A240" s="4" t="s">
        <v>633</v>
      </c>
      <c r="B240" s="9">
        <v>0.93</v>
      </c>
      <c r="C240" s="10">
        <v>9.9999999999999998E-114</v>
      </c>
      <c r="D240" s="5">
        <v>51.34</v>
      </c>
      <c r="E240" s="11" t="str">
        <f>HYPERLINK("https://www.ncbi.nlm.nih.gov/protein/MDU5230034.1?report=genbank&amp;log$=prottop&amp;blast_rank=271&amp;RID=8XNW7U47013","MDU5230034.1")</f>
        <v>MDU5230034.1</v>
      </c>
    </row>
    <row r="241" spans="1:5">
      <c r="A241" s="4" t="s">
        <v>112</v>
      </c>
      <c r="B241" s="9">
        <v>0.94</v>
      </c>
      <c r="C241" s="10">
        <v>2.0000000000000001E-117</v>
      </c>
      <c r="D241" s="5">
        <v>51.32</v>
      </c>
      <c r="E241" s="11" t="str">
        <f>HYPERLINK("https://www.ncbi.nlm.nih.gov/protein/HQP79042.1?report=genbank&amp;log$=prottop&amp;blast_rank=212&amp;RID=8XNW7U47013","HQP79042.1")</f>
        <v>HQP79042.1</v>
      </c>
    </row>
    <row r="242" spans="1:5">
      <c r="A242" s="4" t="s">
        <v>624</v>
      </c>
      <c r="B242" s="9">
        <v>0.94</v>
      </c>
      <c r="C242" s="10">
        <v>1.0000000000000001E-114</v>
      </c>
      <c r="D242" s="5">
        <v>51.32</v>
      </c>
      <c r="E242" s="11" t="str">
        <f>HYPERLINK("https://www.ncbi.nlm.nih.gov/protein/WP_242838489.1?report=genbank&amp;log$=prottop&amp;blast_rank=254&amp;RID=8XNW7U47013","WP_242838489.1")</f>
        <v>WP_242838489.1</v>
      </c>
    </row>
    <row r="243" spans="1:5">
      <c r="A243" s="4" t="s">
        <v>625</v>
      </c>
      <c r="B243" s="9">
        <v>0.94</v>
      </c>
      <c r="C243" s="10">
        <v>1.0000000000000001E-114</v>
      </c>
      <c r="D243" s="5">
        <v>51.32</v>
      </c>
      <c r="E243" s="11" t="str">
        <f>HYPERLINK("https://www.ncbi.nlm.nih.gov/protein/WP_242978103.1?report=genbank&amp;log$=prottop&amp;blast_rank=255&amp;RID=8XNW7U47013","WP_242978103.1")</f>
        <v>WP_242978103.1</v>
      </c>
    </row>
    <row r="244" spans="1:5">
      <c r="A244" s="4" t="s">
        <v>626</v>
      </c>
      <c r="B244" s="9">
        <v>0.94</v>
      </c>
      <c r="C244" s="10">
        <v>2.0000000000000001E-114</v>
      </c>
      <c r="D244" s="5">
        <v>51.32</v>
      </c>
      <c r="E244" s="11" t="str">
        <f>HYPERLINK("https://www.ncbi.nlm.nih.gov/protein/WP_235804488.1?report=genbank&amp;log$=prottop&amp;blast_rank=257&amp;RID=8XNW7U47013","WP_235804488.1")</f>
        <v>WP_235804488.1</v>
      </c>
    </row>
    <row r="245" spans="1:5">
      <c r="A245" s="4" t="s">
        <v>117</v>
      </c>
      <c r="B245" s="9">
        <v>0.94</v>
      </c>
      <c r="C245" s="10">
        <v>7.9999999999999995E-106</v>
      </c>
      <c r="D245" s="5">
        <v>51.32</v>
      </c>
      <c r="E245" s="11" t="str">
        <f>HYPERLINK("https://www.ncbi.nlm.nih.gov/protein/WP_298903598.1?report=genbank&amp;log$=prottop&amp;blast_rank=392&amp;RID=8XNW7U47013","WP_298903598.1")</f>
        <v>WP_298903598.1</v>
      </c>
    </row>
    <row r="246" spans="1:5">
      <c r="A246" s="4" t="s">
        <v>704</v>
      </c>
      <c r="B246" s="9">
        <v>0.94</v>
      </c>
      <c r="C246" s="10">
        <v>3E-103</v>
      </c>
      <c r="D246" s="5">
        <v>51.32</v>
      </c>
      <c r="E246" s="11" t="str">
        <f>HYPERLINK("https://www.ncbi.nlm.nih.gov/protein/WP_035634006.1?report=genbank&amp;log$=prottop&amp;blast_rank=415&amp;RID=8XNW7U47013","WP_035634006.1")</f>
        <v>WP_035634006.1</v>
      </c>
    </row>
    <row r="247" spans="1:5">
      <c r="A247" s="4" t="s">
        <v>452</v>
      </c>
      <c r="B247" s="9">
        <v>0.94</v>
      </c>
      <c r="C247" s="10">
        <v>3E-102</v>
      </c>
      <c r="D247" s="5">
        <v>51.32</v>
      </c>
      <c r="E247" s="11" t="str">
        <f>HYPERLINK("https://www.ncbi.nlm.nih.gov/protein/HUD44388.1?report=genbank&amp;log$=prottop&amp;blast_rank=440&amp;RID=8XNW7U47013","HUD44388.1")</f>
        <v>HUD44388.1</v>
      </c>
    </row>
    <row r="248" spans="1:5">
      <c r="A248" s="4" t="s">
        <v>179</v>
      </c>
      <c r="B248" s="9">
        <v>0.94</v>
      </c>
      <c r="C248" s="10">
        <v>8.0000000000000002E-99</v>
      </c>
      <c r="D248" s="5">
        <v>51.32</v>
      </c>
      <c r="E248" s="11" t="str">
        <f>HYPERLINK("https://www.ncbi.nlm.nih.gov/protein/WP_279859182.1?report=genbank&amp;log$=prottop&amp;blast_rank=495&amp;RID=8XNW7U47013","WP_279859182.1")</f>
        <v>WP_279859182.1</v>
      </c>
    </row>
    <row r="249" spans="1:5">
      <c r="A249" s="4" t="s">
        <v>676</v>
      </c>
      <c r="B249" s="9">
        <v>0.95</v>
      </c>
      <c r="C249" s="10">
        <v>3.0000000000000002E-109</v>
      </c>
      <c r="D249" s="5">
        <v>51.31</v>
      </c>
      <c r="E249" s="11" t="str">
        <f>HYPERLINK("https://www.ncbi.nlm.nih.gov/protein/WP_315023451.1?report=genbank&amp;log$=prottop&amp;blast_rank=352&amp;RID=8XNW7U47013","WP_315023451.1")</f>
        <v>WP_315023451.1</v>
      </c>
    </row>
    <row r="250" spans="1:5">
      <c r="A250" s="4" t="s">
        <v>513</v>
      </c>
      <c r="B250" s="9">
        <v>0.97</v>
      </c>
      <c r="C250" s="10">
        <v>7E-128</v>
      </c>
      <c r="D250" s="5">
        <v>51.28</v>
      </c>
      <c r="E250" s="11" t="str">
        <f>HYPERLINK("https://www.ncbi.nlm.nih.gov/protein/OCN04259.1?report=genbank&amp;log$=prottop&amp;blast_rank=37&amp;RID=8XNW7U47013","OCN04259.1")</f>
        <v>OCN04259.1</v>
      </c>
    </row>
    <row r="251" spans="1:5">
      <c r="A251" s="4" t="s">
        <v>648</v>
      </c>
      <c r="B251" s="9">
        <v>0.97</v>
      </c>
      <c r="C251" s="10">
        <v>1.0000000000000001E-111</v>
      </c>
      <c r="D251" s="5">
        <v>51.28</v>
      </c>
      <c r="E251" s="11" t="str">
        <f>HYPERLINK("https://www.ncbi.nlm.nih.gov/protein/MDU6258976.1?report=genbank&amp;log$=prottop&amp;blast_rank=305&amp;RID=8XNW7U47013","MDU6258976.1")</f>
        <v>MDU6258976.1</v>
      </c>
    </row>
    <row r="252" spans="1:5">
      <c r="A252" s="4" t="s">
        <v>648</v>
      </c>
      <c r="B252" s="9">
        <v>0.97</v>
      </c>
      <c r="C252" s="10">
        <v>6.0000000000000002E-111</v>
      </c>
      <c r="D252" s="5">
        <v>51.28</v>
      </c>
      <c r="E252" s="11" t="str">
        <f>HYPERLINK("https://www.ncbi.nlm.nih.gov/protein/MBS4992680.1?report=genbank&amp;log$=prottop&amp;blast_rank=316&amp;RID=8XNW7U47013","MBS4992680.1")</f>
        <v>MBS4992680.1</v>
      </c>
    </row>
    <row r="253" spans="1:5">
      <c r="A253" s="4" t="s">
        <v>648</v>
      </c>
      <c r="B253" s="9">
        <v>0.97</v>
      </c>
      <c r="C253" s="10">
        <v>2.0000000000000001E-110</v>
      </c>
      <c r="D253" s="5">
        <v>51.28</v>
      </c>
      <c r="E253" s="11" t="str">
        <f>HYPERLINK("https://www.ncbi.nlm.nih.gov/protein/WP_197543510.1?report=genbank&amp;log$=prottop&amp;blast_rank=326&amp;RID=8XNW7U47013","WP_197543510.1")</f>
        <v>WP_197543510.1</v>
      </c>
    </row>
    <row r="254" spans="1:5">
      <c r="A254" s="4" t="s">
        <v>234</v>
      </c>
      <c r="B254" s="9">
        <v>0.97</v>
      </c>
      <c r="C254" s="10">
        <v>1.9999999999999999E-106</v>
      </c>
      <c r="D254" s="5">
        <v>51.28</v>
      </c>
      <c r="E254" s="11" t="str">
        <f>HYPERLINK("https://www.ncbi.nlm.nih.gov/protein/MDN5299348.1?report=genbank&amp;log$=prottop&amp;blast_rank=387&amp;RID=8XNW7U47013","MDN5299348.1")</f>
        <v>MDN5299348.1</v>
      </c>
    </row>
    <row r="255" spans="1:5">
      <c r="A255" s="4" t="s">
        <v>138</v>
      </c>
      <c r="B255" s="9">
        <v>1</v>
      </c>
      <c r="C255" s="10">
        <v>3.0000000000000002E-118</v>
      </c>
      <c r="D255" s="5">
        <v>51.26</v>
      </c>
      <c r="E255" s="11" t="str">
        <f>HYPERLINK("https://www.ncbi.nlm.nih.gov/protein/GHT19349.1?report=genbank&amp;log$=prottop&amp;blast_rank=193&amp;RID=8XNW7U47013","GHT19349.1")</f>
        <v>GHT19349.1</v>
      </c>
    </row>
    <row r="256" spans="1:5">
      <c r="A256" s="4" t="s">
        <v>733</v>
      </c>
      <c r="B256" s="9">
        <v>0.9</v>
      </c>
      <c r="C256" s="10">
        <v>2E-99</v>
      </c>
      <c r="D256" s="5">
        <v>51.1</v>
      </c>
      <c r="E256" s="11" t="str">
        <f>HYPERLINK("https://www.ncbi.nlm.nih.gov/protein/EIG25827.1?report=genbank&amp;log$=prottop&amp;blast_rank=483&amp;RID=8XNW7U47013","EIG25827.1")</f>
        <v>EIG25827.1</v>
      </c>
    </row>
    <row r="257" spans="1:5">
      <c r="A257" s="4" t="s">
        <v>506</v>
      </c>
      <c r="B257" s="9">
        <v>0.94</v>
      </c>
      <c r="C257" s="10">
        <v>7E-114</v>
      </c>
      <c r="D257" s="5">
        <v>51.06</v>
      </c>
      <c r="E257" s="11" t="str">
        <f>HYPERLINK("https://www.ncbi.nlm.nih.gov/protein/HEM4322229.1?report=genbank&amp;log$=prottop&amp;blast_rank=267&amp;RID=8XNW7U47013","HEM4322229.1")</f>
        <v>HEM4322229.1</v>
      </c>
    </row>
    <row r="258" spans="1:5">
      <c r="A258" s="4" t="s">
        <v>636</v>
      </c>
      <c r="B258" s="9">
        <v>0.94</v>
      </c>
      <c r="C258" s="10">
        <v>2E-113</v>
      </c>
      <c r="D258" s="5">
        <v>51.06</v>
      </c>
      <c r="E258" s="11" t="str">
        <f>HYPERLINK("https://www.ncbi.nlm.nih.gov/protein/WP_311480262.1?report=genbank&amp;log$=prottop&amp;blast_rank=275&amp;RID=8XNW7U47013","WP_311480262.1")</f>
        <v>WP_311480262.1</v>
      </c>
    </row>
    <row r="259" spans="1:5">
      <c r="A259" s="4" t="s">
        <v>643</v>
      </c>
      <c r="B259" s="9">
        <v>0.93</v>
      </c>
      <c r="C259" s="10">
        <v>9.0000000000000002E-113</v>
      </c>
      <c r="D259" s="5">
        <v>51.05</v>
      </c>
      <c r="E259" s="11" t="str">
        <f>HYPERLINK("https://www.ncbi.nlm.nih.gov/protein/QIW16844.1?report=genbank&amp;log$=prottop&amp;blast_rank=287&amp;RID=8XNW7U47013","QIW16844.1")</f>
        <v>QIW16844.1</v>
      </c>
    </row>
    <row r="260" spans="1:5">
      <c r="A260" s="4" t="s">
        <v>665</v>
      </c>
      <c r="B260" s="9">
        <v>0.94</v>
      </c>
      <c r="C260" s="10">
        <v>9.0000000000000002E-110</v>
      </c>
      <c r="D260" s="5">
        <v>51.05</v>
      </c>
      <c r="E260" s="11" t="str">
        <f>HYPERLINK("https://www.ncbi.nlm.nih.gov/protein/WP_319401728.1?report=genbank&amp;log$=prottop&amp;blast_rank=337&amp;RID=8XNW7U47013","WP_319401728.1")</f>
        <v>WP_319401728.1</v>
      </c>
    </row>
    <row r="261" spans="1:5">
      <c r="A261" s="4" t="s">
        <v>21</v>
      </c>
      <c r="B261" s="9">
        <v>0.96</v>
      </c>
      <c r="C261" s="10">
        <v>1.0000000000000001E-101</v>
      </c>
      <c r="D261" s="5">
        <v>51.04</v>
      </c>
      <c r="E261" s="11" t="str">
        <f>HYPERLINK("https://www.ncbi.nlm.nih.gov/protein/MCI9086158.1?report=genbank&amp;log$=prottop&amp;blast_rank=447&amp;RID=8XNW7U47013","MCI9086158.1")</f>
        <v>MCI9086158.1</v>
      </c>
    </row>
    <row r="262" spans="1:5">
      <c r="A262" s="4" t="s">
        <v>730</v>
      </c>
      <c r="B262" s="9">
        <v>0.94</v>
      </c>
      <c r="C262" s="10">
        <v>7.0000000000000001E-100</v>
      </c>
      <c r="D262" s="5">
        <v>51.04</v>
      </c>
      <c r="E262" s="11" t="str">
        <f>HYPERLINK("https://www.ncbi.nlm.nih.gov/protein/WP_295996826.1?report=genbank&amp;log$=prottop&amp;blast_rank=474&amp;RID=8XNW7U47013","WP_295996826.1")</f>
        <v>WP_295996826.1</v>
      </c>
    </row>
    <row r="263" spans="1:5">
      <c r="A263" s="4" t="s">
        <v>576</v>
      </c>
      <c r="B263" s="9">
        <v>0.97</v>
      </c>
      <c r="C263" s="10">
        <v>9.9999999999999998E-122</v>
      </c>
      <c r="D263" s="5">
        <v>51.03</v>
      </c>
      <c r="E263" s="11" t="str">
        <f>HYPERLINK("https://www.ncbi.nlm.nih.gov/protein/WP_312158751.1?report=genbank&amp;log$=prottop&amp;blast_rank=132&amp;RID=8XNW7U47013","WP_312158751.1")</f>
        <v>WP_312158751.1</v>
      </c>
    </row>
    <row r="264" spans="1:5">
      <c r="A264" s="4" t="s">
        <v>690</v>
      </c>
      <c r="B264" s="9">
        <v>0.96</v>
      </c>
      <c r="C264" s="10">
        <v>6.9999999999999997E-107</v>
      </c>
      <c r="D264" s="5">
        <v>51.03</v>
      </c>
      <c r="E264" s="11" t="str">
        <f>HYPERLINK("https://www.ncbi.nlm.nih.gov/protein/WP_009500766.1?report=genbank&amp;log$=prottop&amp;blast_rank=383&amp;RID=8XNW7U47013","WP_009500766.1")</f>
        <v>WP_009500766.1</v>
      </c>
    </row>
    <row r="265" spans="1:5">
      <c r="A265" s="4" t="s">
        <v>615</v>
      </c>
      <c r="B265" s="9">
        <v>0.98</v>
      </c>
      <c r="C265" s="10">
        <v>1.0000000000000001E-115</v>
      </c>
      <c r="D265" s="5">
        <v>51.02</v>
      </c>
      <c r="E265" s="11" t="str">
        <f>HYPERLINK("https://www.ncbi.nlm.nih.gov/protein/MBF1114798.1?report=genbank&amp;log$=prottop&amp;blast_rank=236&amp;RID=8XNW7U47013","MBF1114798.1")</f>
        <v>MBF1114798.1</v>
      </c>
    </row>
    <row r="266" spans="1:5">
      <c r="A266" s="4" t="s">
        <v>21</v>
      </c>
      <c r="B266" s="9">
        <v>0.98</v>
      </c>
      <c r="C266" s="10">
        <v>1.0000000000000001E-115</v>
      </c>
      <c r="D266" s="5">
        <v>51.02</v>
      </c>
      <c r="E266" s="11" t="str">
        <f>HYPERLINK("https://www.ncbi.nlm.nih.gov/protein/QRN86812.1?report=genbank&amp;log$=prottop&amp;blast_rank=237&amp;RID=8XNW7U47013","QRN86812.1")</f>
        <v>QRN86812.1</v>
      </c>
    </row>
    <row r="267" spans="1:5">
      <c r="A267" s="4" t="s">
        <v>487</v>
      </c>
      <c r="B267" s="9">
        <v>0.99</v>
      </c>
      <c r="C267" s="10">
        <v>3.9999999999999999E-131</v>
      </c>
      <c r="D267" s="5">
        <v>51.01</v>
      </c>
      <c r="E267" s="11" t="str">
        <f>HYPERLINK("https://www.ncbi.nlm.nih.gov/protein/WP_015926177.1?report=genbank&amp;log$=prottop&amp;blast_rank=5&amp;RID=8XNW7U47013","WP_015926177.1")</f>
        <v>WP_015926177.1</v>
      </c>
    </row>
    <row r="268" spans="1:5">
      <c r="A268" s="4" t="s">
        <v>246</v>
      </c>
      <c r="B268" s="9">
        <v>0.99</v>
      </c>
      <c r="C268" s="10">
        <v>2.0000000000000002E-130</v>
      </c>
      <c r="D268" s="5">
        <v>51.01</v>
      </c>
      <c r="E268" s="11" t="str">
        <f>HYPERLINK("https://www.ncbi.nlm.nih.gov/protein/DAZ26891.1?report=genbank&amp;log$=prottop&amp;blast_rank=6&amp;RID=8XNW7U47013","DAZ26891.1")</f>
        <v>DAZ26891.1</v>
      </c>
    </row>
    <row r="269" spans="1:5">
      <c r="A269" s="4" t="s">
        <v>488</v>
      </c>
      <c r="B269" s="9">
        <v>0.99</v>
      </c>
      <c r="C269" s="10">
        <v>2.0000000000000002E-130</v>
      </c>
      <c r="D269" s="5">
        <v>51.01</v>
      </c>
      <c r="E269" s="11" t="str">
        <f>HYPERLINK("https://www.ncbi.nlm.nih.gov/protein/WP_282192298.1?report=genbank&amp;log$=prottop&amp;blast_rank=7&amp;RID=8XNW7U47013","WP_282192298.1")</f>
        <v>WP_282192298.1</v>
      </c>
    </row>
    <row r="270" spans="1:5">
      <c r="A270" s="4" t="s">
        <v>489</v>
      </c>
      <c r="B270" s="9">
        <v>0.99</v>
      </c>
      <c r="C270" s="10">
        <v>2.9999999999999999E-130</v>
      </c>
      <c r="D270" s="5">
        <v>51.01</v>
      </c>
      <c r="E270" s="11" t="str">
        <f>HYPERLINK("https://www.ncbi.nlm.nih.gov/protein/WP_339280364.1?report=genbank&amp;log$=prottop&amp;blast_rank=8&amp;RID=8XNW7U47013","WP_339280364.1")</f>
        <v>WP_339280364.1</v>
      </c>
    </row>
    <row r="271" spans="1:5">
      <c r="A271" s="4" t="s">
        <v>487</v>
      </c>
      <c r="B271" s="9">
        <v>0.99</v>
      </c>
      <c r="C271" s="10">
        <v>2.9999999999999999E-130</v>
      </c>
      <c r="D271" s="5">
        <v>51.01</v>
      </c>
      <c r="E271" s="11" t="str">
        <f>HYPERLINK("https://www.ncbi.nlm.nih.gov/protein/WP_079764933.1?report=genbank&amp;log$=prottop&amp;blast_rank=9&amp;RID=8XNW7U47013","WP_079764933.1")</f>
        <v>WP_079764933.1</v>
      </c>
    </row>
    <row r="272" spans="1:5">
      <c r="A272" s="4" t="s">
        <v>491</v>
      </c>
      <c r="B272" s="9">
        <v>0.99</v>
      </c>
      <c r="C272" s="10">
        <v>9.9999999999999993E-130</v>
      </c>
      <c r="D272" s="5">
        <v>51.01</v>
      </c>
      <c r="E272" s="11" t="str">
        <f>HYPERLINK("https://www.ncbi.nlm.nih.gov/protein/WP_312126563.1?report=genbank&amp;log$=prottop&amp;blast_rank=11&amp;RID=8XNW7U47013","WP_312126563.1")</f>
        <v>WP_312126563.1</v>
      </c>
    </row>
    <row r="273" spans="1:5">
      <c r="A273" s="4" t="s">
        <v>492</v>
      </c>
      <c r="B273" s="9">
        <v>0.99</v>
      </c>
      <c r="C273" s="10">
        <v>9.9999999999999993E-130</v>
      </c>
      <c r="D273" s="5">
        <v>51.01</v>
      </c>
      <c r="E273" s="11" t="str">
        <f>HYPERLINK("https://www.ncbi.nlm.nih.gov/protein/WP_326135457.1?report=genbank&amp;log$=prottop&amp;blast_rank=12&amp;RID=8XNW7U47013","WP_326135457.1")</f>
        <v>WP_326135457.1</v>
      </c>
    </row>
    <row r="274" spans="1:5">
      <c r="A274" s="4" t="s">
        <v>494</v>
      </c>
      <c r="B274" s="9">
        <v>0.99</v>
      </c>
      <c r="C274" s="10">
        <v>9.9999999999999993E-130</v>
      </c>
      <c r="D274" s="5">
        <v>51.01</v>
      </c>
      <c r="E274" s="11" t="str">
        <f>HYPERLINK("https://www.ncbi.nlm.nih.gov/protein/WP_317314184.1?report=genbank&amp;log$=prottop&amp;blast_rank=14&amp;RID=8XNW7U47013","WP_317314184.1")</f>
        <v>WP_317314184.1</v>
      </c>
    </row>
    <row r="275" spans="1:5">
      <c r="A275" s="4" t="s">
        <v>497</v>
      </c>
      <c r="B275" s="9">
        <v>0.99</v>
      </c>
      <c r="C275" s="10">
        <v>5.0000000000000003E-129</v>
      </c>
      <c r="D275" s="5">
        <v>51.01</v>
      </c>
      <c r="E275" s="11" t="str">
        <f>HYPERLINK("https://www.ncbi.nlm.nih.gov/protein/WP_006313235.1?report=genbank&amp;log$=prottop&amp;blast_rank=17&amp;RID=8XNW7U47013","WP_006313235.1")</f>
        <v>WP_006313235.1</v>
      </c>
    </row>
    <row r="276" spans="1:5">
      <c r="A276" s="4" t="s">
        <v>510</v>
      </c>
      <c r="B276" s="9">
        <v>0.99</v>
      </c>
      <c r="C276" s="10">
        <v>4.0000000000000002E-128</v>
      </c>
      <c r="D276" s="5">
        <v>51.01</v>
      </c>
      <c r="E276" s="11" t="str">
        <f>HYPERLINK("https://www.ncbi.nlm.nih.gov/protein/HOQ40469.1?report=genbank&amp;log$=prottop&amp;blast_rank=34&amp;RID=8XNW7U47013","HOQ40469.1")</f>
        <v>HOQ40469.1</v>
      </c>
    </row>
    <row r="277" spans="1:5">
      <c r="A277" s="4" t="s">
        <v>516</v>
      </c>
      <c r="B277" s="9">
        <v>0.99</v>
      </c>
      <c r="C277" s="10">
        <v>1E-127</v>
      </c>
      <c r="D277" s="5">
        <v>51.01</v>
      </c>
      <c r="E277" s="11" t="str">
        <f>HYPERLINK("https://www.ncbi.nlm.nih.gov/protein/WP_204614456.1?report=genbank&amp;log$=prottop&amp;blast_rank=40&amp;RID=8XNW7U47013","WP_204614456.1")</f>
        <v>WP_204614456.1</v>
      </c>
    </row>
    <row r="278" spans="1:5">
      <c r="A278" s="4" t="s">
        <v>530</v>
      </c>
      <c r="B278" s="9">
        <v>0.99</v>
      </c>
      <c r="C278" s="10">
        <v>5.0000000000000001E-126</v>
      </c>
      <c r="D278" s="5">
        <v>51.01</v>
      </c>
      <c r="E278" s="11" t="str">
        <f>HYPERLINK("https://www.ncbi.nlm.nih.gov/protein/MDD6398149.1?report=genbank&amp;log$=prottop&amp;blast_rank=62&amp;RID=8XNW7U47013","MDD6398149.1")</f>
        <v>MDD6398149.1</v>
      </c>
    </row>
    <row r="279" spans="1:5">
      <c r="A279" s="4" t="s">
        <v>550</v>
      </c>
      <c r="B279" s="9">
        <v>0.99</v>
      </c>
      <c r="C279" s="10">
        <v>9.9999999999999993E-125</v>
      </c>
      <c r="D279" s="5">
        <v>51.01</v>
      </c>
      <c r="E279" s="11" t="str">
        <f>HYPERLINK("https://www.ncbi.nlm.nih.gov/protein/WP_206399304.1?report=genbank&amp;log$=prottop&amp;blast_rank=92&amp;RID=8XNW7U47013","WP_206399304.1")</f>
        <v>WP_206399304.1</v>
      </c>
    </row>
    <row r="280" spans="1:5">
      <c r="A280" s="4" t="s">
        <v>544</v>
      </c>
      <c r="B280" s="9">
        <v>0.99</v>
      </c>
      <c r="C280" s="10">
        <v>3E-124</v>
      </c>
      <c r="D280" s="5">
        <v>51.01</v>
      </c>
      <c r="E280" s="11" t="str">
        <f>HYPERLINK("https://www.ncbi.nlm.nih.gov/protein/WP_313094989.1?report=genbank&amp;log$=prottop&amp;blast_rank=99&amp;RID=8XNW7U47013","WP_313094989.1")</f>
        <v>WP_313094989.1</v>
      </c>
    </row>
    <row r="281" spans="1:5">
      <c r="A281" s="4" t="s">
        <v>550</v>
      </c>
      <c r="B281" s="9">
        <v>0.99</v>
      </c>
      <c r="C281" s="10">
        <v>2.0000000000000001E-122</v>
      </c>
      <c r="D281" s="5">
        <v>51.01</v>
      </c>
      <c r="E281" s="11" t="str">
        <f>HYPERLINK("https://www.ncbi.nlm.nih.gov/protein/OUQ12141.1?report=genbank&amp;log$=prottop&amp;blast_rank=121&amp;RID=8XNW7U47013","OUQ12141.1")</f>
        <v>OUQ12141.1</v>
      </c>
    </row>
    <row r="282" spans="1:5">
      <c r="A282" s="4" t="s">
        <v>573</v>
      </c>
      <c r="B282" s="9">
        <v>0.99</v>
      </c>
      <c r="C282" s="10">
        <v>8.0000000000000005E-122</v>
      </c>
      <c r="D282" s="5">
        <v>51.01</v>
      </c>
      <c r="E282" s="11" t="str">
        <f>HYPERLINK("https://www.ncbi.nlm.nih.gov/protein/WP_082693110.1?report=genbank&amp;log$=prottop&amp;blast_rank=128&amp;RID=8XNW7U47013","WP_082693110.1")</f>
        <v>WP_082693110.1</v>
      </c>
    </row>
    <row r="283" spans="1:5">
      <c r="A283" s="4" t="s">
        <v>683</v>
      </c>
      <c r="B283" s="9">
        <v>0.99</v>
      </c>
      <c r="C283" s="10">
        <v>4.0000000000000002E-108</v>
      </c>
      <c r="D283" s="5">
        <v>51.01</v>
      </c>
      <c r="E283" s="11" t="str">
        <f>HYPERLINK("https://www.ncbi.nlm.nih.gov/protein/HAX91239.1?report=genbank&amp;log$=prottop&amp;blast_rank=367&amp;RID=8XNW7U47013","HAX91239.1")</f>
        <v>HAX91239.1</v>
      </c>
    </row>
    <row r="284" spans="1:5">
      <c r="A284" s="4" t="s">
        <v>674</v>
      </c>
      <c r="B284" s="9">
        <v>1</v>
      </c>
      <c r="C284" s="10">
        <v>4.0000000000000002E-108</v>
      </c>
      <c r="D284" s="5">
        <v>51</v>
      </c>
      <c r="E284" s="11" t="str">
        <f>HYPERLINK("https://www.ncbi.nlm.nih.gov/protein/MCC6866945.1?report=genbank&amp;log$=prottop&amp;blast_rank=368&amp;RID=8XNW7U47013","MCC6866945.1")</f>
        <v>MCC6866945.1</v>
      </c>
    </row>
    <row r="285" spans="1:5">
      <c r="A285" s="4" t="s">
        <v>634</v>
      </c>
      <c r="B285" s="9">
        <v>0.99</v>
      </c>
      <c r="C285" s="10">
        <v>9.9999999999999998E-114</v>
      </c>
      <c r="D285" s="5">
        <v>50.96</v>
      </c>
      <c r="E285" s="11" t="str">
        <f>HYPERLINK("https://www.ncbi.nlm.nih.gov/protein/WP_238900724.1?report=genbank&amp;log$=prottop&amp;blast_rank=272&amp;RID=8XNW7U47013","WP_238900724.1")</f>
        <v>WP_238900724.1</v>
      </c>
    </row>
    <row r="286" spans="1:5">
      <c r="A286" s="4" t="s">
        <v>368</v>
      </c>
      <c r="B286" s="9">
        <v>0.92</v>
      </c>
      <c r="C286" s="10">
        <v>3E-102</v>
      </c>
      <c r="D286" s="5">
        <v>50.81</v>
      </c>
      <c r="E286" s="11" t="str">
        <f>HYPERLINK("https://www.ncbi.nlm.nih.gov/protein/MBX3283477.1?report=genbank&amp;log$=prottop&amp;blast_rank=441&amp;RID=8XNW7U47013","MBX3283477.1")</f>
        <v>MBX3283477.1</v>
      </c>
    </row>
    <row r="287" spans="1:5">
      <c r="A287" s="4" t="s">
        <v>225</v>
      </c>
      <c r="B287" s="9">
        <v>0.92</v>
      </c>
      <c r="C287" s="10">
        <v>4.0000000000000001E-99</v>
      </c>
      <c r="D287" s="5">
        <v>50.8</v>
      </c>
      <c r="E287" s="11" t="str">
        <f>HYPERLINK("https://www.ncbi.nlm.nih.gov/protein/MBO7559470.1?report=genbank&amp;log$=prottop&amp;blast_rank=488&amp;RID=8XNW7U47013","MBO7559470.1")</f>
        <v>MBO7559470.1</v>
      </c>
    </row>
    <row r="288" spans="1:5">
      <c r="A288" s="4" t="s">
        <v>672</v>
      </c>
      <c r="B288" s="9">
        <v>0.94</v>
      </c>
      <c r="C288" s="10">
        <v>2E-109</v>
      </c>
      <c r="D288" s="5">
        <v>50.79</v>
      </c>
      <c r="E288" s="11" t="str">
        <f>HYPERLINK("https://www.ncbi.nlm.nih.gov/protein/HIW85271.1?report=genbank&amp;log$=prottop&amp;blast_rank=345&amp;RID=8XNW7U47013","HIW85271.1")</f>
        <v>HIW85271.1</v>
      </c>
    </row>
    <row r="289" spans="1:5">
      <c r="A289" s="4" t="s">
        <v>736</v>
      </c>
      <c r="B289" s="9">
        <v>0.93</v>
      </c>
      <c r="C289" s="10">
        <v>3E-98</v>
      </c>
      <c r="D289" s="5">
        <v>50.79</v>
      </c>
      <c r="E289" s="11" t="str">
        <f>HYPERLINK("https://www.ncbi.nlm.nih.gov/protein/WP_287595774.1?report=genbank&amp;log$=prottop&amp;blast_rank=497&amp;RID=8XNW7U47013","WP_287595774.1")</f>
        <v>WP_287595774.1</v>
      </c>
    </row>
    <row r="290" spans="1:5">
      <c r="A290" s="4" t="s">
        <v>698</v>
      </c>
      <c r="B290" s="9">
        <v>0.93</v>
      </c>
      <c r="C290" s="10">
        <v>3E-98</v>
      </c>
      <c r="D290" s="5">
        <v>50.79</v>
      </c>
      <c r="E290" s="11" t="str">
        <f>HYPERLINK("https://www.ncbi.nlm.nih.gov/protein/WP_228117606.1?report=genbank&amp;log$=prottop&amp;blast_rank=498&amp;RID=8XNW7U47013","WP_228117606.1")</f>
        <v>WP_228117606.1</v>
      </c>
    </row>
    <row r="291" spans="1:5">
      <c r="A291" s="4" t="s">
        <v>204</v>
      </c>
      <c r="B291" s="9">
        <v>0.93</v>
      </c>
      <c r="C291" s="10">
        <v>3.9999999999999998E-98</v>
      </c>
      <c r="D291" s="5">
        <v>50.79</v>
      </c>
      <c r="E291" s="11" t="str">
        <f>HYPERLINK("https://www.ncbi.nlm.nih.gov/protein/MEE0423548.1?report=genbank&amp;log$=prottop&amp;blast_rank=500&amp;RID=8XNW7U47013","MEE0423548.1")</f>
        <v>MEE0423548.1</v>
      </c>
    </row>
    <row r="292" spans="1:5">
      <c r="A292" s="4" t="s">
        <v>567</v>
      </c>
      <c r="B292" s="9">
        <v>0.96</v>
      </c>
      <c r="C292" s="10">
        <v>8.0000000000000005E-123</v>
      </c>
      <c r="D292" s="5">
        <v>50.78</v>
      </c>
      <c r="E292" s="11" t="str">
        <f>HYPERLINK("https://www.ncbi.nlm.nih.gov/protein/WP_251616744.1?report=genbank&amp;log$=prottop&amp;blast_rank=119&amp;RID=8XNW7U47013","WP_251616744.1")</f>
        <v>WP_251616744.1</v>
      </c>
    </row>
    <row r="293" spans="1:5">
      <c r="A293" s="4" t="s">
        <v>21</v>
      </c>
      <c r="B293" s="9">
        <v>0.97</v>
      </c>
      <c r="C293" s="10">
        <v>2.9999999999999998E-128</v>
      </c>
      <c r="D293" s="5">
        <v>50.77</v>
      </c>
      <c r="E293" s="11" t="str">
        <f>HYPERLINK("https://www.ncbi.nlm.nih.gov/protein/HYE83735.1?report=genbank&amp;log$=prottop&amp;blast_rank=31&amp;RID=8XNW7U47013","HYE83735.1")</f>
        <v>HYE83735.1</v>
      </c>
    </row>
    <row r="294" spans="1:5">
      <c r="A294" s="4" t="s">
        <v>648</v>
      </c>
      <c r="B294" s="9">
        <v>0.97</v>
      </c>
      <c r="C294" s="10">
        <v>5.0000000000000004E-112</v>
      </c>
      <c r="D294" s="5">
        <v>50.77</v>
      </c>
      <c r="E294" s="11" t="str">
        <f>HYPERLINK("https://www.ncbi.nlm.nih.gov/protein/WP_049357578.1?report=genbank&amp;log$=prottop&amp;blast_rank=297&amp;RID=8XNW7U47013","WP_049357578.1")</f>
        <v>WP_049357578.1</v>
      </c>
    </row>
    <row r="295" spans="1:5">
      <c r="A295" s="4" t="s">
        <v>234</v>
      </c>
      <c r="B295" s="9">
        <v>0.97</v>
      </c>
      <c r="C295" s="10">
        <v>2.0000000000000002E-111</v>
      </c>
      <c r="D295" s="5">
        <v>50.77</v>
      </c>
      <c r="E295" s="11" t="str">
        <f>HYPERLINK("https://www.ncbi.nlm.nih.gov/protein/MCH5160115.1?report=genbank&amp;log$=prottop&amp;blast_rank=309&amp;RID=8XNW7U47013","MCH5160115.1")</f>
        <v>MCH5160115.1</v>
      </c>
    </row>
    <row r="296" spans="1:5">
      <c r="A296" s="4" t="s">
        <v>648</v>
      </c>
      <c r="B296" s="9">
        <v>0.97</v>
      </c>
      <c r="C296" s="10">
        <v>4.0000000000000002E-110</v>
      </c>
      <c r="D296" s="5">
        <v>50.77</v>
      </c>
      <c r="E296" s="11" t="str">
        <f>HYPERLINK("https://www.ncbi.nlm.nih.gov/protein/WP_075875296.1?report=genbank&amp;log$=prottop&amp;blast_rank=330&amp;RID=8XNW7U47013","WP_075875296.1")</f>
        <v>WP_075875296.1</v>
      </c>
    </row>
    <row r="297" spans="1:5">
      <c r="A297" s="4" t="s">
        <v>648</v>
      </c>
      <c r="B297" s="9">
        <v>0.97</v>
      </c>
      <c r="C297" s="10">
        <v>6.0000000000000004E-109</v>
      </c>
      <c r="D297" s="5">
        <v>50.77</v>
      </c>
      <c r="E297" s="11" t="str">
        <f>HYPERLINK("https://www.ncbi.nlm.nih.gov/protein/WP_049371253.1?report=genbank&amp;log$=prottop&amp;blast_rank=355&amp;RID=8XNW7U47013","WP_049371253.1")</f>
        <v>WP_049371253.1</v>
      </c>
    </row>
    <row r="298" spans="1:5">
      <c r="A298" s="4" t="s">
        <v>503</v>
      </c>
      <c r="B298" s="9">
        <v>0.98</v>
      </c>
      <c r="C298" s="10">
        <v>2.0000000000000001E-128</v>
      </c>
      <c r="D298" s="5">
        <v>50.76</v>
      </c>
      <c r="E298" s="11" t="str">
        <f>HYPERLINK("https://www.ncbi.nlm.nih.gov/protein/WP_083448549.1?report=genbank&amp;log$=prottop&amp;blast_rank=25&amp;RID=8XNW7U47013","WP_083448549.1")</f>
        <v>WP_083448549.1</v>
      </c>
    </row>
    <row r="299" spans="1:5">
      <c r="A299" s="4" t="s">
        <v>503</v>
      </c>
      <c r="B299" s="9">
        <v>0.98</v>
      </c>
      <c r="C299" s="10">
        <v>6.0000000000000003E-126</v>
      </c>
      <c r="D299" s="5">
        <v>50.76</v>
      </c>
      <c r="E299" s="11" t="str">
        <f>HYPERLINK("https://www.ncbi.nlm.nih.gov/protein/KOY81996.1?report=genbank&amp;log$=prottop&amp;blast_rank=65&amp;RID=8XNW7U47013","KOY81996.1")</f>
        <v>KOY81996.1</v>
      </c>
    </row>
    <row r="300" spans="1:5">
      <c r="A300" s="4" t="s">
        <v>536</v>
      </c>
      <c r="B300" s="9">
        <v>0.98</v>
      </c>
      <c r="C300" s="10">
        <v>1E-125</v>
      </c>
      <c r="D300" s="5">
        <v>50.76</v>
      </c>
      <c r="E300" s="11" t="str">
        <f>HYPERLINK("https://www.ncbi.nlm.nih.gov/protein/WP_028235920.1?report=genbank&amp;log$=prottop&amp;blast_rank=70&amp;RID=8XNW7U47013","WP_028235920.1")</f>
        <v>WP_028235920.1</v>
      </c>
    </row>
    <row r="301" spans="1:5">
      <c r="A301" s="4" t="s">
        <v>547</v>
      </c>
      <c r="B301" s="9">
        <v>0.98</v>
      </c>
      <c r="C301" s="10">
        <v>7E-125</v>
      </c>
      <c r="D301" s="5">
        <v>50.76</v>
      </c>
      <c r="E301" s="11" t="str">
        <f>HYPERLINK("https://www.ncbi.nlm.nih.gov/protein/WP_221682578.1?report=genbank&amp;log$=prottop&amp;blast_rank=87&amp;RID=8XNW7U47013","WP_221682578.1")</f>
        <v>WP_221682578.1</v>
      </c>
    </row>
    <row r="302" spans="1:5">
      <c r="A302" s="4" t="s">
        <v>556</v>
      </c>
      <c r="B302" s="9">
        <v>0.98</v>
      </c>
      <c r="C302" s="10">
        <v>5.0000000000000003E-124</v>
      </c>
      <c r="D302" s="5">
        <v>50.76</v>
      </c>
      <c r="E302" s="11" t="str">
        <f>HYPERLINK("https://www.ncbi.nlm.nih.gov/protein/WP_006506479.1?report=genbank&amp;log$=prottop&amp;blast_rank=100&amp;RID=8XNW7U47013","WP_006506479.1")</f>
        <v>WP_006506479.1</v>
      </c>
    </row>
    <row r="303" spans="1:5">
      <c r="A303" s="4" t="s">
        <v>21</v>
      </c>
      <c r="B303" s="9">
        <v>0.98</v>
      </c>
      <c r="C303" s="10">
        <v>9.9999999999999999E-110</v>
      </c>
      <c r="D303" s="5">
        <v>50.76</v>
      </c>
      <c r="E303" s="11" t="str">
        <f>HYPERLINK("https://www.ncbi.nlm.nih.gov/protein/MBP3919714.1?report=genbank&amp;log$=prottop&amp;blast_rank=339&amp;RID=8XNW7U47013","MBP3919714.1")</f>
        <v>MBP3919714.1</v>
      </c>
    </row>
    <row r="304" spans="1:5">
      <c r="A304" s="4" t="s">
        <v>112</v>
      </c>
      <c r="B304" s="9">
        <v>1</v>
      </c>
      <c r="C304" s="10">
        <v>9.9999999999999993E-103</v>
      </c>
      <c r="D304" s="5">
        <v>50.75</v>
      </c>
      <c r="E304" s="11" t="str">
        <f>HYPERLINK("https://www.ncbi.nlm.nih.gov/protein/MDD6809657.1?report=genbank&amp;log$=prottop&amp;blast_rank=429&amp;RID=8XNW7U47013","MDD6809657.1")</f>
        <v>MDD6809657.1</v>
      </c>
    </row>
    <row r="305" spans="1:5">
      <c r="A305" s="4" t="s">
        <v>612</v>
      </c>
      <c r="B305" s="9">
        <v>0.92</v>
      </c>
      <c r="C305" s="10">
        <v>9.9999999999999999E-117</v>
      </c>
      <c r="D305" s="5">
        <v>50.54</v>
      </c>
      <c r="E305" s="11" t="str">
        <f>HYPERLINK("https://www.ncbi.nlm.nih.gov/protein/MBQ9600551.1?report=genbank&amp;log$=prottop&amp;blast_rank=224&amp;RID=8XNW7U47013","MBQ9600551.1")</f>
        <v>MBQ9600551.1</v>
      </c>
    </row>
    <row r="306" spans="1:5">
      <c r="A306" s="4" t="s">
        <v>568</v>
      </c>
      <c r="B306" s="9">
        <v>0.94</v>
      </c>
      <c r="C306" s="10">
        <v>8.9999999999999999E-123</v>
      </c>
      <c r="D306" s="5">
        <v>50.53</v>
      </c>
      <c r="E306" s="11" t="str">
        <f>HYPERLINK("https://www.ncbi.nlm.nih.gov/protein/NLI41480.1?report=genbank&amp;log$=prottop&amp;blast_rank=120&amp;RID=8XNW7U47013","NLI41480.1")</f>
        <v>NLI41480.1</v>
      </c>
    </row>
    <row r="307" spans="1:5">
      <c r="A307" s="4" t="s">
        <v>572</v>
      </c>
      <c r="B307" s="9">
        <v>0.94</v>
      </c>
      <c r="C307" s="10">
        <v>7.0000000000000003E-122</v>
      </c>
      <c r="D307" s="5">
        <v>50.53</v>
      </c>
      <c r="E307" s="11" t="str">
        <f>HYPERLINK("https://www.ncbi.nlm.nih.gov/protein/WP_216598075.1?report=genbank&amp;log$=prottop&amp;blast_rank=127&amp;RID=8XNW7U47013","WP_216598075.1")</f>
        <v>WP_216598075.1</v>
      </c>
    </row>
    <row r="308" spans="1:5">
      <c r="A308" s="4" t="s">
        <v>506</v>
      </c>
      <c r="B308" s="9">
        <v>0.94</v>
      </c>
      <c r="C308" s="10">
        <v>1.0000000000000001E-111</v>
      </c>
      <c r="D308" s="5">
        <v>50.53</v>
      </c>
      <c r="E308" s="11" t="str">
        <f>HYPERLINK("https://www.ncbi.nlm.nih.gov/protein/HEM3638350.1?report=genbank&amp;log$=prottop&amp;blast_rank=304&amp;RID=8XNW7U47013","HEM3638350.1")</f>
        <v>HEM3638350.1</v>
      </c>
    </row>
    <row r="309" spans="1:5">
      <c r="A309" s="4" t="s">
        <v>25</v>
      </c>
      <c r="B309" s="9">
        <v>0.94</v>
      </c>
      <c r="C309" s="10">
        <v>2.0000000000000001E-108</v>
      </c>
      <c r="D309" s="5">
        <v>50.53</v>
      </c>
      <c r="E309" s="11" t="str">
        <f>HYPERLINK("https://www.ncbi.nlm.nih.gov/protein/MBO5081037.1?report=genbank&amp;log$=prottop&amp;blast_rank=362&amp;RID=8XNW7U47013","MBO5081037.1")</f>
        <v>MBO5081037.1</v>
      </c>
    </row>
    <row r="310" spans="1:5">
      <c r="A310" s="4" t="s">
        <v>606</v>
      </c>
      <c r="B310" s="9">
        <v>0.97</v>
      </c>
      <c r="C310" s="10">
        <v>2.9999999999999999E-117</v>
      </c>
      <c r="D310" s="5">
        <v>50.52</v>
      </c>
      <c r="E310" s="11" t="str">
        <f>HYPERLINK("https://www.ncbi.nlm.nih.gov/protein/MCD7892375.1?report=genbank&amp;log$=prottop&amp;blast_rank=213&amp;RID=8XNW7U47013","MCD7892375.1")</f>
        <v>MCD7892375.1</v>
      </c>
    </row>
    <row r="311" spans="1:5">
      <c r="A311" s="4" t="s">
        <v>611</v>
      </c>
      <c r="B311" s="9">
        <v>0.97</v>
      </c>
      <c r="C311" s="10">
        <v>6.9999999999999995E-110</v>
      </c>
      <c r="D311" s="5">
        <v>50.52</v>
      </c>
      <c r="E311" s="11" t="str">
        <f>HYPERLINK("https://www.ncbi.nlm.nih.gov/protein/MBQ8901755.1?report=genbank&amp;log$=prottop&amp;blast_rank=334&amp;RID=8XNW7U47013","MBQ8901755.1")</f>
        <v>MBQ8901755.1</v>
      </c>
    </row>
    <row r="312" spans="1:5">
      <c r="A312" s="4" t="s">
        <v>655</v>
      </c>
      <c r="B312" s="9">
        <v>0.96</v>
      </c>
      <c r="C312" s="10">
        <v>2E-109</v>
      </c>
      <c r="D312" s="5">
        <v>50.52</v>
      </c>
      <c r="E312" s="11" t="str">
        <f>HYPERLINK("https://www.ncbi.nlm.nih.gov/protein/WP_118858970.1?report=genbank&amp;log$=prottop&amp;blast_rank=348&amp;RID=8XNW7U47013","WP_118858970.1")</f>
        <v>WP_118858970.1</v>
      </c>
    </row>
    <row r="313" spans="1:5">
      <c r="A313" s="4" t="s">
        <v>681</v>
      </c>
      <c r="B313" s="9">
        <v>0.96</v>
      </c>
      <c r="C313" s="10">
        <v>2.9999999999999999E-108</v>
      </c>
      <c r="D313" s="5">
        <v>50.52</v>
      </c>
      <c r="E313" s="11" t="str">
        <f>HYPERLINK("https://www.ncbi.nlm.nih.gov/protein/WP_297930117.1?report=genbank&amp;log$=prottop&amp;blast_rank=365&amp;RID=8XNW7U47013","WP_297930117.1")</f>
        <v>WP_297930117.1</v>
      </c>
    </row>
    <row r="314" spans="1:5">
      <c r="A314" s="4" t="s">
        <v>490</v>
      </c>
      <c r="B314" s="9">
        <v>0.99</v>
      </c>
      <c r="C314" s="10">
        <v>4.9999999999999996E-130</v>
      </c>
      <c r="D314" s="5">
        <v>50.51</v>
      </c>
      <c r="E314" s="11" t="str">
        <f>HYPERLINK("https://www.ncbi.nlm.nih.gov/protein/WP_242835551.1?report=genbank&amp;log$=prottop&amp;blast_rank=10&amp;RID=8XNW7U47013","WP_242835551.1")</f>
        <v>WP_242835551.1</v>
      </c>
    </row>
    <row r="315" spans="1:5">
      <c r="A315" s="4" t="s">
        <v>493</v>
      </c>
      <c r="B315" s="9">
        <v>0.99</v>
      </c>
      <c r="C315" s="10">
        <v>9.9999999999999993E-130</v>
      </c>
      <c r="D315" s="5">
        <v>50.51</v>
      </c>
      <c r="E315" s="11" t="str">
        <f>HYPERLINK("https://www.ncbi.nlm.nih.gov/protein/WP_245605633.1?report=genbank&amp;log$=prottop&amp;blast_rank=13&amp;RID=8XNW7U47013","WP_245605633.1")</f>
        <v>WP_245605633.1</v>
      </c>
    </row>
    <row r="316" spans="1:5">
      <c r="A316" s="4" t="s">
        <v>284</v>
      </c>
      <c r="B316" s="9">
        <v>0.99</v>
      </c>
      <c r="C316" s="10">
        <v>1.0000000000000001E-128</v>
      </c>
      <c r="D316" s="5">
        <v>50.51</v>
      </c>
      <c r="E316" s="11" t="str">
        <f>HYPERLINK("https://www.ncbi.nlm.nih.gov/protein/MED0851946.1?report=genbank&amp;log$=prottop&amp;blast_rank=20&amp;RID=8XNW7U47013","MED0851946.1")</f>
        <v>MED0851946.1</v>
      </c>
    </row>
    <row r="317" spans="1:5">
      <c r="A317" s="4" t="s">
        <v>512</v>
      </c>
      <c r="B317" s="9">
        <v>0.99</v>
      </c>
      <c r="C317" s="10">
        <v>5.0000000000000001E-128</v>
      </c>
      <c r="D317" s="5">
        <v>50.51</v>
      </c>
      <c r="E317" s="11" t="str">
        <f>HYPERLINK("https://www.ncbi.nlm.nih.gov/protein/WP_243156222.1?report=genbank&amp;log$=prottop&amp;blast_rank=36&amp;RID=8XNW7U47013","WP_243156222.1")</f>
        <v>WP_243156222.1</v>
      </c>
    </row>
    <row r="318" spans="1:5">
      <c r="A318" s="4" t="s">
        <v>112</v>
      </c>
      <c r="B318" s="9">
        <v>0.99</v>
      </c>
      <c r="C318" s="10">
        <v>1.9999999999999999E-126</v>
      </c>
      <c r="D318" s="5">
        <v>50.51</v>
      </c>
      <c r="E318" s="11" t="str">
        <f>HYPERLINK("https://www.ncbi.nlm.nih.gov/protein/NMA74498.1?report=genbank&amp;log$=prottop&amp;blast_rank=54&amp;RID=8XNW7U47013","NMA74498.1")</f>
        <v>NMA74498.1</v>
      </c>
    </row>
    <row r="319" spans="1:5">
      <c r="A319" s="4" t="s">
        <v>336</v>
      </c>
      <c r="B319" s="9">
        <v>0.99</v>
      </c>
      <c r="C319" s="10">
        <v>3.0000000000000002E-126</v>
      </c>
      <c r="D319" s="5">
        <v>50.51</v>
      </c>
      <c r="E319" s="11" t="str">
        <f>HYPERLINK("https://www.ncbi.nlm.nih.gov/protein/WP_201780292.1?report=genbank&amp;log$=prottop&amp;blast_rank=58&amp;RID=8XNW7U47013","WP_201780292.1")</f>
        <v>WP_201780292.1</v>
      </c>
    </row>
    <row r="320" spans="1:5">
      <c r="A320" s="4" t="s">
        <v>336</v>
      </c>
      <c r="B320" s="9">
        <v>0.99</v>
      </c>
      <c r="C320" s="10">
        <v>5.0000000000000001E-126</v>
      </c>
      <c r="D320" s="5">
        <v>50.51</v>
      </c>
      <c r="E320" s="11" t="str">
        <f>HYPERLINK("https://www.ncbi.nlm.nih.gov/protein/KNZ40576.1?report=genbank&amp;log$=prottop&amp;blast_rank=59&amp;RID=8XNW7U47013","KNZ40576.1")</f>
        <v>KNZ40576.1</v>
      </c>
    </row>
    <row r="321" spans="1:5">
      <c r="A321" s="4" t="s">
        <v>543</v>
      </c>
      <c r="B321" s="9">
        <v>0.99</v>
      </c>
      <c r="C321" s="10">
        <v>2.9999999999999999E-125</v>
      </c>
      <c r="D321" s="5">
        <v>50.51</v>
      </c>
      <c r="E321" s="11" t="str">
        <f>HYPERLINK("https://www.ncbi.nlm.nih.gov/protein/WP_313133247.1?report=genbank&amp;log$=prottop&amp;blast_rank=81&amp;RID=8XNW7U47013","WP_313133247.1")</f>
        <v>WP_313133247.1</v>
      </c>
    </row>
    <row r="322" spans="1:5">
      <c r="A322" s="4" t="s">
        <v>548</v>
      </c>
      <c r="B322" s="9">
        <v>0.99</v>
      </c>
      <c r="C322" s="10">
        <v>9.9999999999999993E-125</v>
      </c>
      <c r="D322" s="5">
        <v>50.51</v>
      </c>
      <c r="E322" s="11" t="str">
        <f>HYPERLINK("https://www.ncbi.nlm.nih.gov/protein/WP_308682127.1?report=genbank&amp;log$=prottop&amp;blast_rank=89&amp;RID=8XNW7U47013","WP_308682127.1")</f>
        <v>WP_308682127.1</v>
      </c>
    </row>
    <row r="323" spans="1:5">
      <c r="A323" s="4" t="s">
        <v>564</v>
      </c>
      <c r="B323" s="9">
        <v>0.99</v>
      </c>
      <c r="C323" s="10">
        <v>4.0000000000000002E-123</v>
      </c>
      <c r="D323" s="5">
        <v>50.51</v>
      </c>
      <c r="E323" s="11" t="str">
        <f>HYPERLINK("https://www.ncbi.nlm.nih.gov/protein/WP_288216202.1?report=genbank&amp;log$=prottop&amp;blast_rank=114&amp;RID=8XNW7U47013","WP_288216202.1")</f>
        <v>WP_288216202.1</v>
      </c>
    </row>
    <row r="324" spans="1:5">
      <c r="A324" s="4" t="s">
        <v>565</v>
      </c>
      <c r="B324" s="9">
        <v>0.99</v>
      </c>
      <c r="C324" s="10">
        <v>4.0000000000000002E-123</v>
      </c>
      <c r="D324" s="5">
        <v>50.51</v>
      </c>
      <c r="E324" s="11" t="str">
        <f>HYPERLINK("https://www.ncbi.nlm.nih.gov/protein/CCY49364.1?report=genbank&amp;log$=prottop&amp;blast_rank=115&amp;RID=8XNW7U47013","CCY49364.1")</f>
        <v>CCY49364.1</v>
      </c>
    </row>
    <row r="325" spans="1:5">
      <c r="A325" s="4" t="s">
        <v>234</v>
      </c>
      <c r="B325" s="9">
        <v>0.99</v>
      </c>
      <c r="C325" s="10">
        <v>1E-119</v>
      </c>
      <c r="D325" s="5">
        <v>50.51</v>
      </c>
      <c r="E325" s="11" t="str">
        <f>HYPERLINK("https://www.ncbi.nlm.nih.gov/protein/MCD6436599.1?report=genbank&amp;log$=prottop&amp;blast_rank=166&amp;RID=8XNW7U47013","MCD6436599.1")</f>
        <v>MCD6436599.1</v>
      </c>
    </row>
    <row r="326" spans="1:5">
      <c r="A326" s="4" t="s">
        <v>596</v>
      </c>
      <c r="B326" s="9">
        <v>0.98</v>
      </c>
      <c r="C326" s="10">
        <v>9.9999999999999999E-119</v>
      </c>
      <c r="D326" s="5">
        <v>50.51</v>
      </c>
      <c r="E326" s="11" t="str">
        <f>HYPERLINK("https://www.ncbi.nlm.nih.gov/protein/WP_187117133.1?report=genbank&amp;log$=prottop&amp;blast_rank=186&amp;RID=8XNW7U47013","WP_187117133.1")</f>
        <v>WP_187117133.1</v>
      </c>
    </row>
    <row r="327" spans="1:5">
      <c r="A327" s="4" t="s">
        <v>31</v>
      </c>
      <c r="B327" s="9">
        <v>0.99</v>
      </c>
      <c r="C327" s="10">
        <v>9.9999999999999998E-114</v>
      </c>
      <c r="D327" s="5">
        <v>50.48</v>
      </c>
      <c r="E327" s="11" t="str">
        <f>HYPERLINK("https://www.ncbi.nlm.nih.gov/protein/WP_206490828.1?report=genbank&amp;log$=prottop&amp;blast_rank=273&amp;RID=8XNW7U47013","WP_206490828.1")</f>
        <v>WP_206490828.1</v>
      </c>
    </row>
    <row r="328" spans="1:5">
      <c r="A328" s="4" t="s">
        <v>712</v>
      </c>
      <c r="B328" s="9">
        <v>0.8</v>
      </c>
      <c r="C328" s="10">
        <v>7.0000000000000003E-103</v>
      </c>
      <c r="D328" s="5">
        <v>50.31</v>
      </c>
      <c r="E328" s="11" t="str">
        <f>HYPERLINK("https://www.ncbi.nlm.nih.gov/protein/NLY36953.1?report=genbank&amp;log$=prottop&amp;blast_rank=426&amp;RID=8XNW7U47013","NLY36953.1")</f>
        <v>NLY36953.1</v>
      </c>
    </row>
    <row r="329" spans="1:5">
      <c r="A329" s="4" t="s">
        <v>610</v>
      </c>
      <c r="B329" s="9">
        <v>0.9</v>
      </c>
      <c r="C329" s="10">
        <v>9.9999999999999999E-117</v>
      </c>
      <c r="D329" s="5">
        <v>50.28</v>
      </c>
      <c r="E329" s="11" t="str">
        <f>HYPERLINK("https://www.ncbi.nlm.nih.gov/protein/MEA4822407.1?report=genbank&amp;log$=prottop&amp;blast_rank=222&amp;RID=8XNW7U47013","MEA4822407.1")</f>
        <v>MEA4822407.1</v>
      </c>
    </row>
    <row r="330" spans="1:5">
      <c r="A330" s="4" t="s">
        <v>682</v>
      </c>
      <c r="B330" s="9">
        <v>0.93</v>
      </c>
      <c r="C330" s="10">
        <v>4.0000000000000002E-108</v>
      </c>
      <c r="D330" s="5">
        <v>50.27</v>
      </c>
      <c r="E330" s="11" t="str">
        <f>HYPERLINK("https://www.ncbi.nlm.nih.gov/protein/WP_157403632.1?report=genbank&amp;log$=prottop&amp;blast_rank=366&amp;RID=8XNW7U47013","WP_157403632.1")</f>
        <v>WP_157403632.1</v>
      </c>
    </row>
    <row r="331" spans="1:5">
      <c r="A331" s="4" t="s">
        <v>495</v>
      </c>
      <c r="B331" s="9">
        <v>0.95</v>
      </c>
      <c r="C331" s="10">
        <v>9.9999999999999993E-130</v>
      </c>
      <c r="D331" s="5">
        <v>50.26</v>
      </c>
      <c r="E331" s="11" t="str">
        <f>HYPERLINK("https://www.ncbi.nlm.nih.gov/protein/WP_274730004.1?report=genbank&amp;log$=prottop&amp;blast_rank=15&amp;RID=8XNW7U47013","WP_274730004.1")</f>
        <v>WP_274730004.1</v>
      </c>
    </row>
    <row r="332" spans="1:5">
      <c r="A332" s="4" t="s">
        <v>544</v>
      </c>
      <c r="B332" s="9">
        <v>0.95</v>
      </c>
      <c r="C332" s="10">
        <v>4E-125</v>
      </c>
      <c r="D332" s="5">
        <v>50.26</v>
      </c>
      <c r="E332" s="11" t="str">
        <f>HYPERLINK("https://www.ncbi.nlm.nih.gov/protein/WP_274513065.1?report=genbank&amp;log$=prottop&amp;blast_rank=83&amp;RID=8XNW7U47013","WP_274513065.1")</f>
        <v>WP_274513065.1</v>
      </c>
    </row>
    <row r="333" spans="1:5">
      <c r="A333" s="4" t="s">
        <v>601</v>
      </c>
      <c r="B333" s="9">
        <v>0.97</v>
      </c>
      <c r="C333" s="10">
        <v>5.0000000000000001E-118</v>
      </c>
      <c r="D333" s="5">
        <v>50.26</v>
      </c>
      <c r="E333" s="11" t="str">
        <f>HYPERLINK("https://www.ncbi.nlm.nih.gov/protein/WP_197117263.1?report=genbank&amp;log$=prottop&amp;blast_rank=200&amp;RID=8XNW7U47013","WP_197117263.1")</f>
        <v>WP_197117263.1</v>
      </c>
    </row>
    <row r="334" spans="1:5">
      <c r="A334" s="4" t="s">
        <v>34</v>
      </c>
      <c r="B334" s="9">
        <v>0.94</v>
      </c>
      <c r="C334" s="10">
        <v>3.0000000000000002E-115</v>
      </c>
      <c r="D334" s="5">
        <v>50.26</v>
      </c>
      <c r="E334" s="11" t="str">
        <f>HYPERLINK("https://www.ncbi.nlm.nih.gov/protein/MDO4962834.1?report=genbank&amp;log$=prottop&amp;blast_rank=245&amp;RID=8XNW7U47013","MDO4962834.1")</f>
        <v>MDO4962834.1</v>
      </c>
    </row>
    <row r="335" spans="1:5">
      <c r="A335" s="4" t="s">
        <v>658</v>
      </c>
      <c r="B335" s="9">
        <v>0.94</v>
      </c>
      <c r="C335" s="10">
        <v>8.0000000000000007E-111</v>
      </c>
      <c r="D335" s="5">
        <v>50.26</v>
      </c>
      <c r="E335" s="11" t="str">
        <f>HYPERLINK("https://www.ncbi.nlm.nih.gov/protein/OFX81528.1?report=genbank&amp;log$=prottop&amp;blast_rank=317&amp;RID=8XNW7U47013","OFX81528.1")</f>
        <v>OFX81528.1</v>
      </c>
    </row>
    <row r="336" spans="1:5">
      <c r="A336" s="4" t="s">
        <v>648</v>
      </c>
      <c r="B336" s="9">
        <v>0.97</v>
      </c>
      <c r="C336" s="10">
        <v>8.9999999999999999E-111</v>
      </c>
      <c r="D336" s="5">
        <v>50.26</v>
      </c>
      <c r="E336" s="11" t="str">
        <f>HYPERLINK("https://www.ncbi.nlm.nih.gov/protein/MDU5695543.1?report=genbank&amp;log$=prottop&amp;blast_rank=319&amp;RID=8XNW7U47013","MDU5695543.1")</f>
        <v>MDU5695543.1</v>
      </c>
    </row>
    <row r="337" spans="1:5">
      <c r="A337" s="4" t="s">
        <v>648</v>
      </c>
      <c r="B337" s="9">
        <v>0.97</v>
      </c>
      <c r="C337" s="10">
        <v>1.0000000000000001E-110</v>
      </c>
      <c r="D337" s="5">
        <v>50.26</v>
      </c>
      <c r="E337" s="11" t="str">
        <f>HYPERLINK("https://www.ncbi.nlm.nih.gov/protein/WP_126471714.1?report=genbank&amp;log$=prottop&amp;blast_rank=323&amp;RID=8XNW7U47013","WP_126471714.1")</f>
        <v>WP_126471714.1</v>
      </c>
    </row>
    <row r="338" spans="1:5">
      <c r="A338" s="4" t="s">
        <v>648</v>
      </c>
      <c r="B338" s="9">
        <v>0.97</v>
      </c>
      <c r="C338" s="10">
        <v>2.0000000000000001E-110</v>
      </c>
      <c r="D338" s="5">
        <v>50.26</v>
      </c>
      <c r="E338" s="11" t="str">
        <f>HYPERLINK("https://www.ncbi.nlm.nih.gov/protein/MBS4798407.1?report=genbank&amp;log$=prottop&amp;blast_rank=324&amp;RID=8XNW7U47013","MBS4798407.1")</f>
        <v>MBS4798407.1</v>
      </c>
    </row>
    <row r="339" spans="1:5">
      <c r="A339" s="4" t="s">
        <v>670</v>
      </c>
      <c r="B339" s="9">
        <v>0.97</v>
      </c>
      <c r="C339" s="10">
        <v>2E-109</v>
      </c>
      <c r="D339" s="5">
        <v>50.26</v>
      </c>
      <c r="E339" s="11" t="str">
        <f>HYPERLINK("https://www.ncbi.nlm.nih.gov/protein/WP_070582211.1?report=genbank&amp;log$=prottop&amp;blast_rank=343&amp;RID=8XNW7U47013","WP_070582211.1")</f>
        <v>WP_070582211.1</v>
      </c>
    </row>
    <row r="340" spans="1:5">
      <c r="A340" s="4" t="s">
        <v>648</v>
      </c>
      <c r="B340" s="9">
        <v>0.97</v>
      </c>
      <c r="C340" s="10">
        <v>3.0000000000000002E-109</v>
      </c>
      <c r="D340" s="5">
        <v>50.26</v>
      </c>
      <c r="E340" s="11" t="str">
        <f>HYPERLINK("https://www.ncbi.nlm.nih.gov/protein/WP_049373986.1?report=genbank&amp;log$=prottop&amp;blast_rank=350&amp;RID=8XNW7U47013","WP_049373986.1")</f>
        <v>WP_049373986.1</v>
      </c>
    </row>
    <row r="341" spans="1:5">
      <c r="A341" s="4" t="s">
        <v>648</v>
      </c>
      <c r="B341" s="9">
        <v>0.97</v>
      </c>
      <c r="C341" s="10">
        <v>2.9999999999999997E-107</v>
      </c>
      <c r="D341" s="5">
        <v>50.26</v>
      </c>
      <c r="E341" s="11" t="str">
        <f>HYPERLINK("https://www.ncbi.nlm.nih.gov/protein/WP_193475784.1?report=genbank&amp;log$=prottop&amp;blast_rank=378&amp;RID=8XNW7U47013","WP_193475784.1")</f>
        <v>WP_193475784.1</v>
      </c>
    </row>
    <row r="342" spans="1:5">
      <c r="A342" s="4" t="s">
        <v>611</v>
      </c>
      <c r="B342" s="9">
        <v>0.97</v>
      </c>
      <c r="C342" s="10">
        <v>9.9999999999999996E-104</v>
      </c>
      <c r="D342" s="5">
        <v>50.26</v>
      </c>
      <c r="E342" s="11" t="str">
        <f>HYPERLINK("https://www.ncbi.nlm.nih.gov/protein/MBO6195367.1?report=genbank&amp;log$=prottop&amp;blast_rank=412&amp;RID=8XNW7U47013","MBO6195367.1")</f>
        <v>MBO6195367.1</v>
      </c>
    </row>
    <row r="343" spans="1:5">
      <c r="A343" s="4" t="s">
        <v>507</v>
      </c>
      <c r="B343" s="9">
        <v>1</v>
      </c>
      <c r="C343" s="10">
        <v>2.9999999999999998E-128</v>
      </c>
      <c r="D343" s="5">
        <v>50.25</v>
      </c>
      <c r="E343" s="11" t="str">
        <f>HYPERLINK("https://www.ncbi.nlm.nih.gov/protein/WP_301608774.1?report=genbank&amp;log$=prottop&amp;blast_rank=29&amp;RID=8XNW7U47013","WP_301608774.1")</f>
        <v>WP_301608774.1</v>
      </c>
    </row>
    <row r="344" spans="1:5">
      <c r="A344" s="4" t="s">
        <v>527</v>
      </c>
      <c r="B344" s="9">
        <v>0.98</v>
      </c>
      <c r="C344" s="10">
        <v>3.0000000000000002E-126</v>
      </c>
      <c r="D344" s="5">
        <v>50.25</v>
      </c>
      <c r="E344" s="11" t="str">
        <f>HYPERLINK("https://www.ncbi.nlm.nih.gov/protein/WP_198020458.1?report=genbank&amp;log$=prottop&amp;blast_rank=57&amp;RID=8XNW7U47013","WP_198020458.1")</f>
        <v>WP_198020458.1</v>
      </c>
    </row>
    <row r="345" spans="1:5">
      <c r="A345" s="4" t="s">
        <v>532</v>
      </c>
      <c r="B345" s="9">
        <v>0.98</v>
      </c>
      <c r="C345" s="10">
        <v>6.0000000000000003E-126</v>
      </c>
      <c r="D345" s="5">
        <v>50.25</v>
      </c>
      <c r="E345" s="11" t="str">
        <f>HYPERLINK("https://www.ncbi.nlm.nih.gov/protein/WP_218140352.1?report=genbank&amp;log$=prottop&amp;blast_rank=64&amp;RID=8XNW7U47013","WP_218140352.1")</f>
        <v>WP_218140352.1</v>
      </c>
    </row>
    <row r="346" spans="1:5">
      <c r="A346" s="4" t="s">
        <v>21</v>
      </c>
      <c r="B346" s="9">
        <v>0.98</v>
      </c>
      <c r="C346" s="10">
        <v>4.9999999999999997E-125</v>
      </c>
      <c r="D346" s="5">
        <v>50.25</v>
      </c>
      <c r="E346" s="11" t="str">
        <f>HYPERLINK("https://www.ncbi.nlm.nih.gov/protein/MBQ6959586.1?report=genbank&amp;log$=prottop&amp;blast_rank=85&amp;RID=8XNW7U47013","MBQ6959586.1")</f>
        <v>MBQ6959586.1</v>
      </c>
    </row>
    <row r="347" spans="1:5">
      <c r="A347" s="4" t="s">
        <v>566</v>
      </c>
      <c r="B347" s="9">
        <v>0.98</v>
      </c>
      <c r="C347" s="10">
        <v>5.9999999999999997E-123</v>
      </c>
      <c r="D347" s="5">
        <v>50.25</v>
      </c>
      <c r="E347" s="11" t="str">
        <f>HYPERLINK("https://www.ncbi.nlm.nih.gov/protein/WP_295248190.1?report=genbank&amp;log$=prottop&amp;blast_rank=118&amp;RID=8XNW7U47013","WP_295248190.1")</f>
        <v>WP_295248190.1</v>
      </c>
    </row>
    <row r="348" spans="1:5">
      <c r="A348" s="4" t="s">
        <v>502</v>
      </c>
      <c r="B348" s="9">
        <v>0.99</v>
      </c>
      <c r="C348" s="10">
        <v>2.0000000000000001E-128</v>
      </c>
      <c r="D348" s="5">
        <v>50</v>
      </c>
      <c r="E348" s="11" t="str">
        <f>HYPERLINK("https://www.ncbi.nlm.nih.gov/protein/MEQ6390338.1?report=genbank&amp;log$=prottop&amp;blast_rank=23&amp;RID=8XNW7U47013","MEQ6390338.1")</f>
        <v>MEQ6390338.1</v>
      </c>
    </row>
    <row r="349" spans="1:5">
      <c r="A349" s="4" t="s">
        <v>517</v>
      </c>
      <c r="B349" s="9">
        <v>0.99</v>
      </c>
      <c r="C349" s="10">
        <v>2.0000000000000001E-127</v>
      </c>
      <c r="D349" s="5">
        <v>50</v>
      </c>
      <c r="E349" s="11" t="str">
        <f>HYPERLINK("https://www.ncbi.nlm.nih.gov/protein/KGP76526.1?report=genbank&amp;log$=prottop&amp;blast_rank=41&amp;RID=8XNW7U47013","KGP76526.1")</f>
        <v>KGP76526.1</v>
      </c>
    </row>
    <row r="350" spans="1:5">
      <c r="A350" s="4" t="s">
        <v>541</v>
      </c>
      <c r="B350" s="9">
        <v>0.99</v>
      </c>
      <c r="C350" s="10">
        <v>2E-125</v>
      </c>
      <c r="D350" s="5">
        <v>50</v>
      </c>
      <c r="E350" s="11" t="str">
        <f>HYPERLINK("https://www.ncbi.nlm.nih.gov/protein/UUM12166.1?report=genbank&amp;log$=prottop&amp;blast_rank=79&amp;RID=8XNW7U47013","UUM12166.1")</f>
        <v>UUM12166.1</v>
      </c>
    </row>
    <row r="351" spans="1:5">
      <c r="A351" s="4" t="s">
        <v>574</v>
      </c>
      <c r="B351" s="9">
        <v>0.94</v>
      </c>
      <c r="C351" s="10">
        <v>8.0000000000000005E-122</v>
      </c>
      <c r="D351" s="5">
        <v>50</v>
      </c>
      <c r="E351" s="11" t="str">
        <f>HYPERLINK("https://www.ncbi.nlm.nih.gov/protein/MDU4960058.1?report=genbank&amp;log$=prottop&amp;blast_rank=129&amp;RID=8XNW7U47013","MDU4960058.1")</f>
        <v>MDU4960058.1</v>
      </c>
    </row>
    <row r="352" spans="1:5">
      <c r="A352" s="4" t="s">
        <v>581</v>
      </c>
      <c r="B352" s="9">
        <v>0.99</v>
      </c>
      <c r="C352" s="10">
        <v>2.9999999999999999E-121</v>
      </c>
      <c r="D352" s="5">
        <v>50</v>
      </c>
      <c r="E352" s="11" t="str">
        <f>HYPERLINK("https://www.ncbi.nlm.nih.gov/protein/WP_213423713.1?report=genbank&amp;log$=prottop&amp;blast_rank=140&amp;RID=8XNW7U47013","WP_213423713.1")</f>
        <v>WP_213423713.1</v>
      </c>
    </row>
    <row r="353" spans="1:5">
      <c r="A353" s="4" t="s">
        <v>29</v>
      </c>
      <c r="B353" s="9">
        <v>0.94</v>
      </c>
      <c r="C353" s="10">
        <v>2E-118</v>
      </c>
      <c r="D353" s="5">
        <v>50</v>
      </c>
      <c r="E353" s="11" t="str">
        <f>HYPERLINK("https://www.ncbi.nlm.nih.gov/protein/MDD6105344.1?report=genbank&amp;log$=prottop&amp;blast_rank=191&amp;RID=8XNW7U47013","MDD6105344.1")</f>
        <v>MDD6105344.1</v>
      </c>
    </row>
    <row r="354" spans="1:5">
      <c r="A354" s="4" t="s">
        <v>609</v>
      </c>
      <c r="B354" s="9">
        <v>0.99</v>
      </c>
      <c r="C354" s="10">
        <v>6.9999999999999997E-117</v>
      </c>
      <c r="D354" s="5">
        <v>50</v>
      </c>
      <c r="E354" s="11" t="str">
        <f>HYPERLINK("https://www.ncbi.nlm.nih.gov/protein/WP_017754387.1?report=genbank&amp;log$=prottop&amp;blast_rank=220&amp;RID=8XNW7U47013","WP_017754387.1")</f>
        <v>WP_017754387.1</v>
      </c>
    </row>
    <row r="355" spans="1:5">
      <c r="A355" s="4" t="s">
        <v>622</v>
      </c>
      <c r="B355" s="9">
        <v>0.98</v>
      </c>
      <c r="C355" s="10">
        <v>1.0000000000000001E-114</v>
      </c>
      <c r="D355" s="5">
        <v>50</v>
      </c>
      <c r="E355" s="11" t="str">
        <f>HYPERLINK("https://www.ncbi.nlm.nih.gov/protein/MBP5199506.1?report=genbank&amp;log$=prottop&amp;blast_rank=252&amp;RID=8XNW7U47013","MBP5199506.1")</f>
        <v>MBP5199506.1</v>
      </c>
    </row>
    <row r="356" spans="1:5">
      <c r="A356" s="4" t="s">
        <v>667</v>
      </c>
      <c r="B356" s="9">
        <v>0.94</v>
      </c>
      <c r="C356" s="10">
        <v>9.9999999999999999E-110</v>
      </c>
      <c r="D356" s="5">
        <v>50</v>
      </c>
      <c r="E356" s="11" t="str">
        <f>HYPERLINK("https://www.ncbi.nlm.nih.gov/protein/WP_282592308.1?report=genbank&amp;log$=prottop&amp;blast_rank=340&amp;RID=8XNW7U47013","WP_282592308.1")</f>
        <v>WP_282592308.1</v>
      </c>
    </row>
    <row r="357" spans="1:5">
      <c r="A357" s="4" t="s">
        <v>700</v>
      </c>
      <c r="B357" s="9">
        <v>0.94</v>
      </c>
      <c r="C357" s="10">
        <v>3.0000000000000002E-104</v>
      </c>
      <c r="D357" s="5">
        <v>50</v>
      </c>
      <c r="E357" s="11" t="str">
        <f>HYPERLINK("https://www.ncbi.nlm.nih.gov/protein/WP_154535172.1?report=genbank&amp;log$=prottop&amp;blast_rank=405&amp;RID=8XNW7U47013","WP_154535172.1")</f>
        <v>WP_154535172.1</v>
      </c>
    </row>
    <row r="358" spans="1:5">
      <c r="A358" s="4" t="s">
        <v>698</v>
      </c>
      <c r="B358" s="9">
        <v>0.98</v>
      </c>
      <c r="C358" s="10">
        <v>3.0000000000000002E-104</v>
      </c>
      <c r="D358" s="5">
        <v>50</v>
      </c>
      <c r="E358" s="11" t="str">
        <f>HYPERLINK("https://www.ncbi.nlm.nih.gov/protein/WP_228023670.1?report=genbank&amp;log$=prottop&amp;blast_rank=406&amp;RID=8XNW7U47013","WP_228023670.1")</f>
        <v>WP_228023670.1</v>
      </c>
    </row>
    <row r="359" spans="1:5">
      <c r="A359" s="4" t="s">
        <v>701</v>
      </c>
      <c r="B359" s="9">
        <v>0.98</v>
      </c>
      <c r="C359" s="10">
        <v>4.9999999999999998E-104</v>
      </c>
      <c r="D359" s="5">
        <v>50</v>
      </c>
      <c r="E359" s="11" t="str">
        <f>HYPERLINK("https://www.ncbi.nlm.nih.gov/protein/EFB34797.1?report=genbank&amp;log$=prottop&amp;blast_rank=407&amp;RID=8XNW7U47013","EFB34797.1")</f>
        <v>EFB34797.1</v>
      </c>
    </row>
    <row r="360" spans="1:5">
      <c r="A360" s="4" t="s">
        <v>234</v>
      </c>
      <c r="B360" s="9">
        <v>0.94</v>
      </c>
      <c r="C360" s="10">
        <v>9.9999999999999996E-104</v>
      </c>
      <c r="D360" s="5">
        <v>50</v>
      </c>
      <c r="E360" s="11" t="str">
        <f>HYPERLINK("https://www.ncbi.nlm.nih.gov/protein/NLI20911.1?report=genbank&amp;log$=prottop&amp;blast_rank=410&amp;RID=8XNW7U47013","NLI20911.1")</f>
        <v>NLI20911.1</v>
      </c>
    </row>
    <row r="361" spans="1:5">
      <c r="A361" s="4" t="s">
        <v>204</v>
      </c>
      <c r="B361" s="9">
        <v>0.98</v>
      </c>
      <c r="C361" s="10">
        <v>9.9999999999999996E-104</v>
      </c>
      <c r="D361" s="5">
        <v>50</v>
      </c>
      <c r="E361" s="11" t="str">
        <f>HYPERLINK("https://www.ncbi.nlm.nih.gov/protein/MEE0994610.1?report=genbank&amp;log$=prottop&amp;blast_rank=411&amp;RID=8XNW7U47013","MEE0994610.1")</f>
        <v>MEE0994610.1</v>
      </c>
    </row>
    <row r="362" spans="1:5">
      <c r="A362" s="4" t="s">
        <v>535</v>
      </c>
      <c r="B362" s="9">
        <v>0.98</v>
      </c>
      <c r="C362" s="10">
        <v>1E-125</v>
      </c>
      <c r="D362" s="5">
        <v>49.75</v>
      </c>
      <c r="E362" s="11" t="str">
        <f>HYPERLINK("https://www.ncbi.nlm.nih.gov/protein/MDE8717267.1?report=genbank&amp;log$=prottop&amp;blast_rank=69&amp;RID=8XNW7U47013","MDE8717267.1")</f>
        <v>MDE8717267.1</v>
      </c>
    </row>
    <row r="363" spans="1:5">
      <c r="A363" s="4" t="s">
        <v>549</v>
      </c>
      <c r="B363" s="9">
        <v>0.98</v>
      </c>
      <c r="C363" s="10">
        <v>9.9999999999999993E-125</v>
      </c>
      <c r="D363" s="5">
        <v>49.75</v>
      </c>
      <c r="E363" s="11" t="str">
        <f>HYPERLINK("https://www.ncbi.nlm.nih.gov/protein/RHT00314.1?report=genbank&amp;log$=prottop&amp;blast_rank=91&amp;RID=8XNW7U47013","RHT00314.1")</f>
        <v>RHT00314.1</v>
      </c>
    </row>
    <row r="364" spans="1:5">
      <c r="A364" s="4" t="s">
        <v>553</v>
      </c>
      <c r="B364" s="9">
        <v>0.98</v>
      </c>
      <c r="C364" s="10">
        <v>9.9999999999999993E-125</v>
      </c>
      <c r="D364" s="5">
        <v>49.75</v>
      </c>
      <c r="E364" s="11" t="str">
        <f>HYPERLINK("https://www.ncbi.nlm.nih.gov/protein/OLA08990.1?report=genbank&amp;log$=prottop&amp;blast_rank=95&amp;RID=8XNW7U47013","OLA08990.1")</f>
        <v>OLA08990.1</v>
      </c>
    </row>
    <row r="365" spans="1:5">
      <c r="A365" s="4" t="s">
        <v>557</v>
      </c>
      <c r="B365" s="9">
        <v>0.98</v>
      </c>
      <c r="C365" s="10">
        <v>6E-124</v>
      </c>
      <c r="D365" s="5">
        <v>49.75</v>
      </c>
      <c r="E365" s="11" t="str">
        <f>HYPERLINK("https://www.ncbi.nlm.nih.gov/protein/WP_147565209.1?report=genbank&amp;log$=prottop&amp;blast_rank=101&amp;RID=8XNW7U47013","WP_147565209.1")</f>
        <v>WP_147565209.1</v>
      </c>
    </row>
    <row r="366" spans="1:5">
      <c r="A366" s="4" t="s">
        <v>138</v>
      </c>
      <c r="B366" s="9">
        <v>0.98</v>
      </c>
      <c r="C366" s="10">
        <v>4.0000000000000002E-110</v>
      </c>
      <c r="D366" s="5">
        <v>49.75</v>
      </c>
      <c r="E366" s="11" t="str">
        <f>HYPERLINK("https://www.ncbi.nlm.nih.gov/protein/GHT42227.1?report=genbank&amp;log$=prottop&amp;blast_rank=329&amp;RID=8XNW7U47013","GHT42227.1")</f>
        <v>GHT42227.1</v>
      </c>
    </row>
    <row r="367" spans="1:5">
      <c r="A367" s="4" t="s">
        <v>485</v>
      </c>
      <c r="B367" s="9">
        <v>0.97</v>
      </c>
      <c r="C367" s="10">
        <v>4.9999999999999997E-127</v>
      </c>
      <c r="D367" s="5">
        <v>49.74</v>
      </c>
      <c r="E367" s="11" t="str">
        <f>HYPERLINK("https://www.ncbi.nlm.nih.gov/protein/WP_205763009.1?report=genbank&amp;log$=prottop&amp;blast_rank=49&amp;RID=8XNW7U47013","WP_205763009.1")</f>
        <v>WP_205763009.1</v>
      </c>
    </row>
    <row r="368" spans="1:5">
      <c r="A368" s="4" t="s">
        <v>552</v>
      </c>
      <c r="B368" s="9">
        <v>0.94</v>
      </c>
      <c r="C368" s="10">
        <v>9.9999999999999993E-125</v>
      </c>
      <c r="D368" s="5">
        <v>49.74</v>
      </c>
      <c r="E368" s="11" t="str">
        <f>HYPERLINK("https://www.ncbi.nlm.nih.gov/protein/NLL66796.1?report=genbank&amp;log$=prottop&amp;blast_rank=94&amp;RID=8XNW7U47013","NLL66796.1")</f>
        <v>NLL66796.1</v>
      </c>
    </row>
    <row r="369" spans="1:5">
      <c r="A369" s="4" t="s">
        <v>659</v>
      </c>
      <c r="B369" s="9">
        <v>0.97</v>
      </c>
      <c r="C369" s="10">
        <v>1.0000000000000001E-110</v>
      </c>
      <c r="D369" s="5">
        <v>49.74</v>
      </c>
      <c r="E369" s="11" t="str">
        <f>HYPERLINK("https://www.ncbi.nlm.nih.gov/protein/WP_290990107.1?report=genbank&amp;log$=prottop&amp;blast_rank=320&amp;RID=8XNW7U47013","WP_290990107.1")</f>
        <v>WP_290990107.1</v>
      </c>
    </row>
    <row r="370" spans="1:5">
      <c r="A370" s="4" t="s">
        <v>648</v>
      </c>
      <c r="B370" s="9">
        <v>0.97</v>
      </c>
      <c r="C370" s="10">
        <v>2.0000000000000001E-110</v>
      </c>
      <c r="D370" s="5">
        <v>49.74</v>
      </c>
      <c r="E370" s="11" t="str">
        <f>HYPERLINK("https://www.ncbi.nlm.nih.gov/protein/WP_049370299.1?report=genbank&amp;log$=prottop&amp;blast_rank=327&amp;RID=8XNW7U47013","WP_049370299.1")</f>
        <v>WP_049370299.1</v>
      </c>
    </row>
    <row r="371" spans="1:5">
      <c r="A371" s="4" t="s">
        <v>677</v>
      </c>
      <c r="B371" s="9">
        <v>0.94</v>
      </c>
      <c r="C371" s="10">
        <v>6.0000000000000004E-109</v>
      </c>
      <c r="D371" s="5">
        <v>49.74</v>
      </c>
      <c r="E371" s="11" t="str">
        <f>HYPERLINK("https://www.ncbi.nlm.nih.gov/protein/WP_291862214.1?report=genbank&amp;log$=prottop&amp;blast_rank=353&amp;RID=8XNW7U47013","WP_291862214.1")</f>
        <v>WP_291862214.1</v>
      </c>
    </row>
    <row r="372" spans="1:5">
      <c r="A372" s="4" t="s">
        <v>648</v>
      </c>
      <c r="B372" s="9">
        <v>0.97</v>
      </c>
      <c r="C372" s="10">
        <v>9.9999999999999994E-107</v>
      </c>
      <c r="D372" s="5">
        <v>49.74</v>
      </c>
      <c r="E372" s="11" t="str">
        <f>HYPERLINK("https://www.ncbi.nlm.nih.gov/protein/WP_197546823.1?report=genbank&amp;log$=prottop&amp;blast_rank=385&amp;RID=8XNW7U47013","WP_197546823.1")</f>
        <v>WP_197546823.1</v>
      </c>
    </row>
    <row r="373" spans="1:5">
      <c r="A373" s="4" t="s">
        <v>225</v>
      </c>
      <c r="B373" s="9">
        <v>0.93</v>
      </c>
      <c r="C373" s="10">
        <v>5.0000000000000001E-101</v>
      </c>
      <c r="D373" s="5">
        <v>49.73</v>
      </c>
      <c r="E373" s="11" t="str">
        <f>HYPERLINK("https://www.ncbi.nlm.nih.gov/protein/MBO4443684.1?report=genbank&amp;log$=prottop&amp;blast_rank=457&amp;RID=8XNW7U47013","MBO4443684.1")</f>
        <v>MBO4443684.1</v>
      </c>
    </row>
    <row r="374" spans="1:5">
      <c r="A374" s="4" t="s">
        <v>112</v>
      </c>
      <c r="B374" s="9">
        <v>1</v>
      </c>
      <c r="C374" s="10">
        <v>2E-121</v>
      </c>
      <c r="D374" s="5">
        <v>49.5</v>
      </c>
      <c r="E374" s="11" t="str">
        <f>HYPERLINK("https://www.ncbi.nlm.nih.gov/protein/HSW67019.1?report=genbank&amp;log$=prottop&amp;blast_rank=134&amp;RID=8XNW7U47013","HSW67019.1")</f>
        <v>HSW67019.1</v>
      </c>
    </row>
    <row r="375" spans="1:5">
      <c r="A375" s="4" t="s">
        <v>484</v>
      </c>
      <c r="B375" s="9">
        <v>0.99</v>
      </c>
      <c r="C375" s="10">
        <v>9.9999999999999999E-132</v>
      </c>
      <c r="D375" s="5">
        <v>49.49</v>
      </c>
      <c r="E375" s="11" t="str">
        <f>HYPERLINK("https://www.ncbi.nlm.nih.gov/protein/ERI11214.1?report=genbank&amp;log$=prottop&amp;blast_rank=1&amp;RID=8XNW7U47013","ERI11214.1")</f>
        <v>ERI11214.1</v>
      </c>
    </row>
    <row r="376" spans="1:5">
      <c r="A376" s="4" t="s">
        <v>485</v>
      </c>
      <c r="B376" s="9">
        <v>0.99</v>
      </c>
      <c r="C376" s="10">
        <v>2E-131</v>
      </c>
      <c r="D376" s="5">
        <v>49.49</v>
      </c>
      <c r="E376" s="11" t="str">
        <f>HYPERLINK("https://www.ncbi.nlm.nih.gov/protein/WP_081696112.1?report=genbank&amp;log$=prottop&amp;blast_rank=2&amp;RID=8XNW7U47013","WP_081696112.1")</f>
        <v>WP_081696112.1</v>
      </c>
    </row>
    <row r="377" spans="1:5">
      <c r="A377" s="4" t="s">
        <v>485</v>
      </c>
      <c r="B377" s="9">
        <v>0.99</v>
      </c>
      <c r="C377" s="10">
        <v>3E-131</v>
      </c>
      <c r="D377" s="5">
        <v>49.49</v>
      </c>
      <c r="E377" s="11" t="str">
        <f>HYPERLINK("https://www.ncbi.nlm.nih.gov/protein/WP_277137721.1?report=genbank&amp;log$=prottop&amp;blast_rank=3&amp;RID=8XNW7U47013","WP_277137721.1")</f>
        <v>WP_277137721.1</v>
      </c>
    </row>
    <row r="378" spans="1:5">
      <c r="A378" s="4" t="s">
        <v>486</v>
      </c>
      <c r="B378" s="9">
        <v>0.99</v>
      </c>
      <c r="C378" s="10">
        <v>3.9999999999999999E-131</v>
      </c>
      <c r="D378" s="5">
        <v>49.49</v>
      </c>
      <c r="E378" s="11" t="str">
        <f>HYPERLINK("https://www.ncbi.nlm.nih.gov/protein/WP_308037588.1?report=genbank&amp;log$=prottop&amp;blast_rank=4&amp;RID=8XNW7U47013","WP_308037588.1")</f>
        <v>WP_308037588.1</v>
      </c>
    </row>
    <row r="379" spans="1:5">
      <c r="A379" s="4" t="s">
        <v>501</v>
      </c>
      <c r="B379" s="9">
        <v>0.99</v>
      </c>
      <c r="C379" s="10">
        <v>1.0000000000000001E-128</v>
      </c>
      <c r="D379" s="5">
        <v>49.49</v>
      </c>
      <c r="E379" s="11" t="str">
        <f>HYPERLINK("https://www.ncbi.nlm.nih.gov/protein/WP_143215830.1?report=genbank&amp;log$=prottop&amp;blast_rank=22&amp;RID=8XNW7U47013","WP_143215830.1")</f>
        <v>WP_143215830.1</v>
      </c>
    </row>
    <row r="380" spans="1:5">
      <c r="A380" s="4" t="s">
        <v>35</v>
      </c>
      <c r="B380" s="9">
        <v>0.99</v>
      </c>
      <c r="C380" s="10">
        <v>2.0000000000000001E-127</v>
      </c>
      <c r="D380" s="5">
        <v>49.49</v>
      </c>
      <c r="E380" s="11" t="str">
        <f>HYPERLINK("https://www.ncbi.nlm.nih.gov/protein/MBS4007017.1?report=genbank&amp;log$=prottop&amp;blast_rank=42&amp;RID=8XNW7U47013","MBS4007017.1")</f>
        <v>MBS4007017.1</v>
      </c>
    </row>
    <row r="381" spans="1:5">
      <c r="A381" s="4" t="s">
        <v>30</v>
      </c>
      <c r="B381" s="9">
        <v>0.99</v>
      </c>
      <c r="C381" s="10">
        <v>4.9999999999999997E-127</v>
      </c>
      <c r="D381" s="5">
        <v>49.49</v>
      </c>
      <c r="E381" s="11" t="str">
        <f>HYPERLINK("https://www.ncbi.nlm.nih.gov/protein/WP_077272281.1?report=genbank&amp;log$=prottop&amp;blast_rank=46&amp;RID=8XNW7U47013","WP_077272281.1")</f>
        <v>WP_077272281.1</v>
      </c>
    </row>
    <row r="382" spans="1:5">
      <c r="A382" s="4" t="s">
        <v>522</v>
      </c>
      <c r="B382" s="9">
        <v>0.99</v>
      </c>
      <c r="C382" s="10">
        <v>4.9999999999999997E-127</v>
      </c>
      <c r="D382" s="5">
        <v>49.49</v>
      </c>
      <c r="E382" s="11" t="str">
        <f>HYPERLINK("https://www.ncbi.nlm.nih.gov/protein/WP_211800558.1?report=genbank&amp;log$=prottop&amp;blast_rank=48&amp;RID=8XNW7U47013","WP_211800558.1")</f>
        <v>WP_211800558.1</v>
      </c>
    </row>
    <row r="383" spans="1:5">
      <c r="A383" s="4" t="s">
        <v>525</v>
      </c>
      <c r="B383" s="9">
        <v>0.99</v>
      </c>
      <c r="C383" s="10">
        <v>1.9999999999999999E-126</v>
      </c>
      <c r="D383" s="5">
        <v>49.49</v>
      </c>
      <c r="E383" s="11" t="str">
        <f>HYPERLINK("https://www.ncbi.nlm.nih.gov/protein/HEN0254077.1?report=genbank&amp;log$=prottop&amp;blast_rank=55&amp;RID=8XNW7U47013","HEN0254077.1")</f>
        <v>HEN0254077.1</v>
      </c>
    </row>
    <row r="384" spans="1:5">
      <c r="A384" s="4" t="s">
        <v>637</v>
      </c>
      <c r="B384" s="9">
        <v>0.94</v>
      </c>
      <c r="C384" s="10">
        <v>2.9999999999999999E-108</v>
      </c>
      <c r="D384" s="5">
        <v>49.48</v>
      </c>
      <c r="E384" s="11" t="str">
        <f>HYPERLINK("https://www.ncbi.nlm.nih.gov/protein/MEA4931132.1?report=genbank&amp;log$=prottop&amp;blast_rank=363&amp;RID=8XNW7U47013","MEA4931132.1")</f>
        <v>MEA4931132.1</v>
      </c>
    </row>
    <row r="385" spans="1:5">
      <c r="A385" s="4" t="s">
        <v>655</v>
      </c>
      <c r="B385" s="9">
        <v>0.96</v>
      </c>
      <c r="C385" s="10">
        <v>2E-107</v>
      </c>
      <c r="D385" s="5">
        <v>49.48</v>
      </c>
      <c r="E385" s="11" t="str">
        <f>HYPERLINK("https://www.ncbi.nlm.nih.gov/protein/WP_118805708.1?report=genbank&amp;log$=prottop&amp;blast_rank=374&amp;RID=8XNW7U47013","WP_118805708.1")</f>
        <v>WP_118805708.1</v>
      </c>
    </row>
    <row r="386" spans="1:5">
      <c r="A386" s="4" t="s">
        <v>645</v>
      </c>
      <c r="B386" s="9">
        <v>0.94</v>
      </c>
      <c r="C386" s="10">
        <v>1.9999999999999999E-112</v>
      </c>
      <c r="D386" s="5">
        <v>49.47</v>
      </c>
      <c r="E386" s="11" t="str">
        <f>HYPERLINK("https://www.ncbi.nlm.nih.gov/protein/NLW61574.1?report=genbank&amp;log$=prottop&amp;blast_rank=291&amp;RID=8XNW7U47013","NLW61574.1")</f>
        <v>NLW61574.1</v>
      </c>
    </row>
    <row r="387" spans="1:5">
      <c r="A387" s="4" t="s">
        <v>21</v>
      </c>
      <c r="B387" s="9">
        <v>0.94</v>
      </c>
      <c r="C387" s="10">
        <v>3.0000000000000001E-111</v>
      </c>
      <c r="D387" s="5">
        <v>49.47</v>
      </c>
      <c r="E387" s="11" t="str">
        <f>HYPERLINK("https://www.ncbi.nlm.nih.gov/protein/MCI9247187.1?report=genbank&amp;log$=prottop&amp;blast_rank=311&amp;RID=8XNW7U47013","MCI9247187.1")</f>
        <v>MCI9247187.1</v>
      </c>
    </row>
    <row r="388" spans="1:5">
      <c r="A388" s="4" t="s">
        <v>678</v>
      </c>
      <c r="B388" s="9">
        <v>0.93</v>
      </c>
      <c r="C388" s="10">
        <v>6.0000000000000004E-109</v>
      </c>
      <c r="D388" s="5">
        <v>49.47</v>
      </c>
      <c r="E388" s="11" t="str">
        <f>HYPERLINK("https://www.ncbi.nlm.nih.gov/protein/MDO4896742.1?report=genbank&amp;log$=prottop&amp;blast_rank=354&amp;RID=8XNW7U47013","MDO4896742.1")</f>
        <v>MDO4896742.1</v>
      </c>
    </row>
    <row r="389" spans="1:5">
      <c r="A389" s="4" t="s">
        <v>734</v>
      </c>
      <c r="B389" s="9">
        <v>0.93</v>
      </c>
      <c r="C389" s="10">
        <v>2E-99</v>
      </c>
      <c r="D389" s="5">
        <v>49.47</v>
      </c>
      <c r="E389" s="11" t="str">
        <f>HYPERLINK("https://www.ncbi.nlm.nih.gov/protein/WP_181492042.1?report=genbank&amp;log$=prottop&amp;blast_rank=486&amp;RID=8XNW7U47013","WP_181492042.1")</f>
        <v>WP_181492042.1</v>
      </c>
    </row>
    <row r="390" spans="1:5">
      <c r="A390" s="4" t="s">
        <v>698</v>
      </c>
      <c r="B390" s="9">
        <v>0.98</v>
      </c>
      <c r="C390" s="10">
        <v>2E-99</v>
      </c>
      <c r="D390" s="5">
        <v>49.25</v>
      </c>
      <c r="E390" s="11" t="str">
        <f>HYPERLINK("https://www.ncbi.nlm.nih.gov/protein/WP_259306308.1?report=genbank&amp;log$=prottop&amp;blast_rank=481&amp;RID=8XNW7U47013","WP_259306308.1")</f>
        <v>WP_259306308.1</v>
      </c>
    </row>
    <row r="391" spans="1:5">
      <c r="A391" s="4" t="s">
        <v>706</v>
      </c>
      <c r="B391" s="9">
        <v>1</v>
      </c>
      <c r="C391" s="10">
        <v>2E-99</v>
      </c>
      <c r="D391" s="5">
        <v>49.25</v>
      </c>
      <c r="E391" s="11" t="str">
        <f>HYPERLINK("https://www.ncbi.nlm.nih.gov/protein/MCB9018513.1?report=genbank&amp;log$=prottop&amp;blast_rank=482&amp;RID=8XNW7U47013","MCB9018513.1")</f>
        <v>MCB9018513.1</v>
      </c>
    </row>
    <row r="392" spans="1:5">
      <c r="A392" s="4" t="s">
        <v>524</v>
      </c>
      <c r="B392" s="9">
        <v>0.98</v>
      </c>
      <c r="C392" s="10">
        <v>9.9999999999999995E-127</v>
      </c>
      <c r="D392" s="5">
        <v>49.24</v>
      </c>
      <c r="E392" s="11" t="str">
        <f>HYPERLINK("https://www.ncbi.nlm.nih.gov/protein/WP_349093518.1?report=genbank&amp;log$=prottop&amp;blast_rank=52&amp;RID=8XNW7U47013","WP_349093518.1")</f>
        <v>WP_349093518.1</v>
      </c>
    </row>
    <row r="393" spans="1:5">
      <c r="A393" s="4" t="s">
        <v>524</v>
      </c>
      <c r="B393" s="9">
        <v>0.98</v>
      </c>
      <c r="C393" s="10">
        <v>2.9999999999999999E-125</v>
      </c>
      <c r="D393" s="5">
        <v>49.24</v>
      </c>
      <c r="E393" s="11" t="str">
        <f>HYPERLINK("https://www.ncbi.nlm.nih.gov/protein/WP_270227459.1?report=genbank&amp;log$=prottop&amp;blast_rank=82&amp;RID=8XNW7U47013","WP_270227459.1")</f>
        <v>WP_270227459.1</v>
      </c>
    </row>
    <row r="394" spans="1:5">
      <c r="A394" s="4" t="s">
        <v>554</v>
      </c>
      <c r="B394" s="9">
        <v>0.98</v>
      </c>
      <c r="C394" s="10">
        <v>9.9999999999999993E-125</v>
      </c>
      <c r="D394" s="5">
        <v>49.24</v>
      </c>
      <c r="E394" s="11" t="str">
        <f>HYPERLINK("https://www.ncbi.nlm.nih.gov/protein/WP_118589073.1?report=genbank&amp;log$=prottop&amp;blast_rank=96&amp;RID=8XNW7U47013","WP_118589073.1")</f>
        <v>WP_118589073.1</v>
      </c>
    </row>
    <row r="395" spans="1:5">
      <c r="A395" s="4" t="s">
        <v>506</v>
      </c>
      <c r="B395" s="9">
        <v>0.97</v>
      </c>
      <c r="C395" s="10">
        <v>2.0000000000000001E-128</v>
      </c>
      <c r="D395" s="5">
        <v>49.23</v>
      </c>
      <c r="E395" s="11" t="str">
        <f>HYPERLINK("https://www.ncbi.nlm.nih.gov/protein/HEM3687596.1?report=genbank&amp;log$=prottop&amp;blast_rank=28&amp;RID=8XNW7U47013","HEM3687596.1")</f>
        <v>HEM3687596.1</v>
      </c>
    </row>
    <row r="396" spans="1:5">
      <c r="A396" s="4" t="s">
        <v>506</v>
      </c>
      <c r="B396" s="9">
        <v>0.97</v>
      </c>
      <c r="C396" s="10">
        <v>4.0000000000000002E-128</v>
      </c>
      <c r="D396" s="5">
        <v>49.23</v>
      </c>
      <c r="E396" s="11" t="str">
        <f>HYPERLINK("https://www.ncbi.nlm.nih.gov/protein/HEM3617929.1?report=genbank&amp;log$=prottop&amp;blast_rank=32&amp;RID=8XNW7U47013","HEM3617929.1")</f>
        <v>HEM3617929.1</v>
      </c>
    </row>
    <row r="397" spans="1:5">
      <c r="A397" s="4" t="s">
        <v>534</v>
      </c>
      <c r="B397" s="9">
        <v>0.97</v>
      </c>
      <c r="C397" s="10">
        <v>9.0000000000000005E-126</v>
      </c>
      <c r="D397" s="5">
        <v>49.23</v>
      </c>
      <c r="E397" s="11" t="str">
        <f>HYPERLINK("https://www.ncbi.nlm.nih.gov/protein/WP_323443341.1?report=genbank&amp;log$=prottop&amp;blast_rank=68&amp;RID=8XNW7U47013","WP_323443341.1")</f>
        <v>WP_323443341.1</v>
      </c>
    </row>
    <row r="398" spans="1:5">
      <c r="A398" s="4" t="s">
        <v>499</v>
      </c>
      <c r="B398" s="9">
        <v>0.95</v>
      </c>
      <c r="C398" s="10">
        <v>9.0000000000000006E-129</v>
      </c>
      <c r="D398" s="5">
        <v>49.21</v>
      </c>
      <c r="E398" s="11" t="str">
        <f>HYPERLINK("https://www.ncbi.nlm.nih.gov/protein/WP_270337710.1?report=genbank&amp;log$=prottop&amp;blast_rank=19&amp;RID=8XNW7U47013","WP_270337710.1")</f>
        <v>WP_270337710.1</v>
      </c>
    </row>
    <row r="399" spans="1:5">
      <c r="A399" s="4" t="s">
        <v>520</v>
      </c>
      <c r="B399" s="9">
        <v>0.95</v>
      </c>
      <c r="C399" s="10">
        <v>3.0000000000000001E-127</v>
      </c>
      <c r="D399" s="5">
        <v>49.21</v>
      </c>
      <c r="E399" s="11" t="str">
        <f>HYPERLINK("https://www.ncbi.nlm.nih.gov/protein/WP_200787930.1?report=genbank&amp;log$=prottop&amp;blast_rank=45&amp;RID=8XNW7U47013","WP_200787930.1")</f>
        <v>WP_200787930.1</v>
      </c>
    </row>
    <row r="400" spans="1:5">
      <c r="A400" s="4" t="s">
        <v>526</v>
      </c>
      <c r="B400" s="9">
        <v>0.95</v>
      </c>
      <c r="C400" s="10">
        <v>3.0000000000000002E-126</v>
      </c>
      <c r="D400" s="5">
        <v>49.21</v>
      </c>
      <c r="E400" s="11" t="str">
        <f>HYPERLINK("https://www.ncbi.nlm.nih.gov/protein/WP_206184336.1?report=genbank&amp;log$=prottop&amp;blast_rank=56&amp;RID=8XNW7U47013","WP_206184336.1")</f>
        <v>WP_206184336.1</v>
      </c>
    </row>
    <row r="401" spans="1:5">
      <c r="A401" s="4" t="s">
        <v>487</v>
      </c>
      <c r="B401" s="9">
        <v>0.95</v>
      </c>
      <c r="C401" s="10">
        <v>2E-125</v>
      </c>
      <c r="D401" s="5">
        <v>49.21</v>
      </c>
      <c r="E401" s="11" t="str">
        <f>HYPERLINK("https://www.ncbi.nlm.nih.gov/protein/WP_283592141.1?report=genbank&amp;log$=prottop&amp;blast_rank=75&amp;RID=8XNW7U47013","WP_283592141.1")</f>
        <v>WP_283592141.1</v>
      </c>
    </row>
    <row r="402" spans="1:5">
      <c r="A402" s="4" t="s">
        <v>540</v>
      </c>
      <c r="B402" s="9">
        <v>0.95</v>
      </c>
      <c r="C402" s="10">
        <v>2E-125</v>
      </c>
      <c r="D402" s="5">
        <v>49.21</v>
      </c>
      <c r="E402" s="11" t="str">
        <f>HYPERLINK("https://www.ncbi.nlm.nih.gov/protein/MBP9562189.1?report=genbank&amp;log$=prottop&amp;blast_rank=78&amp;RID=8XNW7U47013","MBP9562189.1")</f>
        <v>MBP9562189.1</v>
      </c>
    </row>
    <row r="403" spans="1:5">
      <c r="A403" s="4" t="s">
        <v>526</v>
      </c>
      <c r="B403" s="9">
        <v>0.95</v>
      </c>
      <c r="C403" s="10">
        <v>9.9999999999999993E-125</v>
      </c>
      <c r="D403" s="5">
        <v>49.21</v>
      </c>
      <c r="E403" s="11" t="str">
        <f>HYPERLINK("https://www.ncbi.nlm.nih.gov/protein/RYL87092.1?report=genbank&amp;log$=prottop&amp;blast_rank=90&amp;RID=8XNW7U47013","RYL87092.1")</f>
        <v>RYL87092.1</v>
      </c>
    </row>
    <row r="404" spans="1:5">
      <c r="A404" s="4" t="s">
        <v>544</v>
      </c>
      <c r="B404" s="9">
        <v>0.95</v>
      </c>
      <c r="C404" s="10">
        <v>1.0000000000000001E-123</v>
      </c>
      <c r="D404" s="5">
        <v>49.21</v>
      </c>
      <c r="E404" s="11" t="str">
        <f>HYPERLINK("https://www.ncbi.nlm.nih.gov/protein/WP_253952851.1?report=genbank&amp;log$=prottop&amp;blast_rank=104&amp;RID=8XNW7U47013","WP_253952851.1")</f>
        <v>WP_253952851.1</v>
      </c>
    </row>
    <row r="405" spans="1:5">
      <c r="A405" s="4" t="s">
        <v>544</v>
      </c>
      <c r="B405" s="9">
        <v>0.95</v>
      </c>
      <c r="C405" s="10">
        <v>4.0000000000000002E-123</v>
      </c>
      <c r="D405" s="5">
        <v>49.21</v>
      </c>
      <c r="E405" s="11" t="str">
        <f>HYPERLINK("https://www.ncbi.nlm.nih.gov/protein/QWV87560.1?report=genbank&amp;log$=prottop&amp;blast_rank=116&amp;RID=8XNW7U47013","QWV87560.1")</f>
        <v>QWV87560.1</v>
      </c>
    </row>
    <row r="406" spans="1:5">
      <c r="A406" s="4" t="s">
        <v>25</v>
      </c>
      <c r="B406" s="9">
        <v>0.94</v>
      </c>
      <c r="C406" s="10">
        <v>3.9999999999999998E-112</v>
      </c>
      <c r="D406" s="5">
        <v>49.21</v>
      </c>
      <c r="E406" s="11" t="str">
        <f>HYPERLINK("https://www.ncbi.nlm.nih.gov/protein/MBQ1171657.1?report=genbank&amp;log$=prottop&amp;blast_rank=295&amp;RID=8XNW7U47013","MBQ1171657.1")</f>
        <v>MBQ1171657.1</v>
      </c>
    </row>
    <row r="407" spans="1:5">
      <c r="A407" s="4" t="s">
        <v>523</v>
      </c>
      <c r="B407" s="9">
        <v>0.99</v>
      </c>
      <c r="C407" s="10">
        <v>8.0000000000000002E-127</v>
      </c>
      <c r="D407" s="5">
        <v>48.99</v>
      </c>
      <c r="E407" s="11" t="str">
        <f>HYPERLINK("https://www.ncbi.nlm.nih.gov/protein/HZK61775.1?report=genbank&amp;log$=prottop&amp;blast_rank=51&amp;RID=8XNW7U47013","HZK61775.1")</f>
        <v>HZK61775.1</v>
      </c>
    </row>
    <row r="408" spans="1:5">
      <c r="A408" s="4" t="s">
        <v>529</v>
      </c>
      <c r="B408" s="9">
        <v>0.99</v>
      </c>
      <c r="C408" s="10">
        <v>5.0000000000000001E-126</v>
      </c>
      <c r="D408" s="5">
        <v>48.99</v>
      </c>
      <c r="E408" s="11" t="str">
        <f>HYPERLINK("https://www.ncbi.nlm.nih.gov/protein/MBS3988080.1?report=genbank&amp;log$=prottop&amp;blast_rank=61&amp;RID=8XNW7U47013","MBS3988080.1")</f>
        <v>MBS3988080.1</v>
      </c>
    </row>
    <row r="409" spans="1:5">
      <c r="A409" s="4" t="s">
        <v>533</v>
      </c>
      <c r="B409" s="9">
        <v>0.99</v>
      </c>
      <c r="C409" s="10">
        <v>7.9999999999999996E-126</v>
      </c>
      <c r="D409" s="5">
        <v>48.99</v>
      </c>
      <c r="E409" s="11" t="str">
        <f>HYPERLINK("https://www.ncbi.nlm.nih.gov/protein/CUX45065.1?report=genbank&amp;log$=prottop&amp;blast_rank=67&amp;RID=8XNW7U47013","CUX45065.1")</f>
        <v>CUX45065.1</v>
      </c>
    </row>
    <row r="410" spans="1:5">
      <c r="A410" s="4" t="s">
        <v>538</v>
      </c>
      <c r="B410" s="9">
        <v>0.99</v>
      </c>
      <c r="C410" s="10">
        <v>1E-125</v>
      </c>
      <c r="D410" s="5">
        <v>48.99</v>
      </c>
      <c r="E410" s="11" t="str">
        <f>HYPERLINK("https://www.ncbi.nlm.nih.gov/protein/OPZ94497.1?report=genbank&amp;log$=prottop&amp;blast_rank=72&amp;RID=8XNW7U47013","OPZ94497.1")</f>
        <v>OPZ94497.1</v>
      </c>
    </row>
    <row r="411" spans="1:5">
      <c r="A411" s="4" t="s">
        <v>542</v>
      </c>
      <c r="B411" s="9">
        <v>0.99</v>
      </c>
      <c r="C411" s="10">
        <v>2.9999999999999999E-125</v>
      </c>
      <c r="D411" s="5">
        <v>48.99</v>
      </c>
      <c r="E411" s="11" t="str">
        <f>HYPERLINK("https://www.ncbi.nlm.nih.gov/protein/WP_089612224.1?report=genbank&amp;log$=prottop&amp;blast_rank=80&amp;RID=8XNW7U47013","WP_089612224.1")</f>
        <v>WP_089612224.1</v>
      </c>
    </row>
    <row r="412" spans="1:5">
      <c r="A412" s="4" t="s">
        <v>558</v>
      </c>
      <c r="B412" s="9">
        <v>0.99</v>
      </c>
      <c r="C412" s="10">
        <v>7.9999999999999995E-124</v>
      </c>
      <c r="D412" s="5">
        <v>48.99</v>
      </c>
      <c r="E412" s="11" t="str">
        <f>HYPERLINK("https://www.ncbi.nlm.nih.gov/protein/WP_227205765.1?report=genbank&amp;log$=prottop&amp;blast_rank=103&amp;RID=8XNW7U47013","WP_227205765.1")</f>
        <v>WP_227205765.1</v>
      </c>
    </row>
    <row r="413" spans="1:5">
      <c r="A413" s="4" t="s">
        <v>611</v>
      </c>
      <c r="B413" s="9">
        <v>0.96</v>
      </c>
      <c r="C413" s="10">
        <v>9.9999999999999999E-117</v>
      </c>
      <c r="D413" s="5">
        <v>48.96</v>
      </c>
      <c r="E413" s="11" t="str">
        <f>HYPERLINK("https://www.ncbi.nlm.nih.gov/protein/MDY6392437.1?report=genbank&amp;log$=prottop&amp;blast_rank=223&amp;RID=8XNW7U47013","MDY6392437.1")</f>
        <v>MDY6392437.1</v>
      </c>
    </row>
    <row r="414" spans="1:5">
      <c r="A414" s="4" t="s">
        <v>25</v>
      </c>
      <c r="B414" s="9">
        <v>0.95</v>
      </c>
      <c r="C414" s="10">
        <v>7.9999999999999995E-102</v>
      </c>
      <c r="D414" s="5">
        <v>48.95</v>
      </c>
      <c r="E414" s="11" t="str">
        <f>HYPERLINK("https://www.ncbi.nlm.nih.gov/protein/MCI9545761.1?report=genbank&amp;log$=prottop&amp;blast_rank=445&amp;RID=8XNW7U47013","MCI9545761.1")</f>
        <v>MCI9545761.1</v>
      </c>
    </row>
    <row r="415" spans="1:5">
      <c r="A415" s="4" t="s">
        <v>680</v>
      </c>
      <c r="B415" s="9">
        <v>0.93</v>
      </c>
      <c r="C415" s="10">
        <v>6.9999999999999997E-109</v>
      </c>
      <c r="D415" s="5">
        <v>48.94</v>
      </c>
      <c r="E415" s="11" t="str">
        <f>HYPERLINK("https://www.ncbi.nlm.nih.gov/protein/WP_308895241.1?report=genbank&amp;log$=prottop&amp;blast_rank=358&amp;RID=8XNW7U47013","WP_308895241.1")</f>
        <v>WP_308895241.1</v>
      </c>
    </row>
    <row r="416" spans="1:5">
      <c r="A416" s="4" t="s">
        <v>713</v>
      </c>
      <c r="B416" s="9">
        <v>0.92</v>
      </c>
      <c r="C416" s="10">
        <v>7.9999999999999997E-103</v>
      </c>
      <c r="D416" s="5">
        <v>48.91</v>
      </c>
      <c r="E416" s="11" t="str">
        <f>HYPERLINK("https://www.ncbi.nlm.nih.gov/protein/MDR3349867.1?report=genbank&amp;log$=prottop&amp;blast_rank=427&amp;RID=8XNW7U47013","MDR3349867.1")</f>
        <v>MDR3349867.1</v>
      </c>
    </row>
    <row r="417" spans="1:5">
      <c r="A417" s="4" t="s">
        <v>721</v>
      </c>
      <c r="B417" s="9">
        <v>0.97</v>
      </c>
      <c r="C417" s="10">
        <v>1.0000000000000001E-101</v>
      </c>
      <c r="D417" s="5">
        <v>48.79</v>
      </c>
      <c r="E417" s="11" t="str">
        <f>HYPERLINK("https://www.ncbi.nlm.nih.gov/protein/WP_323719327.1?report=genbank&amp;log$=prottop&amp;blast_rank=446&amp;RID=8XNW7U47013","WP_323719327.1")</f>
        <v>WP_323719327.1</v>
      </c>
    </row>
    <row r="418" spans="1:5">
      <c r="A418" s="4" t="s">
        <v>736</v>
      </c>
      <c r="B418" s="9">
        <v>0.98</v>
      </c>
      <c r="C418" s="10">
        <v>6.0000000000000001E-99</v>
      </c>
      <c r="D418" s="5">
        <v>48.76</v>
      </c>
      <c r="E418" s="11" t="str">
        <f>HYPERLINK("https://www.ncbi.nlm.nih.gov/protein/WP_337580495.1?report=genbank&amp;log$=prottop&amp;blast_rank=492&amp;RID=8XNW7U47013","WP_337580495.1")</f>
        <v>WP_337580495.1</v>
      </c>
    </row>
    <row r="419" spans="1:5">
      <c r="A419" s="4" t="s">
        <v>664</v>
      </c>
      <c r="B419" s="9">
        <v>1</v>
      </c>
      <c r="C419" s="10">
        <v>9.0000000000000002E-110</v>
      </c>
      <c r="D419" s="5">
        <v>48.74</v>
      </c>
      <c r="E419" s="11" t="str">
        <f>HYPERLINK("https://www.ncbi.nlm.nih.gov/protein/MBO7430199.1?report=genbank&amp;log$=prottop&amp;blast_rank=336&amp;RID=8XNW7U47013","MBO7430199.1")</f>
        <v>MBO7430199.1</v>
      </c>
    </row>
    <row r="420" spans="1:5">
      <c r="A420" s="4" t="s">
        <v>505</v>
      </c>
      <c r="B420" s="9">
        <v>0.98</v>
      </c>
      <c r="C420" s="10">
        <v>5.0000000000000003E-116</v>
      </c>
      <c r="D420" s="5">
        <v>48.73</v>
      </c>
      <c r="E420" s="11" t="str">
        <f>HYPERLINK("https://www.ncbi.nlm.nih.gov/protein/MBQ3557137.1?report=genbank&amp;log$=prottop&amp;blast_rank=231&amp;RID=8XNW7U47013","MBQ3557137.1")</f>
        <v>MBQ3557137.1</v>
      </c>
    </row>
    <row r="421" spans="1:5">
      <c r="A421" s="4" t="s">
        <v>204</v>
      </c>
      <c r="B421" s="9">
        <v>0.96</v>
      </c>
      <c r="C421" s="10">
        <v>5.0000000000000001E-101</v>
      </c>
      <c r="D421" s="5">
        <v>48.73</v>
      </c>
      <c r="E421" s="11" t="str">
        <f>HYPERLINK("https://www.ncbi.nlm.nih.gov/protein/MBO5627341.1?report=genbank&amp;log$=prottop&amp;blast_rank=458&amp;RID=8XNW7U47013","MBO5627341.1")</f>
        <v>MBO5627341.1</v>
      </c>
    </row>
    <row r="422" spans="1:5">
      <c r="A422" s="4" t="s">
        <v>450</v>
      </c>
      <c r="B422" s="9">
        <v>0.97</v>
      </c>
      <c r="C422" s="10">
        <v>3.9999999999999999E-121</v>
      </c>
      <c r="D422" s="5">
        <v>48.72</v>
      </c>
      <c r="E422" s="11" t="str">
        <f>HYPERLINK("https://www.ncbi.nlm.nih.gov/protein/MDI9490694.1?report=genbank&amp;log$=prottop&amp;blast_rank=144&amp;RID=8XNW7U47013","MDI9490694.1")</f>
        <v>MDI9490694.1</v>
      </c>
    </row>
    <row r="423" spans="1:5">
      <c r="A423" s="4" t="s">
        <v>693</v>
      </c>
      <c r="B423" s="9">
        <v>0.97</v>
      </c>
      <c r="C423" s="10">
        <v>3.0000000000000002E-106</v>
      </c>
      <c r="D423" s="5">
        <v>48.72</v>
      </c>
      <c r="E423" s="11" t="str">
        <f>HYPERLINK("https://www.ncbi.nlm.nih.gov/protein/WP_083495852.1?report=genbank&amp;log$=prottop&amp;blast_rank=390&amp;RID=8XNW7U47013","WP_083495852.1")</f>
        <v>WP_083495852.1</v>
      </c>
    </row>
    <row r="424" spans="1:5">
      <c r="A424" s="4" t="s">
        <v>518</v>
      </c>
      <c r="B424" s="9">
        <v>0.95</v>
      </c>
      <c r="C424" s="10">
        <v>3.0000000000000001E-127</v>
      </c>
      <c r="D424" s="5">
        <v>48.69</v>
      </c>
      <c r="E424" s="11" t="str">
        <f>HYPERLINK("https://www.ncbi.nlm.nih.gov/protein/MCO4473695.1?report=genbank&amp;log$=prottop&amp;blast_rank=43&amp;RID=8XNW7U47013","MCO4473695.1")</f>
        <v>MCO4473695.1</v>
      </c>
    </row>
    <row r="425" spans="1:5">
      <c r="A425" s="4" t="s">
        <v>518</v>
      </c>
      <c r="B425" s="9">
        <v>0.95</v>
      </c>
      <c r="C425" s="10">
        <v>6.0000000000000002E-127</v>
      </c>
      <c r="D425" s="5">
        <v>48.69</v>
      </c>
      <c r="E425" s="11" t="str">
        <f>HYPERLINK("https://www.ncbi.nlm.nih.gov/protein/MCO4639482.1?report=genbank&amp;log$=prottop&amp;blast_rank=50&amp;RID=8XNW7U47013","MCO4639482.1")</f>
        <v>MCO4639482.1</v>
      </c>
    </row>
    <row r="426" spans="1:5">
      <c r="A426" s="4" t="s">
        <v>511</v>
      </c>
      <c r="B426" s="9">
        <v>0.95</v>
      </c>
      <c r="C426" s="10">
        <v>1.0000000000000001E-123</v>
      </c>
      <c r="D426" s="5">
        <v>48.69</v>
      </c>
      <c r="E426" s="11" t="str">
        <f>HYPERLINK("https://www.ncbi.nlm.nih.gov/protein/UDM72538.1?report=genbank&amp;log$=prottop&amp;blast_rank=105&amp;RID=8XNW7U47013","UDM72538.1")</f>
        <v>UDM72538.1</v>
      </c>
    </row>
    <row r="427" spans="1:5">
      <c r="A427" s="4" t="s">
        <v>511</v>
      </c>
      <c r="B427" s="9">
        <v>0.95</v>
      </c>
      <c r="C427" s="10">
        <v>1.0000000000000001E-123</v>
      </c>
      <c r="D427" s="5">
        <v>48.69</v>
      </c>
      <c r="E427" s="11" t="str">
        <f>HYPERLINK("https://www.ncbi.nlm.nih.gov/protein/WP_227275819.1?report=genbank&amp;log$=prottop&amp;blast_rank=106&amp;RID=8XNW7U47013","WP_227275819.1")</f>
        <v>WP_227275819.1</v>
      </c>
    </row>
    <row r="428" spans="1:5">
      <c r="A428" s="4" t="s">
        <v>25</v>
      </c>
      <c r="B428" s="9">
        <v>0.94</v>
      </c>
      <c r="C428" s="10">
        <v>2.0000000000000001E-114</v>
      </c>
      <c r="D428" s="5">
        <v>48.68</v>
      </c>
      <c r="E428" s="11" t="str">
        <f>HYPERLINK("https://www.ncbi.nlm.nih.gov/protein/MCR5397466.1?report=genbank&amp;log$=prottop&amp;blast_rank=258&amp;RID=8XNW7U47013","MCR5397466.1")</f>
        <v>MCR5397466.1</v>
      </c>
    </row>
    <row r="429" spans="1:5">
      <c r="A429" s="4" t="s">
        <v>21</v>
      </c>
      <c r="B429" s="9">
        <v>0.94</v>
      </c>
      <c r="C429" s="10">
        <v>7E-114</v>
      </c>
      <c r="D429" s="5">
        <v>48.68</v>
      </c>
      <c r="E429" s="11" t="str">
        <f>HYPERLINK("https://www.ncbi.nlm.nih.gov/protein/MBQ7410161.1?report=genbank&amp;log$=prottop&amp;blast_rank=266&amp;RID=8XNW7U47013","MBQ7410161.1")</f>
        <v>MBQ7410161.1</v>
      </c>
    </row>
    <row r="430" spans="1:5">
      <c r="A430" s="4" t="s">
        <v>694</v>
      </c>
      <c r="B430" s="9">
        <v>0.94</v>
      </c>
      <c r="C430" s="10">
        <v>7.9999999999999995E-106</v>
      </c>
      <c r="D430" s="5">
        <v>48.68</v>
      </c>
      <c r="E430" s="11" t="str">
        <f>HYPERLINK("https://www.ncbi.nlm.nih.gov/protein/WP_206182849.1?report=genbank&amp;log$=prottop&amp;blast_rank=391&amp;RID=8XNW7U47013","WP_206182849.1")</f>
        <v>WP_206182849.1</v>
      </c>
    </row>
    <row r="431" spans="1:5">
      <c r="A431" s="4" t="s">
        <v>355</v>
      </c>
      <c r="B431" s="9">
        <v>0.94</v>
      </c>
      <c r="C431" s="10">
        <v>3E-103</v>
      </c>
      <c r="D431" s="5">
        <v>48.68</v>
      </c>
      <c r="E431" s="11" t="str">
        <f>HYPERLINK("https://www.ncbi.nlm.nih.gov/protein/MBN2412489.1?report=genbank&amp;log$=prottop&amp;blast_rank=418&amp;RID=8XNW7U47013","MBN2412489.1")</f>
        <v>MBN2412489.1</v>
      </c>
    </row>
    <row r="432" spans="1:5">
      <c r="A432" s="4" t="s">
        <v>650</v>
      </c>
      <c r="B432" s="9">
        <v>0.93</v>
      </c>
      <c r="C432" s="10">
        <v>6.9999999999999999E-112</v>
      </c>
      <c r="D432" s="5">
        <v>48.66</v>
      </c>
      <c r="E432" s="11" t="str">
        <f>HYPERLINK("https://www.ncbi.nlm.nih.gov/protein/WP_013757257.1?report=genbank&amp;log$=prottop&amp;blast_rank=299&amp;RID=8XNW7U47013","WP_013757257.1")</f>
        <v>WP_013757257.1</v>
      </c>
    </row>
    <row r="433" spans="1:5">
      <c r="A433" s="4" t="s">
        <v>204</v>
      </c>
      <c r="B433" s="9">
        <v>0.91</v>
      </c>
      <c r="C433" s="10">
        <v>1.9999999999999999E-102</v>
      </c>
      <c r="D433" s="5">
        <v>48.65</v>
      </c>
      <c r="E433" s="11" t="str">
        <f>HYPERLINK("https://www.ncbi.nlm.nih.gov/protein/WP_293483452.1?report=genbank&amp;log$=prottop&amp;blast_rank=436&amp;RID=8XNW7U47013","WP_293483452.1")</f>
        <v>WP_293483452.1</v>
      </c>
    </row>
    <row r="434" spans="1:5">
      <c r="A434" s="4" t="s">
        <v>661</v>
      </c>
      <c r="B434" s="9">
        <v>1</v>
      </c>
      <c r="C434" s="10">
        <v>2.9999999999999999E-110</v>
      </c>
      <c r="D434" s="5">
        <v>48.53</v>
      </c>
      <c r="E434" s="11" t="str">
        <f>HYPERLINK("https://www.ncbi.nlm.nih.gov/protein/WP_014185982.1?report=genbank&amp;log$=prottop&amp;blast_rank=328&amp;RID=8XNW7U47013","WP_014185982.1")</f>
        <v>WP_014185982.1</v>
      </c>
    </row>
    <row r="435" spans="1:5">
      <c r="A435" s="4" t="s">
        <v>546</v>
      </c>
      <c r="B435" s="9">
        <v>0.99</v>
      </c>
      <c r="C435" s="10">
        <v>4.9999999999999997E-125</v>
      </c>
      <c r="D435" s="5">
        <v>48.48</v>
      </c>
      <c r="E435" s="11" t="str">
        <f>HYPERLINK("https://www.ncbi.nlm.nih.gov/protein/WP_158208397.1?report=genbank&amp;log$=prottop&amp;blast_rank=86&amp;RID=8XNW7U47013","WP_158208397.1")</f>
        <v>WP_158208397.1</v>
      </c>
    </row>
    <row r="436" spans="1:5">
      <c r="A436" s="4" t="s">
        <v>637</v>
      </c>
      <c r="B436" s="9">
        <v>0.99</v>
      </c>
      <c r="C436" s="10">
        <v>3.0000000000000001E-113</v>
      </c>
      <c r="D436" s="5">
        <v>48.48</v>
      </c>
      <c r="E436" s="11" t="str">
        <f>HYPERLINK("https://www.ncbi.nlm.nih.gov/protein/HQJ33499.1?report=genbank&amp;log$=prottop&amp;blast_rank=277&amp;RID=8XNW7U47013","HQJ33499.1")</f>
        <v>HQJ33499.1</v>
      </c>
    </row>
    <row r="437" spans="1:5">
      <c r="A437" s="4" t="s">
        <v>691</v>
      </c>
      <c r="B437" s="9">
        <v>0.98</v>
      </c>
      <c r="C437" s="10">
        <v>1.9999999999999999E-106</v>
      </c>
      <c r="D437" s="5">
        <v>48.48</v>
      </c>
      <c r="E437" s="11" t="str">
        <f>HYPERLINK("https://www.ncbi.nlm.nih.gov/protein/MEQ8191787.1?report=genbank&amp;log$=prottop&amp;blast_rank=386&amp;RID=8XNW7U47013","MEQ8191787.1")</f>
        <v>MEQ8191787.1</v>
      </c>
    </row>
    <row r="438" spans="1:5">
      <c r="A438" s="4" t="s">
        <v>709</v>
      </c>
      <c r="B438" s="9">
        <v>0.97</v>
      </c>
      <c r="C438" s="10">
        <v>4.9999999999999997E-103</v>
      </c>
      <c r="D438" s="5">
        <v>48.47</v>
      </c>
      <c r="E438" s="11" t="str">
        <f>HYPERLINK("https://www.ncbi.nlm.nih.gov/protein/MCY1153017.1?report=genbank&amp;log$=prottop&amp;blast_rank=422&amp;RID=8XNW7U47013","MCY1153017.1")</f>
        <v>MCY1153017.1</v>
      </c>
    </row>
    <row r="439" spans="1:5">
      <c r="A439" s="4" t="s">
        <v>709</v>
      </c>
      <c r="B439" s="9">
        <v>0.97</v>
      </c>
      <c r="C439" s="10">
        <v>3E-102</v>
      </c>
      <c r="D439" s="5">
        <v>48.47</v>
      </c>
      <c r="E439" s="11" t="str">
        <f>HYPERLINK("https://www.ncbi.nlm.nih.gov/protein/MDC7238161.1?report=genbank&amp;log$=prottop&amp;blast_rank=442&amp;RID=8XNW7U47013","MDC7238161.1")</f>
        <v>MDC7238161.1</v>
      </c>
    </row>
    <row r="440" spans="1:5">
      <c r="A440" s="4" t="s">
        <v>722</v>
      </c>
      <c r="B440" s="9">
        <v>0.93</v>
      </c>
      <c r="C440" s="10">
        <v>1.0000000000000001E-101</v>
      </c>
      <c r="D440" s="5">
        <v>48.4</v>
      </c>
      <c r="E440" s="11" t="str">
        <f>HYPERLINK("https://www.ncbi.nlm.nih.gov/protein/MCI7718373.1?report=genbank&amp;log$=prottop&amp;blast_rank=448&amp;RID=8XNW7U47013","MCI7718373.1")</f>
        <v>MCI7718373.1</v>
      </c>
    </row>
    <row r="441" spans="1:5">
      <c r="A441" s="4" t="s">
        <v>722</v>
      </c>
      <c r="B441" s="9">
        <v>0.93</v>
      </c>
      <c r="C441" s="10">
        <v>3.0000000000000003E-101</v>
      </c>
      <c r="D441" s="5">
        <v>48.4</v>
      </c>
      <c r="E441" s="11" t="str">
        <f>HYPERLINK("https://www.ncbi.nlm.nih.gov/protein/MDY4479099.1?report=genbank&amp;log$=prottop&amp;blast_rank=452&amp;RID=8XNW7U47013","MDY4479099.1")</f>
        <v>MDY4479099.1</v>
      </c>
    </row>
    <row r="442" spans="1:5">
      <c r="A442" s="4" t="s">
        <v>537</v>
      </c>
      <c r="B442" s="9">
        <v>1</v>
      </c>
      <c r="C442" s="10">
        <v>1E-125</v>
      </c>
      <c r="D442" s="5">
        <v>48.24</v>
      </c>
      <c r="E442" s="11" t="str">
        <f>HYPERLINK("https://www.ncbi.nlm.nih.gov/protein/NCD09433.1?report=genbank&amp;log$=prottop&amp;blast_rank=71&amp;RID=8XNW7U47013","NCD09433.1")</f>
        <v>NCD09433.1</v>
      </c>
    </row>
    <row r="443" spans="1:5">
      <c r="A443" s="4" t="s">
        <v>652</v>
      </c>
      <c r="B443" s="9">
        <v>0.98</v>
      </c>
      <c r="C443" s="10">
        <v>7.9999999999999996E-112</v>
      </c>
      <c r="D443" s="5">
        <v>48.22</v>
      </c>
      <c r="E443" s="11" t="str">
        <f>HYPERLINK("https://www.ncbi.nlm.nih.gov/protein/WP_233428829.1?report=genbank&amp;log$=prottop&amp;blast_rank=302&amp;RID=8XNW7U47013","WP_233428829.1")</f>
        <v>WP_233428829.1</v>
      </c>
    </row>
    <row r="444" spans="1:5">
      <c r="A444" s="4" t="s">
        <v>521</v>
      </c>
      <c r="B444" s="9">
        <v>0.97</v>
      </c>
      <c r="C444" s="10">
        <v>4.9999999999999997E-127</v>
      </c>
      <c r="D444" s="5">
        <v>48.21</v>
      </c>
      <c r="E444" s="11" t="str">
        <f>HYPERLINK("https://www.ncbi.nlm.nih.gov/protein/WP_313164338.1?report=genbank&amp;log$=prottop&amp;blast_rank=47&amp;RID=8XNW7U47013","WP_313164338.1")</f>
        <v>WP_313164338.1</v>
      </c>
    </row>
    <row r="445" spans="1:5">
      <c r="A445" s="4" t="s">
        <v>511</v>
      </c>
      <c r="B445" s="9">
        <v>0.97</v>
      </c>
      <c r="C445" s="10">
        <v>2E-125</v>
      </c>
      <c r="D445" s="5">
        <v>48.21</v>
      </c>
      <c r="E445" s="11" t="str">
        <f>HYPERLINK("https://www.ncbi.nlm.nih.gov/protein/UDM75464.1?report=genbank&amp;log$=prottop&amp;blast_rank=74&amp;RID=8XNW7U47013","UDM75464.1")</f>
        <v>UDM75464.1</v>
      </c>
    </row>
    <row r="446" spans="1:5">
      <c r="A446" s="4" t="s">
        <v>234</v>
      </c>
      <c r="B446" s="9">
        <v>0.97</v>
      </c>
      <c r="C446" s="10">
        <v>9.9999999999999993E-125</v>
      </c>
      <c r="D446" s="5">
        <v>48.21</v>
      </c>
      <c r="E446" s="11" t="str">
        <f>HYPERLINK("https://www.ncbi.nlm.nih.gov/protein/NLT47430.1?report=genbank&amp;log$=prottop&amp;blast_rank=88&amp;RID=8XNW7U47013","NLT47430.1")</f>
        <v>NLT47430.1</v>
      </c>
    </row>
    <row r="447" spans="1:5">
      <c r="A447" s="4" t="s">
        <v>555</v>
      </c>
      <c r="B447" s="9">
        <v>0.97</v>
      </c>
      <c r="C447" s="10">
        <v>1.9999999999999999E-124</v>
      </c>
      <c r="D447" s="5">
        <v>48.21</v>
      </c>
      <c r="E447" s="11" t="str">
        <f>HYPERLINK("https://www.ncbi.nlm.nih.gov/protein/MBK5262071.1?report=genbank&amp;log$=prottop&amp;blast_rank=97&amp;RID=8XNW7U47013","MBK5262071.1")</f>
        <v>MBK5262071.1</v>
      </c>
    </row>
    <row r="448" spans="1:5">
      <c r="A448" s="4" t="s">
        <v>611</v>
      </c>
      <c r="B448" s="9">
        <v>0.97</v>
      </c>
      <c r="C448" s="10">
        <v>6E-103</v>
      </c>
      <c r="D448" s="5">
        <v>48.21</v>
      </c>
      <c r="E448" s="11" t="str">
        <f>HYPERLINK("https://www.ncbi.nlm.nih.gov/protein/MBQ9181052.1?report=genbank&amp;log$=prottop&amp;blast_rank=425&amp;RID=8XNW7U47013","MBQ9181052.1")</f>
        <v>MBQ9181052.1</v>
      </c>
    </row>
    <row r="449" spans="1:5">
      <c r="A449" s="4" t="s">
        <v>705</v>
      </c>
      <c r="B449" s="9">
        <v>0.96</v>
      </c>
      <c r="C449" s="10">
        <v>3E-103</v>
      </c>
      <c r="D449" s="5">
        <v>48.19</v>
      </c>
      <c r="E449" s="11" t="str">
        <f>HYPERLINK("https://www.ncbi.nlm.nih.gov/protein/MCL2225016.1?report=genbank&amp;log$=prottop&amp;blast_rank=416&amp;RID=8XNW7U47013","MCL2225016.1")</f>
        <v>MCL2225016.1</v>
      </c>
    </row>
    <row r="450" spans="1:5">
      <c r="A450" s="4" t="s">
        <v>506</v>
      </c>
      <c r="B450" s="9">
        <v>0.95</v>
      </c>
      <c r="C450" s="10">
        <v>9.9999999999999995E-127</v>
      </c>
      <c r="D450" s="5">
        <v>48.17</v>
      </c>
      <c r="E450" s="11" t="str">
        <f>HYPERLINK("https://www.ncbi.nlm.nih.gov/protein/HEM3610723.1?report=genbank&amp;log$=prottop&amp;blast_rank=53&amp;RID=8XNW7U47013","HEM3610723.1")</f>
        <v>HEM3610723.1</v>
      </c>
    </row>
    <row r="451" spans="1:5">
      <c r="A451" s="4" t="s">
        <v>505</v>
      </c>
      <c r="B451" s="9">
        <v>0.94</v>
      </c>
      <c r="C451" s="10">
        <v>2.0000000000000001E-128</v>
      </c>
      <c r="D451" s="5">
        <v>48.15</v>
      </c>
      <c r="E451" s="11" t="str">
        <f>HYPERLINK("https://www.ncbi.nlm.nih.gov/protein/MBQ3374108.1?report=genbank&amp;log$=prottop&amp;blast_rank=27&amp;RID=8XNW7U47013","MBQ3374108.1")</f>
        <v>MBQ3374108.1</v>
      </c>
    </row>
    <row r="452" spans="1:5">
      <c r="A452" s="4" t="s">
        <v>611</v>
      </c>
      <c r="B452" s="9">
        <v>0.94</v>
      </c>
      <c r="C452" s="10">
        <v>1.9999999999999999E-105</v>
      </c>
      <c r="D452" s="5">
        <v>48.15</v>
      </c>
      <c r="E452" s="11" t="str">
        <f>HYPERLINK("https://www.ncbi.nlm.nih.gov/protein/MBQ6921387.1?report=genbank&amp;log$=prottop&amp;blast_rank=395&amp;RID=8XNW7U47013","MBQ6921387.1")</f>
        <v>MBQ6921387.1</v>
      </c>
    </row>
    <row r="453" spans="1:5">
      <c r="A453" s="4" t="s">
        <v>694</v>
      </c>
      <c r="B453" s="9">
        <v>0.94</v>
      </c>
      <c r="C453" s="10">
        <v>3.0000000000000001E-105</v>
      </c>
      <c r="D453" s="5">
        <v>48.15</v>
      </c>
      <c r="E453" s="11" t="str">
        <f>HYPERLINK("https://www.ncbi.nlm.nih.gov/protein/WP_016523112.1?report=genbank&amp;log$=prottop&amp;blast_rank=397&amp;RID=8XNW7U47013","WP_016523112.1")</f>
        <v>WP_016523112.1</v>
      </c>
    </row>
    <row r="454" spans="1:5">
      <c r="A454" s="4" t="s">
        <v>694</v>
      </c>
      <c r="B454" s="9">
        <v>0.94</v>
      </c>
      <c r="C454" s="10">
        <v>4.9999999999999996E-105</v>
      </c>
      <c r="D454" s="5">
        <v>48.15</v>
      </c>
      <c r="E454" s="11" t="str">
        <f>HYPERLINK("https://www.ncbi.nlm.nih.gov/protein/WP_245541300.1?report=genbank&amp;log$=prottop&amp;blast_rank=398&amp;RID=8XNW7U47013","WP_245541300.1")</f>
        <v>WP_245541300.1</v>
      </c>
    </row>
    <row r="455" spans="1:5">
      <c r="A455" s="4" t="s">
        <v>34</v>
      </c>
      <c r="B455" s="9">
        <v>0.94</v>
      </c>
      <c r="C455" s="10">
        <v>1.9999999999999999E-104</v>
      </c>
      <c r="D455" s="5">
        <v>48.15</v>
      </c>
      <c r="E455" s="11" t="str">
        <f>HYPERLINK("https://www.ncbi.nlm.nih.gov/protein/HQM85688.1?report=genbank&amp;log$=prottop&amp;blast_rank=401&amp;RID=8XNW7U47013","HQM85688.1")</f>
        <v>HQM85688.1</v>
      </c>
    </row>
    <row r="456" spans="1:5">
      <c r="A456" s="4" t="s">
        <v>694</v>
      </c>
      <c r="B456" s="9">
        <v>0.94</v>
      </c>
      <c r="C456" s="10">
        <v>3.0000000000000002E-104</v>
      </c>
      <c r="D456" s="5">
        <v>48.15</v>
      </c>
      <c r="E456" s="11" t="str">
        <f>HYPERLINK("https://www.ncbi.nlm.nih.gov/protein/QSH97281.1?report=genbank&amp;log$=prottop&amp;blast_rank=403&amp;RID=8XNW7U47013","QSH97281.1")</f>
        <v>QSH97281.1</v>
      </c>
    </row>
    <row r="457" spans="1:5">
      <c r="A457" s="4" t="s">
        <v>611</v>
      </c>
      <c r="B457" s="9">
        <v>1</v>
      </c>
      <c r="C457" s="10">
        <v>5.0000000000000001E-101</v>
      </c>
      <c r="D457" s="5">
        <v>48</v>
      </c>
      <c r="E457" s="11" t="str">
        <f>HYPERLINK("https://www.ncbi.nlm.nih.gov/protein/MBR1936322.1?report=genbank&amp;log$=prottop&amp;blast_rank=460&amp;RID=8XNW7U47013","MBR1936322.1")</f>
        <v>MBR1936322.1</v>
      </c>
    </row>
    <row r="458" spans="1:5">
      <c r="A458" s="4" t="s">
        <v>496</v>
      </c>
      <c r="B458" s="9">
        <v>0.99</v>
      </c>
      <c r="C458" s="10">
        <v>2.9999999999999998E-129</v>
      </c>
      <c r="D458" s="5">
        <v>47.98</v>
      </c>
      <c r="E458" s="11" t="str">
        <f>HYPERLINK("https://www.ncbi.nlm.nih.gov/protein/WP_186725846.1?report=genbank&amp;log$=prottop&amp;blast_rank=16&amp;RID=8XNW7U47013","WP_186725846.1")</f>
        <v>WP_186725846.1</v>
      </c>
    </row>
    <row r="459" spans="1:5">
      <c r="A459" s="4" t="s">
        <v>500</v>
      </c>
      <c r="B459" s="9">
        <v>0.99</v>
      </c>
      <c r="C459" s="10">
        <v>1.0000000000000001E-128</v>
      </c>
      <c r="D459" s="5">
        <v>47.98</v>
      </c>
      <c r="E459" s="11" t="str">
        <f>HYPERLINK("https://www.ncbi.nlm.nih.gov/protein/WP_026254137.1?report=genbank&amp;log$=prottop&amp;blast_rank=21&amp;RID=8XNW7U47013","WP_026254137.1")</f>
        <v>WP_026254137.1</v>
      </c>
    </row>
    <row r="460" spans="1:5">
      <c r="A460" s="4" t="s">
        <v>508</v>
      </c>
      <c r="B460" s="9">
        <v>0.99</v>
      </c>
      <c r="C460" s="10">
        <v>2.9999999999999998E-128</v>
      </c>
      <c r="D460" s="5">
        <v>47.98</v>
      </c>
      <c r="E460" s="11" t="str">
        <f>HYPERLINK("https://www.ncbi.nlm.nih.gov/protein/WP_155591268.1?report=genbank&amp;log$=prottop&amp;blast_rank=30&amp;RID=8XNW7U47013","WP_155591268.1")</f>
        <v>WP_155591268.1</v>
      </c>
    </row>
    <row r="461" spans="1:5">
      <c r="A461" s="4" t="s">
        <v>511</v>
      </c>
      <c r="B461" s="9">
        <v>0.99</v>
      </c>
      <c r="C461" s="10">
        <v>4.0000000000000002E-128</v>
      </c>
      <c r="D461" s="5">
        <v>47.98</v>
      </c>
      <c r="E461" s="11" t="str">
        <f>HYPERLINK("https://www.ncbi.nlm.nih.gov/protein/WP_227258500.1?report=genbank&amp;log$=prottop&amp;blast_rank=35&amp;RID=8XNW7U47013","WP_227258500.1")</f>
        <v>WP_227258500.1</v>
      </c>
    </row>
    <row r="462" spans="1:5">
      <c r="A462" s="4" t="s">
        <v>539</v>
      </c>
      <c r="B462" s="9">
        <v>0.99</v>
      </c>
      <c r="C462" s="10">
        <v>2E-125</v>
      </c>
      <c r="D462" s="5">
        <v>47.98</v>
      </c>
      <c r="E462" s="11" t="str">
        <f>HYPERLINK("https://www.ncbi.nlm.nih.gov/protein/WP_081820247.1?report=genbank&amp;log$=prottop&amp;blast_rank=77&amp;RID=8XNW7U47013","WP_081820247.1")</f>
        <v>WP_081820247.1</v>
      </c>
    </row>
    <row r="463" spans="1:5">
      <c r="A463" s="4" t="s">
        <v>631</v>
      </c>
      <c r="B463" s="9">
        <v>0.99</v>
      </c>
      <c r="C463" s="10">
        <v>7E-114</v>
      </c>
      <c r="D463" s="5">
        <v>47.98</v>
      </c>
      <c r="E463" s="11" t="str">
        <f>HYPERLINK("https://www.ncbi.nlm.nih.gov/protein/WP_343342772.1?report=genbank&amp;log$=prottop&amp;blast_rank=265&amp;RID=8XNW7U47013","WP_343342772.1")</f>
        <v>WP_343342772.1</v>
      </c>
    </row>
    <row r="464" spans="1:5">
      <c r="A464" s="4" t="s">
        <v>515</v>
      </c>
      <c r="B464" s="9">
        <v>0.98</v>
      </c>
      <c r="C464" s="10">
        <v>1E-127</v>
      </c>
      <c r="D464" s="5">
        <v>47.96</v>
      </c>
      <c r="E464" s="11" t="str">
        <f>HYPERLINK("https://www.ncbi.nlm.nih.gov/protein/WP_301969745.1?report=genbank&amp;log$=prottop&amp;blast_rank=39&amp;RID=8XNW7U47013","WP_301969745.1")</f>
        <v>WP_301969745.1</v>
      </c>
    </row>
    <row r="465" spans="1:5">
      <c r="A465" s="4" t="s">
        <v>619</v>
      </c>
      <c r="B465" s="9">
        <v>0.99</v>
      </c>
      <c r="C465" s="10">
        <v>2.0000000000000001E-115</v>
      </c>
      <c r="D465" s="5">
        <v>47.74</v>
      </c>
      <c r="E465" s="11" t="str">
        <f>HYPERLINK("https://www.ncbi.nlm.nih.gov/protein/WP_025434895.1?report=genbank&amp;log$=prottop&amp;blast_rank=244&amp;RID=8XNW7U47013","WP_025434895.1")</f>
        <v>WP_025434895.1</v>
      </c>
    </row>
    <row r="466" spans="1:5">
      <c r="A466" s="4" t="s">
        <v>718</v>
      </c>
      <c r="B466" s="9">
        <v>0.98</v>
      </c>
      <c r="C466" s="10">
        <v>4.0000000000000001E-100</v>
      </c>
      <c r="D466" s="5">
        <v>47.72</v>
      </c>
      <c r="E466" s="11" t="str">
        <f>HYPERLINK("https://www.ncbi.nlm.nih.gov/protein/WP_074761572.1?report=genbank&amp;log$=prottop&amp;blast_rank=469&amp;RID=8XNW7U47013","WP_074761572.1")</f>
        <v>WP_074761572.1</v>
      </c>
    </row>
    <row r="467" spans="1:5">
      <c r="A467" s="4" t="s">
        <v>739</v>
      </c>
      <c r="B467" s="9">
        <v>0.98</v>
      </c>
      <c r="C467" s="10">
        <v>9.9999999999999994E-99</v>
      </c>
      <c r="D467" s="5">
        <v>47.72</v>
      </c>
      <c r="E467" s="11" t="str">
        <f>HYPERLINK("https://www.ncbi.nlm.nih.gov/protein/WP_177615423.1?report=genbank&amp;log$=prottop&amp;blast_rank=496&amp;RID=8XNW7U47013","WP_177615423.1")</f>
        <v>WP_177615423.1</v>
      </c>
    </row>
    <row r="468" spans="1:5">
      <c r="A468" s="4" t="s">
        <v>728</v>
      </c>
      <c r="B468" s="9">
        <v>0.95</v>
      </c>
      <c r="C468" s="10">
        <v>5.0000000000000001E-100</v>
      </c>
      <c r="D468" s="5">
        <v>47.64</v>
      </c>
      <c r="E468" s="11" t="str">
        <f>HYPERLINK("https://www.ncbi.nlm.nih.gov/protein/MDD3124031.1?report=genbank&amp;log$=prottop&amp;blast_rank=470&amp;RID=8XNW7U47013","MDD3124031.1")</f>
        <v>MDD3124031.1</v>
      </c>
    </row>
    <row r="469" spans="1:5">
      <c r="A469" s="4" t="s">
        <v>720</v>
      </c>
      <c r="B469" s="9">
        <v>0.99</v>
      </c>
      <c r="C469" s="10">
        <v>5.0000000000000003E-102</v>
      </c>
      <c r="D469" s="5">
        <v>47.62</v>
      </c>
      <c r="E469" s="11" t="str">
        <f>HYPERLINK("https://www.ncbi.nlm.nih.gov/protein/WP_014487534.1?report=genbank&amp;log$=prottop&amp;blast_rank=443&amp;RID=8XNW7U47013","WP_014487534.1")</f>
        <v>WP_014487534.1</v>
      </c>
    </row>
    <row r="470" spans="1:5">
      <c r="A470" s="4" t="s">
        <v>519</v>
      </c>
      <c r="B470" s="9">
        <v>0.99</v>
      </c>
      <c r="C470" s="10">
        <v>3.0000000000000001E-127</v>
      </c>
      <c r="D470" s="5">
        <v>47.47</v>
      </c>
      <c r="E470" s="11" t="str">
        <f>HYPERLINK("https://www.ncbi.nlm.nih.gov/protein/HZK54148.1?report=genbank&amp;log$=prottop&amp;blast_rank=44&amp;RID=8XNW7U47013","HZK54148.1")</f>
        <v>HZK54148.1</v>
      </c>
    </row>
    <row r="471" spans="1:5">
      <c r="A471" s="4" t="s">
        <v>528</v>
      </c>
      <c r="B471" s="9">
        <v>0.99</v>
      </c>
      <c r="C471" s="10">
        <v>5.0000000000000001E-126</v>
      </c>
      <c r="D471" s="5">
        <v>47.47</v>
      </c>
      <c r="E471" s="11" t="str">
        <f>HYPERLINK("https://www.ncbi.nlm.nih.gov/protein/RUL46538.1?report=genbank&amp;log$=prottop&amp;blast_rank=60&amp;RID=8XNW7U47013","RUL46538.1")</f>
        <v>RUL46538.1</v>
      </c>
    </row>
    <row r="472" spans="1:5">
      <c r="A472" s="4" t="s">
        <v>528</v>
      </c>
      <c r="B472" s="9">
        <v>0.99</v>
      </c>
      <c r="C472" s="10">
        <v>7E-126</v>
      </c>
      <c r="D472" s="5">
        <v>47.47</v>
      </c>
      <c r="E472" s="11" t="str">
        <f>HYPERLINK("https://www.ncbi.nlm.nih.gov/protein/WP_179966067.1?report=genbank&amp;log$=prottop&amp;blast_rank=66&amp;RID=8XNW7U47013","WP_179966067.1")</f>
        <v>WP_179966067.1</v>
      </c>
    </row>
    <row r="473" spans="1:5">
      <c r="A473" s="4" t="s">
        <v>608</v>
      </c>
      <c r="B473" s="9">
        <v>0.98</v>
      </c>
      <c r="C473" s="10">
        <v>4.0000000000000001E-117</v>
      </c>
      <c r="D473" s="5">
        <v>47.47</v>
      </c>
      <c r="E473" s="11" t="str">
        <f>HYPERLINK("https://www.ncbi.nlm.nih.gov/protein/WP_296086236.1?report=genbank&amp;log$=prottop&amp;blast_rank=216&amp;RID=8XNW7U47013","WP_296086236.1")</f>
        <v>WP_296086236.1</v>
      </c>
    </row>
    <row r="474" spans="1:5">
      <c r="A474" s="4" t="s">
        <v>509</v>
      </c>
      <c r="B474" s="9">
        <v>1</v>
      </c>
      <c r="C474" s="10">
        <v>4.0000000000000002E-128</v>
      </c>
      <c r="D474" s="5">
        <v>47.24</v>
      </c>
      <c r="E474" s="11" t="str">
        <f>HYPERLINK("https://www.ncbi.nlm.nih.gov/protein/WP_262573932.1?report=genbank&amp;log$=prottop&amp;blast_rank=33&amp;RID=8XNW7U47013","WP_262573932.1")</f>
        <v>WP_262573932.1</v>
      </c>
    </row>
    <row r="475" spans="1:5">
      <c r="A475" s="4" t="s">
        <v>551</v>
      </c>
      <c r="B475" s="9">
        <v>1</v>
      </c>
      <c r="C475" s="10">
        <v>9.9999999999999993E-125</v>
      </c>
      <c r="D475" s="5">
        <v>47.24</v>
      </c>
      <c r="E475" s="11" t="str">
        <f>HYPERLINK("https://www.ncbi.nlm.nih.gov/protein/QIK87080.1?report=genbank&amp;log$=prottop&amp;blast_rank=93&amp;RID=8XNW7U47013","QIK87080.1")</f>
        <v>QIK87080.1</v>
      </c>
    </row>
    <row r="476" spans="1:5">
      <c r="A476" s="4" t="s">
        <v>551</v>
      </c>
      <c r="B476" s="9">
        <v>1</v>
      </c>
      <c r="C476" s="10">
        <v>1.9999999999999999E-124</v>
      </c>
      <c r="D476" s="5">
        <v>47.24</v>
      </c>
      <c r="E476" s="11" t="str">
        <f>HYPERLINK("https://www.ncbi.nlm.nih.gov/protein/WP_205700104.1?report=genbank&amp;log$=prottop&amp;blast_rank=98&amp;RID=8XNW7U47013","WP_205700104.1")</f>
        <v>WP_205700104.1</v>
      </c>
    </row>
    <row r="477" spans="1:5">
      <c r="A477" s="4" t="s">
        <v>504</v>
      </c>
      <c r="B477" s="9">
        <v>0.98</v>
      </c>
      <c r="C477" s="10">
        <v>2.0000000000000001E-128</v>
      </c>
      <c r="D477" s="5">
        <v>47.21</v>
      </c>
      <c r="E477" s="11" t="str">
        <f>HYPERLINK("https://www.ncbi.nlm.nih.gov/protein/MDD2190482.1?report=genbank&amp;log$=prottop&amp;blast_rank=26&amp;RID=8XNW7U47013","MDD2190482.1")</f>
        <v>MDD2190482.1</v>
      </c>
    </row>
    <row r="478" spans="1:5">
      <c r="A478" s="4" t="s">
        <v>638</v>
      </c>
      <c r="B478" s="9">
        <v>0.98</v>
      </c>
      <c r="C478" s="10">
        <v>3.0000000000000001E-113</v>
      </c>
      <c r="D478" s="5">
        <v>47.21</v>
      </c>
      <c r="E478" s="11" t="str">
        <f>HYPERLINK("https://www.ncbi.nlm.nih.gov/protein/WP_156108591.1?report=genbank&amp;log$=prottop&amp;blast_rank=280&amp;RID=8XNW7U47013","WP_156108591.1")</f>
        <v>WP_156108591.1</v>
      </c>
    </row>
    <row r="479" spans="1:5">
      <c r="A479" s="4" t="s">
        <v>706</v>
      </c>
      <c r="B479" s="9">
        <v>0.93</v>
      </c>
      <c r="C479" s="10">
        <v>3E-103</v>
      </c>
      <c r="D479" s="5">
        <v>47.21</v>
      </c>
      <c r="E479" s="11" t="str">
        <f>HYPERLINK("https://www.ncbi.nlm.nih.gov/protein/MDR0873219.1?report=genbank&amp;log$=prottop&amp;blast_rank=419&amp;RID=8XNW7U47013","MDR0873219.1")</f>
        <v>MDR0873219.1</v>
      </c>
    </row>
    <row r="480" spans="1:5">
      <c r="A480" s="4" t="s">
        <v>611</v>
      </c>
      <c r="B480" s="9">
        <v>0.94</v>
      </c>
      <c r="C480" s="10">
        <v>2E-107</v>
      </c>
      <c r="D480" s="5">
        <v>47.09</v>
      </c>
      <c r="E480" s="11" t="str">
        <f>HYPERLINK("https://www.ncbi.nlm.nih.gov/protein/MDY5669664.1?report=genbank&amp;log$=prottop&amp;blast_rank=371&amp;RID=8XNW7U47013","MDY5669664.1")</f>
        <v>MDY5669664.1</v>
      </c>
    </row>
    <row r="481" spans="1:5">
      <c r="A481" s="4" t="s">
        <v>717</v>
      </c>
      <c r="B481" s="9">
        <v>1</v>
      </c>
      <c r="C481" s="10">
        <v>9.9999999999999993E-103</v>
      </c>
      <c r="D481" s="5">
        <v>47.03</v>
      </c>
      <c r="E481" s="11" t="str">
        <f>HYPERLINK("https://www.ncbi.nlm.nih.gov/protein/MDY5995406.1?report=genbank&amp;log$=prottop&amp;blast_rank=435&amp;RID=8XNW7U47013","MDY5995406.1")</f>
        <v>MDY5995406.1</v>
      </c>
    </row>
    <row r="482" spans="1:5">
      <c r="A482" s="4" t="s">
        <v>563</v>
      </c>
      <c r="B482" s="9">
        <v>0.99</v>
      </c>
      <c r="C482" s="10">
        <v>2.9999999999999998E-123</v>
      </c>
      <c r="D482" s="5">
        <v>47</v>
      </c>
      <c r="E482" s="11" t="str">
        <f>HYPERLINK("https://www.ncbi.nlm.nih.gov/protein/MCF2619720.1?report=genbank&amp;log$=prottop&amp;blast_rank=113&amp;RID=8XNW7U47013","MCF2619720.1")</f>
        <v>MCF2619720.1</v>
      </c>
    </row>
    <row r="483" spans="1:5">
      <c r="A483" s="4" t="s">
        <v>514</v>
      </c>
      <c r="B483" s="9">
        <v>0.99</v>
      </c>
      <c r="C483" s="10">
        <v>1E-127</v>
      </c>
      <c r="D483" s="5">
        <v>46.97</v>
      </c>
      <c r="E483" s="11" t="str">
        <f>HYPERLINK("https://www.ncbi.nlm.nih.gov/protein/MDD3308089.1?report=genbank&amp;log$=prottop&amp;blast_rank=38&amp;RID=8XNW7U47013","MDD3308089.1")</f>
        <v>MDD3308089.1</v>
      </c>
    </row>
    <row r="484" spans="1:5">
      <c r="A484" s="4" t="s">
        <v>531</v>
      </c>
      <c r="B484" s="9">
        <v>0.99</v>
      </c>
      <c r="C484" s="10">
        <v>5.0000000000000001E-126</v>
      </c>
      <c r="D484" s="5">
        <v>46.97</v>
      </c>
      <c r="E484" s="11" t="str">
        <f>HYPERLINK("https://www.ncbi.nlm.nih.gov/protein/WP_313794323.1?report=genbank&amp;log$=prottop&amp;blast_rank=63&amp;RID=8XNW7U47013","WP_313794323.1")</f>
        <v>WP_313794323.1</v>
      </c>
    </row>
    <row r="485" spans="1:5">
      <c r="A485" s="4" t="s">
        <v>695</v>
      </c>
      <c r="B485" s="9">
        <v>0.99</v>
      </c>
      <c r="C485" s="10">
        <v>1.9999999999999999E-105</v>
      </c>
      <c r="D485" s="5">
        <v>46.97</v>
      </c>
      <c r="E485" s="11" t="str">
        <f>HYPERLINK("https://www.ncbi.nlm.nih.gov/protein/WP_314720090.1?report=genbank&amp;log$=prottop&amp;blast_rank=394&amp;RID=8XNW7U47013","WP_314720090.1")</f>
        <v>WP_314720090.1</v>
      </c>
    </row>
    <row r="486" spans="1:5">
      <c r="A486" s="4" t="s">
        <v>721</v>
      </c>
      <c r="B486" s="9">
        <v>1</v>
      </c>
      <c r="C486" s="10">
        <v>4.0000000000000002E-101</v>
      </c>
      <c r="D486" s="5">
        <v>46.95</v>
      </c>
      <c r="E486" s="11" t="str">
        <f>HYPERLINK("https://www.ncbi.nlm.nih.gov/protein/WP_323720182.1?report=genbank&amp;log$=prottop&amp;blast_rank=454&amp;RID=8XNW7U47013","WP_323720182.1")</f>
        <v>WP_323720182.1</v>
      </c>
    </row>
    <row r="487" spans="1:5">
      <c r="A487" s="4" t="s">
        <v>731</v>
      </c>
      <c r="B487" s="9">
        <v>0.93</v>
      </c>
      <c r="C487" s="10">
        <v>9.0000000000000002E-100</v>
      </c>
      <c r="D487" s="5">
        <v>46.81</v>
      </c>
      <c r="E487" s="11" t="str">
        <f>HYPERLINK("https://www.ncbi.nlm.nih.gov/protein/WP_273403185.1?report=genbank&amp;log$=prottop&amp;blast_rank=477&amp;RID=8XNW7U47013","WP_273403185.1")</f>
        <v>WP_273403185.1</v>
      </c>
    </row>
    <row r="488" spans="1:5">
      <c r="A488" s="4" t="s">
        <v>732</v>
      </c>
      <c r="B488" s="9">
        <v>0.93</v>
      </c>
      <c r="C488" s="10">
        <v>1E-99</v>
      </c>
      <c r="D488" s="5">
        <v>46.81</v>
      </c>
      <c r="E488" s="11" t="str">
        <f>HYPERLINK("https://www.ncbi.nlm.nih.gov/protein/MDY2795335.1?report=genbank&amp;log$=prottop&amp;blast_rank=480&amp;RID=8XNW7U47013","MDY2795335.1")</f>
        <v>MDY2795335.1</v>
      </c>
    </row>
    <row r="489" spans="1:5">
      <c r="A489" s="4" t="s">
        <v>696</v>
      </c>
      <c r="B489" s="9">
        <v>0.93</v>
      </c>
      <c r="C489" s="10">
        <v>3.0000000000000001E-105</v>
      </c>
      <c r="D489" s="5">
        <v>46.77</v>
      </c>
      <c r="E489" s="11" t="str">
        <f>HYPERLINK("https://www.ncbi.nlm.nih.gov/protein/MDY4965024.1?report=genbank&amp;log$=prottop&amp;blast_rank=396&amp;RID=8XNW7U47013","MDY4965024.1")</f>
        <v>MDY4965024.1</v>
      </c>
    </row>
    <row r="490" spans="1:5">
      <c r="A490" s="4" t="s">
        <v>721</v>
      </c>
      <c r="B490" s="9">
        <v>0.99</v>
      </c>
      <c r="C490" s="10">
        <v>5.0000000000000001E-100</v>
      </c>
      <c r="D490" s="5">
        <v>46.7</v>
      </c>
      <c r="E490" s="11" t="str">
        <f>HYPERLINK("https://www.ncbi.nlm.nih.gov/protein/MDA0005529.1?report=genbank&amp;log$=prottop&amp;blast_rank=471&amp;RID=8XNW7U47013","MDA0005529.1")</f>
        <v>MDA0005529.1</v>
      </c>
    </row>
    <row r="491" spans="1:5">
      <c r="A491" s="4" t="s">
        <v>203</v>
      </c>
      <c r="B491" s="9">
        <v>0.99</v>
      </c>
      <c r="C491" s="10">
        <v>1E-125</v>
      </c>
      <c r="D491" s="5">
        <v>46.46</v>
      </c>
      <c r="E491" s="11" t="str">
        <f>HYPERLINK("https://www.ncbi.nlm.nih.gov/protein/MBU3220923.1?report=genbank&amp;log$=prottop&amp;blast_rank=73&amp;RID=8XNW7U47013","MBU3220923.1")</f>
        <v>MBU3220923.1</v>
      </c>
    </row>
    <row r="492" spans="1:5">
      <c r="A492" s="4" t="s">
        <v>203</v>
      </c>
      <c r="B492" s="9">
        <v>0.99</v>
      </c>
      <c r="C492" s="10">
        <v>2E-125</v>
      </c>
      <c r="D492" s="5">
        <v>46.46</v>
      </c>
      <c r="E492" s="11" t="str">
        <f>HYPERLINK("https://www.ncbi.nlm.nih.gov/protein/WP_253197477.1?report=genbank&amp;log$=prottop&amp;blast_rank=76&amp;RID=8XNW7U47013","WP_253197477.1")</f>
        <v>WP_253197477.1</v>
      </c>
    </row>
    <row r="493" spans="1:5">
      <c r="A493" s="4" t="s">
        <v>246</v>
      </c>
      <c r="B493" s="9">
        <v>0.99</v>
      </c>
      <c r="C493" s="10">
        <v>6.9999999999999995E-110</v>
      </c>
      <c r="D493" s="5">
        <v>46.46</v>
      </c>
      <c r="E493" s="11" t="str">
        <f>HYPERLINK("https://www.ncbi.nlm.nih.gov/protein/DAV65689.1?report=genbank&amp;log$=prottop&amp;blast_rank=333&amp;RID=8XNW7U47013","DAV65689.1")</f>
        <v>DAV65689.1</v>
      </c>
    </row>
    <row r="494" spans="1:5">
      <c r="A494" s="4" t="s">
        <v>695</v>
      </c>
      <c r="B494" s="9">
        <v>0.99</v>
      </c>
      <c r="C494" s="10">
        <v>8.9999999999999991E-106</v>
      </c>
      <c r="D494" s="5">
        <v>46.46</v>
      </c>
      <c r="E494" s="11" t="str">
        <f>HYPERLINK("https://www.ncbi.nlm.nih.gov/protein/WP_314939786.1?report=genbank&amp;log$=prottop&amp;blast_rank=393&amp;RID=8XNW7U47013","WP_314939786.1")</f>
        <v>WP_314939786.1</v>
      </c>
    </row>
    <row r="495" spans="1:5">
      <c r="A495" s="4" t="s">
        <v>727</v>
      </c>
      <c r="B495" s="9">
        <v>0.96</v>
      </c>
      <c r="C495" s="10">
        <v>6.0000000000000006E-101</v>
      </c>
      <c r="D495" s="5">
        <v>46.39</v>
      </c>
      <c r="E495" s="11" t="str">
        <f>HYPERLINK("https://www.ncbi.nlm.nih.gov/protein/WP_312653723.1?report=genbank&amp;log$=prottop&amp;blast_rank=462&amp;RID=8XNW7U47013","WP_312653723.1")</f>
        <v>WP_312653723.1</v>
      </c>
    </row>
    <row r="496" spans="1:5">
      <c r="A496" s="4" t="s">
        <v>723</v>
      </c>
      <c r="B496" s="9">
        <v>1</v>
      </c>
      <c r="C496" s="10">
        <v>2.0000000000000001E-101</v>
      </c>
      <c r="D496" s="5">
        <v>46.23</v>
      </c>
      <c r="E496" s="11" t="str">
        <f>HYPERLINK("https://www.ncbi.nlm.nih.gov/protein/WP_297898184.1?report=genbank&amp;log$=prottop&amp;blast_rank=449&amp;RID=8XNW7U47013","WP_297898184.1")</f>
        <v>WP_297898184.1</v>
      </c>
    </row>
    <row r="497" spans="1:5">
      <c r="A497" s="4" t="s">
        <v>225</v>
      </c>
      <c r="B497" s="9">
        <v>1</v>
      </c>
      <c r="C497" s="10">
        <v>2E-100</v>
      </c>
      <c r="D497" s="5">
        <v>46.23</v>
      </c>
      <c r="E497" s="11" t="str">
        <f>HYPERLINK("https://www.ncbi.nlm.nih.gov/protein/MBR4337484.1?report=genbank&amp;log$=prottop&amp;blast_rank=466&amp;RID=8XNW7U47013","MBR4337484.1")</f>
        <v>MBR4337484.1</v>
      </c>
    </row>
    <row r="498" spans="1:5">
      <c r="A498" s="4" t="s">
        <v>718</v>
      </c>
      <c r="B498" s="9">
        <v>0.98</v>
      </c>
      <c r="C498" s="10">
        <v>1.9999999999999999E-102</v>
      </c>
      <c r="D498" s="5">
        <v>46.19</v>
      </c>
      <c r="E498" s="11" t="str">
        <f>HYPERLINK("https://www.ncbi.nlm.nih.gov/protein/WP_219817604.1?report=genbank&amp;log$=prottop&amp;blast_rank=437&amp;RID=8XNW7U47013","WP_219817604.1")</f>
        <v>WP_219817604.1</v>
      </c>
    </row>
    <row r="499" spans="1:5">
      <c r="A499" s="4" t="s">
        <v>729</v>
      </c>
      <c r="B499" s="9">
        <v>0.98</v>
      </c>
      <c r="C499" s="10">
        <v>6.0000000000000001E-100</v>
      </c>
      <c r="D499" s="5">
        <v>46.19</v>
      </c>
      <c r="E499" s="11" t="str">
        <f>HYPERLINK("https://www.ncbi.nlm.nih.gov/protein/KWW39754.1?report=genbank&amp;log$=prottop&amp;blast_rank=473&amp;RID=8XNW7U47013","KWW39754.1")</f>
        <v>KWW39754.1</v>
      </c>
    </row>
    <row r="500" spans="1:5">
      <c r="A500" s="4" t="s">
        <v>731</v>
      </c>
      <c r="B500" s="9">
        <v>0.96</v>
      </c>
      <c r="C500" s="10">
        <v>1E-99</v>
      </c>
      <c r="D500" s="5">
        <v>45.88</v>
      </c>
      <c r="E500" s="11" t="str">
        <f>HYPERLINK("https://www.ncbi.nlm.nih.gov/protein/WP_273317378.1?report=genbank&amp;log$=prottop&amp;blast_rank=479&amp;RID=8XNW7U47013","WP_273317378.1")</f>
        <v>WP_273317378.1</v>
      </c>
    </row>
    <row r="501" spans="1:5">
      <c r="A501" s="4" t="s">
        <v>675</v>
      </c>
      <c r="B501" s="9">
        <v>0.98</v>
      </c>
      <c r="C501" s="10">
        <v>3.0000000000000002E-109</v>
      </c>
      <c r="D501" s="5">
        <v>45.69</v>
      </c>
      <c r="E501" s="11" t="str">
        <f>HYPERLINK("https://www.ncbi.nlm.nih.gov/protein/WP_333637347.1?report=genbank&amp;log$=prottop&amp;blast_rank=351&amp;RID=8XNW7U47013","WP_333637347.1")</f>
        <v>WP_333637347.1</v>
      </c>
    </row>
    <row r="502" spans="1:5">
      <c r="A502" s="4" t="s">
        <v>735</v>
      </c>
      <c r="B502" s="9">
        <v>0.97</v>
      </c>
      <c r="C502" s="10">
        <v>3.0000000000000001E-99</v>
      </c>
      <c r="D502" s="5">
        <v>45.45</v>
      </c>
      <c r="E502" s="11" t="str">
        <f>HYPERLINK("https://www.ncbi.nlm.nih.gov/protein/WP_294035689.1?report=genbank&amp;log$=prottop&amp;blast_rank=487&amp;RID=8XNW7U47013","WP_294035689.1")</f>
        <v>WP_294035689.1</v>
      </c>
    </row>
    <row r="503" spans="1:5">
      <c r="A503" s="4" t="s">
        <v>714</v>
      </c>
      <c r="B503" s="9">
        <v>0.98</v>
      </c>
      <c r="C503" s="10">
        <v>9E-103</v>
      </c>
      <c r="D503" s="5">
        <v>45.23</v>
      </c>
      <c r="E503" s="11" t="str">
        <f>HYPERLINK("https://www.ncbi.nlm.nih.gov/protein/EGV10090.1?report=genbank&amp;log$=prottop&amp;blast_rank=428&amp;RID=8XNW7U47013","EGV10090.1")</f>
        <v>EGV10090.1</v>
      </c>
    </row>
    <row r="504" spans="1:5">
      <c r="A504" s="4" t="s">
        <v>719</v>
      </c>
      <c r="B504" s="9">
        <v>0.97</v>
      </c>
      <c r="C504" s="10">
        <v>1.9999999999999999E-102</v>
      </c>
      <c r="D504" s="5">
        <v>45.13</v>
      </c>
      <c r="E504" s="11" t="str">
        <f>HYPERLINK("https://www.ncbi.nlm.nih.gov/protein/HCS24783.1?report=genbank&amp;log$=prottop&amp;blast_rank=438&amp;RID=8XNW7U47013","HCS24783.1")</f>
        <v>HCS24783.1</v>
      </c>
    </row>
    <row r="505" spans="1:5">
      <c r="A505" s="4" t="s">
        <v>740</v>
      </c>
      <c r="B505" s="9">
        <v>0.97</v>
      </c>
      <c r="C505" s="10">
        <v>3E-98</v>
      </c>
      <c r="D505" s="5">
        <v>44.95</v>
      </c>
      <c r="E505" s="11" t="str">
        <f>HYPERLINK("https://www.ncbi.nlm.nih.gov/protein/WP_279829277.1?report=genbank&amp;log$=prottop&amp;blast_rank=499&amp;RID=8XNW7U47013","WP_279829277.1")</f>
        <v>WP_279829277.1</v>
      </c>
    </row>
    <row r="506" spans="1:5">
      <c r="A506" s="4" t="s">
        <v>450</v>
      </c>
      <c r="B506" s="9">
        <v>0.99</v>
      </c>
      <c r="C506" s="10">
        <v>2E-99</v>
      </c>
      <c r="D506" s="5">
        <v>43.35</v>
      </c>
      <c r="E506" s="11" t="str">
        <f>HYPERLINK("https://www.ncbi.nlm.nih.gov/protein/MCL5982925.1?report=genbank&amp;log$=prottop&amp;blast_rank=484&amp;RID=8XNW7U47013","MCL5982925.1")</f>
        <v>MCL5982925.1</v>
      </c>
    </row>
    <row r="507" spans="1:5">
      <c r="A507" s="4" t="s">
        <v>10</v>
      </c>
      <c r="B507" s="5" t="s">
        <v>11</v>
      </c>
      <c r="C507" s="5" t="s">
        <v>12</v>
      </c>
      <c r="D507" s="5" t="s">
        <v>13</v>
      </c>
      <c r="E507" s="11" t="s">
        <v>14</v>
      </c>
    </row>
    <row r="511" spans="1:5">
      <c r="A511" s="4" t="s">
        <v>480</v>
      </c>
    </row>
  </sheetData>
  <sortState xmlns:xlrd2="http://schemas.microsoft.com/office/spreadsheetml/2017/richdata2" ref="A7:E506">
    <sortCondition descending="1" ref="D7:D506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3A302-8D5A-924B-937A-1D44CDF6CB14}">
  <dimension ref="A1:G161"/>
  <sheetViews>
    <sheetView workbookViewId="0">
      <selection sqref="A1:XFD3"/>
    </sheetView>
  </sheetViews>
  <sheetFormatPr baseColWidth="10" defaultRowHeight="16"/>
  <cols>
    <col min="1" max="1" width="30.83203125" style="4" customWidth="1"/>
    <col min="2" max="4" width="30.83203125" style="5" customWidth="1"/>
    <col min="5" max="5" width="30.83203125" style="4" customWidth="1"/>
  </cols>
  <sheetData>
    <row r="1" spans="1:7" s="28" customFormat="1" ht="19">
      <c r="A1" s="26" t="s">
        <v>741</v>
      </c>
      <c r="B1" s="27"/>
      <c r="C1" s="27"/>
      <c r="D1" s="27"/>
      <c r="E1" s="26"/>
    </row>
    <row r="2" spans="1:7" s="28" customFormat="1" ht="19">
      <c r="A2" s="29" t="s">
        <v>742</v>
      </c>
      <c r="B2" s="27"/>
      <c r="C2" s="27"/>
      <c r="D2" s="27"/>
      <c r="E2" s="26"/>
    </row>
    <row r="3" spans="1:7" s="28" customFormat="1" ht="19">
      <c r="A3" s="29" t="s">
        <v>743</v>
      </c>
      <c r="B3" s="27"/>
      <c r="C3" s="27"/>
      <c r="D3" s="27"/>
      <c r="E3" s="26"/>
    </row>
    <row r="6" spans="1:7" s="2" customFormat="1">
      <c r="A6" s="15" t="s">
        <v>10</v>
      </c>
      <c r="B6" s="16" t="s">
        <v>11</v>
      </c>
      <c r="C6" s="16" t="s">
        <v>12</v>
      </c>
      <c r="D6" s="16" t="s">
        <v>13</v>
      </c>
      <c r="E6" s="7" t="s">
        <v>14</v>
      </c>
      <c r="F6" s="14"/>
      <c r="G6" s="14"/>
    </row>
    <row r="7" spans="1:7">
      <c r="A7" s="6" t="s">
        <v>15</v>
      </c>
      <c r="B7" s="17">
        <v>1</v>
      </c>
      <c r="C7" s="18">
        <v>9.0000000000000004E-95</v>
      </c>
      <c r="D7" s="19">
        <v>100</v>
      </c>
      <c r="E7" s="20" t="s">
        <v>766</v>
      </c>
      <c r="F7" s="3"/>
      <c r="G7" s="3"/>
    </row>
    <row r="8" spans="1:7">
      <c r="A8" s="6" t="s">
        <v>15</v>
      </c>
      <c r="B8" s="17">
        <v>1</v>
      </c>
      <c r="C8" s="18">
        <v>9.0000000000000004E-95</v>
      </c>
      <c r="D8" s="19">
        <v>100</v>
      </c>
      <c r="E8" s="20" t="s">
        <v>767</v>
      </c>
      <c r="F8" s="3"/>
      <c r="G8" s="3"/>
    </row>
    <row r="9" spans="1:7">
      <c r="A9" s="6" t="s">
        <v>15</v>
      </c>
      <c r="B9" s="17">
        <v>1</v>
      </c>
      <c r="C9" s="18">
        <v>9.9999999999999996E-95</v>
      </c>
      <c r="D9" s="19">
        <v>100</v>
      </c>
      <c r="E9" s="20" t="s">
        <v>768</v>
      </c>
      <c r="F9" s="3"/>
      <c r="G9" s="3"/>
    </row>
    <row r="10" spans="1:7">
      <c r="A10" s="6" t="s">
        <v>15</v>
      </c>
      <c r="B10" s="17">
        <v>1</v>
      </c>
      <c r="C10" s="18">
        <v>3.9999999999999998E-94</v>
      </c>
      <c r="D10" s="19">
        <v>100</v>
      </c>
      <c r="E10" s="20" t="s">
        <v>770</v>
      </c>
      <c r="F10" s="3"/>
      <c r="G10" s="3"/>
    </row>
    <row r="11" spans="1:7">
      <c r="A11" s="6" t="s">
        <v>15</v>
      </c>
      <c r="B11" s="17">
        <v>1</v>
      </c>
      <c r="C11" s="18">
        <v>3.9999999999999998E-94</v>
      </c>
      <c r="D11" s="19">
        <v>100</v>
      </c>
      <c r="E11" s="20" t="s">
        <v>772</v>
      </c>
      <c r="F11" s="3"/>
      <c r="G11" s="3"/>
    </row>
    <row r="12" spans="1:7">
      <c r="A12" s="6" t="s">
        <v>43</v>
      </c>
      <c r="B12" s="17">
        <v>1</v>
      </c>
      <c r="C12" s="18">
        <v>4.9999999999999995E-94</v>
      </c>
      <c r="D12" s="19">
        <v>100</v>
      </c>
      <c r="E12" s="20" t="s">
        <v>777</v>
      </c>
      <c r="F12" s="3"/>
      <c r="G12" s="3"/>
    </row>
    <row r="13" spans="1:7">
      <c r="A13" s="6" t="s">
        <v>15</v>
      </c>
      <c r="B13" s="17">
        <v>0.99</v>
      </c>
      <c r="C13" s="18">
        <v>2E-92</v>
      </c>
      <c r="D13" s="19">
        <v>100</v>
      </c>
      <c r="E13" s="20" t="s">
        <v>803</v>
      </c>
      <c r="F13" s="3"/>
      <c r="G13" s="3"/>
    </row>
    <row r="14" spans="1:7">
      <c r="A14" s="6" t="s">
        <v>15</v>
      </c>
      <c r="B14" s="17">
        <v>0.98</v>
      </c>
      <c r="C14" s="18">
        <v>5.0000000000000001E-92</v>
      </c>
      <c r="D14" s="19">
        <v>100</v>
      </c>
      <c r="E14" s="20" t="s">
        <v>809</v>
      </c>
      <c r="F14" s="3"/>
      <c r="G14" s="3"/>
    </row>
    <row r="15" spans="1:7">
      <c r="A15" s="6" t="s">
        <v>15</v>
      </c>
      <c r="B15" s="17">
        <v>0.97</v>
      </c>
      <c r="C15" s="18">
        <v>2E-90</v>
      </c>
      <c r="D15" s="19">
        <v>100</v>
      </c>
      <c r="E15" s="20" t="s">
        <v>820</v>
      </c>
      <c r="F15" s="3"/>
      <c r="G15" s="3"/>
    </row>
    <row r="16" spans="1:7">
      <c r="A16" s="6" t="s">
        <v>15</v>
      </c>
      <c r="B16" s="17">
        <v>0.95</v>
      </c>
      <c r="C16" s="18">
        <v>3.0000000000000002E-87</v>
      </c>
      <c r="D16" s="19">
        <v>100</v>
      </c>
      <c r="E16" s="20" t="s">
        <v>833</v>
      </c>
      <c r="F16" s="3"/>
      <c r="G16" s="3"/>
    </row>
    <row r="17" spans="1:7">
      <c r="A17" s="6" t="s">
        <v>15</v>
      </c>
      <c r="B17" s="17">
        <v>0.95</v>
      </c>
      <c r="C17" s="18">
        <v>1.0000000000000001E-86</v>
      </c>
      <c r="D17" s="19">
        <v>100</v>
      </c>
      <c r="E17" s="20" t="s">
        <v>836</v>
      </c>
      <c r="F17" s="3"/>
      <c r="G17" s="3"/>
    </row>
    <row r="18" spans="1:7">
      <c r="A18" s="6" t="s">
        <v>15</v>
      </c>
      <c r="B18" s="17">
        <v>0.88</v>
      </c>
      <c r="C18" s="18">
        <v>1.9999999999999999E-80</v>
      </c>
      <c r="D18" s="19">
        <v>100</v>
      </c>
      <c r="E18" s="20" t="s">
        <v>865</v>
      </c>
      <c r="F18" s="3"/>
      <c r="G18" s="3"/>
    </row>
    <row r="19" spans="1:7">
      <c r="A19" s="6" t="s">
        <v>15</v>
      </c>
      <c r="B19" s="17">
        <v>0.88</v>
      </c>
      <c r="C19" s="18">
        <v>1.9999999999999999E-80</v>
      </c>
      <c r="D19" s="19">
        <v>100</v>
      </c>
      <c r="E19" s="20" t="s">
        <v>866</v>
      </c>
      <c r="F19" s="3"/>
      <c r="G19" s="3"/>
    </row>
    <row r="20" spans="1:7">
      <c r="A20" s="6" t="s">
        <v>15</v>
      </c>
      <c r="B20" s="17">
        <v>0.82</v>
      </c>
      <c r="C20" s="18">
        <v>4.9999999999999998E-76</v>
      </c>
      <c r="D20" s="19">
        <v>100</v>
      </c>
      <c r="E20" s="20" t="s">
        <v>886</v>
      </c>
      <c r="F20" s="3"/>
      <c r="G20" s="3"/>
    </row>
    <row r="21" spans="1:7">
      <c r="A21" s="6" t="s">
        <v>15</v>
      </c>
      <c r="B21" s="17">
        <v>0.83</v>
      </c>
      <c r="C21" s="18">
        <v>9.9999999999999997E-73</v>
      </c>
      <c r="D21" s="19">
        <v>100</v>
      </c>
      <c r="E21" s="20" t="s">
        <v>901</v>
      </c>
      <c r="F21" s="3"/>
      <c r="G21" s="3"/>
    </row>
    <row r="22" spans="1:7">
      <c r="A22" s="6" t="s">
        <v>15</v>
      </c>
      <c r="B22" s="17">
        <v>1</v>
      </c>
      <c r="C22" s="18">
        <v>3.9999999999999998E-94</v>
      </c>
      <c r="D22" s="19">
        <v>99.55</v>
      </c>
      <c r="E22" s="20" t="s">
        <v>771</v>
      </c>
      <c r="F22" s="3"/>
      <c r="G22" s="3"/>
    </row>
    <row r="23" spans="1:7">
      <c r="A23" s="6" t="s">
        <v>15</v>
      </c>
      <c r="B23" s="17">
        <v>1</v>
      </c>
      <c r="C23" s="18">
        <v>3.0000000000000001E-93</v>
      </c>
      <c r="D23" s="19">
        <v>99.55</v>
      </c>
      <c r="E23" s="20" t="s">
        <v>796</v>
      </c>
      <c r="F23" s="3"/>
      <c r="G23" s="3"/>
    </row>
    <row r="24" spans="1:7">
      <c r="A24" s="6" t="s">
        <v>43</v>
      </c>
      <c r="B24" s="17">
        <v>1</v>
      </c>
      <c r="C24" s="18">
        <v>3.9999999999999998E-94</v>
      </c>
      <c r="D24" s="19">
        <v>99.11</v>
      </c>
      <c r="E24" s="20" t="s">
        <v>774</v>
      </c>
      <c r="F24" s="3"/>
      <c r="G24" s="3"/>
    </row>
    <row r="25" spans="1:7">
      <c r="A25" s="6" t="s">
        <v>18</v>
      </c>
      <c r="B25" s="17">
        <v>1</v>
      </c>
      <c r="C25" s="18">
        <v>6.0000000000000003E-94</v>
      </c>
      <c r="D25" s="19">
        <v>99.11</v>
      </c>
      <c r="E25" s="20" t="s">
        <v>781</v>
      </c>
      <c r="F25" s="3"/>
      <c r="G25" s="3"/>
    </row>
    <row r="26" spans="1:7">
      <c r="A26" s="6" t="s">
        <v>15</v>
      </c>
      <c r="B26" s="17">
        <v>1</v>
      </c>
      <c r="C26" s="18">
        <v>7.9999999999999996E-94</v>
      </c>
      <c r="D26" s="19">
        <v>99.11</v>
      </c>
      <c r="E26" s="20" t="s">
        <v>782</v>
      </c>
      <c r="F26" s="3"/>
      <c r="G26" s="3"/>
    </row>
    <row r="27" spans="1:7">
      <c r="A27" s="6" t="s">
        <v>15</v>
      </c>
      <c r="B27" s="17">
        <v>1</v>
      </c>
      <c r="C27" s="18">
        <v>4E-92</v>
      </c>
      <c r="D27" s="19">
        <v>98.67</v>
      </c>
      <c r="E27" s="20" t="s">
        <v>808</v>
      </c>
      <c r="F27" s="3"/>
      <c r="G27" s="3"/>
    </row>
    <row r="28" spans="1:7">
      <c r="A28" s="6" t="s">
        <v>44</v>
      </c>
      <c r="B28" s="17">
        <v>1</v>
      </c>
      <c r="C28" s="18">
        <v>4E-95</v>
      </c>
      <c r="D28" s="19">
        <v>98.66</v>
      </c>
      <c r="E28" s="20" t="s">
        <v>763</v>
      </c>
      <c r="F28" s="3"/>
      <c r="G28" s="3"/>
    </row>
    <row r="29" spans="1:7">
      <c r="A29" s="6" t="s">
        <v>15</v>
      </c>
      <c r="B29" s="17">
        <v>1</v>
      </c>
      <c r="C29" s="18">
        <v>1.9999999999999998E-93</v>
      </c>
      <c r="D29" s="19">
        <v>98.66</v>
      </c>
      <c r="E29" s="20" t="s">
        <v>789</v>
      </c>
      <c r="F29" s="3"/>
      <c r="G29" s="3"/>
    </row>
    <row r="30" spans="1:7">
      <c r="A30" s="6" t="s">
        <v>15</v>
      </c>
      <c r="B30" s="17">
        <v>1</v>
      </c>
      <c r="C30" s="18">
        <v>3.0000000000000001E-93</v>
      </c>
      <c r="D30" s="19">
        <v>98.66</v>
      </c>
      <c r="E30" s="20" t="s">
        <v>790</v>
      </c>
      <c r="F30" s="3"/>
      <c r="G30" s="3"/>
    </row>
    <row r="31" spans="1:7">
      <c r="A31" s="6" t="s">
        <v>15</v>
      </c>
      <c r="B31" s="17">
        <v>1</v>
      </c>
      <c r="C31" s="18">
        <v>1.9999999999999998E-93</v>
      </c>
      <c r="D31" s="19">
        <v>98.21</v>
      </c>
      <c r="E31" s="20" t="s">
        <v>788</v>
      </c>
      <c r="F31" s="3"/>
      <c r="G31" s="3"/>
    </row>
    <row r="32" spans="1:7">
      <c r="A32" s="6" t="s">
        <v>15</v>
      </c>
      <c r="B32" s="17">
        <v>1</v>
      </c>
      <c r="C32" s="18">
        <v>5.0000000000000001E-92</v>
      </c>
      <c r="D32" s="19">
        <v>98.21</v>
      </c>
      <c r="E32" s="20" t="s">
        <v>810</v>
      </c>
      <c r="F32" s="3"/>
      <c r="G32" s="3"/>
    </row>
    <row r="33" spans="1:7">
      <c r="A33" s="6" t="s">
        <v>18</v>
      </c>
      <c r="B33" s="17">
        <v>1</v>
      </c>
      <c r="C33" s="18">
        <v>3.9999999999999998E-94</v>
      </c>
      <c r="D33" s="19">
        <v>97.32</v>
      </c>
      <c r="E33" s="20" t="s">
        <v>773</v>
      </c>
      <c r="F33" s="3"/>
      <c r="G33" s="3"/>
    </row>
    <row r="34" spans="1:7">
      <c r="A34" s="6" t="s">
        <v>775</v>
      </c>
      <c r="B34" s="17">
        <v>1</v>
      </c>
      <c r="C34" s="18">
        <v>4.9999999999999995E-94</v>
      </c>
      <c r="D34" s="19">
        <v>97.32</v>
      </c>
      <c r="E34" s="20" t="s">
        <v>776</v>
      </c>
      <c r="F34" s="3"/>
      <c r="G34" s="3"/>
    </row>
    <row r="35" spans="1:7">
      <c r="A35" s="6" t="s">
        <v>18</v>
      </c>
      <c r="B35" s="17">
        <v>1</v>
      </c>
      <c r="C35" s="18">
        <v>3.0000000000000001E-93</v>
      </c>
      <c r="D35" s="19">
        <v>97.32</v>
      </c>
      <c r="E35" s="20" t="s">
        <v>791</v>
      </c>
      <c r="F35" s="3"/>
      <c r="G35" s="3"/>
    </row>
    <row r="36" spans="1:7">
      <c r="A36" s="6" t="s">
        <v>15</v>
      </c>
      <c r="B36" s="17">
        <v>1</v>
      </c>
      <c r="C36" s="18">
        <v>2E-95</v>
      </c>
      <c r="D36" s="19">
        <v>96.88</v>
      </c>
      <c r="E36" s="20" t="s">
        <v>762</v>
      </c>
      <c r="F36" s="3"/>
      <c r="G36" s="3"/>
    </row>
    <row r="37" spans="1:7">
      <c r="A37" s="6" t="s">
        <v>779</v>
      </c>
      <c r="B37" s="17">
        <v>1</v>
      </c>
      <c r="C37" s="18">
        <v>6.0000000000000003E-94</v>
      </c>
      <c r="D37" s="19">
        <v>96.88</v>
      </c>
      <c r="E37" s="20" t="s">
        <v>780</v>
      </c>
      <c r="F37" s="3"/>
      <c r="G37" s="3"/>
    </row>
    <row r="38" spans="1:7">
      <c r="A38" s="6" t="s">
        <v>18</v>
      </c>
      <c r="B38" s="17">
        <v>1</v>
      </c>
      <c r="C38" s="18">
        <v>9.999999999999999E-94</v>
      </c>
      <c r="D38" s="19">
        <v>96.43</v>
      </c>
      <c r="E38" s="20" t="s">
        <v>785</v>
      </c>
      <c r="F38" s="3"/>
      <c r="G38" s="3"/>
    </row>
    <row r="39" spans="1:7">
      <c r="A39" s="6" t="s">
        <v>53</v>
      </c>
      <c r="B39" s="17">
        <v>1</v>
      </c>
      <c r="C39" s="18">
        <v>3.0000000000000001E-93</v>
      </c>
      <c r="D39" s="19">
        <v>95.98</v>
      </c>
      <c r="E39" s="20" t="s">
        <v>797</v>
      </c>
      <c r="F39" s="3"/>
      <c r="G39" s="3"/>
    </row>
    <row r="40" spans="1:7">
      <c r="A40" s="6" t="s">
        <v>41</v>
      </c>
      <c r="B40" s="17">
        <v>1</v>
      </c>
      <c r="C40" s="18">
        <v>9.9999999999999999E-93</v>
      </c>
      <c r="D40" s="19">
        <v>92.41</v>
      </c>
      <c r="E40" s="20" t="s">
        <v>802</v>
      </c>
      <c r="F40" s="3"/>
      <c r="G40" s="3"/>
    </row>
    <row r="41" spans="1:7">
      <c r="A41" s="6" t="s">
        <v>813</v>
      </c>
      <c r="B41" s="17">
        <v>1</v>
      </c>
      <c r="C41" s="18">
        <v>9.9999999999999999E-91</v>
      </c>
      <c r="D41" s="19">
        <v>91.96</v>
      </c>
      <c r="E41" s="20" t="s">
        <v>814</v>
      </c>
      <c r="F41" s="3"/>
      <c r="G41" s="3"/>
    </row>
    <row r="42" spans="1:7">
      <c r="A42" s="6" t="s">
        <v>840</v>
      </c>
      <c r="B42" s="17">
        <v>0.99</v>
      </c>
      <c r="C42" s="18">
        <v>2.0000000000000002E-86</v>
      </c>
      <c r="D42" s="19">
        <v>79.73</v>
      </c>
      <c r="E42" s="20" t="s">
        <v>841</v>
      </c>
      <c r="F42" s="3"/>
      <c r="G42" s="3"/>
    </row>
    <row r="43" spans="1:7">
      <c r="A43" s="6" t="s">
        <v>831</v>
      </c>
      <c r="B43" s="17">
        <v>0.98</v>
      </c>
      <c r="C43" s="18">
        <v>2E-87</v>
      </c>
      <c r="D43" s="19">
        <v>77.83</v>
      </c>
      <c r="E43" s="20" t="s">
        <v>832</v>
      </c>
      <c r="F43" s="3"/>
      <c r="G43" s="3"/>
    </row>
    <row r="44" spans="1:7">
      <c r="A44" s="6" t="s">
        <v>17</v>
      </c>
      <c r="B44" s="17">
        <v>0.98</v>
      </c>
      <c r="C44" s="18">
        <v>6.0000000000000003E-87</v>
      </c>
      <c r="D44" s="19">
        <v>77.38</v>
      </c>
      <c r="E44" s="20" t="s">
        <v>834</v>
      </c>
      <c r="F44" s="3"/>
      <c r="G44" s="3"/>
    </row>
    <row r="45" spans="1:7">
      <c r="A45" s="6" t="s">
        <v>17</v>
      </c>
      <c r="B45" s="17">
        <v>0.98</v>
      </c>
      <c r="C45" s="18">
        <v>1.0000000000000001E-86</v>
      </c>
      <c r="D45" s="19">
        <v>76.92</v>
      </c>
      <c r="E45" s="20" t="s">
        <v>839</v>
      </c>
      <c r="F45" s="3"/>
      <c r="G45" s="3"/>
    </row>
    <row r="46" spans="1:7">
      <c r="A46" s="6" t="s">
        <v>757</v>
      </c>
      <c r="B46" s="17">
        <v>0.94</v>
      </c>
      <c r="C46" s="18">
        <v>4.0000000000000001E-97</v>
      </c>
      <c r="D46" s="19">
        <v>38.68</v>
      </c>
      <c r="E46" s="20" t="s">
        <v>758</v>
      </c>
      <c r="F46" s="3"/>
      <c r="G46" s="3"/>
    </row>
    <row r="47" spans="1:7">
      <c r="A47" s="6" t="s">
        <v>759</v>
      </c>
      <c r="B47" s="17">
        <v>0.94</v>
      </c>
      <c r="C47" s="18">
        <v>8.0000000000000003E-97</v>
      </c>
      <c r="D47" s="19">
        <v>38.68</v>
      </c>
      <c r="E47" s="20" t="s">
        <v>760</v>
      </c>
      <c r="F47" s="3"/>
      <c r="G47" s="3"/>
    </row>
    <row r="48" spans="1:7">
      <c r="A48" s="6" t="s">
        <v>400</v>
      </c>
      <c r="B48" s="17">
        <v>0.94</v>
      </c>
      <c r="C48" s="18">
        <v>7.9999999999999993E-96</v>
      </c>
      <c r="D48" s="19">
        <v>38.68</v>
      </c>
      <c r="E48" s="20" t="s">
        <v>761</v>
      </c>
      <c r="F48" s="3"/>
      <c r="G48" s="3"/>
    </row>
    <row r="49" spans="1:7">
      <c r="A49" s="6" t="s">
        <v>15</v>
      </c>
      <c r="B49" s="17">
        <v>0.81</v>
      </c>
      <c r="C49" s="18">
        <v>6.0000000000000003E-73</v>
      </c>
      <c r="D49" s="19">
        <v>37.36</v>
      </c>
      <c r="E49" s="20" t="s">
        <v>900</v>
      </c>
      <c r="F49" s="3"/>
      <c r="G49" s="3"/>
    </row>
    <row r="50" spans="1:7">
      <c r="A50" s="6" t="s">
        <v>339</v>
      </c>
      <c r="B50" s="17">
        <v>0.95</v>
      </c>
      <c r="C50" s="18">
        <v>2.0000000000000002E-86</v>
      </c>
      <c r="D50" s="19">
        <v>37.159999999999997</v>
      </c>
      <c r="E50" s="20" t="s">
        <v>842</v>
      </c>
      <c r="F50" s="3"/>
      <c r="G50" s="3"/>
    </row>
    <row r="51" spans="1:7">
      <c r="A51" s="6" t="s">
        <v>816</v>
      </c>
      <c r="B51" s="17">
        <v>0.95</v>
      </c>
      <c r="C51" s="18">
        <v>2E-90</v>
      </c>
      <c r="D51" s="19">
        <v>37.090000000000003</v>
      </c>
      <c r="E51" s="20" t="s">
        <v>817</v>
      </c>
      <c r="F51" s="3"/>
      <c r="G51" s="3"/>
    </row>
    <row r="52" spans="1:7">
      <c r="A52" s="6" t="s">
        <v>15</v>
      </c>
      <c r="B52" s="17">
        <v>0.95</v>
      </c>
      <c r="C52" s="18">
        <v>3.9999999999999997E-88</v>
      </c>
      <c r="D52" s="19">
        <v>37.090000000000003</v>
      </c>
      <c r="E52" s="20" t="s">
        <v>828</v>
      </c>
      <c r="F52" s="3"/>
      <c r="G52" s="3"/>
    </row>
    <row r="53" spans="1:7">
      <c r="A53" s="6" t="s">
        <v>595</v>
      </c>
      <c r="B53" s="17">
        <v>0.95</v>
      </c>
      <c r="C53" s="18">
        <v>3.0000000000000001E-94</v>
      </c>
      <c r="D53" s="19">
        <v>36.74</v>
      </c>
      <c r="E53" s="20" t="s">
        <v>769</v>
      </c>
      <c r="F53" s="3"/>
      <c r="G53" s="3"/>
    </row>
    <row r="54" spans="1:7">
      <c r="A54" s="6" t="s">
        <v>850</v>
      </c>
      <c r="B54" s="17">
        <v>0.93</v>
      </c>
      <c r="C54" s="18">
        <v>4.0000000000000001E-84</v>
      </c>
      <c r="D54" s="19">
        <v>36.67</v>
      </c>
      <c r="E54" s="20" t="s">
        <v>851</v>
      </c>
      <c r="F54" s="3"/>
      <c r="G54" s="3"/>
    </row>
    <row r="55" spans="1:7">
      <c r="A55" s="6" t="s">
        <v>850</v>
      </c>
      <c r="B55" s="17">
        <v>0.93</v>
      </c>
      <c r="C55" s="18">
        <v>4.0000000000000001E-84</v>
      </c>
      <c r="D55" s="19">
        <v>36.67</v>
      </c>
      <c r="E55" s="20" t="s">
        <v>852</v>
      </c>
      <c r="F55" s="3"/>
      <c r="G55" s="3"/>
    </row>
    <row r="56" spans="1:7">
      <c r="A56" s="6" t="s">
        <v>43</v>
      </c>
      <c r="B56" s="17">
        <v>0.95</v>
      </c>
      <c r="C56" s="18">
        <v>8.0000000000000001E-87</v>
      </c>
      <c r="D56" s="19">
        <v>36.619999999999997</v>
      </c>
      <c r="E56" s="20" t="s">
        <v>835</v>
      </c>
      <c r="F56" s="3"/>
      <c r="G56" s="3"/>
    </row>
    <row r="57" spans="1:7">
      <c r="A57" s="6" t="s">
        <v>829</v>
      </c>
      <c r="B57" s="17">
        <v>0.95</v>
      </c>
      <c r="C57" s="18">
        <v>8.9999999999999998E-88</v>
      </c>
      <c r="D57" s="19">
        <v>36.24</v>
      </c>
      <c r="E57" s="20" t="s">
        <v>830</v>
      </c>
      <c r="F57" s="3"/>
      <c r="G57" s="3"/>
    </row>
    <row r="58" spans="1:7">
      <c r="A58" s="6" t="s">
        <v>821</v>
      </c>
      <c r="B58" s="17">
        <v>0.94</v>
      </c>
      <c r="C58" s="18">
        <v>2E-90</v>
      </c>
      <c r="D58" s="19">
        <v>36.020000000000003</v>
      </c>
      <c r="E58" s="20" t="s">
        <v>822</v>
      </c>
      <c r="F58" s="3"/>
      <c r="G58" s="3"/>
    </row>
    <row r="59" spans="1:7">
      <c r="A59" s="6" t="s">
        <v>863</v>
      </c>
      <c r="B59" s="17">
        <v>0.95</v>
      </c>
      <c r="C59" s="18">
        <v>5.9999999999999998E-81</v>
      </c>
      <c r="D59" s="19">
        <v>35.65</v>
      </c>
      <c r="E59" s="20" t="s">
        <v>864</v>
      </c>
      <c r="F59" s="3"/>
      <c r="G59" s="3"/>
    </row>
    <row r="60" spans="1:7">
      <c r="A60" s="6" t="s">
        <v>829</v>
      </c>
      <c r="B60" s="17">
        <v>0.95</v>
      </c>
      <c r="C60" s="18">
        <v>8.0000000000000007E-86</v>
      </c>
      <c r="D60" s="19">
        <v>35.32</v>
      </c>
      <c r="E60" s="20" t="s">
        <v>844</v>
      </c>
      <c r="F60" s="3"/>
      <c r="G60" s="3"/>
    </row>
    <row r="61" spans="1:7">
      <c r="A61" s="6" t="s">
        <v>824</v>
      </c>
      <c r="B61" s="17">
        <v>0.95</v>
      </c>
      <c r="C61" s="18">
        <v>1E-89</v>
      </c>
      <c r="D61" s="19">
        <v>35.21</v>
      </c>
      <c r="E61" s="20" t="s">
        <v>825</v>
      </c>
      <c r="F61" s="3"/>
      <c r="G61" s="3"/>
    </row>
    <row r="62" spans="1:7">
      <c r="A62" s="6" t="s">
        <v>18</v>
      </c>
      <c r="B62" s="17">
        <v>0.94</v>
      </c>
      <c r="C62" s="18">
        <v>2.9999999999999999E-78</v>
      </c>
      <c r="D62" s="19">
        <v>35.07</v>
      </c>
      <c r="E62" s="20" t="s">
        <v>877</v>
      </c>
      <c r="F62" s="3"/>
      <c r="G62" s="3"/>
    </row>
    <row r="63" spans="1:7">
      <c r="A63" s="6" t="s">
        <v>18</v>
      </c>
      <c r="B63" s="17">
        <v>0.95</v>
      </c>
      <c r="C63" s="18">
        <v>1E-79</v>
      </c>
      <c r="D63" s="19">
        <v>35.049999999999997</v>
      </c>
      <c r="E63" s="20" t="s">
        <v>868</v>
      </c>
      <c r="F63" s="3"/>
      <c r="G63" s="3"/>
    </row>
    <row r="64" spans="1:7">
      <c r="A64" s="6" t="s">
        <v>15</v>
      </c>
      <c r="B64" s="17">
        <v>0.95</v>
      </c>
      <c r="C64" s="18">
        <v>1E-79</v>
      </c>
      <c r="D64" s="19">
        <v>35.049999999999997</v>
      </c>
      <c r="E64" s="20" t="s">
        <v>869</v>
      </c>
      <c r="F64" s="3"/>
      <c r="G64" s="3"/>
    </row>
    <row r="65" spans="1:7">
      <c r="A65" s="6" t="s">
        <v>15</v>
      </c>
      <c r="B65" s="17">
        <v>0.95</v>
      </c>
      <c r="C65" s="18">
        <v>6.0000000000000001E-80</v>
      </c>
      <c r="D65" s="19">
        <v>34.58</v>
      </c>
      <c r="E65" s="20" t="s">
        <v>867</v>
      </c>
      <c r="F65" s="3"/>
      <c r="G65" s="3"/>
    </row>
    <row r="66" spans="1:7">
      <c r="A66" s="6" t="s">
        <v>859</v>
      </c>
      <c r="B66" s="17">
        <v>0.95</v>
      </c>
      <c r="C66" s="18">
        <v>7.9999999999999997E-82</v>
      </c>
      <c r="D66" s="19">
        <v>33.799999999999997</v>
      </c>
      <c r="E66" s="20" t="s">
        <v>860</v>
      </c>
      <c r="F66" s="3"/>
      <c r="G66" s="3"/>
    </row>
    <row r="67" spans="1:7">
      <c r="A67" s="6" t="s">
        <v>846</v>
      </c>
      <c r="B67" s="17">
        <v>0.94</v>
      </c>
      <c r="C67" s="18">
        <v>2E-85</v>
      </c>
      <c r="D67" s="19">
        <v>31.6</v>
      </c>
      <c r="E67" s="20" t="s">
        <v>847</v>
      </c>
      <c r="F67" s="3"/>
      <c r="G67" s="3"/>
    </row>
    <row r="68" spans="1:7">
      <c r="A68" s="6" t="s">
        <v>848</v>
      </c>
      <c r="B68" s="17">
        <v>0.92</v>
      </c>
      <c r="C68" s="18">
        <v>2.0000000000000001E-84</v>
      </c>
      <c r="D68" s="19">
        <v>30.43</v>
      </c>
      <c r="E68" s="20" t="s">
        <v>849</v>
      </c>
      <c r="F68" s="3"/>
      <c r="G68" s="3"/>
    </row>
    <row r="69" spans="1:7">
      <c r="A69" s="6" t="s">
        <v>855</v>
      </c>
      <c r="B69" s="17">
        <v>0.91</v>
      </c>
      <c r="C69" s="18">
        <v>6.0000000000000002E-84</v>
      </c>
      <c r="D69" s="19">
        <v>30.39</v>
      </c>
      <c r="E69" s="20" t="s">
        <v>856</v>
      </c>
      <c r="F69" s="3"/>
      <c r="G69" s="3"/>
    </row>
    <row r="70" spans="1:7">
      <c r="A70" s="6" t="s">
        <v>872</v>
      </c>
      <c r="B70" s="17">
        <v>0.95</v>
      </c>
      <c r="C70" s="18">
        <v>6.9999999999999998E-71</v>
      </c>
      <c r="D70" s="19">
        <v>30.23</v>
      </c>
      <c r="E70" s="20" t="s">
        <v>907</v>
      </c>
      <c r="F70" s="3"/>
      <c r="G70" s="3"/>
    </row>
    <row r="71" spans="1:7">
      <c r="A71" s="6" t="s">
        <v>122</v>
      </c>
      <c r="B71" s="17">
        <v>0.95</v>
      </c>
      <c r="C71" s="18">
        <v>9.9999999999999998E-86</v>
      </c>
      <c r="D71" s="19">
        <v>29.91</v>
      </c>
      <c r="E71" s="20" t="s">
        <v>845</v>
      </c>
      <c r="F71" s="3"/>
      <c r="G71" s="3"/>
    </row>
    <row r="72" spans="1:7">
      <c r="A72" s="6" t="s">
        <v>783</v>
      </c>
      <c r="B72" s="17">
        <v>0.95</v>
      </c>
      <c r="C72" s="18">
        <v>9.999999999999999E-94</v>
      </c>
      <c r="D72" s="19">
        <v>28.84</v>
      </c>
      <c r="E72" s="20" t="s">
        <v>784</v>
      </c>
      <c r="F72" s="3"/>
      <c r="G72" s="3"/>
    </row>
    <row r="73" spans="1:7">
      <c r="A73" s="6" t="s">
        <v>879</v>
      </c>
      <c r="B73" s="17">
        <v>0.92</v>
      </c>
      <c r="C73" s="18">
        <v>9.9999999999999993E-78</v>
      </c>
      <c r="D73" s="19">
        <v>28.5</v>
      </c>
      <c r="E73" s="20" t="s">
        <v>880</v>
      </c>
      <c r="F73" s="3"/>
      <c r="G73" s="3"/>
    </row>
    <row r="74" spans="1:7">
      <c r="A74" s="6" t="s">
        <v>884</v>
      </c>
      <c r="B74" s="17">
        <v>0.92</v>
      </c>
      <c r="C74" s="18">
        <v>3.9999999999999997E-76</v>
      </c>
      <c r="D74" s="19">
        <v>28.37</v>
      </c>
      <c r="E74" s="20" t="s">
        <v>885</v>
      </c>
      <c r="F74" s="3"/>
      <c r="G74" s="3"/>
    </row>
    <row r="75" spans="1:7">
      <c r="A75" s="6" t="s">
        <v>362</v>
      </c>
      <c r="B75" s="17">
        <v>0.92</v>
      </c>
      <c r="C75" s="18">
        <v>7.0000000000000004E-98</v>
      </c>
      <c r="D75" s="19">
        <v>28.23</v>
      </c>
      <c r="E75" s="20" t="s">
        <v>752</v>
      </c>
      <c r="F75" s="3"/>
      <c r="G75" s="3"/>
    </row>
    <row r="76" spans="1:7">
      <c r="A76" s="6" t="s">
        <v>310</v>
      </c>
      <c r="B76" s="17">
        <v>0.83</v>
      </c>
      <c r="C76" s="18">
        <v>1E-73</v>
      </c>
      <c r="D76" s="19">
        <v>28.19</v>
      </c>
      <c r="E76" s="20" t="s">
        <v>899</v>
      </c>
      <c r="F76" s="3"/>
      <c r="G76" s="3"/>
    </row>
    <row r="77" spans="1:7">
      <c r="A77" s="6" t="s">
        <v>786</v>
      </c>
      <c r="B77" s="17">
        <v>0.95</v>
      </c>
      <c r="C77" s="18">
        <v>1.9999999999999998E-93</v>
      </c>
      <c r="D77" s="19">
        <v>28.11</v>
      </c>
      <c r="E77" s="20" t="s">
        <v>787</v>
      </c>
      <c r="F77" s="3"/>
      <c r="G77" s="3"/>
    </row>
    <row r="78" spans="1:7">
      <c r="A78" s="6" t="s">
        <v>440</v>
      </c>
      <c r="B78" s="17">
        <v>0.92</v>
      </c>
      <c r="C78" s="18">
        <v>2E-90</v>
      </c>
      <c r="D78" s="19">
        <v>28.02</v>
      </c>
      <c r="E78" s="20" t="s">
        <v>815</v>
      </c>
      <c r="F78" s="3"/>
      <c r="G78" s="3"/>
    </row>
    <row r="79" spans="1:7">
      <c r="A79" s="6" t="s">
        <v>857</v>
      </c>
      <c r="B79" s="17">
        <v>0.94</v>
      </c>
      <c r="C79" s="18">
        <v>3.9999999999999998E-82</v>
      </c>
      <c r="D79" s="19">
        <v>27.83</v>
      </c>
      <c r="E79" s="20" t="s">
        <v>858</v>
      </c>
      <c r="F79" s="3"/>
      <c r="G79" s="3"/>
    </row>
    <row r="80" spans="1:7">
      <c r="A80" s="6" t="s">
        <v>870</v>
      </c>
      <c r="B80" s="17">
        <v>0.94</v>
      </c>
      <c r="C80" s="18">
        <v>2E-79</v>
      </c>
      <c r="D80" s="19">
        <v>27.7</v>
      </c>
      <c r="E80" s="20" t="s">
        <v>871</v>
      </c>
      <c r="F80" s="3"/>
      <c r="G80" s="3"/>
    </row>
    <row r="81" spans="1:7">
      <c r="A81" s="6" t="s">
        <v>199</v>
      </c>
      <c r="B81" s="17">
        <v>0.94</v>
      </c>
      <c r="C81" s="18">
        <v>6.0000000000000001E-74</v>
      </c>
      <c r="D81" s="19">
        <v>27.52</v>
      </c>
      <c r="E81" s="20" t="s">
        <v>898</v>
      </c>
      <c r="F81" s="3"/>
      <c r="G81" s="3"/>
    </row>
    <row r="82" spans="1:7">
      <c r="A82" s="6" t="s">
        <v>746</v>
      </c>
      <c r="B82" s="17">
        <v>0.93</v>
      </c>
      <c r="C82" s="18">
        <v>4.0000000000000002E-101</v>
      </c>
      <c r="D82" s="19">
        <v>27.36</v>
      </c>
      <c r="E82" s="20" t="s">
        <v>747</v>
      </c>
      <c r="F82" s="3"/>
      <c r="G82" s="3"/>
    </row>
    <row r="83" spans="1:7">
      <c r="A83" s="6" t="s">
        <v>750</v>
      </c>
      <c r="B83" s="17">
        <v>0.93</v>
      </c>
      <c r="C83" s="18">
        <v>2E-99</v>
      </c>
      <c r="D83" s="19">
        <v>27.36</v>
      </c>
      <c r="E83" s="20" t="s">
        <v>751</v>
      </c>
      <c r="F83" s="3"/>
      <c r="G83" s="3"/>
    </row>
    <row r="84" spans="1:7">
      <c r="A84" s="6" t="s">
        <v>872</v>
      </c>
      <c r="B84" s="17">
        <v>0.95</v>
      </c>
      <c r="C84" s="18">
        <v>5E-79</v>
      </c>
      <c r="D84" s="19">
        <v>27.1</v>
      </c>
      <c r="E84" s="20" t="s">
        <v>873</v>
      </c>
      <c r="F84" s="3"/>
      <c r="G84" s="3"/>
    </row>
    <row r="85" spans="1:7">
      <c r="A85" s="6" t="s">
        <v>792</v>
      </c>
      <c r="B85" s="17">
        <v>0.9</v>
      </c>
      <c r="C85" s="18">
        <v>3.0000000000000001E-93</v>
      </c>
      <c r="D85" s="19">
        <v>26.83</v>
      </c>
      <c r="E85" s="20" t="s">
        <v>793</v>
      </c>
      <c r="F85" s="3"/>
      <c r="G85" s="3"/>
    </row>
    <row r="86" spans="1:7">
      <c r="A86" s="6" t="s">
        <v>583</v>
      </c>
      <c r="B86" s="17">
        <v>0.94</v>
      </c>
      <c r="C86" s="18">
        <v>6.0000000000000004E-90</v>
      </c>
      <c r="D86" s="19">
        <v>26.76</v>
      </c>
      <c r="E86" s="20" t="s">
        <v>823</v>
      </c>
      <c r="F86" s="3"/>
      <c r="G86" s="3"/>
    </row>
    <row r="87" spans="1:7">
      <c r="A87" s="6" t="s">
        <v>872</v>
      </c>
      <c r="B87" s="17">
        <v>0.95</v>
      </c>
      <c r="C87" s="18">
        <v>1E-78</v>
      </c>
      <c r="D87" s="19">
        <v>26.64</v>
      </c>
      <c r="E87" s="20" t="s">
        <v>874</v>
      </c>
      <c r="F87" s="3"/>
      <c r="G87" s="3"/>
    </row>
    <row r="88" spans="1:7">
      <c r="A88" s="6" t="s">
        <v>875</v>
      </c>
      <c r="B88" s="17">
        <v>0.95</v>
      </c>
      <c r="C88" s="18">
        <v>1E-78</v>
      </c>
      <c r="D88" s="19">
        <v>26.64</v>
      </c>
      <c r="E88" s="20" t="s">
        <v>876</v>
      </c>
      <c r="F88" s="3"/>
      <c r="G88" s="3"/>
    </row>
    <row r="89" spans="1:7">
      <c r="A89" s="6" t="s">
        <v>875</v>
      </c>
      <c r="B89" s="17">
        <v>0.95</v>
      </c>
      <c r="C89" s="18">
        <v>6.9999999999999999E-78</v>
      </c>
      <c r="D89" s="19">
        <v>26.64</v>
      </c>
      <c r="E89" s="20" t="s">
        <v>878</v>
      </c>
      <c r="F89" s="3"/>
      <c r="G89" s="3"/>
    </row>
    <row r="90" spans="1:7">
      <c r="A90" s="6" t="s">
        <v>896</v>
      </c>
      <c r="B90" s="17">
        <v>0.95</v>
      </c>
      <c r="C90" s="18">
        <v>6.0000000000000001E-74</v>
      </c>
      <c r="D90" s="19">
        <v>26.64</v>
      </c>
      <c r="E90" s="20" t="s">
        <v>897</v>
      </c>
      <c r="F90" s="3"/>
      <c r="G90" s="3"/>
    </row>
    <row r="91" spans="1:7">
      <c r="A91" s="6" t="s">
        <v>245</v>
      </c>
      <c r="B91" s="17">
        <v>0.93</v>
      </c>
      <c r="C91" s="18">
        <v>4.9999999999999995E-94</v>
      </c>
      <c r="D91" s="19">
        <v>26.42</v>
      </c>
      <c r="E91" s="20" t="s">
        <v>778</v>
      </c>
      <c r="F91" s="3"/>
      <c r="G91" s="3"/>
    </row>
    <row r="92" spans="1:7">
      <c r="A92" s="6" t="s">
        <v>861</v>
      </c>
      <c r="B92" s="17">
        <v>0.93</v>
      </c>
      <c r="C92" s="18">
        <v>4.9999999999999998E-81</v>
      </c>
      <c r="D92" s="19">
        <v>26.19</v>
      </c>
      <c r="E92" s="20" t="s">
        <v>862</v>
      </c>
      <c r="F92" s="3"/>
      <c r="G92" s="3"/>
    </row>
    <row r="93" spans="1:7">
      <c r="A93" s="6" t="s">
        <v>800</v>
      </c>
      <c r="B93" s="17">
        <v>0.93</v>
      </c>
      <c r="C93" s="18">
        <v>6.0000000000000003E-93</v>
      </c>
      <c r="D93" s="19">
        <v>25.94</v>
      </c>
      <c r="E93" s="20" t="s">
        <v>801</v>
      </c>
      <c r="F93" s="3"/>
      <c r="G93" s="3"/>
    </row>
    <row r="94" spans="1:7">
      <c r="A94" s="6" t="s">
        <v>826</v>
      </c>
      <c r="B94" s="17">
        <v>0.9</v>
      </c>
      <c r="C94" s="18">
        <v>4.0000000000000002E-89</v>
      </c>
      <c r="D94" s="19">
        <v>25.85</v>
      </c>
      <c r="E94" s="20" t="s">
        <v>827</v>
      </c>
      <c r="F94" s="3"/>
      <c r="G94" s="3"/>
    </row>
    <row r="95" spans="1:7">
      <c r="A95" s="6" t="s">
        <v>837</v>
      </c>
      <c r="B95" s="17">
        <v>0.94</v>
      </c>
      <c r="C95" s="18">
        <v>1.0000000000000001E-86</v>
      </c>
      <c r="D95" s="19">
        <v>25.82</v>
      </c>
      <c r="E95" s="20" t="s">
        <v>838</v>
      </c>
      <c r="F95" s="3"/>
      <c r="G95" s="3"/>
    </row>
    <row r="96" spans="1:7">
      <c r="A96" s="6" t="s">
        <v>837</v>
      </c>
      <c r="B96" s="17">
        <v>0.94</v>
      </c>
      <c r="C96" s="18">
        <v>2.0000000000000002E-86</v>
      </c>
      <c r="D96" s="19">
        <v>25.82</v>
      </c>
      <c r="E96" s="20" t="s">
        <v>843</v>
      </c>
      <c r="F96" s="3"/>
      <c r="G96" s="3"/>
    </row>
    <row r="97" spans="1:7">
      <c r="A97" s="6" t="s">
        <v>818</v>
      </c>
      <c r="B97" s="17">
        <v>0.9</v>
      </c>
      <c r="C97" s="18">
        <v>2E-90</v>
      </c>
      <c r="D97" s="19">
        <v>25.49</v>
      </c>
      <c r="E97" s="20" t="s">
        <v>819</v>
      </c>
      <c r="F97" s="3"/>
      <c r="G97" s="3"/>
    </row>
    <row r="98" spans="1:7">
      <c r="A98" s="6" t="s">
        <v>916</v>
      </c>
      <c r="B98" s="17">
        <v>0.94</v>
      </c>
      <c r="C98" s="18">
        <v>2.0000000000000001E-62</v>
      </c>
      <c r="D98" s="19">
        <v>25.47</v>
      </c>
      <c r="E98" s="20" t="s">
        <v>917</v>
      </c>
      <c r="F98" s="3"/>
      <c r="G98" s="3"/>
    </row>
    <row r="99" spans="1:7">
      <c r="A99" s="6" t="s">
        <v>890</v>
      </c>
      <c r="B99" s="17">
        <v>0.89</v>
      </c>
      <c r="C99" s="18">
        <v>6.9999999999999997E-75</v>
      </c>
      <c r="D99" s="19">
        <v>25.25</v>
      </c>
      <c r="E99" s="20" t="s">
        <v>891</v>
      </c>
      <c r="F99" s="3"/>
      <c r="G99" s="3"/>
    </row>
    <row r="100" spans="1:7">
      <c r="A100" s="6" t="s">
        <v>908</v>
      </c>
      <c r="B100" s="17">
        <v>0.91</v>
      </c>
      <c r="C100" s="18">
        <v>6.9999999999999998E-71</v>
      </c>
      <c r="D100" s="19">
        <v>25.24</v>
      </c>
      <c r="E100" s="20" t="s">
        <v>909</v>
      </c>
      <c r="F100" s="3"/>
      <c r="G100" s="3"/>
    </row>
    <row r="101" spans="1:7">
      <c r="A101" s="6" t="s">
        <v>798</v>
      </c>
      <c r="B101" s="17">
        <v>0.93</v>
      </c>
      <c r="C101" s="18">
        <v>4.9999999999999999E-93</v>
      </c>
      <c r="D101" s="19">
        <v>25</v>
      </c>
      <c r="E101" s="20" t="s">
        <v>799</v>
      </c>
      <c r="F101" s="3"/>
      <c r="G101" s="3"/>
    </row>
    <row r="102" spans="1:7">
      <c r="A102" s="6" t="s">
        <v>804</v>
      </c>
      <c r="B102" s="17">
        <v>0.93</v>
      </c>
      <c r="C102" s="18">
        <v>2E-92</v>
      </c>
      <c r="D102" s="19">
        <v>24.76</v>
      </c>
      <c r="E102" s="20" t="s">
        <v>805</v>
      </c>
      <c r="F102" s="3"/>
      <c r="G102" s="3"/>
    </row>
    <row r="103" spans="1:7">
      <c r="A103" s="6" t="s">
        <v>753</v>
      </c>
      <c r="B103" s="17">
        <v>0.95</v>
      </c>
      <c r="C103" s="18">
        <v>8.9999999999999999E-98</v>
      </c>
      <c r="D103" s="19">
        <v>24.67</v>
      </c>
      <c r="E103" s="20" t="s">
        <v>754</v>
      </c>
      <c r="F103" s="3"/>
      <c r="G103" s="3"/>
    </row>
    <row r="104" spans="1:7">
      <c r="A104" s="6" t="s">
        <v>764</v>
      </c>
      <c r="B104" s="17">
        <v>0.95</v>
      </c>
      <c r="C104" s="18">
        <v>6.9999999999999994E-95</v>
      </c>
      <c r="D104" s="19">
        <v>24.67</v>
      </c>
      <c r="E104" s="20" t="s">
        <v>765</v>
      </c>
      <c r="F104" s="3"/>
      <c r="G104" s="3"/>
    </row>
    <row r="105" spans="1:7">
      <c r="A105" s="6" t="s">
        <v>913</v>
      </c>
      <c r="B105" s="17">
        <v>0.9</v>
      </c>
      <c r="C105" s="18">
        <v>9.9999999999999994E-68</v>
      </c>
      <c r="D105" s="19">
        <v>24.63</v>
      </c>
      <c r="E105" s="20" t="s">
        <v>914</v>
      </c>
      <c r="F105" s="3"/>
      <c r="G105" s="3"/>
    </row>
    <row r="106" spans="1:7">
      <c r="A106" s="6" t="s">
        <v>748</v>
      </c>
      <c r="B106" s="17">
        <v>0.93</v>
      </c>
      <c r="C106" s="18">
        <v>3.0000000000000001E-100</v>
      </c>
      <c r="D106" s="19">
        <v>24.42</v>
      </c>
      <c r="E106" s="20" t="s">
        <v>749</v>
      </c>
      <c r="F106" s="3"/>
      <c r="G106" s="3"/>
    </row>
    <row r="107" spans="1:7">
      <c r="A107" s="6" t="s">
        <v>794</v>
      </c>
      <c r="B107" s="17">
        <v>0.93</v>
      </c>
      <c r="C107" s="18">
        <v>3.0000000000000001E-93</v>
      </c>
      <c r="D107" s="19">
        <v>24.29</v>
      </c>
      <c r="E107" s="20" t="s">
        <v>795</v>
      </c>
      <c r="F107" s="3"/>
      <c r="G107" s="3"/>
    </row>
    <row r="108" spans="1:7">
      <c r="A108" s="6" t="s">
        <v>744</v>
      </c>
      <c r="B108" s="17">
        <v>0.93</v>
      </c>
      <c r="C108" s="18">
        <v>1.9999999999999999E-103</v>
      </c>
      <c r="D108" s="19">
        <v>24.06</v>
      </c>
      <c r="E108" s="20" t="s">
        <v>745</v>
      </c>
      <c r="F108" s="3"/>
      <c r="G108" s="3"/>
    </row>
    <row r="109" spans="1:7">
      <c r="A109" s="6" t="s">
        <v>806</v>
      </c>
      <c r="B109" s="17">
        <v>0.94</v>
      </c>
      <c r="C109" s="18">
        <v>3.0000000000000001E-92</v>
      </c>
      <c r="D109" s="19">
        <v>24.06</v>
      </c>
      <c r="E109" s="20" t="s">
        <v>807</v>
      </c>
      <c r="F109" s="3"/>
      <c r="G109" s="3"/>
    </row>
    <row r="110" spans="1:7">
      <c r="A110" s="6" t="s">
        <v>853</v>
      </c>
      <c r="B110" s="17">
        <v>0.92</v>
      </c>
      <c r="C110" s="18">
        <v>6.0000000000000002E-84</v>
      </c>
      <c r="D110" s="19">
        <v>24.04</v>
      </c>
      <c r="E110" s="20" t="s">
        <v>854</v>
      </c>
      <c r="F110" s="3"/>
      <c r="G110" s="3"/>
    </row>
    <row r="111" spans="1:7">
      <c r="A111" s="6" t="s">
        <v>755</v>
      </c>
      <c r="B111" s="17">
        <v>0.94</v>
      </c>
      <c r="C111" s="18">
        <v>1E-97</v>
      </c>
      <c r="D111" s="19">
        <v>23.94</v>
      </c>
      <c r="E111" s="20" t="s">
        <v>756</v>
      </c>
      <c r="F111" s="3"/>
      <c r="G111" s="3"/>
    </row>
    <row r="112" spans="1:7">
      <c r="A112" s="6" t="s">
        <v>931</v>
      </c>
      <c r="B112" s="17">
        <v>0.91</v>
      </c>
      <c r="C112" s="18">
        <v>3.0000000000000002E-60</v>
      </c>
      <c r="D112" s="19">
        <v>23.9</v>
      </c>
      <c r="E112" s="20" t="s">
        <v>932</v>
      </c>
      <c r="F112" s="3"/>
      <c r="G112" s="3"/>
    </row>
    <row r="113" spans="1:7">
      <c r="A113" s="6" t="s">
        <v>902</v>
      </c>
      <c r="B113" s="17">
        <v>0.93</v>
      </c>
      <c r="C113" s="18">
        <v>1.9999999999999999E-72</v>
      </c>
      <c r="D113" s="19">
        <v>23.53</v>
      </c>
      <c r="E113" s="20" t="s">
        <v>903</v>
      </c>
      <c r="F113" s="3"/>
      <c r="G113" s="3"/>
    </row>
    <row r="114" spans="1:7">
      <c r="A114" s="6" t="s">
        <v>902</v>
      </c>
      <c r="B114" s="17">
        <v>0.93</v>
      </c>
      <c r="C114" s="18">
        <v>4.9999999999999996E-72</v>
      </c>
      <c r="D114" s="19">
        <v>23.53</v>
      </c>
      <c r="E114" s="20" t="s">
        <v>905</v>
      </c>
      <c r="F114" s="3"/>
      <c r="G114" s="3"/>
    </row>
    <row r="115" spans="1:7">
      <c r="A115" s="6" t="s">
        <v>928</v>
      </c>
      <c r="B115" s="17">
        <v>0.94</v>
      </c>
      <c r="C115" s="18">
        <v>9.9999999999999997E-61</v>
      </c>
      <c r="D115" s="19">
        <v>23.22</v>
      </c>
      <c r="E115" s="20" t="s">
        <v>929</v>
      </c>
      <c r="F115" s="3"/>
      <c r="G115" s="3"/>
    </row>
    <row r="116" spans="1:7">
      <c r="A116" s="6" t="s">
        <v>887</v>
      </c>
      <c r="B116" s="17">
        <v>0.88</v>
      </c>
      <c r="C116" s="18">
        <v>1.9999999999999999E-75</v>
      </c>
      <c r="D116" s="19">
        <v>23</v>
      </c>
      <c r="E116" s="20" t="s">
        <v>888</v>
      </c>
      <c r="F116" s="3"/>
      <c r="G116" s="3"/>
    </row>
    <row r="117" spans="1:7">
      <c r="A117" s="6" t="s">
        <v>309</v>
      </c>
      <c r="B117" s="17">
        <v>0.93</v>
      </c>
      <c r="C117" s="18">
        <v>9.9999999999999997E-65</v>
      </c>
      <c r="D117" s="19">
        <v>22.86</v>
      </c>
      <c r="E117" s="20" t="s">
        <v>915</v>
      </c>
      <c r="F117" s="3"/>
      <c r="G117" s="3"/>
    </row>
    <row r="118" spans="1:7">
      <c r="A118" s="6" t="s">
        <v>811</v>
      </c>
      <c r="B118" s="17">
        <v>0.95</v>
      </c>
      <c r="C118" s="18">
        <v>1E-91</v>
      </c>
      <c r="D118" s="19">
        <v>22.69</v>
      </c>
      <c r="E118" s="20" t="s">
        <v>812</v>
      </c>
      <c r="F118" s="3"/>
      <c r="G118" s="3"/>
    </row>
    <row r="119" spans="1:7">
      <c r="A119" s="6" t="s">
        <v>892</v>
      </c>
      <c r="B119" s="17">
        <v>0.92</v>
      </c>
      <c r="C119" s="18">
        <v>9.9999999999999996E-75</v>
      </c>
      <c r="D119" s="19">
        <v>22.22</v>
      </c>
      <c r="E119" s="20" t="s">
        <v>893</v>
      </c>
      <c r="F119" s="3"/>
      <c r="G119" s="3"/>
    </row>
    <row r="120" spans="1:7">
      <c r="A120" s="6" t="s">
        <v>910</v>
      </c>
      <c r="B120" s="17">
        <v>0.95</v>
      </c>
      <c r="C120" s="18">
        <v>4.9999999999999998E-70</v>
      </c>
      <c r="D120" s="19">
        <v>22.22</v>
      </c>
      <c r="E120" s="20" t="s">
        <v>911</v>
      </c>
      <c r="F120" s="3"/>
      <c r="G120" s="3"/>
    </row>
    <row r="121" spans="1:7">
      <c r="A121" s="6" t="s">
        <v>746</v>
      </c>
      <c r="B121" s="17">
        <v>0.89</v>
      </c>
      <c r="C121" s="18">
        <v>1.9999999999999999E-69</v>
      </c>
      <c r="D121" s="19">
        <v>22.17</v>
      </c>
      <c r="E121" s="20" t="s">
        <v>912</v>
      </c>
      <c r="F121" s="3"/>
      <c r="G121" s="3"/>
    </row>
    <row r="122" spans="1:7">
      <c r="A122" s="6" t="s">
        <v>831</v>
      </c>
      <c r="B122" s="17">
        <v>0.94</v>
      </c>
      <c r="C122" s="18">
        <v>9.9999999999999993E-78</v>
      </c>
      <c r="D122" s="19">
        <v>21</v>
      </c>
      <c r="E122" s="20" t="s">
        <v>882</v>
      </c>
      <c r="F122" s="3"/>
      <c r="G122" s="3"/>
    </row>
    <row r="123" spans="1:7">
      <c r="A123" s="6" t="s">
        <v>43</v>
      </c>
      <c r="B123" s="17">
        <v>0.93</v>
      </c>
      <c r="C123" s="18">
        <v>9.9999999999999993E-78</v>
      </c>
      <c r="D123" s="19">
        <v>20.95</v>
      </c>
      <c r="E123" s="20" t="s">
        <v>881</v>
      </c>
      <c r="F123" s="3"/>
      <c r="G123" s="3"/>
    </row>
    <row r="124" spans="1:7">
      <c r="A124" s="6" t="s">
        <v>18</v>
      </c>
      <c r="B124" s="17">
        <v>0.93</v>
      </c>
      <c r="C124" s="18">
        <v>3.0000000000000002E-77</v>
      </c>
      <c r="D124" s="19">
        <v>20.95</v>
      </c>
      <c r="E124" s="20" t="s">
        <v>883</v>
      </c>
      <c r="F124" s="3"/>
      <c r="G124" s="3"/>
    </row>
    <row r="125" spans="1:7">
      <c r="A125" s="6" t="s">
        <v>18</v>
      </c>
      <c r="B125" s="17">
        <v>0.93</v>
      </c>
      <c r="C125" s="18">
        <v>3.9999999999999998E-75</v>
      </c>
      <c r="D125" s="19">
        <v>20.95</v>
      </c>
      <c r="E125" s="20" t="s">
        <v>889</v>
      </c>
      <c r="F125" s="3"/>
      <c r="G125" s="3"/>
    </row>
    <row r="126" spans="1:7">
      <c r="A126" s="6" t="s">
        <v>63</v>
      </c>
      <c r="B126" s="17">
        <v>0.93</v>
      </c>
      <c r="C126" s="18">
        <v>9.9999999999999996E-75</v>
      </c>
      <c r="D126" s="19">
        <v>20.95</v>
      </c>
      <c r="E126" s="20" t="s">
        <v>894</v>
      </c>
      <c r="F126" s="3"/>
      <c r="G126" s="3"/>
    </row>
    <row r="127" spans="1:7">
      <c r="A127" s="6" t="s">
        <v>15</v>
      </c>
      <c r="B127" s="17">
        <v>0.93</v>
      </c>
      <c r="C127" s="18">
        <v>3.0000000000000001E-74</v>
      </c>
      <c r="D127" s="19">
        <v>20.95</v>
      </c>
      <c r="E127" s="20" t="s">
        <v>895</v>
      </c>
      <c r="F127" s="3"/>
      <c r="G127" s="3"/>
    </row>
    <row r="128" spans="1:7">
      <c r="A128" s="6" t="s">
        <v>18</v>
      </c>
      <c r="B128" s="17">
        <v>0.93</v>
      </c>
      <c r="C128" s="18">
        <v>3.9999999999999999E-72</v>
      </c>
      <c r="D128" s="19">
        <v>20.95</v>
      </c>
      <c r="E128" s="20" t="s">
        <v>904</v>
      </c>
      <c r="F128" s="3"/>
      <c r="G128" s="3"/>
    </row>
    <row r="129" spans="1:7">
      <c r="A129" s="6" t="s">
        <v>63</v>
      </c>
      <c r="B129" s="17">
        <v>0.93</v>
      </c>
      <c r="C129" s="18">
        <v>3.0000000000000001E-71</v>
      </c>
      <c r="D129" s="19">
        <v>20.48</v>
      </c>
      <c r="E129" s="20" t="s">
        <v>906</v>
      </c>
      <c r="F129" s="3"/>
      <c r="G129" s="3"/>
    </row>
    <row r="130" spans="1:7">
      <c r="A130" s="6" t="s">
        <v>923</v>
      </c>
      <c r="B130" s="17">
        <v>0.94</v>
      </c>
      <c r="C130" s="18">
        <v>3.0000000000000001E-61</v>
      </c>
      <c r="D130" s="19">
        <v>18.96</v>
      </c>
      <c r="E130" s="20" t="s">
        <v>924</v>
      </c>
      <c r="F130" s="3"/>
      <c r="G130" s="3"/>
    </row>
    <row r="131" spans="1:7">
      <c r="A131" s="6" t="s">
        <v>237</v>
      </c>
      <c r="B131" s="17">
        <v>0.91</v>
      </c>
      <c r="C131" s="18">
        <v>3.0000000000000001E-58</v>
      </c>
      <c r="D131" s="19">
        <v>18.36</v>
      </c>
      <c r="E131" s="20" t="s">
        <v>935</v>
      </c>
      <c r="F131" s="3"/>
      <c r="G131" s="3"/>
    </row>
    <row r="132" spans="1:7">
      <c r="A132" s="6" t="s">
        <v>237</v>
      </c>
      <c r="B132" s="17">
        <v>0.91</v>
      </c>
      <c r="C132" s="18">
        <v>4.0000000000000001E-58</v>
      </c>
      <c r="D132" s="19">
        <v>18.36</v>
      </c>
      <c r="E132" s="20" t="s">
        <v>936</v>
      </c>
      <c r="F132" s="3"/>
      <c r="G132" s="3"/>
    </row>
    <row r="133" spans="1:7">
      <c r="A133" s="6" t="s">
        <v>237</v>
      </c>
      <c r="B133" s="17">
        <v>0.91</v>
      </c>
      <c r="C133" s="18">
        <v>5.0000000000000002E-57</v>
      </c>
      <c r="D133" s="19">
        <v>18.36</v>
      </c>
      <c r="E133" s="20" t="s">
        <v>937</v>
      </c>
      <c r="F133" s="3"/>
      <c r="G133" s="3"/>
    </row>
    <row r="134" spans="1:7">
      <c r="A134" s="6" t="s">
        <v>18</v>
      </c>
      <c r="B134" s="17">
        <v>0.94</v>
      </c>
      <c r="C134" s="18">
        <v>8.0000000000000003E-62</v>
      </c>
      <c r="D134" s="19">
        <v>18.22</v>
      </c>
      <c r="E134" s="20" t="s">
        <v>918</v>
      </c>
      <c r="F134" s="3"/>
      <c r="G134" s="3"/>
    </row>
    <row r="135" spans="1:7">
      <c r="A135" s="6" t="s">
        <v>920</v>
      </c>
      <c r="B135" s="17">
        <v>0.94</v>
      </c>
      <c r="C135" s="18">
        <v>2.0000000000000001E-61</v>
      </c>
      <c r="D135" s="19">
        <v>17.920000000000002</v>
      </c>
      <c r="E135" s="20" t="s">
        <v>921</v>
      </c>
      <c r="F135" s="3"/>
      <c r="G135" s="3"/>
    </row>
    <row r="136" spans="1:7">
      <c r="A136" s="6" t="s">
        <v>43</v>
      </c>
      <c r="B136" s="17">
        <v>0.94</v>
      </c>
      <c r="C136" s="18">
        <v>2.0000000000000001E-61</v>
      </c>
      <c r="D136" s="19">
        <v>17.920000000000002</v>
      </c>
      <c r="E136" s="20" t="s">
        <v>922</v>
      </c>
      <c r="F136" s="3"/>
      <c r="G136" s="3"/>
    </row>
    <row r="137" spans="1:7">
      <c r="A137" s="6" t="s">
        <v>63</v>
      </c>
      <c r="B137" s="17">
        <v>0.94</v>
      </c>
      <c r="C137" s="18">
        <v>7.0000000000000006E-61</v>
      </c>
      <c r="D137" s="19">
        <v>17.920000000000002</v>
      </c>
      <c r="E137" s="20" t="s">
        <v>925</v>
      </c>
      <c r="F137" s="3"/>
      <c r="G137" s="3"/>
    </row>
    <row r="138" spans="1:7">
      <c r="A138" s="6" t="s">
        <v>18</v>
      </c>
      <c r="B138" s="17">
        <v>0.94</v>
      </c>
      <c r="C138" s="18">
        <v>9.9999999999999997E-61</v>
      </c>
      <c r="D138" s="19">
        <v>17.920000000000002</v>
      </c>
      <c r="E138" s="20" t="s">
        <v>930</v>
      </c>
      <c r="F138" s="3"/>
      <c r="G138" s="3"/>
    </row>
    <row r="139" spans="1:7">
      <c r="A139" s="6" t="s">
        <v>941</v>
      </c>
      <c r="B139" s="17">
        <v>0.88</v>
      </c>
      <c r="C139" s="18">
        <v>4.9999999999999997E-50</v>
      </c>
      <c r="D139" s="19">
        <v>17.91</v>
      </c>
      <c r="E139" s="20" t="s">
        <v>942</v>
      </c>
      <c r="F139" s="3"/>
      <c r="G139" s="3"/>
    </row>
    <row r="140" spans="1:7">
      <c r="A140" s="6" t="s">
        <v>237</v>
      </c>
      <c r="B140" s="17">
        <v>0.91</v>
      </c>
      <c r="C140" s="18">
        <v>7.9999999999999996E-57</v>
      </c>
      <c r="D140" s="19">
        <v>17.87</v>
      </c>
      <c r="E140" s="20" t="s">
        <v>938</v>
      </c>
      <c r="F140" s="3"/>
      <c r="G140" s="3"/>
    </row>
    <row r="141" spans="1:7">
      <c r="A141" s="6" t="s">
        <v>18</v>
      </c>
      <c r="B141" s="17">
        <v>0.94</v>
      </c>
      <c r="C141" s="18">
        <v>2.0000000000000001E-61</v>
      </c>
      <c r="D141" s="19">
        <v>17.760000000000002</v>
      </c>
      <c r="E141" s="20" t="s">
        <v>919</v>
      </c>
      <c r="F141" s="3"/>
      <c r="G141" s="3"/>
    </row>
    <row r="142" spans="1:7">
      <c r="A142" s="6" t="s">
        <v>43</v>
      </c>
      <c r="B142" s="17">
        <v>0.94</v>
      </c>
      <c r="C142" s="18">
        <v>8.0000000000000003E-61</v>
      </c>
      <c r="D142" s="19">
        <v>17.760000000000002</v>
      </c>
      <c r="E142" s="20" t="s">
        <v>926</v>
      </c>
      <c r="F142" s="3"/>
      <c r="G142" s="3"/>
    </row>
    <row r="143" spans="1:7">
      <c r="A143" s="6" t="s">
        <v>63</v>
      </c>
      <c r="B143" s="17">
        <v>0.94</v>
      </c>
      <c r="C143" s="18">
        <v>9E-61</v>
      </c>
      <c r="D143" s="19">
        <v>17.45</v>
      </c>
      <c r="E143" s="20" t="s">
        <v>927</v>
      </c>
      <c r="F143" s="3"/>
      <c r="G143" s="3"/>
    </row>
    <row r="144" spans="1:7">
      <c r="A144" s="6" t="s">
        <v>933</v>
      </c>
      <c r="B144" s="17">
        <v>0.94</v>
      </c>
      <c r="C144" s="18">
        <v>3.9999999999999999E-60</v>
      </c>
      <c r="D144" s="19">
        <v>17.45</v>
      </c>
      <c r="E144" s="20" t="s">
        <v>934</v>
      </c>
      <c r="F144" s="3"/>
      <c r="G144" s="3"/>
    </row>
    <row r="145" spans="1:7">
      <c r="A145" s="6" t="s">
        <v>43</v>
      </c>
      <c r="B145" s="17">
        <v>0.94</v>
      </c>
      <c r="C145" s="18">
        <v>1E-54</v>
      </c>
      <c r="D145" s="19">
        <v>17.29</v>
      </c>
      <c r="E145" s="20" t="s">
        <v>940</v>
      </c>
      <c r="F145" s="3"/>
      <c r="G145" s="3"/>
    </row>
    <row r="146" spans="1:7">
      <c r="A146" s="6" t="s">
        <v>18</v>
      </c>
      <c r="B146" s="17">
        <v>0.94</v>
      </c>
      <c r="C146" s="18">
        <v>8.9999999999999994E-55</v>
      </c>
      <c r="D146" s="19">
        <v>16.82</v>
      </c>
      <c r="E146" s="20" t="s">
        <v>939</v>
      </c>
      <c r="F146" s="3"/>
      <c r="G146" s="3"/>
    </row>
    <row r="147" spans="1:7">
      <c r="A147" s="6" t="s">
        <v>946</v>
      </c>
      <c r="B147" s="17">
        <v>0.92</v>
      </c>
      <c r="C147" s="18">
        <v>2.9999999999999999E-38</v>
      </c>
      <c r="D147" s="19">
        <v>16.670000000000002</v>
      </c>
      <c r="E147" s="20" t="s">
        <v>947</v>
      </c>
      <c r="F147" s="3"/>
      <c r="G147" s="3"/>
    </row>
    <row r="148" spans="1:7">
      <c r="A148" s="6" t="s">
        <v>595</v>
      </c>
      <c r="B148" s="17">
        <v>0.86</v>
      </c>
      <c r="C148" s="18">
        <v>2.0000000000000002E-43</v>
      </c>
      <c r="D148" s="19">
        <v>15.66</v>
      </c>
      <c r="E148" s="20" t="s">
        <v>943</v>
      </c>
      <c r="F148" s="3"/>
      <c r="G148" s="3"/>
    </row>
    <row r="149" spans="1:7">
      <c r="A149" s="6" t="s">
        <v>34</v>
      </c>
      <c r="B149" s="17">
        <v>0.81</v>
      </c>
      <c r="C149" s="19">
        <v>5.0000000000000001E-3</v>
      </c>
      <c r="D149" s="19">
        <v>15.34</v>
      </c>
      <c r="E149" s="20" t="s">
        <v>953</v>
      </c>
      <c r="F149" s="3"/>
      <c r="G149" s="3"/>
    </row>
    <row r="150" spans="1:7">
      <c r="A150" s="6" t="s">
        <v>18</v>
      </c>
      <c r="B150" s="17">
        <v>0.94</v>
      </c>
      <c r="C150" s="18">
        <v>1E-42</v>
      </c>
      <c r="D150" s="19">
        <v>14.88</v>
      </c>
      <c r="E150" s="20" t="s">
        <v>944</v>
      </c>
      <c r="F150" s="3"/>
      <c r="G150" s="3"/>
    </row>
    <row r="151" spans="1:7">
      <c r="A151" s="6" t="s">
        <v>41</v>
      </c>
      <c r="B151" s="17">
        <v>0.94</v>
      </c>
      <c r="C151" s="18">
        <v>5.9999999999999998E-35</v>
      </c>
      <c r="D151" s="19">
        <v>14.88</v>
      </c>
      <c r="E151" s="20" t="s">
        <v>948</v>
      </c>
      <c r="F151" s="3"/>
      <c r="G151" s="3"/>
    </row>
    <row r="152" spans="1:7">
      <c r="A152" s="6" t="s">
        <v>18</v>
      </c>
      <c r="B152" s="17">
        <v>0.94</v>
      </c>
      <c r="C152" s="18">
        <v>2E-41</v>
      </c>
      <c r="D152" s="19">
        <v>14.49</v>
      </c>
      <c r="E152" s="20" t="s">
        <v>945</v>
      </c>
      <c r="F152" s="3"/>
      <c r="G152" s="3"/>
    </row>
    <row r="153" spans="1:7">
      <c r="A153" s="6" t="s">
        <v>237</v>
      </c>
      <c r="B153" s="17">
        <v>0.94</v>
      </c>
      <c r="C153" s="18">
        <v>6.9999999999999999E-28</v>
      </c>
      <c r="D153" s="19">
        <v>14.02</v>
      </c>
      <c r="E153" s="20" t="s">
        <v>950</v>
      </c>
      <c r="F153" s="3"/>
      <c r="G153" s="3"/>
    </row>
    <row r="154" spans="1:7">
      <c r="A154" s="6" t="s">
        <v>237</v>
      </c>
      <c r="B154" s="17">
        <v>0.94</v>
      </c>
      <c r="C154" s="18">
        <v>1E-27</v>
      </c>
      <c r="D154" s="19">
        <v>14.02</v>
      </c>
      <c r="E154" s="20" t="s">
        <v>951</v>
      </c>
      <c r="F154" s="3"/>
      <c r="G154" s="3"/>
    </row>
    <row r="155" spans="1:7">
      <c r="A155" s="6" t="s">
        <v>237</v>
      </c>
      <c r="B155" s="17">
        <v>0.94</v>
      </c>
      <c r="C155" s="18">
        <v>1E-27</v>
      </c>
      <c r="D155" s="19">
        <v>14.02</v>
      </c>
      <c r="E155" s="20" t="s">
        <v>952</v>
      </c>
      <c r="F155" s="3"/>
      <c r="G155" s="3"/>
    </row>
    <row r="156" spans="1:7">
      <c r="A156" s="6" t="s">
        <v>15</v>
      </c>
      <c r="B156" s="17">
        <v>0.94</v>
      </c>
      <c r="C156" s="18">
        <v>3.9999999999999999E-28</v>
      </c>
      <c r="D156" s="19">
        <v>13.08</v>
      </c>
      <c r="E156" s="20" t="s">
        <v>949</v>
      </c>
      <c r="F156" s="3"/>
      <c r="G156" s="3"/>
    </row>
    <row r="157" spans="1:7">
      <c r="A157" s="6" t="s">
        <v>10</v>
      </c>
      <c r="B157" s="19" t="s">
        <v>11</v>
      </c>
      <c r="C157" s="19" t="s">
        <v>12</v>
      </c>
      <c r="D157" s="19" t="s">
        <v>13</v>
      </c>
      <c r="E157" s="4" t="s">
        <v>14</v>
      </c>
      <c r="F157" s="3"/>
      <c r="G157" s="3"/>
    </row>
    <row r="158" spans="1:7">
      <c r="A158" s="6"/>
      <c r="B158" s="19"/>
      <c r="C158" s="19"/>
      <c r="D158" s="19"/>
      <c r="F158" s="3"/>
      <c r="G158" s="3"/>
    </row>
    <row r="159" spans="1:7">
      <c r="A159" s="6"/>
      <c r="B159" s="19"/>
      <c r="C159" s="19"/>
      <c r="D159" s="19"/>
      <c r="F159" s="3"/>
      <c r="G159" s="3"/>
    </row>
    <row r="160" spans="1:7">
      <c r="A160" s="6"/>
      <c r="B160" s="19"/>
      <c r="C160" s="19"/>
      <c r="D160" s="19"/>
      <c r="F160" s="3"/>
      <c r="G160" s="3"/>
    </row>
    <row r="161" spans="1:7">
      <c r="A161" s="6"/>
      <c r="B161" s="19"/>
      <c r="C161" s="19"/>
      <c r="D161" s="19"/>
      <c r="F161" s="3"/>
      <c r="G161" s="3"/>
    </row>
  </sheetData>
  <sortState xmlns:xlrd2="http://schemas.microsoft.com/office/spreadsheetml/2017/richdata2" ref="A7:E156">
    <sortCondition descending="1" ref="D7:D156"/>
  </sortState>
  <hyperlinks>
    <hyperlink ref="E108" r:id="rId1" display="https://www.ncbi.nlm.nih.gov/protein/WP_341644339.1?report=genbank&amp;log$=prottop&amp;blast_rank=1&amp;RID=8XPKNVYR013" xr:uid="{58360F61-F904-C249-9DDA-7840CFCC7017}"/>
    <hyperlink ref="E82" r:id="rId2" display="https://www.ncbi.nlm.nih.gov/protein/WP_334179968.1?report=genbank&amp;log$=prottop&amp;blast_rank=2&amp;RID=8XPKNVYR013" xr:uid="{4298E2F9-73C5-5843-AB62-A3B49EA77BFC}"/>
    <hyperlink ref="E106" r:id="rId3" display="https://www.ncbi.nlm.nih.gov/protein/WP_213361031.1?report=genbank&amp;log$=prottop&amp;blast_rank=3&amp;RID=8XPKNVYR013" xr:uid="{27A23112-E29F-3C42-8BD7-FD6F4D4F782B}"/>
    <hyperlink ref="E83" r:id="rId4" display="https://www.ncbi.nlm.nih.gov/protein/WP_153946359.1?report=genbank&amp;log$=prottop&amp;blast_rank=4&amp;RID=8XPKNVYR013" xr:uid="{F96DAD6F-36FC-C744-8650-C8BF6864F148}"/>
    <hyperlink ref="E75" r:id="rId5" display="https://www.ncbi.nlm.nih.gov/protein/MEQ1663024.1?report=genbank&amp;log$=prottop&amp;blast_rank=5&amp;RID=8XPKNVYR013" xr:uid="{2463A462-3669-0446-A18C-DE18B484F48A}"/>
    <hyperlink ref="E103" r:id="rId6" display="https://www.ncbi.nlm.nih.gov/protein/WP_185925140.1?report=genbank&amp;log$=prottop&amp;blast_rank=6&amp;RID=8XPKNVYR013" xr:uid="{2AB6FB01-791C-5746-B857-827673C5A0CA}"/>
    <hyperlink ref="E111" r:id="rId7" display="https://www.ncbi.nlm.nih.gov/protein/WP_130532104.1?report=genbank&amp;log$=prottop&amp;blast_rank=7&amp;RID=8XPKNVYR013" xr:uid="{16675EA8-E4DE-6F41-A5EB-4D8FE75AB079}"/>
    <hyperlink ref="E46" r:id="rId8" display="https://www.ncbi.nlm.nih.gov/protein/WP_273181265.1?report=genbank&amp;log$=prottop&amp;blast_rank=8&amp;RID=8XPKNVYR013" xr:uid="{A14D24FE-1C35-9943-A4F9-A9678D3AE3DD}"/>
    <hyperlink ref="E47" r:id="rId9" display="https://www.ncbi.nlm.nih.gov/protein/WP_292758205.1?report=genbank&amp;log$=prottop&amp;blast_rank=9&amp;RID=8XPKNVYR013" xr:uid="{C33A8B44-922D-D24C-9344-D0FC2B2A301B}"/>
    <hyperlink ref="E48" r:id="rId10" display="https://www.ncbi.nlm.nih.gov/protein/WP_139315599.1?report=genbank&amp;log$=prottop&amp;blast_rank=10&amp;RID=8XPKNVYR013" xr:uid="{AF58FC2B-A5B8-984B-B8E4-4DF4ACE1653D}"/>
    <hyperlink ref="E36" r:id="rId11" display="https://www.ncbi.nlm.nih.gov/protein/ELA7884001.1?report=genbank&amp;log$=prottop&amp;blast_rank=11&amp;RID=8XPKNVYR013" xr:uid="{BD3F2B3F-05F7-6741-87B1-14E5F25F00E7}"/>
    <hyperlink ref="E28" r:id="rId12" display="https://www.ncbi.nlm.nih.gov/protein/MDE1222734.1?report=genbank&amp;log$=prottop&amp;blast_rank=12&amp;RID=8XPKNVYR013" xr:uid="{28840BCD-05F0-4A45-9A77-D6D9CD2B89EE}"/>
    <hyperlink ref="E104" r:id="rId13" display="https://www.ncbi.nlm.nih.gov/protein/WP_139111065.1?report=genbank&amp;log$=prottop&amp;blast_rank=13&amp;RID=8XPKNVYR013" xr:uid="{A2117D9E-C38B-164C-B034-12208B8B735F}"/>
    <hyperlink ref="E7" r:id="rId14" display="https://www.ncbi.nlm.nih.gov/protein/WP_203479114.1?report=genbank&amp;log$=prottop&amp;blast_rank=14&amp;RID=8XPKNVYR013" xr:uid="{395933C4-0F77-EA40-A49C-9BE5BE84CAEA}"/>
    <hyperlink ref="E8" r:id="rId15" display="https://www.ncbi.nlm.nih.gov/protein/WP_203513435.1?report=genbank&amp;log$=prottop&amp;blast_rank=15&amp;RID=8XPKNVYR013" xr:uid="{11C7860C-D50A-3245-AAC4-921E56A9E0C1}"/>
    <hyperlink ref="E9" r:id="rId16" display="https://www.ncbi.nlm.nih.gov/protein/WP_204157856.1?report=genbank&amp;log$=prottop&amp;blast_rank=16&amp;RID=8XPKNVYR013" xr:uid="{19984396-3DD8-CD41-A7D1-8F51622FDA66}"/>
    <hyperlink ref="E53" r:id="rId17" display="https://www.ncbi.nlm.nih.gov/protein/MCW8933435.1?report=genbank&amp;log$=prottop&amp;blast_rank=17&amp;RID=8XPKNVYR013" xr:uid="{0F7A6D40-4B2B-D544-A0D6-71CA59F55C4D}"/>
    <hyperlink ref="E10" r:id="rId18" display="https://www.ncbi.nlm.nih.gov/protein/WP_267423107.1?report=genbank&amp;log$=prottop&amp;blast_rank=18&amp;RID=8XPKNVYR013" xr:uid="{6267AD16-6356-CC46-8221-12416463778E}"/>
    <hyperlink ref="E22" r:id="rId19" display="https://www.ncbi.nlm.nih.gov/protein/EJC6794069.1?report=genbank&amp;log$=prottop&amp;blast_rank=19&amp;RID=8XPKNVYR013" xr:uid="{DD9FC953-D650-BD44-84A3-651C082B18BE}"/>
    <hyperlink ref="E11" r:id="rId20" display="https://www.ncbi.nlm.nih.gov/protein/WP_069500530.1?report=genbank&amp;log$=prottop&amp;blast_rank=20&amp;RID=8XPKNVYR013" xr:uid="{A9DCCF25-A75A-0344-BB90-59919D0440D8}"/>
    <hyperlink ref="E33" r:id="rId21" display="https://www.ncbi.nlm.nih.gov/protein/MCU8238805.1?report=genbank&amp;log$=prottop&amp;blast_rank=21&amp;RID=8XPKNVYR013" xr:uid="{E80419E4-5FFF-D941-B7DB-9F9187973345}"/>
    <hyperlink ref="E24" r:id="rId22" display="https://www.ncbi.nlm.nih.gov/protein/WP_061035840.1?report=genbank&amp;log$=prottop&amp;blast_rank=22&amp;RID=8XPKNVYR013" xr:uid="{6A02E8FA-DB97-6B49-9569-E422E4451D9D}"/>
    <hyperlink ref="E34" r:id="rId23" display="https://www.ncbi.nlm.nih.gov/protein/WP_021707493.1?report=genbank&amp;log$=prottop&amp;blast_rank=23&amp;RID=8XPKNVYR013" xr:uid="{1472B2B8-218C-9742-8EC0-6D368CD1E503}"/>
    <hyperlink ref="E12" r:id="rId24" display="https://www.ncbi.nlm.nih.gov/protein/WP_005483286.1?report=genbank&amp;log$=prottop&amp;blast_rank=24&amp;RID=8XPKNVYR013" xr:uid="{5D4EF0FF-E302-664A-9C35-258230DDDB13}"/>
    <hyperlink ref="E91" r:id="rId25" display="https://www.ncbi.nlm.nih.gov/protein/WP_186159961.1?report=genbank&amp;log$=prottop&amp;blast_rank=25&amp;RID=8XPKNVYR013" xr:uid="{983457A2-CAFB-A04F-AB5B-4AD8BAD542AB}"/>
    <hyperlink ref="E37" r:id="rId26" display="https://www.ncbi.nlm.nih.gov/protein/WP_098415759.1?report=genbank&amp;log$=prottop&amp;blast_rank=26&amp;RID=8XPKNVYR013" xr:uid="{E2A350DB-E889-7749-B63F-70A1B648683B}"/>
    <hyperlink ref="E25" r:id="rId27" display="https://www.ncbi.nlm.nih.gov/protein/HAS8570121.1?report=genbank&amp;log$=prottop&amp;blast_rank=27&amp;RID=8XPKNVYR013" xr:uid="{3F046FC4-7842-6A47-B627-11BB8BB81255}"/>
    <hyperlink ref="E26" r:id="rId28" display="https://www.ncbi.nlm.nih.gov/protein/WP_274018949.1?report=genbank&amp;log$=prottop&amp;blast_rank=28&amp;RID=8XPKNVYR013" xr:uid="{685F8DAD-0480-864E-B9C8-0263638441D0}"/>
    <hyperlink ref="E72" r:id="rId29" display="https://www.ncbi.nlm.nih.gov/protein/WP_312489773.1?report=genbank&amp;log$=prottop&amp;blast_rank=29&amp;RID=8XPKNVYR013" xr:uid="{833F82EF-721A-0144-AE64-178A14112E77}"/>
    <hyperlink ref="E38" r:id="rId30" display="https://www.ncbi.nlm.nih.gov/protein/WP_225458394.1?report=genbank&amp;log$=prottop&amp;blast_rank=30&amp;RID=8XPKNVYR013" xr:uid="{9CD7E303-C445-ED41-8CC3-3D5AD87070F8}"/>
    <hyperlink ref="E77" r:id="rId31" display="https://www.ncbi.nlm.nih.gov/protein/WP_183950660.1?report=genbank&amp;log$=prottop&amp;blast_rank=31&amp;RID=8XPKNVYR013" xr:uid="{186D4E67-AF2C-304C-B8A3-88CF3F48306F}"/>
    <hyperlink ref="E31" r:id="rId32" display="https://www.ncbi.nlm.nih.gov/protein/ELJ9746604.1?report=genbank&amp;log$=prottop&amp;blast_rank=32&amp;RID=8XPKNVYR013" xr:uid="{DDF9CE4A-918E-0640-BF44-73655EFE9632}"/>
    <hyperlink ref="E29" r:id="rId33" display="https://www.ncbi.nlm.nih.gov/protein/ELB2962496.1?report=genbank&amp;log$=prottop&amp;blast_rank=33&amp;RID=8XPKNVYR013" xr:uid="{752DF046-84F9-1E42-B741-1A03A6A8F612}"/>
    <hyperlink ref="E30" r:id="rId34" display="https://www.ncbi.nlm.nih.gov/protein/HCH1532214.1?report=genbank&amp;log$=prottop&amp;blast_rank=34&amp;RID=8XPKNVYR013" xr:uid="{53B260A7-53D6-714B-AEBB-F7D45A6C50BC}"/>
    <hyperlink ref="E35" r:id="rId35" display="https://www.ncbi.nlm.nih.gov/protein/WP_130248722.1?report=genbank&amp;log$=prottop&amp;blast_rank=35&amp;RID=8XPKNVYR013" xr:uid="{F696EBA5-2D6A-C146-ADEA-3F69C89CBE4A}"/>
    <hyperlink ref="E85" r:id="rId36" display="https://www.ncbi.nlm.nih.gov/protein/WP_277666475.1?report=genbank&amp;log$=prottop&amp;blast_rank=36&amp;RID=8XPKNVYR013" xr:uid="{8E4C0F70-67F5-3449-87F6-0A837412EEFB}"/>
    <hyperlink ref="E107" r:id="rId37" display="https://www.ncbi.nlm.nih.gov/protein/WP_223995380.1?report=genbank&amp;log$=prottop&amp;blast_rank=37&amp;RID=8XPKNVYR013" xr:uid="{79D2DF8E-5BF8-D74D-8C79-CABDB5B8C64A}"/>
    <hyperlink ref="E23" r:id="rId38" display="https://www.ncbi.nlm.nih.gov/protein/MCF9512906.1?report=genbank&amp;log$=prottop&amp;blast_rank=38&amp;RID=8XPKNVYR013" xr:uid="{6F9B1FCD-B309-3647-AE1F-8686F3355C31}"/>
    <hyperlink ref="E39" r:id="rId39" display="https://www.ncbi.nlm.nih.gov/protein/WP_248376158.1?report=genbank&amp;log$=prottop&amp;blast_rank=39&amp;RID=8XPKNVYR013" xr:uid="{3A9ECD14-130F-2540-9EF2-AAE8AC39C9A4}"/>
    <hyperlink ref="E101" r:id="rId40" display="https://www.ncbi.nlm.nih.gov/protein/NOT89697.1?report=genbank&amp;log$=prottop&amp;blast_rank=40&amp;RID=8XPKNVYR013" xr:uid="{70209871-0825-3E40-B7E6-D05A12784BD1}"/>
    <hyperlink ref="E93" r:id="rId41" display="https://www.ncbi.nlm.nih.gov/protein/WP_342959045.1?report=genbank&amp;log$=prottop&amp;blast_rank=41&amp;RID=8XPKNVYR013" xr:uid="{3EE9B98B-FBB4-2946-B8C1-CB898227CD1D}"/>
    <hyperlink ref="E40" r:id="rId42" display="https://www.ncbi.nlm.nih.gov/protein/EKO3807976.1?report=genbank&amp;log$=prottop&amp;blast_rank=42&amp;RID=8XPKNVYR013" xr:uid="{70316263-F65A-9A47-9251-2A0E0A51E020}"/>
    <hyperlink ref="E13" r:id="rId43" display="https://www.ncbi.nlm.nih.gov/protein/WP_025520000.1?report=genbank&amp;log$=prottop&amp;blast_rank=43&amp;RID=8XPKNVYR013" xr:uid="{C1EC47C2-09A3-7A46-8089-84FC863C1678}"/>
    <hyperlink ref="E102" r:id="rId44" display="https://www.ncbi.nlm.nih.gov/protein/WP_335612525.1?report=genbank&amp;log$=prottop&amp;blast_rank=44&amp;RID=8XPKNVYR013" xr:uid="{D5C34640-EA17-8B45-A57A-D9E06643AF43}"/>
    <hyperlink ref="E109" r:id="rId45" display="https://www.ncbi.nlm.nih.gov/protein/WP_153365615.1?report=genbank&amp;log$=prottop&amp;blast_rank=45&amp;RID=8XPKNVYR013" xr:uid="{634CAF63-24A7-164F-9EDC-71B9045E1739}"/>
    <hyperlink ref="E27" r:id="rId46" display="https://www.ncbi.nlm.nih.gov/protein/ELB2157604.1?report=genbank&amp;log$=prottop&amp;blast_rank=46&amp;RID=8XPKNVYR013" xr:uid="{ACBBF85B-EE89-EB4D-A2F8-9C20A98424EC}"/>
    <hyperlink ref="E14" r:id="rId47" display="https://www.ncbi.nlm.nih.gov/protein/MCF9158313.1?report=genbank&amp;log$=prottop&amp;blast_rank=47&amp;RID=8XPKNVYR013" xr:uid="{235706A9-CF87-F148-98AE-FC135CEC2FCE}"/>
    <hyperlink ref="E32" r:id="rId48" display="https://www.ncbi.nlm.nih.gov/protein/WP_140312152.1?report=genbank&amp;log$=prottop&amp;blast_rank=48&amp;RID=8XPKNVYR013" xr:uid="{F5423C99-37BE-7149-91AA-02B20EF80893}"/>
    <hyperlink ref="E118" r:id="rId49" display="https://www.ncbi.nlm.nih.gov/protein/WP_324070581.1?report=genbank&amp;log$=prottop&amp;blast_rank=49&amp;RID=8XPKNVYR013" xr:uid="{D98E59C6-FCA7-1A40-A2A9-98C58F7DCB7F}"/>
    <hyperlink ref="E41" r:id="rId50" display="https://www.ncbi.nlm.nih.gov/protein/WP_107289414.1?report=genbank&amp;log$=prottop&amp;blast_rank=50&amp;RID=8XPKNVYR013" xr:uid="{8D7AE862-2582-834C-9BEB-017E1CA797AC}"/>
    <hyperlink ref="E78" r:id="rId51" display="https://www.ncbi.nlm.nih.gov/protein/MBS0377139.1?report=genbank&amp;log$=prottop&amp;blast_rank=51&amp;RID=8XPKNVYR013" xr:uid="{9708D0B5-0ECE-D944-8494-CE3301D97E7A}"/>
    <hyperlink ref="E51" r:id="rId52" display="https://www.ncbi.nlm.nih.gov/protein/CAH6845690.1?report=genbank&amp;log$=prottop&amp;blast_rank=52&amp;RID=8XPKNVYR013" xr:uid="{DEFF7EF5-D8B2-4F47-A054-78655FCB4116}"/>
    <hyperlink ref="E97" r:id="rId53" display="https://www.ncbi.nlm.nih.gov/protein/WP_054947168.1?report=genbank&amp;log$=prottop&amp;blast_rank=53&amp;RID=8XPKNVYR013" xr:uid="{C075AD14-9445-4042-ABC3-D56C320BB446}"/>
    <hyperlink ref="E15" r:id="rId54" display="https://www.ncbi.nlm.nih.gov/protein/MCF9471220.1?report=genbank&amp;log$=prottop&amp;blast_rank=54&amp;RID=8XPKNVYR013" xr:uid="{50BC3B06-D3EC-D543-A5E4-3C6F238535A9}"/>
    <hyperlink ref="E58" r:id="rId55" display="https://www.ncbi.nlm.nih.gov/protein/EPJ44487.1?report=genbank&amp;log$=prottop&amp;blast_rank=55&amp;RID=8XPKNVYR013" xr:uid="{78EB7452-FAD5-7A47-8E3E-86BA4E131AB3}"/>
    <hyperlink ref="E86" r:id="rId56" display="https://www.ncbi.nlm.nih.gov/protein/MBQ69395.1?report=genbank&amp;log$=prottop&amp;blast_rank=56&amp;RID=8XPKNVYR013" xr:uid="{A3CF5169-92F1-B649-A7D7-780FA1780436}"/>
    <hyperlink ref="E61" r:id="rId57" display="https://www.ncbi.nlm.nih.gov/protein/WP_202288044.1?report=genbank&amp;log$=prottop&amp;blast_rank=57&amp;RID=8XPKNVYR013" xr:uid="{D3719CFA-5E06-0A4B-A1AF-4762B718E2C9}"/>
    <hyperlink ref="E94" r:id="rId58" display="https://www.ncbi.nlm.nih.gov/protein/WP_260926708.1?report=genbank&amp;log$=prottop&amp;blast_rank=58&amp;RID=8XPKNVYR013" xr:uid="{04156680-FFC1-1D40-9DE3-725B97050518}"/>
    <hyperlink ref="E52" r:id="rId59" display="https://www.ncbi.nlm.nih.gov/protein/WP_140202120.1?report=genbank&amp;log$=prottop&amp;blast_rank=59&amp;RID=8XPKNVYR013" xr:uid="{3DD7C4D3-8780-1B46-85C2-8FB1EABBE461}"/>
    <hyperlink ref="E57" r:id="rId60" display="https://www.ncbi.nlm.nih.gov/protein/WP_312141309.1?report=genbank&amp;log$=prottop&amp;blast_rank=60&amp;RID=8XPKNVYR013" xr:uid="{E5752F7E-D518-F343-9CE0-262DABA62738}"/>
    <hyperlink ref="E43" r:id="rId61" display="https://www.ncbi.nlm.nih.gov/protein/WP_102361795.1?report=genbank&amp;log$=prottop&amp;blast_rank=61&amp;RID=8XPKNVYR013" xr:uid="{4AB7B965-E28D-5A4F-8C6F-7E2128C2DD04}"/>
    <hyperlink ref="E16" r:id="rId62" display="https://www.ncbi.nlm.nih.gov/protein/EGR1996166.1?report=genbank&amp;log$=prottop&amp;blast_rank=62&amp;RID=8XPKNVYR013" xr:uid="{BBA2AEEF-9557-7F45-9373-B3E5EFEC27F4}"/>
    <hyperlink ref="E44" r:id="rId63" display="https://www.ncbi.nlm.nih.gov/protein/WP_123326320.1?report=genbank&amp;log$=prottop&amp;blast_rank=63&amp;RID=8XPKNVYR013" xr:uid="{E376A280-72E0-1F4C-AE33-48CD900816A3}"/>
    <hyperlink ref="E56" r:id="rId64" display="https://www.ncbi.nlm.nih.gov/protein/WP_238952002.1?report=genbank&amp;log$=prottop&amp;blast_rank=64&amp;RID=8XPKNVYR013" xr:uid="{2579D36D-25B2-684D-BEBD-A83FA559FFA2}"/>
    <hyperlink ref="E17" r:id="rId65" display="https://www.ncbi.nlm.nih.gov/protein/WP_161716058.1?report=genbank&amp;log$=prottop&amp;blast_rank=65&amp;RID=8XPKNVYR013" xr:uid="{E8CBD671-5585-7742-AF3C-964D53E01288}"/>
    <hyperlink ref="E95" r:id="rId66" display="https://www.ncbi.nlm.nih.gov/protein/MBA4001397.1?report=genbank&amp;log$=prottop&amp;blast_rank=66&amp;RID=8XPKNVYR013" xr:uid="{B5FA31DC-6AC9-0E4D-B0EC-68C4264587C5}"/>
    <hyperlink ref="E45" r:id="rId67" display="https://www.ncbi.nlm.nih.gov/protein/CAK3344663.1?report=genbank&amp;log$=prottop&amp;blast_rank=67&amp;RID=8XPKNVYR013" xr:uid="{F188EC16-D4A6-134C-B841-FD3365E153CB}"/>
    <hyperlink ref="E42" r:id="rId68" display="https://www.ncbi.nlm.nih.gov/protein/WP_285953661.1?report=genbank&amp;log$=prottop&amp;blast_rank=68&amp;RID=8XPKNVYR013" xr:uid="{FF2E8C82-2BFA-2A49-9ABD-93762F942C29}"/>
    <hyperlink ref="E50" r:id="rId69" display="https://www.ncbi.nlm.nih.gov/protein/WP_213663066.1?report=genbank&amp;log$=prottop&amp;blast_rank=69&amp;RID=8XPKNVYR013" xr:uid="{C5906A53-16A0-6244-8609-8F55C6D08F69}"/>
    <hyperlink ref="E96" r:id="rId70" display="https://www.ncbi.nlm.nih.gov/protein/WP_292107477.1?report=genbank&amp;log$=prottop&amp;blast_rank=70&amp;RID=8XPKNVYR013" xr:uid="{FD45CC2A-9485-EC4E-A1C2-E1338AA5B8F1}"/>
    <hyperlink ref="E60" r:id="rId71" display="https://www.ncbi.nlm.nih.gov/protein/WP_170910104.1?report=genbank&amp;log$=prottop&amp;blast_rank=71&amp;RID=8XPKNVYR013" xr:uid="{E97C9AE2-DC3E-F448-A0DC-49B49196F355}"/>
    <hyperlink ref="E71" r:id="rId72" display="https://www.ncbi.nlm.nih.gov/protein/NQU52320.1?report=genbank&amp;log$=prottop&amp;blast_rank=72&amp;RID=8XPKNVYR013" xr:uid="{2D405373-FF83-8F4C-A3DF-FD0396B7EE2F}"/>
    <hyperlink ref="E67" r:id="rId73" display="https://www.ncbi.nlm.nih.gov/protein/MDP8263851.1?report=genbank&amp;log$=prottop&amp;blast_rank=73&amp;RID=8XPKNVYR013" xr:uid="{B165506B-C889-CE41-8CB3-F94956083924}"/>
    <hyperlink ref="E68" r:id="rId74" display="https://www.ncbi.nlm.nih.gov/protein/MCP4985133.1?report=genbank&amp;log$=prottop&amp;blast_rank=74&amp;RID=8XPKNVYR013" xr:uid="{12491D44-E35D-ED43-BD04-839E0D419C72}"/>
    <hyperlink ref="E54" r:id="rId75" display="https://www.ncbi.nlm.nih.gov/protein/WP_143165792.1?report=genbank&amp;log$=prottop&amp;blast_rank=75&amp;RID=8XPKNVYR013" xr:uid="{7DB49681-F02E-3A42-9B7D-18FC7E637928}"/>
    <hyperlink ref="E55" r:id="rId76" display="https://www.ncbi.nlm.nih.gov/protein/SHI15033.1?report=genbank&amp;log$=prottop&amp;blast_rank=76&amp;RID=8XPKNVYR013" xr:uid="{606FEF69-DF07-FB41-A0D7-681A776D4272}"/>
    <hyperlink ref="E110" r:id="rId77" display="https://www.ncbi.nlm.nih.gov/protein/WP_192197461.1?report=genbank&amp;log$=prottop&amp;blast_rank=77&amp;RID=8XPKNVYR013" xr:uid="{E532D35D-06CF-3343-9622-DCB7B1A0F8E2}"/>
    <hyperlink ref="E69" r:id="rId78" display="https://www.ncbi.nlm.nih.gov/protein/WP_151157676.1?report=genbank&amp;log$=prottop&amp;blast_rank=78&amp;RID=8XPKNVYR013" xr:uid="{ED5CBA2B-8439-BD4F-94E6-3ABE6DB8FD2A}"/>
    <hyperlink ref="E79" r:id="rId79" display="https://www.ncbi.nlm.nih.gov/protein/CBX28063.1?report=genbank&amp;log$=prottop&amp;blast_rank=79&amp;RID=8XPKNVYR013" xr:uid="{537C23DE-7B13-4044-800A-A0601CBD9580}"/>
    <hyperlink ref="E66" r:id="rId80" display="https://www.ncbi.nlm.nih.gov/protein/WP_007376062.1?report=genbank&amp;log$=prottop&amp;blast_rank=80&amp;RID=8XPKNVYR013" xr:uid="{76275F05-F6ED-5C44-A445-E3A425782B52}"/>
    <hyperlink ref="E92" r:id="rId81" display="https://www.ncbi.nlm.nih.gov/protein/WP_291462140.1?report=genbank&amp;log$=prottop&amp;blast_rank=81&amp;RID=8XPKNVYR013" xr:uid="{8067ABAF-77A0-C44B-A4EB-62D85FE1EE3F}"/>
    <hyperlink ref="E59" r:id="rId82" display="https://www.ncbi.nlm.nih.gov/protein/WP_086993202.1?report=genbank&amp;log$=prottop&amp;blast_rank=82&amp;RID=8XPKNVYR013" xr:uid="{F0650D91-5C55-2C48-9E0F-9AA9B08FDB89}"/>
    <hyperlink ref="E18" r:id="rId83" display="https://www.ncbi.nlm.nih.gov/protein/WP_265572606.1?report=genbank&amp;log$=prottop&amp;blast_rank=83&amp;RID=8XPKNVYR013" xr:uid="{B4466F0D-06E6-864A-8F49-F9BBDDE63DC6}"/>
    <hyperlink ref="E19" r:id="rId84" display="https://www.ncbi.nlm.nih.gov/protein/WP_073514066.1?report=genbank&amp;log$=prottop&amp;blast_rank=84&amp;RID=8XPKNVYR013" xr:uid="{F3CCD742-C3E7-7E42-BBA0-A8797C6ABEC7}"/>
    <hyperlink ref="E65" r:id="rId85" display="https://www.ncbi.nlm.nih.gov/protein/ELB2967108.1?report=genbank&amp;log$=prottop&amp;blast_rank=85&amp;RID=8XPKNVYR013" xr:uid="{B5988B76-8160-D847-A2B3-020A1B5767C5}"/>
    <hyperlink ref="E63" r:id="rId86" display="https://www.ncbi.nlm.nih.gov/protein/WP_349957640.1?report=genbank&amp;log$=prottop&amp;blast_rank=86&amp;RID=8XPKNVYR013" xr:uid="{BD7C9590-FADF-C443-B712-50954BCB7084}"/>
    <hyperlink ref="E64" r:id="rId87" display="https://www.ncbi.nlm.nih.gov/protein/EGQ9152973.1?report=genbank&amp;log$=prottop&amp;blast_rank=87&amp;RID=8XPKNVYR013" xr:uid="{5F6F7A7D-F8AD-E848-80E0-57ED0FE3F4D5}"/>
    <hyperlink ref="E80" r:id="rId88" display="https://www.ncbi.nlm.nih.gov/protein/WP_039815875.1?report=genbank&amp;log$=prottop&amp;blast_rank=88&amp;RID=8XPKNVYR013" xr:uid="{83BAD9E6-63DD-3949-BCB6-2276B9D3EDB5}"/>
    <hyperlink ref="E84" r:id="rId89" display="https://www.ncbi.nlm.nih.gov/protein/VVH64955.1?report=genbank&amp;log$=prottop&amp;blast_rank=89&amp;RID=8XPKNVYR013" xr:uid="{1913D4AF-7478-7449-A9A4-C417C760AF77}"/>
    <hyperlink ref="E87" r:id="rId90" display="https://www.ncbi.nlm.nih.gov/protein/VVH55662.1?report=genbank&amp;log$=prottop&amp;blast_rank=90&amp;RID=8XPKNVYR013" xr:uid="{692A8148-FD6F-F348-9296-E2E6A6CFE9BE}"/>
    <hyperlink ref="E88" r:id="rId91" display="https://www.ncbi.nlm.nih.gov/protein/SSC08306.1?report=genbank&amp;log$=prottop&amp;blast_rank=91&amp;RID=8XPKNVYR013" xr:uid="{B608F8F2-4B02-1042-9368-287D1A2B6508}"/>
    <hyperlink ref="E62" r:id="rId92" display="https://www.ncbi.nlm.nih.gov/protein/WP_130247475.1?report=genbank&amp;log$=prottop&amp;blast_rank=92&amp;RID=8XPKNVYR013" xr:uid="{07C578A7-47C2-0042-AD6D-7D09C4F6F65D}"/>
    <hyperlink ref="E89" r:id="rId93" display="https://www.ncbi.nlm.nih.gov/protein/WP_139699490.1?report=genbank&amp;log$=prottop&amp;blast_rank=93&amp;RID=8XPKNVYR013" xr:uid="{9086F0EB-A53F-7C44-B5FA-1DFC7969D6C3}"/>
    <hyperlink ref="E73" r:id="rId94" display="https://www.ncbi.nlm.nih.gov/protein/WP_101226862.1?report=genbank&amp;log$=prottop&amp;blast_rank=94&amp;RID=8XPKNVYR013" xr:uid="{06EBBE0B-4D34-0D45-9F7A-E9CABC38088E}"/>
    <hyperlink ref="E123" r:id="rId95" display="https://www.ncbi.nlm.nih.gov/protein/WP_102485116.1?report=genbank&amp;log$=prottop&amp;blast_rank=95&amp;RID=8XPKNVYR013" xr:uid="{9C8D3AE2-972E-D04D-9D3F-1C18A7249FF9}"/>
    <hyperlink ref="E122" r:id="rId96" display="https://www.ncbi.nlm.nih.gov/protein/WP_102502372.1?report=genbank&amp;log$=prottop&amp;blast_rank=96&amp;RID=8XPKNVYR013" xr:uid="{314B4846-BB1B-3E4D-ABD6-3BC7D61CD12F}"/>
    <hyperlink ref="E124" r:id="rId97" display="https://www.ncbi.nlm.nih.gov/protein/HAS8384597.1?report=genbank&amp;log$=prottop&amp;blast_rank=97&amp;RID=8XPKNVYR013" xr:uid="{047C50E4-9055-2A44-AE1D-F2FB71AC492F}"/>
    <hyperlink ref="E74" r:id="rId98" display="https://www.ncbi.nlm.nih.gov/protein/WP_166744153.1?report=genbank&amp;log$=prottop&amp;blast_rank=98&amp;RID=8XPKNVYR013" xr:uid="{6804001E-8393-F342-AF4D-DB54AB4D08D6}"/>
    <hyperlink ref="E20" r:id="rId99" display="https://www.ncbi.nlm.nih.gov/protein/EJG0866341.1?report=genbank&amp;log$=prottop&amp;blast_rank=99&amp;RID=8XPKNVYR013" xr:uid="{20E86935-716E-0C4F-983A-DB2954ED04F2}"/>
    <hyperlink ref="E116" r:id="rId100" display="https://www.ncbi.nlm.nih.gov/protein/MBA4160494.1?report=genbank&amp;log$=prottop&amp;blast_rank=100&amp;RID=8XPKNVYR013" xr:uid="{48B76718-AFAC-0C47-808D-73B70243AB3D}"/>
    <hyperlink ref="E125" r:id="rId101" display="https://www.ncbi.nlm.nih.gov/protein/WP_130273589.1?report=genbank&amp;log$=prottop&amp;blast_rank=101&amp;RID=8XPKNVYR013" xr:uid="{5FF39276-0D8B-BF42-8D76-050DBFFA6077}"/>
    <hyperlink ref="E99" r:id="rId102" display="https://www.ncbi.nlm.nih.gov/protein/MCE5341783.1?report=genbank&amp;log$=prottop&amp;blast_rank=102&amp;RID=8XPKNVYR013" xr:uid="{7B7F22B5-21AD-0C48-9105-62B279EF3237}"/>
    <hyperlink ref="E119" r:id="rId103" display="https://www.ncbi.nlm.nih.gov/protein/WP_115842630.1?report=genbank&amp;log$=prottop&amp;blast_rank=103&amp;RID=8XPKNVYR013" xr:uid="{5DC55090-DD0D-AF41-AE4A-E15F58565AAF}"/>
    <hyperlink ref="E126" r:id="rId104" display="https://www.ncbi.nlm.nih.gov/protein/WP_280556956.1?report=genbank&amp;log$=prottop&amp;blast_rank=104&amp;RID=8XPKNVYR013" xr:uid="{A105666B-276D-D043-AD4D-A084C3DB5483}"/>
    <hyperlink ref="E127" r:id="rId105" display="https://www.ncbi.nlm.nih.gov/protein/WP_094766469.1?report=genbank&amp;log$=prottop&amp;blast_rank=105&amp;RID=8XPKNVYR013" xr:uid="{311419A7-B4FC-E244-88B4-A13F68FEC84E}"/>
    <hyperlink ref="E90" r:id="rId106" display="https://www.ncbi.nlm.nih.gov/protein/WP_067522814.1?report=genbank&amp;log$=prottop&amp;blast_rank=106&amp;RID=8XPKNVYR013" xr:uid="{BB392B7A-9321-3242-902C-53B7DA2C1076}"/>
    <hyperlink ref="E81" r:id="rId107" display="https://www.ncbi.nlm.nih.gov/protein/MCH8260152.1?report=genbank&amp;log$=prottop&amp;blast_rank=107&amp;RID=8XPKNVYR013" xr:uid="{30ADCA82-64E6-AB48-9D6C-68140A81CA9A}"/>
    <hyperlink ref="E76" r:id="rId108" display="https://www.ncbi.nlm.nih.gov/protein/MBS3918507.1?report=genbank&amp;log$=prottop&amp;blast_rank=108&amp;RID=8XPKNVYR013" xr:uid="{F021A11A-5B84-2A43-903C-6854CFC16AA5}"/>
    <hyperlink ref="E49" r:id="rId109" display="https://www.ncbi.nlm.nih.gov/protein/MBE3884713.1?report=genbank&amp;log$=prottop&amp;blast_rank=109&amp;RID=8XPKNVYR013" xr:uid="{90B6DFB1-E087-0944-BEDD-54E4A521DE94}"/>
    <hyperlink ref="E21" r:id="rId110" display="https://www.ncbi.nlm.nih.gov/protein/WP_140205991.1?report=genbank&amp;log$=prottop&amp;blast_rank=110&amp;RID=8XPKNVYR013" xr:uid="{93CFE2B4-52EC-2847-BF04-0A13797A5673}"/>
    <hyperlink ref="E113" r:id="rId111" display="https://www.ncbi.nlm.nih.gov/protein/ODP33055.1?report=genbank&amp;log$=prottop&amp;blast_rank=111&amp;RID=8XPKNVYR013" xr:uid="{F8521CD0-D9E8-7141-B633-FB76EE6F0DCD}"/>
    <hyperlink ref="E128" r:id="rId112" display="https://www.ncbi.nlm.nih.gov/protein/HAS6323074.1?report=genbank&amp;log$=prottop&amp;blast_rank=112&amp;RID=8XPKNVYR013" xr:uid="{9444B044-1A8B-1744-ACB6-BC43673012A2}"/>
    <hyperlink ref="E114" r:id="rId113" display="https://www.ncbi.nlm.nih.gov/protein/WP_139133230.1?report=genbank&amp;log$=prottop&amp;blast_rank=113&amp;RID=8XPKNVYR013" xr:uid="{1E192AD5-1AC8-1D40-BE22-97FF6294D30F}"/>
    <hyperlink ref="E129" r:id="rId114" display="https://www.ncbi.nlm.nih.gov/protein/WP_102510943.1?report=genbank&amp;log$=prottop&amp;blast_rank=114&amp;RID=8XPKNVYR013" xr:uid="{573CDEB3-DA2E-624B-88A4-9DB67BCEA704}"/>
    <hyperlink ref="E70" r:id="rId115" display="https://www.ncbi.nlm.nih.gov/protein/CAC9552079.1?report=genbank&amp;log$=prottop&amp;blast_rank=115&amp;RID=8XPKNVYR013" xr:uid="{8EBED3B8-BCD2-F947-9D1F-863959DCE6B2}"/>
    <hyperlink ref="E100" r:id="rId116" display="https://www.ncbi.nlm.nih.gov/protein/WP_089111569.1?report=genbank&amp;log$=prottop&amp;blast_rank=116&amp;RID=8XPKNVYR013" xr:uid="{58D14434-D17D-2745-B83D-CCB3611106CD}"/>
    <hyperlink ref="E120" r:id="rId117" display="https://www.ncbi.nlm.nih.gov/protein/MBF0293688.1?report=genbank&amp;log$=prottop&amp;blast_rank=117&amp;RID=8XPKNVYR013" xr:uid="{7CC2E892-16B5-284D-BE83-EFF81D3EC2AB}"/>
    <hyperlink ref="E121" r:id="rId118" display="https://www.ncbi.nlm.nih.gov/protein/HEY0862125.1?report=genbank&amp;log$=prottop&amp;blast_rank=118&amp;RID=8XPKNVYR013" xr:uid="{6E32C34F-7954-3940-BA3C-8AAB176F885D}"/>
    <hyperlink ref="E105" r:id="rId119" display="https://www.ncbi.nlm.nih.gov/protein/WP_142126128.1?report=genbank&amp;log$=prottop&amp;blast_rank=119&amp;RID=8XPKNVYR013" xr:uid="{DC6AD541-DF12-5A44-BEE2-FF3041964DAF}"/>
    <hyperlink ref="E117" r:id="rId120" display="https://www.ncbi.nlm.nih.gov/protein/MBC2737470.1?report=genbank&amp;log$=prottop&amp;blast_rank=120&amp;RID=8XPKNVYR013" xr:uid="{76C38D34-38AA-2F43-B9E8-1596CE2C8BA7}"/>
    <hyperlink ref="E98" r:id="rId121" display="https://www.ncbi.nlm.nih.gov/protein/OQY01893.1?report=genbank&amp;log$=prottop&amp;blast_rank=121&amp;RID=8XPKNVYR013" xr:uid="{2D5A72EB-BEB9-564F-AE7E-174F570533E9}"/>
    <hyperlink ref="E134" r:id="rId122" display="https://www.ncbi.nlm.nih.gov/protein/EHH0685068.1?report=genbank&amp;log$=prottop&amp;blast_rank=122&amp;RID=8XPKNVYR013" xr:uid="{038724F8-499B-8648-A4DA-4320FF19DF1F}"/>
    <hyperlink ref="E141" r:id="rId123" display="https://www.ncbi.nlm.nih.gov/protein/EIU7824647.1?report=genbank&amp;log$=prottop&amp;blast_rank=123&amp;RID=8XPKNVYR013" xr:uid="{FD572A02-23D5-D84E-B997-E72478178A8A}"/>
    <hyperlink ref="E135" r:id="rId124" display="https://www.ncbi.nlm.nih.gov/protein/WP_137007348.1?report=genbank&amp;log$=prottop&amp;blast_rank=124&amp;RID=8XPKNVYR013" xr:uid="{CA93FBF2-D463-2644-86BA-CA02B3E20F41}"/>
    <hyperlink ref="E136" r:id="rId125" display="https://www.ncbi.nlm.nih.gov/protein/WP_048662321.1?report=genbank&amp;log$=prottop&amp;blast_rank=125&amp;RID=8XPKNVYR013" xr:uid="{5134A3CF-47FF-8F40-8C85-A189CC6D6E1C}"/>
    <hyperlink ref="E130" r:id="rId126" display="https://www.ncbi.nlm.nih.gov/protein/WP_301494737.1?report=genbank&amp;log$=prottop&amp;blast_rank=126&amp;RID=8XPKNVYR013" xr:uid="{1D223E46-7E15-5749-ADCF-2053FF257CDF}"/>
    <hyperlink ref="E137" r:id="rId127" display="https://www.ncbi.nlm.nih.gov/protein/WP_108196709.1?report=genbank&amp;log$=prottop&amp;blast_rank=127&amp;RID=8XPKNVYR013" xr:uid="{E7C06C36-E724-D74B-853C-9ED8C0D022C0}"/>
    <hyperlink ref="E142" r:id="rId128" display="https://www.ncbi.nlm.nih.gov/protein/WP_102257506.1?report=genbank&amp;log$=prottop&amp;blast_rank=128&amp;RID=8XPKNVYR013" xr:uid="{38345DB3-D724-CA49-A22E-CE65BA04112C}"/>
    <hyperlink ref="E143" r:id="rId129" display="https://www.ncbi.nlm.nih.gov/protein/WP_017085054.1?report=genbank&amp;log$=prottop&amp;blast_rank=129&amp;RID=8XPKNVYR013" xr:uid="{67A57C07-5804-4140-B097-BDEE36D66C08}"/>
    <hyperlink ref="E115" r:id="rId130" display="https://www.ncbi.nlm.nih.gov/protein/NQY22972.1?report=genbank&amp;log$=prottop&amp;blast_rank=130&amp;RID=8XPKNVYR013" xr:uid="{BE3AF4E0-27C4-1041-B864-7C70D4333688}"/>
    <hyperlink ref="E138" r:id="rId131" display="https://www.ncbi.nlm.nih.gov/protein/EJO3996592.1?report=genbank&amp;log$=prottop&amp;blast_rank=131&amp;RID=8XPKNVYR013" xr:uid="{4D4E1398-8777-2F42-B98F-7B619E94848C}"/>
    <hyperlink ref="E112" r:id="rId132" display="https://www.ncbi.nlm.nih.gov/protein/HIC43849.1?report=genbank&amp;log$=prottop&amp;blast_rank=132&amp;RID=8XPKNVYR013" xr:uid="{132F9106-61DB-BE48-9A23-EEB75D0D9FD0}"/>
    <hyperlink ref="E144" r:id="rId133" display="https://www.ncbi.nlm.nih.gov/protein/WP_076646368.1?report=genbank&amp;log$=prottop&amp;blast_rank=133&amp;RID=8XPKNVYR013" xr:uid="{BEAFA6DE-DC8E-6E4A-8247-C21C6B9062AF}"/>
    <hyperlink ref="E131" r:id="rId134" display="https://www.ncbi.nlm.nih.gov/protein/EGQ9613154.1?report=genbank&amp;log$=prottop&amp;blast_rank=134&amp;RID=8XPKNVYR013" xr:uid="{259DE69C-96DC-7340-BB81-0B8B7938735F}"/>
    <hyperlink ref="E132" r:id="rId135" display="https://www.ncbi.nlm.nih.gov/protein/WP_076008720.1?report=genbank&amp;log$=prottop&amp;blast_rank=135&amp;RID=8XPKNVYR013" xr:uid="{DAC118E6-8FCF-3A48-ABCD-C20763832582}"/>
    <hyperlink ref="E133" r:id="rId136" display="https://www.ncbi.nlm.nih.gov/protein/WP_142546919.1?report=genbank&amp;log$=prottop&amp;blast_rank=136&amp;RID=8XPKNVYR013" xr:uid="{29E7EB3D-6329-3F47-BF12-EB2B6E850405}"/>
    <hyperlink ref="E140" r:id="rId137" display="https://www.ncbi.nlm.nih.gov/protein/HDZ9207790.1?report=genbank&amp;log$=prottop&amp;blast_rank=137&amp;RID=8XPKNVYR013" xr:uid="{836A3FAF-FC43-C64B-BB59-933EDFF4DE85}"/>
    <hyperlink ref="E146" r:id="rId138" display="https://www.ncbi.nlm.nih.gov/protein/WP_225469331.1?report=genbank&amp;log$=prottop&amp;blast_rank=138&amp;RID=8XPKNVYR013" xr:uid="{53C7401A-CB60-7C48-B94F-408C3118E2BF}"/>
    <hyperlink ref="E145" r:id="rId139" display="https://www.ncbi.nlm.nih.gov/protein/WP_065870746.1?report=genbank&amp;log$=prottop&amp;blast_rank=139&amp;RID=8XPKNVYR013" xr:uid="{A2BDE76D-07EE-474D-B0A2-8FC8C25C17D9}"/>
    <hyperlink ref="E139" r:id="rId140" display="https://www.ncbi.nlm.nih.gov/protein/MCF6777637.1?report=genbank&amp;log$=prottop&amp;blast_rank=140&amp;RID=8XPKNVYR013" xr:uid="{DB29AE49-5BE6-D04D-8EF5-63975703155F}"/>
    <hyperlink ref="E148" r:id="rId141" display="https://www.ncbi.nlm.nih.gov/protein/MCK4869949.1?report=genbank&amp;log$=prottop&amp;blast_rank=141&amp;RID=8XPKNVYR013" xr:uid="{69677EC6-CF29-E241-94C2-AE84B7154F16}"/>
    <hyperlink ref="E150" r:id="rId142" display="https://www.ncbi.nlm.nih.gov/protein/WP_095429906.1?report=genbank&amp;log$=prottop&amp;blast_rank=142&amp;RID=8XPKNVYR013" xr:uid="{8D61DA72-E02D-5C49-B82C-C8EE010BE25F}"/>
    <hyperlink ref="E152" r:id="rId143" display="https://www.ncbi.nlm.nih.gov/protein/WP_130270209.1?report=genbank&amp;log$=prottop&amp;blast_rank=143&amp;RID=8XPKNVYR013" xr:uid="{096D0487-F644-E74F-8252-2461B62CC55A}"/>
    <hyperlink ref="E147" r:id="rId144" display="https://www.ncbi.nlm.nih.gov/protein/WP_274445510.1?report=genbank&amp;log$=prottop&amp;blast_rank=144&amp;RID=8XPKNVYR013" xr:uid="{29144FBF-7D75-7F4A-A65D-202F60442A37}"/>
    <hyperlink ref="E151" r:id="rId145" display="https://www.ncbi.nlm.nih.gov/protein/WP_274882979.1?report=genbank&amp;log$=prottop&amp;blast_rank=145&amp;RID=8XPKNVYR013" xr:uid="{366B2092-3677-F849-89CC-1684A552A8A7}"/>
    <hyperlink ref="E156" r:id="rId146" display="https://www.ncbi.nlm.nih.gov/protein/WP_276398024.1?report=genbank&amp;log$=prottop&amp;blast_rank=146&amp;RID=8XPKNVYR013" xr:uid="{3FF2CF98-62CC-D642-BF1F-44263963BBF1}"/>
    <hyperlink ref="E153" r:id="rId147" display="https://www.ncbi.nlm.nih.gov/protein/WP_149145052.1?report=genbank&amp;log$=prottop&amp;blast_rank=147&amp;RID=8XPKNVYR013" xr:uid="{F0E07481-1489-9F40-ACE6-9FFBAD5DA958}"/>
    <hyperlink ref="E154" r:id="rId148" display="https://www.ncbi.nlm.nih.gov/protein/EKF9989419.1?report=genbank&amp;log$=prottop&amp;blast_rank=148&amp;RID=8XPKNVYR013" xr:uid="{C5CFB79D-8313-6E4D-9282-56D9A6EC8467}"/>
    <hyperlink ref="E155" r:id="rId149" display="https://www.ncbi.nlm.nih.gov/protein/WP_267746251.1?report=genbank&amp;log$=prottop&amp;blast_rank=149&amp;RID=8XPKNVYR013" xr:uid="{AF6DEA53-967B-8A44-9A90-2133445978D9}"/>
    <hyperlink ref="E149" r:id="rId150" display="https://www.ncbi.nlm.nih.gov/protein/MDA1001516.1?report=genbank&amp;log$=prottop&amp;blast_rank=150&amp;RID=8XPKNVYR013" xr:uid="{DC66E3A3-A57A-C64A-94F7-30B7244CE7E5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4ACD8-BC6B-6448-A96A-BF4292F79B1C}">
  <dimension ref="A1:H506"/>
  <sheetViews>
    <sheetView workbookViewId="0">
      <selection sqref="A1:XFD3"/>
    </sheetView>
  </sheetViews>
  <sheetFormatPr baseColWidth="10" defaultRowHeight="16"/>
  <cols>
    <col min="1" max="1" width="30.83203125" style="4" customWidth="1"/>
    <col min="2" max="4" width="30.83203125" style="5" customWidth="1"/>
    <col min="5" max="5" width="30.83203125" style="4" customWidth="1"/>
    <col min="6" max="8" width="10.83203125" style="4"/>
  </cols>
  <sheetData>
    <row r="1" spans="1:8" s="28" customFormat="1" ht="19">
      <c r="A1" s="26" t="s">
        <v>1088</v>
      </c>
      <c r="B1" s="27"/>
      <c r="C1" s="27"/>
      <c r="D1" s="27"/>
      <c r="E1" s="26"/>
      <c r="F1" s="26"/>
      <c r="G1" s="26"/>
      <c r="H1" s="26"/>
    </row>
    <row r="2" spans="1:8" s="28" customFormat="1" ht="19">
      <c r="A2" s="30" t="s">
        <v>1233</v>
      </c>
      <c r="B2" s="27"/>
      <c r="C2" s="27"/>
      <c r="D2" s="27"/>
      <c r="E2" s="26"/>
      <c r="F2" s="26"/>
      <c r="G2" s="26"/>
      <c r="H2" s="26"/>
    </row>
    <row r="3" spans="1:8" s="28" customFormat="1" ht="19">
      <c r="A3" s="30" t="s">
        <v>1234</v>
      </c>
      <c r="B3" s="27"/>
      <c r="C3" s="27"/>
      <c r="D3" s="27"/>
      <c r="E3" s="26"/>
      <c r="F3" s="26"/>
      <c r="G3" s="26"/>
      <c r="H3" s="26"/>
    </row>
    <row r="4" spans="1:8">
      <c r="A4" s="21"/>
    </row>
    <row r="6" spans="1:8" s="13" customFormat="1">
      <c r="A6" s="7" t="s">
        <v>10</v>
      </c>
      <c r="B6" s="8" t="s">
        <v>11</v>
      </c>
      <c r="C6" s="8" t="s">
        <v>12</v>
      </c>
      <c r="D6" s="8" t="s">
        <v>13</v>
      </c>
      <c r="E6" s="7" t="s">
        <v>14</v>
      </c>
      <c r="F6" s="7"/>
      <c r="G6" s="7"/>
      <c r="H6" s="7"/>
    </row>
    <row r="7" spans="1:8">
      <c r="A7" s="4" t="s">
        <v>42</v>
      </c>
      <c r="B7" s="9">
        <v>1</v>
      </c>
      <c r="C7" s="10">
        <v>1.9999999999999999E-144</v>
      </c>
      <c r="D7" s="5">
        <v>100</v>
      </c>
      <c r="E7" s="4" t="str">
        <f>HYPERLINK("https://www.ncbi.nlm.nih.gov/protein/WP_005483174.1?report=genbank&amp;log$=prottop&amp;blast_rank=2&amp;RID=92EC6PSH016","WP_005483174.1")</f>
        <v>WP_005483174.1</v>
      </c>
    </row>
    <row r="8" spans="1:8">
      <c r="A8" s="4" t="s">
        <v>15</v>
      </c>
      <c r="B8" s="9">
        <v>0.99</v>
      </c>
      <c r="C8" s="10">
        <v>1.9999999999999999E-143</v>
      </c>
      <c r="D8" s="5">
        <v>100</v>
      </c>
      <c r="E8" s="4" t="str">
        <f>HYPERLINK("https://www.ncbi.nlm.nih.gov/protein/ARC19782.1?report=genbank&amp;log$=prottop&amp;blast_rank=7&amp;RID=92EC6PSH016","ARC19782.1")</f>
        <v>ARC19782.1</v>
      </c>
    </row>
    <row r="9" spans="1:8">
      <c r="A9" s="4" t="s">
        <v>15</v>
      </c>
      <c r="B9" s="9">
        <v>0.99</v>
      </c>
      <c r="C9" s="10">
        <v>3.9999999999999998E-143</v>
      </c>
      <c r="D9" s="5">
        <v>100</v>
      </c>
      <c r="E9" s="4" t="str">
        <f>HYPERLINK("https://www.ncbi.nlm.nih.gov/protein/EJG0697449.1?report=genbank&amp;log$=prottop&amp;blast_rank=13&amp;RID=92EC6PSH016","EJG0697449.1")</f>
        <v>EJG0697449.1</v>
      </c>
    </row>
    <row r="10" spans="1:8">
      <c r="A10" s="4" t="s">
        <v>15</v>
      </c>
      <c r="B10" s="9">
        <v>0.97</v>
      </c>
      <c r="C10" s="10">
        <v>7.9999999999999999E-140</v>
      </c>
      <c r="D10" s="5">
        <v>100</v>
      </c>
      <c r="E10" s="4" t="str">
        <f>HYPERLINK("https://www.ncbi.nlm.nih.gov/protein/EGR3106822.1?report=genbank&amp;log$=prottop&amp;blast_rank=22&amp;RID=92EC6PSH016","EGR3106822.1")</f>
        <v>EGR3106822.1</v>
      </c>
    </row>
    <row r="11" spans="1:8">
      <c r="A11" s="4" t="s">
        <v>15</v>
      </c>
      <c r="B11" s="9">
        <v>0.95</v>
      </c>
      <c r="C11" s="10">
        <v>4.0000000000000003E-138</v>
      </c>
      <c r="D11" s="5">
        <v>100</v>
      </c>
      <c r="E11" s="4" t="str">
        <f>HYPERLINK("https://www.ncbi.nlm.nih.gov/protein/WP_021451455.1?report=genbank&amp;log$=prottop&amp;blast_rank=26&amp;RID=92EC6PSH016","WP_021451455.1")</f>
        <v>WP_021451455.1</v>
      </c>
    </row>
    <row r="12" spans="1:8">
      <c r="A12" s="4" t="s">
        <v>15</v>
      </c>
      <c r="B12" s="9">
        <v>1</v>
      </c>
      <c r="C12" s="10">
        <v>7.9999999999999996E-144</v>
      </c>
      <c r="D12" s="5">
        <v>99.53</v>
      </c>
      <c r="E12" s="4" t="str">
        <f>HYPERLINK("https://www.ncbi.nlm.nih.gov/protein/WP_268982884.1?report=genbank&amp;log$=prottop&amp;blast_rank=4&amp;RID=92EC6PSH016","WP_268982884.1")</f>
        <v>WP_268982884.1</v>
      </c>
    </row>
    <row r="13" spans="1:8">
      <c r="A13" s="4" t="s">
        <v>43</v>
      </c>
      <c r="B13" s="9">
        <v>1</v>
      </c>
      <c r="C13" s="10">
        <v>8.9999999999999996E-144</v>
      </c>
      <c r="D13" s="5">
        <v>99.53</v>
      </c>
      <c r="E13" s="4" t="str">
        <f>HYPERLINK("https://www.ncbi.nlm.nih.gov/protein/WP_069513689.1?report=genbank&amp;log$=prottop&amp;blast_rank=5&amp;RID=92EC6PSH016","WP_069513689.1")</f>
        <v>WP_069513689.1</v>
      </c>
    </row>
    <row r="14" spans="1:8">
      <c r="A14" s="4" t="s">
        <v>15</v>
      </c>
      <c r="B14" s="9">
        <v>1</v>
      </c>
      <c r="C14" s="10">
        <v>1.9999999999999999E-143</v>
      </c>
      <c r="D14" s="5">
        <v>99.53</v>
      </c>
      <c r="E14" s="4" t="str">
        <f>HYPERLINK("https://www.ncbi.nlm.nih.gov/protein/WP_258470517.1?report=genbank&amp;log$=prottop&amp;blast_rank=9&amp;RID=92EC6PSH016","WP_258470517.1")</f>
        <v>WP_258470517.1</v>
      </c>
    </row>
    <row r="15" spans="1:8">
      <c r="A15" s="4" t="s">
        <v>15</v>
      </c>
      <c r="B15" s="9">
        <v>1</v>
      </c>
      <c r="C15" s="10">
        <v>2.9999999999999999E-143</v>
      </c>
      <c r="D15" s="5">
        <v>99.53</v>
      </c>
      <c r="E15" s="4" t="str">
        <f>HYPERLINK("https://www.ncbi.nlm.nih.gov/protein/MCF9591414.1?report=genbank&amp;log$=prottop&amp;blast_rank=11&amp;RID=92EC6PSH016","MCF9591414.1")</f>
        <v>MCF9591414.1</v>
      </c>
    </row>
    <row r="16" spans="1:8">
      <c r="A16" s="4" t="s">
        <v>15</v>
      </c>
      <c r="B16" s="9">
        <v>1</v>
      </c>
      <c r="C16" s="10">
        <v>2.9999999999999999E-143</v>
      </c>
      <c r="D16" s="5">
        <v>99.53</v>
      </c>
      <c r="E16" s="4" t="str">
        <f>HYPERLINK("https://www.ncbi.nlm.nih.gov/protein/ELJ8813211.1?report=genbank&amp;log$=prottop&amp;blast_rank=12&amp;RID=92EC6PSH016","ELJ8813211.1")</f>
        <v>ELJ8813211.1</v>
      </c>
    </row>
    <row r="17" spans="1:5">
      <c r="A17" s="4" t="s">
        <v>15</v>
      </c>
      <c r="B17" s="9">
        <v>0.99</v>
      </c>
      <c r="C17" s="10">
        <v>9E-143</v>
      </c>
      <c r="D17" s="5">
        <v>99.53</v>
      </c>
      <c r="E17" s="4" t="str">
        <f>HYPERLINK("https://www.ncbi.nlm.nih.gov/protein/AYO04187.1?report=genbank&amp;log$=prottop&amp;blast_rank=16&amp;RID=92EC6PSH016","AYO04187.1")</f>
        <v>AYO04187.1</v>
      </c>
    </row>
    <row r="18" spans="1:5">
      <c r="A18" s="4" t="s">
        <v>15</v>
      </c>
      <c r="B18" s="9">
        <v>1</v>
      </c>
      <c r="C18" s="10">
        <v>6.9999999999999997E-144</v>
      </c>
      <c r="D18" s="5">
        <v>99.06</v>
      </c>
      <c r="E18" s="4" t="str">
        <f>HYPERLINK("https://www.ncbi.nlm.nih.gov/protein/WP_191786165.1?report=genbank&amp;log$=prottop&amp;blast_rank=3&amp;RID=92EC6PSH016","WP_191786165.1")</f>
        <v>WP_191786165.1</v>
      </c>
    </row>
    <row r="19" spans="1:5">
      <c r="A19" s="4" t="s">
        <v>15</v>
      </c>
      <c r="B19" s="9">
        <v>0.99</v>
      </c>
      <c r="C19" s="10">
        <v>7.0000000000000001E-143</v>
      </c>
      <c r="D19" s="5">
        <v>99.05</v>
      </c>
      <c r="E19" s="4" t="str">
        <f>HYPERLINK("https://www.ncbi.nlm.nih.gov/protein/EGR2232563.1?report=genbank&amp;log$=prottop&amp;blast_rank=15&amp;RID=92EC6PSH016","EGR2232563.1")</f>
        <v>EGR2232563.1</v>
      </c>
    </row>
    <row r="20" spans="1:5">
      <c r="A20" s="4" t="s">
        <v>15</v>
      </c>
      <c r="B20" s="9">
        <v>1</v>
      </c>
      <c r="C20" s="10">
        <v>5.0000000000000002E-136</v>
      </c>
      <c r="D20" s="5">
        <v>96.7</v>
      </c>
      <c r="E20" s="4" t="str">
        <f>HYPERLINK("https://www.ncbi.nlm.nih.gov/protein/HCE2212559.1?report=genbank&amp;log$=prottop&amp;blast_rank=37&amp;RID=92EC6PSH016","HCE2212559.1")</f>
        <v>HCE2212559.1</v>
      </c>
    </row>
    <row r="21" spans="1:5">
      <c r="A21" s="4" t="s">
        <v>15</v>
      </c>
      <c r="B21" s="9">
        <v>0.99</v>
      </c>
      <c r="C21" s="10">
        <v>1.9999999999999999E-143</v>
      </c>
      <c r="D21" s="5">
        <v>96.68</v>
      </c>
      <c r="E21" s="4" t="str">
        <f>HYPERLINK("https://www.ncbi.nlm.nih.gov/protein/WP_257974879.1?report=genbank&amp;log$=prottop&amp;blast_rank=8&amp;RID=92EC6PSH016","WP_257974879.1")</f>
        <v>WP_257974879.1</v>
      </c>
    </row>
    <row r="22" spans="1:5">
      <c r="A22" s="4" t="s">
        <v>15</v>
      </c>
      <c r="B22" s="9">
        <v>0.99</v>
      </c>
      <c r="C22" s="10">
        <v>5.0000000000000002E-143</v>
      </c>
      <c r="D22" s="5">
        <v>96.68</v>
      </c>
      <c r="E22" s="4" t="str">
        <f>HYPERLINK("https://www.ncbi.nlm.nih.gov/protein/TOM68757.1?report=genbank&amp;log$=prottop&amp;blast_rank=14&amp;RID=92EC6PSH016","TOM68757.1")</f>
        <v>TOM68757.1</v>
      </c>
    </row>
    <row r="23" spans="1:5">
      <c r="A23" s="4" t="s">
        <v>18</v>
      </c>
      <c r="B23" s="9">
        <v>1</v>
      </c>
      <c r="C23" s="10">
        <v>8.9999999999999996E-144</v>
      </c>
      <c r="D23" s="5">
        <v>95.28</v>
      </c>
      <c r="E23" s="4" t="str">
        <f>HYPERLINK("https://www.ncbi.nlm.nih.gov/protein/WP_242617157.1?report=genbank&amp;log$=prottop&amp;blast_rank=6&amp;RID=92EC6PSH016","WP_242617157.1")</f>
        <v>WP_242617157.1</v>
      </c>
    </row>
    <row r="24" spans="1:5">
      <c r="A24" s="4" t="s">
        <v>18</v>
      </c>
      <c r="B24" s="9">
        <v>0.99</v>
      </c>
      <c r="C24" s="10">
        <v>2.0000000000000001E-142</v>
      </c>
      <c r="D24" s="5">
        <v>95.26</v>
      </c>
      <c r="E24" s="4" t="str">
        <f>HYPERLINK("https://www.ncbi.nlm.nih.gov/protein/EJO2021613.1?report=genbank&amp;log$=prottop&amp;blast_rank=17&amp;RID=92EC6PSH016","EJO2021613.1")</f>
        <v>EJO2021613.1</v>
      </c>
    </row>
    <row r="25" spans="1:5">
      <c r="A25" s="4" t="s">
        <v>18</v>
      </c>
      <c r="B25" s="9">
        <v>0.99</v>
      </c>
      <c r="C25" s="10">
        <v>2.0000000000000001E-142</v>
      </c>
      <c r="D25" s="5">
        <v>95.26</v>
      </c>
      <c r="E25" s="4" t="str">
        <f>HYPERLINK("https://www.ncbi.nlm.nih.gov/protein/EGR7978050.1?report=genbank&amp;log$=prottop&amp;blast_rank=18&amp;RID=92EC6PSH016","EGR7978050.1")</f>
        <v>EGR7978050.1</v>
      </c>
    </row>
    <row r="26" spans="1:5">
      <c r="A26" s="4" t="s">
        <v>237</v>
      </c>
      <c r="B26" s="9">
        <v>1</v>
      </c>
      <c r="C26" s="10">
        <v>2E-140</v>
      </c>
      <c r="D26" s="5">
        <v>94.34</v>
      </c>
      <c r="E26" s="4" t="str">
        <f>HYPERLINK("https://www.ncbi.nlm.nih.gov/protein/GHW88168.1?report=genbank&amp;log$=prottop&amp;blast_rank=21&amp;RID=92EC6PSH016","GHW88168.1")</f>
        <v>GHW88168.1</v>
      </c>
    </row>
    <row r="27" spans="1:5">
      <c r="A27" s="4" t="s">
        <v>237</v>
      </c>
      <c r="B27" s="9">
        <v>0.99</v>
      </c>
      <c r="C27" s="10">
        <v>2.0000000000000001E-138</v>
      </c>
      <c r="D27" s="5">
        <v>91.43</v>
      </c>
      <c r="E27" s="4" t="str">
        <f>HYPERLINK("https://www.ncbi.nlm.nih.gov/protein/EGQ9846150.1?report=genbank&amp;log$=prottop&amp;blast_rank=25&amp;RID=92EC6PSH016","EGQ9846150.1")</f>
        <v>EGQ9846150.1</v>
      </c>
    </row>
    <row r="28" spans="1:5">
      <c r="A28" s="4" t="s">
        <v>237</v>
      </c>
      <c r="B28" s="9">
        <v>0.99</v>
      </c>
      <c r="C28" s="10">
        <v>4.0000000000000001E-139</v>
      </c>
      <c r="D28" s="5">
        <v>91</v>
      </c>
      <c r="E28" s="4" t="str">
        <f>HYPERLINK("https://www.ncbi.nlm.nih.gov/protein/WP_334504783.1?report=genbank&amp;log$=prottop&amp;blast_rank=23&amp;RID=92EC6PSH016","WP_334504783.1")</f>
        <v>WP_334504783.1</v>
      </c>
    </row>
    <row r="29" spans="1:5">
      <c r="A29" s="4" t="s">
        <v>237</v>
      </c>
      <c r="B29" s="9">
        <v>0.99</v>
      </c>
      <c r="C29" s="10">
        <v>1.0000000000000001E-138</v>
      </c>
      <c r="D29" s="5">
        <v>91</v>
      </c>
      <c r="E29" s="4" t="str">
        <f>HYPERLINK("https://www.ncbi.nlm.nih.gov/protein/EJL6289739.1?report=genbank&amp;log$=prottop&amp;blast_rank=24&amp;RID=92EC6PSH016","EJL6289739.1")</f>
        <v>EJL6289739.1</v>
      </c>
    </row>
    <row r="30" spans="1:5">
      <c r="A30" s="4" t="s">
        <v>237</v>
      </c>
      <c r="B30" s="9">
        <v>0.99</v>
      </c>
      <c r="C30" s="10">
        <v>4.0000000000000003E-138</v>
      </c>
      <c r="D30" s="5">
        <v>90.95</v>
      </c>
      <c r="E30" s="4" t="str">
        <f>HYPERLINK("https://www.ncbi.nlm.nih.gov/protein/EGR1041734.1?report=genbank&amp;log$=prottop&amp;blast_rank=27&amp;RID=92EC6PSH016","EGR1041734.1")</f>
        <v>EGR1041734.1</v>
      </c>
    </row>
    <row r="31" spans="1:5">
      <c r="A31" s="4" t="s">
        <v>1235</v>
      </c>
      <c r="B31" s="9">
        <v>0.92</v>
      </c>
      <c r="C31" s="10">
        <v>9.9999999999999993E-130</v>
      </c>
      <c r="D31" s="5">
        <v>85.71</v>
      </c>
      <c r="E31" s="4" t="str">
        <f>HYPERLINK("https://www.ncbi.nlm.nih.gov/protein/WP_240919175.1?report=genbank&amp;log$=prottop&amp;blast_rank=104&amp;RID=92EC6PSH016","WP_240919175.1")</f>
        <v>WP_240919175.1</v>
      </c>
    </row>
    <row r="32" spans="1:5">
      <c r="A32" s="4" t="s">
        <v>1235</v>
      </c>
      <c r="B32" s="9">
        <v>0.97</v>
      </c>
      <c r="C32" s="10">
        <v>8.9999999999999997E-135</v>
      </c>
      <c r="D32" s="5">
        <v>83.98</v>
      </c>
      <c r="E32" s="4" t="str">
        <f>HYPERLINK("https://www.ncbi.nlm.nih.gov/protein/QIL44056.1?report=genbank&amp;log$=prottop&amp;blast_rank=49&amp;RID=92EC6PSH016","QIL44056.1")</f>
        <v>QIL44056.1</v>
      </c>
    </row>
    <row r="33" spans="1:5">
      <c r="A33" s="4" t="s">
        <v>1236</v>
      </c>
      <c r="B33" s="9">
        <v>0.97</v>
      </c>
      <c r="C33" s="10">
        <v>2.0000000000000001E-135</v>
      </c>
      <c r="D33" s="5">
        <v>83.57</v>
      </c>
      <c r="E33" s="4" t="str">
        <f>HYPERLINK("https://www.ncbi.nlm.nih.gov/protein/WP_022955956.1?report=genbank&amp;log$=prottop&amp;blast_rank=43&amp;RID=92EC6PSH016","WP_022955956.1")</f>
        <v>WP_022955956.1</v>
      </c>
    </row>
    <row r="34" spans="1:5">
      <c r="A34" s="4" t="s">
        <v>323</v>
      </c>
      <c r="B34" s="9">
        <v>0.92</v>
      </c>
      <c r="C34" s="10">
        <v>3.9999999999999997E-129</v>
      </c>
      <c r="D34" s="5">
        <v>83.25</v>
      </c>
      <c r="E34" s="4" t="str">
        <f>HYPERLINK("https://www.ncbi.nlm.nih.gov/protein/WP_204303192.1?report=genbank&amp;log$=prottop&amp;blast_rank=121&amp;RID=92EC6PSH016","WP_204303192.1")</f>
        <v>WP_204303192.1</v>
      </c>
    </row>
    <row r="35" spans="1:5">
      <c r="A35" s="4" t="s">
        <v>1237</v>
      </c>
      <c r="B35" s="9">
        <v>0.93</v>
      </c>
      <c r="C35" s="10">
        <v>8.0000000000000004E-128</v>
      </c>
      <c r="D35" s="5">
        <v>82.83</v>
      </c>
      <c r="E35" s="4" t="str">
        <f>HYPERLINK("https://www.ncbi.nlm.nih.gov/protein/MDD4864224.1?report=genbank&amp;log$=prottop&amp;blast_rank=158&amp;RID=92EC6PSH016","MDD4864224.1")</f>
        <v>MDD4864224.1</v>
      </c>
    </row>
    <row r="36" spans="1:5">
      <c r="A36" s="4" t="s">
        <v>276</v>
      </c>
      <c r="B36" s="9">
        <v>0.92</v>
      </c>
      <c r="C36" s="10">
        <v>1.0000000000000001E-128</v>
      </c>
      <c r="D36" s="5">
        <v>82.65</v>
      </c>
      <c r="E36" s="4" t="str">
        <f>HYPERLINK("https://www.ncbi.nlm.nih.gov/protein/HCJ28162.1?report=genbank&amp;log$=prottop&amp;blast_rank=130&amp;RID=92EC6PSH016","HCJ28162.1")</f>
        <v>HCJ28162.1</v>
      </c>
    </row>
    <row r="37" spans="1:5">
      <c r="A37" s="4" t="s">
        <v>1238</v>
      </c>
      <c r="B37" s="9">
        <v>1</v>
      </c>
      <c r="C37" s="10">
        <v>8.9999999999999995E-147</v>
      </c>
      <c r="D37" s="5">
        <v>82.55</v>
      </c>
      <c r="E37" s="4" t="str">
        <f>HYPERLINK("https://www.ncbi.nlm.nih.gov/protein/WP_256665871.1?report=genbank&amp;log$=prottop&amp;blast_rank=1&amp;RID=92EC6PSH016","WP_256665871.1")</f>
        <v>WP_256665871.1</v>
      </c>
    </row>
    <row r="38" spans="1:5">
      <c r="A38" s="4" t="s">
        <v>1238</v>
      </c>
      <c r="B38" s="9">
        <v>1</v>
      </c>
      <c r="C38" s="10">
        <v>1.9999999999999999E-143</v>
      </c>
      <c r="D38" s="5">
        <v>82.55</v>
      </c>
      <c r="E38" s="4" t="str">
        <f>HYPERLINK("https://www.ncbi.nlm.nih.gov/protein/VXC98629.1?report=genbank&amp;log$=prottop&amp;blast_rank=10&amp;RID=92EC6PSH016","VXC98629.1")</f>
        <v>VXC98629.1</v>
      </c>
    </row>
    <row r="39" spans="1:5">
      <c r="A39" s="4" t="s">
        <v>958</v>
      </c>
      <c r="B39" s="9">
        <v>0.98</v>
      </c>
      <c r="C39" s="10">
        <v>8E-136</v>
      </c>
      <c r="D39" s="5">
        <v>81.25</v>
      </c>
      <c r="E39" s="4" t="str">
        <f>HYPERLINK("https://www.ncbi.nlm.nih.gov/protein/ENC9555396.1?report=genbank&amp;log$=prottop&amp;blast_rank=41&amp;RID=92EC6PSH016","ENC9555396.1")</f>
        <v>ENC9555396.1</v>
      </c>
    </row>
    <row r="40" spans="1:5">
      <c r="A40" s="4" t="s">
        <v>1239</v>
      </c>
      <c r="B40" s="9">
        <v>0.97</v>
      </c>
      <c r="C40" s="10">
        <v>5.9999999999999996E-137</v>
      </c>
      <c r="D40" s="5">
        <v>81.16</v>
      </c>
      <c r="E40" s="4" t="str">
        <f>HYPERLINK("https://www.ncbi.nlm.nih.gov/protein/WP_055828623.1?report=genbank&amp;log$=prottop&amp;blast_rank=29&amp;RID=92EC6PSH016","WP_055828623.1")</f>
        <v>WP_055828623.1</v>
      </c>
    </row>
    <row r="41" spans="1:5">
      <c r="A41" s="4" t="s">
        <v>1240</v>
      </c>
      <c r="B41" s="9">
        <v>0.97</v>
      </c>
      <c r="C41" s="10">
        <v>2E-137</v>
      </c>
      <c r="D41" s="5">
        <v>81.069999999999993</v>
      </c>
      <c r="E41" s="4" t="str">
        <f>HYPERLINK("https://www.ncbi.nlm.nih.gov/protein/NHN78783.1?report=genbank&amp;log$=prottop&amp;blast_rank=28&amp;RID=92EC6PSH016","NHN78783.1")</f>
        <v>NHN78783.1</v>
      </c>
    </row>
    <row r="42" spans="1:5">
      <c r="A42" s="4" t="s">
        <v>1008</v>
      </c>
      <c r="B42" s="9">
        <v>0.98</v>
      </c>
      <c r="C42" s="10">
        <v>2.0000000000000001E-135</v>
      </c>
      <c r="D42" s="5">
        <v>80.77</v>
      </c>
      <c r="E42" s="4" t="str">
        <f>HYPERLINK("https://www.ncbi.nlm.nih.gov/protein/WP_139426569.1?report=genbank&amp;log$=prottop&amp;blast_rank=44&amp;RID=92EC6PSH016","WP_139426569.1")</f>
        <v>WP_139426569.1</v>
      </c>
    </row>
    <row r="43" spans="1:5">
      <c r="A43" s="4" t="s">
        <v>1241</v>
      </c>
      <c r="B43" s="9">
        <v>0.97</v>
      </c>
      <c r="C43" s="10">
        <v>1E-136</v>
      </c>
      <c r="D43" s="5">
        <v>80.58</v>
      </c>
      <c r="E43" s="4" t="str">
        <f>HYPERLINK("https://www.ncbi.nlm.nih.gov/protein/TBW06815.1?report=genbank&amp;log$=prottop&amp;blast_rank=31&amp;RID=92EC6PSH016","TBW06815.1")</f>
        <v>TBW06815.1</v>
      </c>
    </row>
    <row r="44" spans="1:5">
      <c r="A44" s="4" t="s">
        <v>1242</v>
      </c>
      <c r="B44" s="9">
        <v>0.98</v>
      </c>
      <c r="C44" s="10">
        <v>2.0000000000000001E-134</v>
      </c>
      <c r="D44" s="5">
        <v>80.38</v>
      </c>
      <c r="E44" s="4" t="str">
        <f>HYPERLINK("https://www.ncbi.nlm.nih.gov/protein/WP_335611389.1?report=genbank&amp;log$=prottop&amp;blast_rank=51&amp;RID=92EC6PSH016","WP_335611389.1")</f>
        <v>WP_335611389.1</v>
      </c>
    </row>
    <row r="45" spans="1:5">
      <c r="A45" s="4" t="s">
        <v>1243</v>
      </c>
      <c r="B45" s="9">
        <v>0.98</v>
      </c>
      <c r="C45" s="10">
        <v>7.9999999999999998E-137</v>
      </c>
      <c r="D45" s="5">
        <v>79.81</v>
      </c>
      <c r="E45" s="4" t="str">
        <f>HYPERLINK("https://www.ncbi.nlm.nih.gov/protein/WP_252180286.1?report=genbank&amp;log$=prottop&amp;blast_rank=30&amp;RID=92EC6PSH016","WP_252180286.1")</f>
        <v>WP_252180286.1</v>
      </c>
    </row>
    <row r="46" spans="1:5">
      <c r="A46" s="4" t="s">
        <v>1244</v>
      </c>
      <c r="B46" s="9">
        <v>0.98</v>
      </c>
      <c r="C46" s="10">
        <v>5.0000000000000002E-135</v>
      </c>
      <c r="D46" s="5">
        <v>79.81</v>
      </c>
      <c r="E46" s="4" t="str">
        <f>HYPERLINK("https://www.ncbi.nlm.nih.gov/protein/WP_247626945.1?report=genbank&amp;log$=prottop&amp;blast_rank=46&amp;RID=92EC6PSH016","WP_247626945.1")</f>
        <v>WP_247626945.1</v>
      </c>
    </row>
    <row r="47" spans="1:5">
      <c r="A47" s="4" t="s">
        <v>1245</v>
      </c>
      <c r="B47" s="9">
        <v>0.97</v>
      </c>
      <c r="C47" s="10">
        <v>4E-136</v>
      </c>
      <c r="D47" s="5">
        <v>79.61</v>
      </c>
      <c r="E47" s="4" t="str">
        <f>HYPERLINK("https://www.ncbi.nlm.nih.gov/protein/WP_179673012.1?report=genbank&amp;log$=prottop&amp;blast_rank=35&amp;RID=92EC6PSH016","WP_179673012.1")</f>
        <v>WP_179673012.1</v>
      </c>
    </row>
    <row r="48" spans="1:5">
      <c r="A48" s="4" t="s">
        <v>1246</v>
      </c>
      <c r="B48" s="9">
        <v>0.93</v>
      </c>
      <c r="C48" s="10">
        <v>5.0000000000000001E-128</v>
      </c>
      <c r="D48" s="5">
        <v>79.290000000000006</v>
      </c>
      <c r="E48" s="4" t="str">
        <f>HYPERLINK("https://www.ncbi.nlm.nih.gov/protein/MBB1292381.1?report=genbank&amp;log$=prottop&amp;blast_rank=149&amp;RID=92EC6PSH016","MBB1292381.1")</f>
        <v>MBB1292381.1</v>
      </c>
    </row>
    <row r="49" spans="1:5">
      <c r="A49" s="4" t="s">
        <v>1247</v>
      </c>
      <c r="B49" s="9">
        <v>0.99</v>
      </c>
      <c r="C49" s="10">
        <v>2.0000000000000001E-133</v>
      </c>
      <c r="D49" s="5">
        <v>79.150000000000006</v>
      </c>
      <c r="E49" s="4" t="str">
        <f>HYPERLINK("https://www.ncbi.nlm.nih.gov/protein/WP_271679068.1?report=genbank&amp;log$=prottop&amp;blast_rank=62&amp;RID=92EC6PSH016","WP_271679068.1")</f>
        <v>WP_271679068.1</v>
      </c>
    </row>
    <row r="50" spans="1:5">
      <c r="A50" s="4" t="s">
        <v>1248</v>
      </c>
      <c r="B50" s="9">
        <v>0.99</v>
      </c>
      <c r="C50" s="10">
        <v>2E-131</v>
      </c>
      <c r="D50" s="5">
        <v>79.05</v>
      </c>
      <c r="E50" s="4" t="str">
        <f>HYPERLINK("https://www.ncbi.nlm.nih.gov/protein/MEC6833876.1?report=genbank&amp;log$=prottop&amp;blast_rank=83&amp;RID=92EC6PSH016","MEC6833876.1")</f>
        <v>MEC6833876.1</v>
      </c>
    </row>
    <row r="51" spans="1:5">
      <c r="A51" s="4" t="s">
        <v>1065</v>
      </c>
      <c r="B51" s="9">
        <v>0.98</v>
      </c>
      <c r="C51" s="10">
        <v>2.0000000000000001E-134</v>
      </c>
      <c r="D51" s="5">
        <v>78.849999999999994</v>
      </c>
      <c r="E51" s="4" t="str">
        <f>HYPERLINK("https://www.ncbi.nlm.nih.gov/protein/WP_098968848.1?report=genbank&amp;log$=prottop&amp;blast_rank=52&amp;RID=92EC6PSH016","WP_098968848.1")</f>
        <v>WP_098968848.1</v>
      </c>
    </row>
    <row r="52" spans="1:5">
      <c r="A52" s="4" t="s">
        <v>1249</v>
      </c>
      <c r="B52" s="9">
        <v>0.98</v>
      </c>
      <c r="C52" s="10">
        <v>8.9999999999999992E-124</v>
      </c>
      <c r="D52" s="5">
        <v>78.37</v>
      </c>
      <c r="E52" s="4" t="str">
        <f>HYPERLINK("https://www.ncbi.nlm.nih.gov/protein/WP_154358385.1?report=genbank&amp;log$=prottop&amp;blast_rank=336&amp;RID=92EC6PSH016","WP_154358385.1")</f>
        <v>WP_154358385.1</v>
      </c>
    </row>
    <row r="53" spans="1:5">
      <c r="A53" s="4" t="s">
        <v>1250</v>
      </c>
      <c r="B53" s="9">
        <v>0.97</v>
      </c>
      <c r="C53" s="10">
        <v>1E-136</v>
      </c>
      <c r="D53" s="5">
        <v>78.260000000000005</v>
      </c>
      <c r="E53" s="4" t="str">
        <f>HYPERLINK("https://www.ncbi.nlm.nih.gov/protein/WP_058578217.1?report=genbank&amp;log$=prottop&amp;blast_rank=32&amp;RID=92EC6PSH016","WP_058578217.1")</f>
        <v>WP_058578217.1</v>
      </c>
    </row>
    <row r="54" spans="1:5">
      <c r="A54" s="4" t="s">
        <v>1251</v>
      </c>
      <c r="B54" s="9">
        <v>0.98</v>
      </c>
      <c r="C54" s="10">
        <v>6.0000000000000002E-135</v>
      </c>
      <c r="D54" s="5">
        <v>77.88</v>
      </c>
      <c r="E54" s="4" t="str">
        <f>HYPERLINK("https://www.ncbi.nlm.nih.gov/protein/WP_169021235.1?report=genbank&amp;log$=prottop&amp;blast_rank=47&amp;RID=92EC6PSH016","WP_169021235.1")</f>
        <v>WP_169021235.1</v>
      </c>
    </row>
    <row r="55" spans="1:5">
      <c r="A55" s="4" t="s">
        <v>1252</v>
      </c>
      <c r="B55" s="9">
        <v>0.98</v>
      </c>
      <c r="C55" s="10">
        <v>3.9999999999999999E-132</v>
      </c>
      <c r="D55" s="5">
        <v>77.88</v>
      </c>
      <c r="E55" s="4" t="str">
        <f>HYPERLINK("https://www.ncbi.nlm.nih.gov/protein/WP_220493046.1?report=genbank&amp;log$=prottop&amp;blast_rank=75&amp;RID=92EC6PSH016","WP_220493046.1")</f>
        <v>WP_220493046.1</v>
      </c>
    </row>
    <row r="56" spans="1:5">
      <c r="A56" s="4" t="s">
        <v>968</v>
      </c>
      <c r="B56" s="9">
        <v>1</v>
      </c>
      <c r="C56" s="10">
        <v>4.0000000000000002E-142</v>
      </c>
      <c r="D56" s="5">
        <v>77.83</v>
      </c>
      <c r="E56" s="4" t="str">
        <f>HYPERLINK("https://www.ncbi.nlm.nih.gov/protein/WP_227387681.1?report=genbank&amp;log$=prottop&amp;blast_rank=19&amp;RID=92EC6PSH016","WP_227387681.1")</f>
        <v>WP_227387681.1</v>
      </c>
    </row>
    <row r="57" spans="1:5">
      <c r="A57" s="4" t="s">
        <v>1253</v>
      </c>
      <c r="B57" s="9">
        <v>0.97</v>
      </c>
      <c r="C57" s="10">
        <v>2E-136</v>
      </c>
      <c r="D57" s="5">
        <v>77.78</v>
      </c>
      <c r="E57" s="4" t="str">
        <f>HYPERLINK("https://www.ncbi.nlm.nih.gov/protein/WP_269900803.1?report=genbank&amp;log$=prottop&amp;blast_rank=34&amp;RID=92EC6PSH016","WP_269900803.1")</f>
        <v>WP_269900803.1</v>
      </c>
    </row>
    <row r="58" spans="1:5">
      <c r="A58" s="4" t="s">
        <v>1254</v>
      </c>
      <c r="B58" s="9">
        <v>0.93</v>
      </c>
      <c r="C58" s="10">
        <v>1E-125</v>
      </c>
      <c r="D58" s="5">
        <v>77.78</v>
      </c>
      <c r="E58" s="4" t="str">
        <f>HYPERLINK("https://www.ncbi.nlm.nih.gov/protein/MBU76302.1?report=genbank&amp;log$=prottop&amp;blast_rank=253&amp;RID=92EC6PSH016","MBU76302.1")</f>
        <v>MBU76302.1</v>
      </c>
    </row>
    <row r="59" spans="1:5">
      <c r="A59" s="4" t="s">
        <v>1255</v>
      </c>
      <c r="B59" s="9">
        <v>0.99</v>
      </c>
      <c r="C59" s="10">
        <v>2.0000000000000001E-141</v>
      </c>
      <c r="D59" s="5">
        <v>77.73</v>
      </c>
      <c r="E59" s="4" t="str">
        <f>HYPERLINK("https://www.ncbi.nlm.nih.gov/protein/WP_095728432.1?report=genbank&amp;log$=prottop&amp;blast_rank=20&amp;RID=92EC6PSH016","WP_095728432.1")</f>
        <v>WP_095728432.1</v>
      </c>
    </row>
    <row r="60" spans="1:5">
      <c r="A60" s="4" t="s">
        <v>1256</v>
      </c>
      <c r="B60" s="9">
        <v>0.92</v>
      </c>
      <c r="C60" s="10">
        <v>1.0000000000000001E-128</v>
      </c>
      <c r="D60" s="5">
        <v>77.55</v>
      </c>
      <c r="E60" s="4" t="str">
        <f>HYPERLINK("https://www.ncbi.nlm.nih.gov/protein/MET0983337.1?report=genbank&amp;log$=prottop&amp;blast_rank=132&amp;RID=92EC6PSH016","MET0983337.1")</f>
        <v>MET0983337.1</v>
      </c>
    </row>
    <row r="61" spans="1:5">
      <c r="A61" s="4" t="s">
        <v>1257</v>
      </c>
      <c r="B61" s="9">
        <v>0.98</v>
      </c>
      <c r="C61" s="10">
        <v>8E-136</v>
      </c>
      <c r="D61" s="5">
        <v>77.400000000000006</v>
      </c>
      <c r="E61" s="4" t="str">
        <f>HYPERLINK("https://www.ncbi.nlm.nih.gov/protein/NLA52625.1?report=genbank&amp;log$=prottop&amp;blast_rank=42&amp;RID=92EC6PSH016","NLA52625.1")</f>
        <v>NLA52625.1</v>
      </c>
    </row>
    <row r="62" spans="1:5">
      <c r="A62" s="4" t="s">
        <v>979</v>
      </c>
      <c r="B62" s="9">
        <v>0.98</v>
      </c>
      <c r="C62" s="10">
        <v>3.9999999999999999E-131</v>
      </c>
      <c r="D62" s="5">
        <v>77.400000000000006</v>
      </c>
      <c r="E62" s="4" t="str">
        <f>HYPERLINK("https://www.ncbi.nlm.nih.gov/protein/WP_188013789.1?report=genbank&amp;log$=prottop&amp;blast_rank=87&amp;RID=92EC6PSH016","WP_188013789.1")</f>
        <v>WP_188013789.1</v>
      </c>
    </row>
    <row r="63" spans="1:5">
      <c r="A63" s="4" t="s">
        <v>967</v>
      </c>
      <c r="B63" s="9">
        <v>0.97</v>
      </c>
      <c r="C63" s="10">
        <v>7.0000000000000006E-136</v>
      </c>
      <c r="D63" s="5">
        <v>77.290000000000006</v>
      </c>
      <c r="E63" s="4" t="str">
        <f>HYPERLINK("https://www.ncbi.nlm.nih.gov/protein/WP_208157101.1?report=genbank&amp;log$=prottop&amp;blast_rank=40&amp;RID=92EC6PSH016","WP_208157101.1")</f>
        <v>WP_208157101.1</v>
      </c>
    </row>
    <row r="64" spans="1:5">
      <c r="A64" s="4" t="s">
        <v>1018</v>
      </c>
      <c r="B64" s="9">
        <v>0.97</v>
      </c>
      <c r="C64" s="10">
        <v>7.9999999999999999E-131</v>
      </c>
      <c r="D64" s="5">
        <v>77.180000000000007</v>
      </c>
      <c r="E64" s="4" t="str">
        <f>HYPERLINK("https://www.ncbi.nlm.nih.gov/protein/WP_038443654.1?report=genbank&amp;log$=prottop&amp;blast_rank=90&amp;RID=92EC6PSH016","WP_038443654.1")</f>
        <v>WP_038443654.1</v>
      </c>
    </row>
    <row r="65" spans="1:5">
      <c r="A65" s="4" t="s">
        <v>1258</v>
      </c>
      <c r="B65" s="9">
        <v>0.97</v>
      </c>
      <c r="C65" s="10">
        <v>1.0000000000000001E-130</v>
      </c>
      <c r="D65" s="5">
        <v>77.180000000000007</v>
      </c>
      <c r="E65" s="4" t="str">
        <f>HYPERLINK("https://www.ncbi.nlm.nih.gov/protein/WP_004867567.1?report=genbank&amp;log$=prottop&amp;blast_rank=93&amp;RID=92EC6PSH016","WP_004867567.1")</f>
        <v>WP_004867567.1</v>
      </c>
    </row>
    <row r="66" spans="1:5">
      <c r="A66" s="4" t="s">
        <v>1259</v>
      </c>
      <c r="B66" s="9">
        <v>0.98</v>
      </c>
      <c r="C66" s="10">
        <v>4.9999999999999999E-132</v>
      </c>
      <c r="D66" s="5">
        <v>76.92</v>
      </c>
      <c r="E66" s="4" t="str">
        <f>HYPERLINK("https://www.ncbi.nlm.nih.gov/protein/WP_182760290.1?report=genbank&amp;log$=prottop&amp;blast_rank=77&amp;RID=92EC6PSH016","WP_182760290.1")</f>
        <v>WP_182760290.1</v>
      </c>
    </row>
    <row r="67" spans="1:5">
      <c r="A67" s="4" t="s">
        <v>1260</v>
      </c>
      <c r="B67" s="9">
        <v>0.98</v>
      </c>
      <c r="C67" s="10">
        <v>2.0000000000000001E-134</v>
      </c>
      <c r="D67" s="5">
        <v>76.56</v>
      </c>
      <c r="E67" s="4" t="str">
        <f>HYPERLINK("https://www.ncbi.nlm.nih.gov/protein/MDQ7089733.1?report=genbank&amp;log$=prottop&amp;blast_rank=53&amp;RID=92EC6PSH016","MDQ7089733.1")</f>
        <v>MDQ7089733.1</v>
      </c>
    </row>
    <row r="68" spans="1:5">
      <c r="A68" s="4" t="s">
        <v>128</v>
      </c>
      <c r="B68" s="9">
        <v>0.98</v>
      </c>
      <c r="C68" s="10">
        <v>4.0000000000000003E-133</v>
      </c>
      <c r="D68" s="5">
        <v>76.44</v>
      </c>
      <c r="E68" s="4" t="str">
        <f>HYPERLINK("https://www.ncbi.nlm.nih.gov/protein/WP_349774697.1?report=genbank&amp;log$=prottop&amp;blast_rank=64&amp;RID=92EC6PSH016","WP_349774697.1")</f>
        <v>WP_349774697.1</v>
      </c>
    </row>
    <row r="69" spans="1:5">
      <c r="A69" s="4" t="s">
        <v>1261</v>
      </c>
      <c r="B69" s="9">
        <v>0.98</v>
      </c>
      <c r="C69" s="10">
        <v>4.0000000000000003E-133</v>
      </c>
      <c r="D69" s="5">
        <v>76.44</v>
      </c>
      <c r="E69" s="4" t="str">
        <f>HYPERLINK("https://www.ncbi.nlm.nih.gov/protein/WP_289781525.1?report=genbank&amp;log$=prottop&amp;blast_rank=66&amp;RID=92EC6PSH016","WP_289781525.1")</f>
        <v>WP_289781525.1</v>
      </c>
    </row>
    <row r="70" spans="1:5">
      <c r="A70" s="4" t="s">
        <v>1261</v>
      </c>
      <c r="B70" s="9">
        <v>0.98</v>
      </c>
      <c r="C70" s="10">
        <v>2E-132</v>
      </c>
      <c r="D70" s="5">
        <v>76.44</v>
      </c>
      <c r="E70" s="4" t="str">
        <f>HYPERLINK("https://www.ncbi.nlm.nih.gov/protein/USP41027.1?report=genbank&amp;log$=prottop&amp;blast_rank=73&amp;RID=92EC6PSH016","USP41027.1")</f>
        <v>USP41027.1</v>
      </c>
    </row>
    <row r="71" spans="1:5">
      <c r="A71" s="4" t="s">
        <v>978</v>
      </c>
      <c r="B71" s="9">
        <v>1</v>
      </c>
      <c r="C71" s="10">
        <v>6E-134</v>
      </c>
      <c r="D71" s="5">
        <v>76.42</v>
      </c>
      <c r="E71" s="4" t="str">
        <f>HYPERLINK("https://www.ncbi.nlm.nih.gov/protein/MAY73050.1?report=genbank&amp;log$=prottop&amp;blast_rank=57&amp;RID=92EC6PSH016","MAY73050.1")</f>
        <v>MAY73050.1</v>
      </c>
    </row>
    <row r="72" spans="1:5">
      <c r="A72" s="4" t="s">
        <v>129</v>
      </c>
      <c r="B72" s="9">
        <v>0.97</v>
      </c>
      <c r="C72" s="10">
        <v>2E-136</v>
      </c>
      <c r="D72" s="5">
        <v>76.33</v>
      </c>
      <c r="E72" s="4" t="str">
        <f>HYPERLINK("https://www.ncbi.nlm.nih.gov/protein/EJB8493556.1?report=genbank&amp;log$=prottop&amp;blast_rank=33&amp;RID=92EC6PSH016","EJB8493556.1")</f>
        <v>EJB8493556.1</v>
      </c>
    </row>
    <row r="73" spans="1:5">
      <c r="A73" s="4" t="s">
        <v>1055</v>
      </c>
      <c r="B73" s="9">
        <v>0.98</v>
      </c>
      <c r="C73" s="10">
        <v>5.0000000000000002E-136</v>
      </c>
      <c r="D73" s="5">
        <v>75.959999999999994</v>
      </c>
      <c r="E73" s="4" t="str">
        <f>HYPERLINK("https://www.ncbi.nlm.nih.gov/protein/KAF1022572.1?report=genbank&amp;log$=prottop&amp;blast_rank=36&amp;RID=92EC6PSH016","KAF1022572.1")</f>
        <v>KAF1022572.1</v>
      </c>
    </row>
    <row r="74" spans="1:5">
      <c r="A74" s="4" t="s">
        <v>119</v>
      </c>
      <c r="B74" s="9">
        <v>0.98</v>
      </c>
      <c r="C74" s="10">
        <v>6.9999999999999997E-134</v>
      </c>
      <c r="D74" s="5">
        <v>75.959999999999994</v>
      </c>
      <c r="E74" s="4" t="str">
        <f>HYPERLINK("https://www.ncbi.nlm.nih.gov/protein/WP_262475449.1?report=genbank&amp;log$=prottop&amp;blast_rank=58&amp;RID=92EC6PSH016","WP_262475449.1")</f>
        <v>WP_262475449.1</v>
      </c>
    </row>
    <row r="75" spans="1:5">
      <c r="A75" s="4" t="s">
        <v>129</v>
      </c>
      <c r="B75" s="9">
        <v>0.98</v>
      </c>
      <c r="C75" s="10">
        <v>3.0000000000000002E-133</v>
      </c>
      <c r="D75" s="5">
        <v>75.959999999999994</v>
      </c>
      <c r="E75" s="4" t="str">
        <f>HYPERLINK("https://www.ncbi.nlm.nih.gov/protein/MEN8342593.1?report=genbank&amp;log$=prottop&amp;blast_rank=63&amp;RID=92EC6PSH016","MEN8342593.1")</f>
        <v>MEN8342593.1</v>
      </c>
    </row>
    <row r="76" spans="1:5">
      <c r="A76" s="4" t="s">
        <v>128</v>
      </c>
      <c r="B76" s="9">
        <v>0.98</v>
      </c>
      <c r="C76" s="10">
        <v>8.0000000000000005E-133</v>
      </c>
      <c r="D76" s="5">
        <v>75.959999999999994</v>
      </c>
      <c r="E76" s="4" t="str">
        <f>HYPERLINK("https://www.ncbi.nlm.nih.gov/protein/WP_335971202.1?report=genbank&amp;log$=prottop&amp;blast_rank=69&amp;RID=92EC6PSH016","WP_335971202.1")</f>
        <v>WP_335971202.1</v>
      </c>
    </row>
    <row r="77" spans="1:5">
      <c r="A77" s="4" t="s">
        <v>129</v>
      </c>
      <c r="B77" s="9">
        <v>0.98</v>
      </c>
      <c r="C77" s="10">
        <v>9.9999999999999999E-133</v>
      </c>
      <c r="D77" s="5">
        <v>75.959999999999994</v>
      </c>
      <c r="E77" s="4" t="str">
        <f>HYPERLINK("https://www.ncbi.nlm.nih.gov/protein/WP_342032668.1?report=genbank&amp;log$=prottop&amp;blast_rank=70&amp;RID=92EC6PSH016","WP_342032668.1")</f>
        <v>WP_342032668.1</v>
      </c>
    </row>
    <row r="78" spans="1:5">
      <c r="A78" s="4" t="s">
        <v>1262</v>
      </c>
      <c r="B78" s="9">
        <v>0.98</v>
      </c>
      <c r="C78" s="10">
        <v>2E-132</v>
      </c>
      <c r="D78" s="5">
        <v>75.959999999999994</v>
      </c>
      <c r="E78" s="4" t="str">
        <f>HYPERLINK("https://www.ncbi.nlm.nih.gov/protein/WP_056482401.1?report=genbank&amp;log$=prottop&amp;blast_rank=71&amp;RID=92EC6PSH016","WP_056482401.1")</f>
        <v>WP_056482401.1</v>
      </c>
    </row>
    <row r="79" spans="1:5">
      <c r="A79" s="4" t="s">
        <v>129</v>
      </c>
      <c r="B79" s="9">
        <v>0.98</v>
      </c>
      <c r="C79" s="10">
        <v>3E-132</v>
      </c>
      <c r="D79" s="5">
        <v>75.959999999999994</v>
      </c>
      <c r="E79" s="4" t="str">
        <f>HYPERLINK("https://www.ncbi.nlm.nih.gov/protein/MCR0009105.1?report=genbank&amp;log$=prottop&amp;blast_rank=74&amp;RID=92EC6PSH016","MCR0009105.1")</f>
        <v>MCR0009105.1</v>
      </c>
    </row>
    <row r="80" spans="1:5">
      <c r="A80" s="4" t="s">
        <v>1263</v>
      </c>
      <c r="B80" s="9">
        <v>0.98</v>
      </c>
      <c r="C80" s="10">
        <v>4.9999999999999999E-132</v>
      </c>
      <c r="D80" s="5">
        <v>75.959999999999994</v>
      </c>
      <c r="E80" s="4" t="str">
        <f>HYPERLINK("https://www.ncbi.nlm.nih.gov/protein/WP_309171862.1?report=genbank&amp;log$=prottop&amp;blast_rank=76&amp;RID=92EC6PSH016","WP_309171862.1")</f>
        <v>WP_309171862.1</v>
      </c>
    </row>
    <row r="81" spans="1:5">
      <c r="A81" s="4" t="s">
        <v>1264</v>
      </c>
      <c r="B81" s="9">
        <v>0.97</v>
      </c>
      <c r="C81" s="10">
        <v>5.0000000000000002E-135</v>
      </c>
      <c r="D81" s="5">
        <v>75.849999999999994</v>
      </c>
      <c r="E81" s="4" t="str">
        <f>HYPERLINK("https://www.ncbi.nlm.nih.gov/protein/WP_280035302.1?report=genbank&amp;log$=prottop&amp;blast_rank=45&amp;RID=92EC6PSH016","WP_280035302.1")</f>
        <v>WP_280035302.1</v>
      </c>
    </row>
    <row r="82" spans="1:5">
      <c r="A82" s="4" t="s">
        <v>1265</v>
      </c>
      <c r="B82" s="9">
        <v>0.97</v>
      </c>
      <c r="C82" s="10">
        <v>2.0000000000000002E-130</v>
      </c>
      <c r="D82" s="5">
        <v>75.849999999999994</v>
      </c>
      <c r="E82" s="4" t="str">
        <f>HYPERLINK("https://www.ncbi.nlm.nih.gov/protein/HEY4530675.1?report=genbank&amp;log$=prottop&amp;blast_rank=94&amp;RID=92EC6PSH016","HEY4530675.1")</f>
        <v>HEY4530675.1</v>
      </c>
    </row>
    <row r="83" spans="1:5">
      <c r="A83" s="4" t="s">
        <v>1266</v>
      </c>
      <c r="B83" s="9">
        <v>0.97</v>
      </c>
      <c r="C83" s="10">
        <v>3E-134</v>
      </c>
      <c r="D83" s="5">
        <v>75.73</v>
      </c>
      <c r="E83" s="4" t="str">
        <f>HYPERLINK("https://www.ncbi.nlm.nih.gov/protein/WP_130168007.1?report=genbank&amp;log$=prottop&amp;blast_rank=55&amp;RID=92EC6PSH016","WP_130168007.1")</f>
        <v>WP_130168007.1</v>
      </c>
    </row>
    <row r="84" spans="1:5">
      <c r="A84" s="4" t="s">
        <v>1267</v>
      </c>
      <c r="B84" s="9">
        <v>0.98</v>
      </c>
      <c r="C84" s="10">
        <v>9.9999999999999999E-132</v>
      </c>
      <c r="D84" s="5">
        <v>75.48</v>
      </c>
      <c r="E84" s="4" t="str">
        <f>HYPERLINK("https://www.ncbi.nlm.nih.gov/protein/WP_248443754.1?report=genbank&amp;log$=prottop&amp;blast_rank=79&amp;RID=92EC6PSH016","WP_248443754.1")</f>
        <v>WP_248443754.1</v>
      </c>
    </row>
    <row r="85" spans="1:5">
      <c r="A85" s="4" t="s">
        <v>1268</v>
      </c>
      <c r="B85" s="9">
        <v>0.98</v>
      </c>
      <c r="C85" s="10">
        <v>5.9999999999999999E-131</v>
      </c>
      <c r="D85" s="5">
        <v>75.48</v>
      </c>
      <c r="E85" s="4" t="str">
        <f>HYPERLINK("https://www.ncbi.nlm.nih.gov/protein/NVP02925.1?report=genbank&amp;log$=prottop&amp;blast_rank=88&amp;RID=92EC6PSH016","NVP02925.1")</f>
        <v>NVP02925.1</v>
      </c>
    </row>
    <row r="86" spans="1:5">
      <c r="A86" s="4" t="s">
        <v>1269</v>
      </c>
      <c r="B86" s="9">
        <v>0.98</v>
      </c>
      <c r="C86" s="10">
        <v>5.9999999999999996E-136</v>
      </c>
      <c r="D86" s="5">
        <v>75</v>
      </c>
      <c r="E86" s="4" t="str">
        <f>HYPERLINK("https://www.ncbi.nlm.nih.gov/protein/WP_324513312.1?report=genbank&amp;log$=prottop&amp;blast_rank=38&amp;RID=92EC6PSH016","WP_324513312.1")</f>
        <v>WP_324513312.1</v>
      </c>
    </row>
    <row r="87" spans="1:5">
      <c r="A87" s="4" t="s">
        <v>1054</v>
      </c>
      <c r="B87" s="9">
        <v>0.98</v>
      </c>
      <c r="C87" s="10">
        <v>2.0000000000000001E-133</v>
      </c>
      <c r="D87" s="5">
        <v>75</v>
      </c>
      <c r="E87" s="4" t="str">
        <f>HYPERLINK("https://www.ncbi.nlm.nih.gov/protein/WP_333975852.1?report=genbank&amp;log$=prottop&amp;blast_rank=61&amp;RID=92EC6PSH016","WP_333975852.1")</f>
        <v>WP_333975852.1</v>
      </c>
    </row>
    <row r="88" spans="1:5">
      <c r="A88" s="4" t="s">
        <v>1270</v>
      </c>
      <c r="B88" s="9">
        <v>0.98</v>
      </c>
      <c r="C88" s="10">
        <v>3E-131</v>
      </c>
      <c r="D88" s="5">
        <v>75</v>
      </c>
      <c r="E88" s="4" t="str">
        <f>HYPERLINK("https://www.ncbi.nlm.nih.gov/protein/WP_350353946.1?report=genbank&amp;log$=prottop&amp;blast_rank=84&amp;RID=92EC6PSH016","WP_350353946.1")</f>
        <v>WP_350353946.1</v>
      </c>
    </row>
    <row r="89" spans="1:5">
      <c r="A89" s="4" t="s">
        <v>1270</v>
      </c>
      <c r="B89" s="9">
        <v>0.98</v>
      </c>
      <c r="C89" s="10">
        <v>1.0000000000000001E-130</v>
      </c>
      <c r="D89" s="5">
        <v>75</v>
      </c>
      <c r="E89" s="4" t="str">
        <f>HYPERLINK("https://www.ncbi.nlm.nih.gov/protein/RSO36947.1?report=genbank&amp;log$=prottop&amp;blast_rank=91&amp;RID=92EC6PSH016","RSO36947.1")</f>
        <v>RSO36947.1</v>
      </c>
    </row>
    <row r="90" spans="1:5">
      <c r="A90" s="4" t="s">
        <v>129</v>
      </c>
      <c r="B90" s="9">
        <v>0.97</v>
      </c>
      <c r="C90" s="10">
        <v>6.0000000000000002E-135</v>
      </c>
      <c r="D90" s="5">
        <v>74.88</v>
      </c>
      <c r="E90" s="4" t="str">
        <f>HYPERLINK("https://www.ncbi.nlm.nih.gov/protein/MDC5391518.1?report=genbank&amp;log$=prottop&amp;blast_rank=48&amp;RID=92EC6PSH016","MDC5391518.1")</f>
        <v>MDC5391518.1</v>
      </c>
    </row>
    <row r="91" spans="1:5">
      <c r="A91" s="4" t="s">
        <v>1271</v>
      </c>
      <c r="B91" s="9">
        <v>0.97</v>
      </c>
      <c r="C91" s="10">
        <v>3E-134</v>
      </c>
      <c r="D91" s="5">
        <v>74.88</v>
      </c>
      <c r="E91" s="4" t="str">
        <f>HYPERLINK("https://www.ncbi.nlm.nih.gov/protein/HBF49139.1?report=genbank&amp;log$=prottop&amp;blast_rank=54&amp;RID=92EC6PSH016","HBF49139.1")</f>
        <v>HBF49139.1</v>
      </c>
    </row>
    <row r="92" spans="1:5">
      <c r="A92" s="4" t="s">
        <v>1272</v>
      </c>
      <c r="B92" s="9">
        <v>0.97</v>
      </c>
      <c r="C92" s="10">
        <v>2E-131</v>
      </c>
      <c r="D92" s="5">
        <v>74.760000000000005</v>
      </c>
      <c r="E92" s="4" t="str">
        <f>HYPERLINK("https://www.ncbi.nlm.nih.gov/protein/MDO9179029.1?report=genbank&amp;log$=prottop&amp;blast_rank=82&amp;RID=92EC6PSH016","MDO9179029.1")</f>
        <v>MDO9179029.1</v>
      </c>
    </row>
    <row r="93" spans="1:5">
      <c r="A93" s="4" t="s">
        <v>1273</v>
      </c>
      <c r="B93" s="9">
        <v>0.98</v>
      </c>
      <c r="C93" s="10">
        <v>1.0000000000000001E-133</v>
      </c>
      <c r="D93" s="5">
        <v>74.52</v>
      </c>
      <c r="E93" s="4" t="str">
        <f>HYPERLINK("https://www.ncbi.nlm.nih.gov/protein/WP_171532194.1?report=genbank&amp;log$=prottop&amp;blast_rank=60&amp;RID=92EC6PSH016","WP_171532194.1")</f>
        <v>WP_171532194.1</v>
      </c>
    </row>
    <row r="94" spans="1:5">
      <c r="A94" s="4" t="s">
        <v>15</v>
      </c>
      <c r="B94" s="9">
        <v>0.97</v>
      </c>
      <c r="C94" s="10">
        <v>5.0000000000000003E-134</v>
      </c>
      <c r="D94" s="5">
        <v>74.27</v>
      </c>
      <c r="E94" s="4" t="str">
        <f>HYPERLINK("https://www.ncbi.nlm.nih.gov/protein/MDF4891082.1?report=genbank&amp;log$=prottop&amp;blast_rank=56&amp;RID=92EC6PSH016","MDF4891082.1")</f>
        <v>MDF4891082.1</v>
      </c>
    </row>
    <row r="95" spans="1:5">
      <c r="A95" s="4" t="s">
        <v>17</v>
      </c>
      <c r="B95" s="9">
        <v>0.97</v>
      </c>
      <c r="C95" s="10">
        <v>4.0000000000000003E-133</v>
      </c>
      <c r="D95" s="5">
        <v>74.27</v>
      </c>
      <c r="E95" s="4" t="str">
        <f>HYPERLINK("https://www.ncbi.nlm.nih.gov/protein/WP_048662886.1?report=genbank&amp;log$=prottop&amp;blast_rank=65&amp;RID=92EC6PSH016","WP_048662886.1")</f>
        <v>WP_048662886.1</v>
      </c>
    </row>
    <row r="96" spans="1:5">
      <c r="A96" s="4" t="s">
        <v>17</v>
      </c>
      <c r="B96" s="9">
        <v>0.96</v>
      </c>
      <c r="C96" s="10">
        <v>4.9999999999999999E-132</v>
      </c>
      <c r="D96" s="5">
        <v>74.150000000000006</v>
      </c>
      <c r="E96" s="4" t="str">
        <f>HYPERLINK("https://www.ncbi.nlm.nih.gov/protein/WP_246855896.1?report=genbank&amp;log$=prottop&amp;blast_rank=78&amp;RID=92EC6PSH016","WP_246855896.1")</f>
        <v>WP_246855896.1</v>
      </c>
    </row>
    <row r="97" spans="1:5">
      <c r="A97" s="4" t="s">
        <v>99</v>
      </c>
      <c r="B97" s="9">
        <v>0.92</v>
      </c>
      <c r="C97" s="10">
        <v>3E-124</v>
      </c>
      <c r="D97" s="5">
        <v>73.98</v>
      </c>
      <c r="E97" s="4" t="str">
        <f>HYPERLINK("https://www.ncbi.nlm.nih.gov/protein/MCG8808949.1?report=genbank&amp;log$=prottop&amp;blast_rank=318&amp;RID=92EC6PSH016","MCG8808949.1")</f>
        <v>MCG8808949.1</v>
      </c>
    </row>
    <row r="98" spans="1:5">
      <c r="A98" s="4" t="s">
        <v>17</v>
      </c>
      <c r="B98" s="9">
        <v>0.97</v>
      </c>
      <c r="C98" s="10">
        <v>4.0000000000000003E-133</v>
      </c>
      <c r="D98" s="5">
        <v>73.790000000000006</v>
      </c>
      <c r="E98" s="4" t="str">
        <f>HYPERLINK("https://www.ncbi.nlm.nih.gov/protein/CAK2223649.1?report=genbank&amp;log$=prottop&amp;blast_rank=67&amp;RID=92EC6PSH016","CAK2223649.1")</f>
        <v>CAK2223649.1</v>
      </c>
    </row>
    <row r="99" spans="1:5">
      <c r="A99" s="4" t="s">
        <v>1274</v>
      </c>
      <c r="B99" s="9">
        <v>0.97</v>
      </c>
      <c r="C99" s="10">
        <v>3.9999999999999999E-131</v>
      </c>
      <c r="D99" s="5">
        <v>73.790000000000006</v>
      </c>
      <c r="E99" s="4" t="str">
        <f>HYPERLINK("https://www.ncbi.nlm.nih.gov/protein/WP_159258414.1?report=genbank&amp;log$=prottop&amp;blast_rank=86&amp;RID=92EC6PSH016","WP_159258414.1")</f>
        <v>WP_159258414.1</v>
      </c>
    </row>
    <row r="100" spans="1:5">
      <c r="A100" s="4" t="s">
        <v>1275</v>
      </c>
      <c r="B100" s="9">
        <v>0.98</v>
      </c>
      <c r="C100" s="10">
        <v>7.0000000000000006E-136</v>
      </c>
      <c r="D100" s="5">
        <v>73.56</v>
      </c>
      <c r="E100" s="4" t="str">
        <f>HYPERLINK("https://www.ncbi.nlm.nih.gov/protein/WP_229435534.1?report=genbank&amp;log$=prottop&amp;blast_rank=39&amp;RID=92EC6PSH016","WP_229435534.1")</f>
        <v>WP_229435534.1</v>
      </c>
    </row>
    <row r="101" spans="1:5">
      <c r="A101" s="4" t="s">
        <v>1276</v>
      </c>
      <c r="B101" s="9">
        <v>0.98</v>
      </c>
      <c r="C101" s="10">
        <v>1E-134</v>
      </c>
      <c r="D101" s="5">
        <v>73.56</v>
      </c>
      <c r="E101" s="4" t="str">
        <f>HYPERLINK("https://www.ncbi.nlm.nih.gov/protein/WP_241284053.1?report=genbank&amp;log$=prottop&amp;blast_rank=50&amp;RID=92EC6PSH016","WP_241284053.1")</f>
        <v>WP_241284053.1</v>
      </c>
    </row>
    <row r="102" spans="1:5">
      <c r="A102" s="4" t="s">
        <v>129</v>
      </c>
      <c r="B102" s="9">
        <v>0.98</v>
      </c>
      <c r="C102" s="10">
        <v>2.9999999999999999E-130</v>
      </c>
      <c r="D102" s="5">
        <v>73.56</v>
      </c>
      <c r="E102" s="4" t="str">
        <f>HYPERLINK("https://www.ncbi.nlm.nih.gov/protein/WP_315225550.1?report=genbank&amp;log$=prottop&amp;blast_rank=97&amp;RID=92EC6PSH016","WP_315225550.1")</f>
        <v>WP_315225550.1</v>
      </c>
    </row>
    <row r="103" spans="1:5">
      <c r="A103" s="4" t="s">
        <v>129</v>
      </c>
      <c r="B103" s="9">
        <v>0.98</v>
      </c>
      <c r="C103" s="10">
        <v>4.0000000000000003E-130</v>
      </c>
      <c r="D103" s="5">
        <v>73.56</v>
      </c>
      <c r="E103" s="4" t="str">
        <f>HYPERLINK("https://www.ncbi.nlm.nih.gov/protein/MDC4769968.1?report=genbank&amp;log$=prottop&amp;blast_rank=98&amp;RID=92EC6PSH016","MDC4769968.1")</f>
        <v>MDC4769968.1</v>
      </c>
    </row>
    <row r="104" spans="1:5">
      <c r="A104" s="4" t="s">
        <v>129</v>
      </c>
      <c r="B104" s="9">
        <v>0.98</v>
      </c>
      <c r="C104" s="10">
        <v>8.0000000000000007E-130</v>
      </c>
      <c r="D104" s="5">
        <v>73.56</v>
      </c>
      <c r="E104" s="4" t="str">
        <f>HYPERLINK("https://www.ncbi.nlm.nih.gov/protein/MDT8696721.1?report=genbank&amp;log$=prottop&amp;blast_rank=102&amp;RID=92EC6PSH016","MDT8696721.1")</f>
        <v>MDT8696721.1</v>
      </c>
    </row>
    <row r="105" spans="1:5">
      <c r="A105" s="4" t="s">
        <v>1277</v>
      </c>
      <c r="B105" s="9">
        <v>0.97</v>
      </c>
      <c r="C105" s="10">
        <v>3.9999999999999997E-129</v>
      </c>
      <c r="D105" s="5">
        <v>72.95</v>
      </c>
      <c r="E105" s="4" t="str">
        <f>HYPERLINK("https://www.ncbi.nlm.nih.gov/protein/MCT4589224.1?report=genbank&amp;log$=prottop&amp;blast_rank=122&amp;RID=92EC6PSH016","MCT4589224.1")</f>
        <v>MCT4589224.1</v>
      </c>
    </row>
    <row r="106" spans="1:5">
      <c r="A106" s="4" t="s">
        <v>1278</v>
      </c>
      <c r="B106" s="9">
        <v>0.99</v>
      </c>
      <c r="C106" s="10">
        <v>7.0000000000000004E-131</v>
      </c>
      <c r="D106" s="5">
        <v>72.86</v>
      </c>
      <c r="E106" s="4" t="str">
        <f>HYPERLINK("https://www.ncbi.nlm.nih.gov/protein/WP_249560631.1?report=genbank&amp;log$=prottop&amp;blast_rank=89&amp;RID=92EC6PSH016","WP_249560631.1")</f>
        <v>WP_249560631.1</v>
      </c>
    </row>
    <row r="107" spans="1:5">
      <c r="A107" s="4" t="s">
        <v>1279</v>
      </c>
      <c r="B107" s="9">
        <v>0.97</v>
      </c>
      <c r="C107" s="10">
        <v>1.0000000000000001E-130</v>
      </c>
      <c r="D107" s="5">
        <v>72.33</v>
      </c>
      <c r="E107" s="4" t="str">
        <f>HYPERLINK("https://www.ncbi.nlm.nih.gov/protein/WP_153135341.1?report=genbank&amp;log$=prottop&amp;blast_rank=92&amp;RID=92EC6PSH016","WP_153135341.1")</f>
        <v>WP_153135341.1</v>
      </c>
    </row>
    <row r="108" spans="1:5">
      <c r="A108" s="4" t="s">
        <v>1018</v>
      </c>
      <c r="B108" s="9">
        <v>0.91</v>
      </c>
      <c r="C108" s="10">
        <v>6.9999999999999997E-124</v>
      </c>
      <c r="D108" s="5">
        <v>72.31</v>
      </c>
      <c r="E108" s="4" t="str">
        <f>HYPERLINK("https://www.ncbi.nlm.nih.gov/protein/WP_225030892.1?report=genbank&amp;log$=prottop&amp;blast_rank=330&amp;RID=92EC6PSH016","WP_225030892.1")</f>
        <v>WP_225030892.1</v>
      </c>
    </row>
    <row r="109" spans="1:5">
      <c r="A109" s="4" t="s">
        <v>119</v>
      </c>
      <c r="B109" s="9">
        <v>0.97</v>
      </c>
      <c r="C109" s="10">
        <v>9.9999999999999999E-132</v>
      </c>
      <c r="D109" s="5">
        <v>71.84</v>
      </c>
      <c r="E109" s="4" t="str">
        <f>HYPERLINK("https://www.ncbi.nlm.nih.gov/protein/WP_166782964.1?report=genbank&amp;log$=prottop&amp;blast_rank=81&amp;RID=92EC6PSH016","WP_166782964.1")</f>
        <v>WP_166782964.1</v>
      </c>
    </row>
    <row r="110" spans="1:5">
      <c r="A110" s="4" t="s">
        <v>1280</v>
      </c>
      <c r="B110" s="9">
        <v>0.91</v>
      </c>
      <c r="C110" s="10">
        <v>5.0000000000000003E-124</v>
      </c>
      <c r="D110" s="5">
        <v>71.790000000000006</v>
      </c>
      <c r="E110" s="4" t="str">
        <f>HYPERLINK("https://www.ncbi.nlm.nih.gov/protein/WP_231986861.1?report=genbank&amp;log$=prottop&amp;blast_rank=322&amp;RID=92EC6PSH016","WP_231986861.1")</f>
        <v>WP_231986861.1</v>
      </c>
    </row>
    <row r="111" spans="1:5">
      <c r="A111" s="4" t="s">
        <v>1018</v>
      </c>
      <c r="B111" s="9">
        <v>0.91</v>
      </c>
      <c r="C111" s="10">
        <v>6.9999999999999997E-124</v>
      </c>
      <c r="D111" s="5">
        <v>71.790000000000006</v>
      </c>
      <c r="E111" s="4" t="str">
        <f>HYPERLINK("https://www.ncbi.nlm.nih.gov/protein/WP_223522833.1?report=genbank&amp;log$=prottop&amp;blast_rank=332&amp;RID=92EC6PSH016","WP_223522833.1")</f>
        <v>WP_223522833.1</v>
      </c>
    </row>
    <row r="112" spans="1:5">
      <c r="A112" s="4" t="s">
        <v>1281</v>
      </c>
      <c r="B112" s="9">
        <v>0.93</v>
      </c>
      <c r="C112" s="10">
        <v>6.0000000000000003E-126</v>
      </c>
      <c r="D112" s="5">
        <v>71.72</v>
      </c>
      <c r="E112" s="4" t="str">
        <f>HYPERLINK("https://www.ncbi.nlm.nih.gov/protein/KHT37879.1?report=genbank&amp;log$=prottop&amp;blast_rank=240&amp;RID=92EC6PSH016","KHT37879.1")</f>
        <v>KHT37879.1</v>
      </c>
    </row>
    <row r="113" spans="1:5">
      <c r="A113" s="4" t="s">
        <v>439</v>
      </c>
      <c r="B113" s="9">
        <v>0.93</v>
      </c>
      <c r="C113" s="10">
        <v>2.9999999999999999E-125</v>
      </c>
      <c r="D113" s="5">
        <v>71.72</v>
      </c>
      <c r="E113" s="4" t="str">
        <f>HYPERLINK("https://www.ncbi.nlm.nih.gov/protein/EMF0889423.1?report=genbank&amp;log$=prottop&amp;blast_rank=276&amp;RID=92EC6PSH016","EMF0889423.1")</f>
        <v>EMF0889423.1</v>
      </c>
    </row>
    <row r="114" spans="1:5">
      <c r="A114" s="4" t="s">
        <v>439</v>
      </c>
      <c r="B114" s="9">
        <v>0.93</v>
      </c>
      <c r="C114" s="10">
        <v>9.9999999999999993E-125</v>
      </c>
      <c r="D114" s="5">
        <v>71.72</v>
      </c>
      <c r="E114" s="4" t="str">
        <f>HYPERLINK("https://www.ncbi.nlm.nih.gov/protein/KTJ24503.1?report=genbank&amp;log$=prottop&amp;blast_rank=293&amp;RID=92EC6PSH016","KTJ24503.1")</f>
        <v>KTJ24503.1</v>
      </c>
    </row>
    <row r="115" spans="1:5">
      <c r="A115" s="4" t="s">
        <v>1079</v>
      </c>
      <c r="B115" s="9">
        <v>0.96</v>
      </c>
      <c r="C115" s="10">
        <v>9.9999999999999993E-130</v>
      </c>
      <c r="D115" s="5">
        <v>71.709999999999994</v>
      </c>
      <c r="E115" s="4" t="str">
        <f>HYPERLINK("https://www.ncbi.nlm.nih.gov/protein/WP_313644725.1?report=genbank&amp;log$=prottop&amp;blast_rank=106&amp;RID=92EC6PSH016","WP_313644725.1")</f>
        <v>WP_313644725.1</v>
      </c>
    </row>
    <row r="116" spans="1:5">
      <c r="A116" s="4" t="s">
        <v>99</v>
      </c>
      <c r="B116" s="9">
        <v>0.96</v>
      </c>
      <c r="C116" s="10">
        <v>4.9999999999999997E-127</v>
      </c>
      <c r="D116" s="5">
        <v>71.709999999999994</v>
      </c>
      <c r="E116" s="4" t="str">
        <f>HYPERLINK("https://www.ncbi.nlm.nih.gov/protein/WP_239787620.1?report=genbank&amp;log$=prottop&amp;blast_rank=197&amp;RID=92EC6PSH016","WP_239787620.1")</f>
        <v>WP_239787620.1</v>
      </c>
    </row>
    <row r="117" spans="1:5">
      <c r="A117" s="4" t="s">
        <v>1282</v>
      </c>
      <c r="B117" s="9">
        <v>0.96</v>
      </c>
      <c r="C117" s="10">
        <v>4.0000000000000001E-127</v>
      </c>
      <c r="D117" s="5">
        <v>71.569999999999993</v>
      </c>
      <c r="E117" s="4" t="str">
        <f>HYPERLINK("https://www.ncbi.nlm.nih.gov/protein/WP_279796403.1?report=genbank&amp;log$=prottop&amp;blast_rank=190&amp;RID=92EC6PSH016","WP_279796403.1")</f>
        <v>WP_279796403.1</v>
      </c>
    </row>
    <row r="118" spans="1:5">
      <c r="A118" s="4" t="s">
        <v>1283</v>
      </c>
      <c r="B118" s="9">
        <v>0.97</v>
      </c>
      <c r="C118" s="10">
        <v>3.9999999999999999E-121</v>
      </c>
      <c r="D118" s="5">
        <v>71.5</v>
      </c>
      <c r="E118" s="4" t="str">
        <f>HYPERLINK("https://www.ncbi.nlm.nih.gov/protein/QXW30377.1?report=genbank&amp;log$=prottop&amp;blast_rank=424&amp;RID=92EC6PSH016","QXW30377.1")</f>
        <v>QXW30377.1</v>
      </c>
    </row>
    <row r="119" spans="1:5">
      <c r="A119" s="4" t="s">
        <v>1284</v>
      </c>
      <c r="B119" s="9">
        <v>0.99</v>
      </c>
      <c r="C119" s="10">
        <v>1E-125</v>
      </c>
      <c r="D119" s="5">
        <v>71.430000000000007</v>
      </c>
      <c r="E119" s="4" t="str">
        <f>HYPERLINK("https://www.ncbi.nlm.nih.gov/protein/WP_154376240.1?report=genbank&amp;log$=prottop&amp;blast_rank=256&amp;RID=92EC6PSH016","WP_154376240.1")</f>
        <v>WP_154376240.1</v>
      </c>
    </row>
    <row r="120" spans="1:5">
      <c r="A120" s="4" t="s">
        <v>1285</v>
      </c>
      <c r="B120" s="9">
        <v>0.97</v>
      </c>
      <c r="C120" s="10">
        <v>1.9999999999999999E-129</v>
      </c>
      <c r="D120" s="5">
        <v>71.36</v>
      </c>
      <c r="E120" s="4" t="str">
        <f>HYPERLINK("https://www.ncbi.nlm.nih.gov/protein/WP_163316202.1?report=genbank&amp;log$=prottop&amp;blast_rank=108&amp;RID=92EC6PSH016","WP_163316202.1")</f>
        <v>WP_163316202.1</v>
      </c>
    </row>
    <row r="121" spans="1:5">
      <c r="A121" s="4" t="s">
        <v>1286</v>
      </c>
      <c r="B121" s="9">
        <v>0.97</v>
      </c>
      <c r="C121" s="10">
        <v>2.9999999999999998E-129</v>
      </c>
      <c r="D121" s="5">
        <v>71.36</v>
      </c>
      <c r="E121" s="4" t="str">
        <f>HYPERLINK("https://www.ncbi.nlm.nih.gov/protein/WP_034889646.1?report=genbank&amp;log$=prottop&amp;blast_rank=119&amp;RID=92EC6PSH016","WP_034889646.1")</f>
        <v>WP_034889646.1</v>
      </c>
    </row>
    <row r="122" spans="1:5">
      <c r="A122" s="4" t="s">
        <v>1287</v>
      </c>
      <c r="B122" s="9">
        <v>0.91</v>
      </c>
      <c r="C122" s="10">
        <v>7.9999999999999995E-124</v>
      </c>
      <c r="D122" s="5">
        <v>71.28</v>
      </c>
      <c r="E122" s="4" t="str">
        <f>HYPERLINK("https://www.ncbi.nlm.nih.gov/protein/WP_241663573.1?report=genbank&amp;log$=prottop&amp;blast_rank=335&amp;RID=92EC6PSH016","WP_241663573.1")</f>
        <v>WP_241663573.1</v>
      </c>
    </row>
    <row r="123" spans="1:5">
      <c r="A123" s="4" t="s">
        <v>364</v>
      </c>
      <c r="B123" s="9">
        <v>0.91</v>
      </c>
      <c r="C123" s="10">
        <v>2.9999999999999998E-123</v>
      </c>
      <c r="D123" s="5">
        <v>71.28</v>
      </c>
      <c r="E123" s="4" t="str">
        <f>HYPERLINK("https://www.ncbi.nlm.nih.gov/protein/WP_224794251.1?report=genbank&amp;log$=prottop&amp;blast_rank=361&amp;RID=92EC6PSH016","WP_224794251.1")</f>
        <v>WP_224794251.1</v>
      </c>
    </row>
    <row r="124" spans="1:5">
      <c r="A124" s="4" t="s">
        <v>1288</v>
      </c>
      <c r="B124" s="9">
        <v>1</v>
      </c>
      <c r="C124" s="10">
        <v>9.9999999999999993E-125</v>
      </c>
      <c r="D124" s="5">
        <v>71.23</v>
      </c>
      <c r="E124" s="4" t="str">
        <f>HYPERLINK("https://www.ncbi.nlm.nih.gov/protein/PCI21781.1?report=genbank&amp;log$=prottop&amp;blast_rank=294&amp;RID=92EC6PSH016","PCI21781.1")</f>
        <v>PCI21781.1</v>
      </c>
    </row>
    <row r="125" spans="1:5">
      <c r="A125" s="4" t="s">
        <v>56</v>
      </c>
      <c r="B125" s="9">
        <v>0.96</v>
      </c>
      <c r="C125" s="10">
        <v>2.9999999999999999E-130</v>
      </c>
      <c r="D125" s="5">
        <v>71.22</v>
      </c>
      <c r="E125" s="4" t="str">
        <f>HYPERLINK("https://www.ncbi.nlm.nih.gov/protein/WP_065624890.1?report=genbank&amp;log$=prottop&amp;blast_rank=95&amp;RID=92EC6PSH016","WP_065624890.1")</f>
        <v>WP_065624890.1</v>
      </c>
    </row>
    <row r="126" spans="1:5">
      <c r="A126" s="4" t="s">
        <v>1289</v>
      </c>
      <c r="B126" s="9">
        <v>0.96</v>
      </c>
      <c r="C126" s="10">
        <v>2.9999999999999998E-128</v>
      </c>
      <c r="D126" s="5">
        <v>71.22</v>
      </c>
      <c r="E126" s="4" t="str">
        <f>HYPERLINK("https://www.ncbi.nlm.nih.gov/protein/EKN4862948.1?report=genbank&amp;log$=prottop&amp;blast_rank=138&amp;RID=92EC6PSH016","EKN4862948.1")</f>
        <v>EKN4862948.1</v>
      </c>
    </row>
    <row r="127" spans="1:5">
      <c r="A127" s="4" t="s">
        <v>360</v>
      </c>
      <c r="B127" s="9">
        <v>0.96</v>
      </c>
      <c r="C127" s="10">
        <v>2.9999999999999998E-128</v>
      </c>
      <c r="D127" s="5">
        <v>71.22</v>
      </c>
      <c r="E127" s="4" t="str">
        <f>HYPERLINK("https://www.ncbi.nlm.nih.gov/protein/WP_334756622.1?report=genbank&amp;log$=prottop&amp;blast_rank=140&amp;RID=92EC6PSH016","WP_334756622.1")</f>
        <v>WP_334756622.1</v>
      </c>
    </row>
    <row r="128" spans="1:5">
      <c r="A128" s="4" t="s">
        <v>1282</v>
      </c>
      <c r="B128" s="9">
        <v>0.96</v>
      </c>
      <c r="C128" s="10">
        <v>2.9999999999999998E-128</v>
      </c>
      <c r="D128" s="5">
        <v>71.22</v>
      </c>
      <c r="E128" s="4" t="str">
        <f>HYPERLINK("https://www.ncbi.nlm.nih.gov/protein/HDR2463946.1?report=genbank&amp;log$=prottop&amp;blast_rank=142&amp;RID=92EC6PSH016","HDR2463946.1")</f>
        <v>HDR2463946.1</v>
      </c>
    </row>
    <row r="129" spans="1:5">
      <c r="A129" s="4" t="s">
        <v>402</v>
      </c>
      <c r="B129" s="9">
        <v>0.96</v>
      </c>
      <c r="C129" s="10">
        <v>4.0000000000000002E-128</v>
      </c>
      <c r="D129" s="5">
        <v>71.22</v>
      </c>
      <c r="E129" s="4" t="str">
        <f>HYPERLINK("https://www.ncbi.nlm.nih.gov/protein/WP_008499896.1?report=genbank&amp;log$=prottop&amp;blast_rank=146&amp;RID=92EC6PSH016","WP_008499896.1")</f>
        <v>WP_008499896.1</v>
      </c>
    </row>
    <row r="130" spans="1:5">
      <c r="A130" s="4" t="s">
        <v>402</v>
      </c>
      <c r="B130" s="9">
        <v>0.96</v>
      </c>
      <c r="C130" s="10">
        <v>5.0000000000000001E-128</v>
      </c>
      <c r="D130" s="5">
        <v>71.22</v>
      </c>
      <c r="E130" s="4" t="str">
        <f>HYPERLINK("https://www.ncbi.nlm.nih.gov/protein/WP_208584350.1?report=genbank&amp;log$=prottop&amp;blast_rank=148&amp;RID=92EC6PSH016","WP_208584350.1")</f>
        <v>WP_208584350.1</v>
      </c>
    </row>
    <row r="131" spans="1:5">
      <c r="A131" s="4" t="s">
        <v>1290</v>
      </c>
      <c r="B131" s="9">
        <v>0.96</v>
      </c>
      <c r="C131" s="10">
        <v>5.9999999999999996E-128</v>
      </c>
      <c r="D131" s="5">
        <v>71.22</v>
      </c>
      <c r="E131" s="4" t="str">
        <f>HYPERLINK("https://www.ncbi.nlm.nih.gov/protein/WP_345769313.1?report=genbank&amp;log$=prottop&amp;blast_rank=153&amp;RID=92EC6PSH016","WP_345769313.1")</f>
        <v>WP_345769313.1</v>
      </c>
    </row>
    <row r="132" spans="1:5">
      <c r="A132" s="4" t="s">
        <v>1291</v>
      </c>
      <c r="B132" s="9">
        <v>0.96</v>
      </c>
      <c r="C132" s="10">
        <v>7E-128</v>
      </c>
      <c r="D132" s="5">
        <v>71.22</v>
      </c>
      <c r="E132" s="4" t="str">
        <f>HYPERLINK("https://www.ncbi.nlm.nih.gov/protein/WP_084831986.1?report=genbank&amp;log$=prottop&amp;blast_rank=154&amp;RID=92EC6PSH016","WP_084831986.1")</f>
        <v>WP_084831986.1</v>
      </c>
    </row>
    <row r="133" spans="1:5">
      <c r="A133" s="4" t="s">
        <v>1292</v>
      </c>
      <c r="B133" s="9">
        <v>0.96</v>
      </c>
      <c r="C133" s="10">
        <v>8.0000000000000004E-128</v>
      </c>
      <c r="D133" s="5">
        <v>71.22</v>
      </c>
      <c r="E133" s="4" t="str">
        <f>HYPERLINK("https://www.ncbi.nlm.nih.gov/protein/WP_286590706.1?report=genbank&amp;log$=prottop&amp;blast_rank=155&amp;RID=92EC6PSH016","WP_286590706.1")</f>
        <v>WP_286590706.1</v>
      </c>
    </row>
    <row r="134" spans="1:5">
      <c r="A134" s="4" t="s">
        <v>1293</v>
      </c>
      <c r="B134" s="9">
        <v>0.96</v>
      </c>
      <c r="C134" s="10">
        <v>8.9999999999999998E-128</v>
      </c>
      <c r="D134" s="5">
        <v>71.22</v>
      </c>
      <c r="E134" s="4" t="str">
        <f>HYPERLINK("https://www.ncbi.nlm.nih.gov/protein/WP_148748571.1?report=genbank&amp;log$=prottop&amp;blast_rank=160&amp;RID=92EC6PSH016","WP_148748571.1")</f>
        <v>WP_148748571.1</v>
      </c>
    </row>
    <row r="135" spans="1:5">
      <c r="A135" s="4" t="s">
        <v>1294</v>
      </c>
      <c r="B135" s="9">
        <v>0.96</v>
      </c>
      <c r="C135" s="10">
        <v>1E-127</v>
      </c>
      <c r="D135" s="5">
        <v>71.22</v>
      </c>
      <c r="E135" s="4" t="str">
        <f>HYPERLINK("https://www.ncbi.nlm.nih.gov/protein/WP_248035702.1?report=genbank&amp;log$=prottop&amp;blast_rank=163&amp;RID=92EC6PSH016","WP_248035702.1")</f>
        <v>WP_248035702.1</v>
      </c>
    </row>
    <row r="136" spans="1:5">
      <c r="A136" s="4" t="s">
        <v>275</v>
      </c>
      <c r="B136" s="9">
        <v>0.96</v>
      </c>
      <c r="C136" s="10">
        <v>3.0000000000000001E-127</v>
      </c>
      <c r="D136" s="5">
        <v>71.22</v>
      </c>
      <c r="E136" s="4" t="str">
        <f>HYPERLINK("https://www.ncbi.nlm.nih.gov/protein/WP_126502049.1?report=genbank&amp;log$=prottop&amp;blast_rank=176&amp;RID=92EC6PSH016","WP_126502049.1")</f>
        <v>WP_126502049.1</v>
      </c>
    </row>
    <row r="137" spans="1:5">
      <c r="A137" s="4" t="s">
        <v>280</v>
      </c>
      <c r="B137" s="9">
        <v>0.96</v>
      </c>
      <c r="C137" s="10">
        <v>6.0000000000000002E-127</v>
      </c>
      <c r="D137" s="5">
        <v>71.22</v>
      </c>
      <c r="E137" s="4" t="str">
        <f>HYPERLINK("https://www.ncbi.nlm.nih.gov/protein/EHK3587237.1?report=genbank&amp;log$=prottop&amp;blast_rank=203&amp;RID=92EC6PSH016","EHK3587237.1")</f>
        <v>EHK3587237.1</v>
      </c>
    </row>
    <row r="138" spans="1:5">
      <c r="A138" s="4" t="s">
        <v>280</v>
      </c>
      <c r="B138" s="9">
        <v>0.96</v>
      </c>
      <c r="C138" s="10">
        <v>6.0000000000000002E-127</v>
      </c>
      <c r="D138" s="5">
        <v>71.22</v>
      </c>
      <c r="E138" s="4" t="str">
        <f>HYPERLINK("https://www.ncbi.nlm.nih.gov/protein/HAI7292996.1?report=genbank&amp;log$=prottop&amp;blast_rank=206&amp;RID=92EC6PSH016","HAI7292996.1")</f>
        <v>HAI7292996.1</v>
      </c>
    </row>
    <row r="139" spans="1:5">
      <c r="A139" s="4" t="s">
        <v>1295</v>
      </c>
      <c r="B139" s="9">
        <v>0.93</v>
      </c>
      <c r="C139" s="10">
        <v>4E-125</v>
      </c>
      <c r="D139" s="5">
        <v>71.209999999999994</v>
      </c>
      <c r="E139" s="4" t="str">
        <f>HYPERLINK("https://www.ncbi.nlm.nih.gov/protein/KHT08522.1?report=genbank&amp;log$=prottop&amp;blast_rank=280&amp;RID=92EC6PSH016","KHT08522.1")</f>
        <v>KHT08522.1</v>
      </c>
    </row>
    <row r="140" spans="1:5">
      <c r="A140" s="4" t="s">
        <v>1296</v>
      </c>
      <c r="B140" s="9">
        <v>0.91</v>
      </c>
      <c r="C140" s="10">
        <v>6.9999999999999997E-124</v>
      </c>
      <c r="D140" s="5">
        <v>70.77</v>
      </c>
      <c r="E140" s="4" t="str">
        <f>HYPERLINK("https://www.ncbi.nlm.nih.gov/protein/WP_231997067.1?report=genbank&amp;log$=prottop&amp;blast_rank=329&amp;RID=92EC6PSH016","WP_231997067.1")</f>
        <v>WP_231997067.1</v>
      </c>
    </row>
    <row r="141" spans="1:5">
      <c r="A141" s="4" t="s">
        <v>1077</v>
      </c>
      <c r="B141" s="9">
        <v>0.91</v>
      </c>
      <c r="C141" s="10">
        <v>2.0000000000000001E-122</v>
      </c>
      <c r="D141" s="5">
        <v>70.77</v>
      </c>
      <c r="E141" s="4" t="str">
        <f>HYPERLINK("https://www.ncbi.nlm.nih.gov/protein/WP_330511545.1?report=genbank&amp;log$=prottop&amp;blast_rank=397&amp;RID=92EC6PSH016","WP_330511545.1")</f>
        <v>WP_330511545.1</v>
      </c>
    </row>
    <row r="142" spans="1:5">
      <c r="A142" s="4" t="s">
        <v>1297</v>
      </c>
      <c r="B142" s="9">
        <v>1</v>
      </c>
      <c r="C142" s="10">
        <v>5.0000000000000003E-129</v>
      </c>
      <c r="D142" s="5">
        <v>70.75</v>
      </c>
      <c r="E142" s="4" t="str">
        <f>HYPERLINK("https://www.ncbi.nlm.nih.gov/protein/WP_309785714.1?report=genbank&amp;log$=prottop&amp;blast_rank=123&amp;RID=92EC6PSH016","WP_309785714.1")</f>
        <v>WP_309785714.1</v>
      </c>
    </row>
    <row r="143" spans="1:5">
      <c r="A143" s="4" t="s">
        <v>56</v>
      </c>
      <c r="B143" s="9">
        <v>0.96</v>
      </c>
      <c r="C143" s="10">
        <v>1.0000000000000001E-128</v>
      </c>
      <c r="D143" s="5">
        <v>70.73</v>
      </c>
      <c r="E143" s="4" t="str">
        <f>HYPERLINK("https://www.ncbi.nlm.nih.gov/protein/WP_155692099.1?report=genbank&amp;log$=prottop&amp;blast_rank=131&amp;RID=92EC6PSH016","WP_155692099.1")</f>
        <v>WP_155692099.1</v>
      </c>
    </row>
    <row r="144" spans="1:5">
      <c r="A144" s="4" t="s">
        <v>1298</v>
      </c>
      <c r="B144" s="9">
        <v>0.96</v>
      </c>
      <c r="C144" s="10">
        <v>2.0000000000000001E-127</v>
      </c>
      <c r="D144" s="5">
        <v>70.73</v>
      </c>
      <c r="E144" s="4" t="str">
        <f>HYPERLINK("https://www.ncbi.nlm.nih.gov/protein/HCB3606039.1?report=genbank&amp;log$=prottop&amp;blast_rank=174&amp;RID=92EC6PSH016","HCB3606039.1")</f>
        <v>HCB3606039.1</v>
      </c>
    </row>
    <row r="145" spans="1:5">
      <c r="A145" s="4" t="s">
        <v>275</v>
      </c>
      <c r="B145" s="9">
        <v>0.96</v>
      </c>
      <c r="C145" s="10">
        <v>3.0000000000000001E-127</v>
      </c>
      <c r="D145" s="5">
        <v>70.73</v>
      </c>
      <c r="E145" s="4" t="str">
        <f>HYPERLINK("https://www.ncbi.nlm.nih.gov/protein/WP_100280099.1?report=genbank&amp;log$=prottop&amp;blast_rank=177&amp;RID=92EC6PSH016","WP_100280099.1")</f>
        <v>WP_100280099.1</v>
      </c>
    </row>
    <row r="146" spans="1:5">
      <c r="A146" s="4" t="s">
        <v>1298</v>
      </c>
      <c r="B146" s="9">
        <v>0.96</v>
      </c>
      <c r="C146" s="10">
        <v>3.0000000000000001E-127</v>
      </c>
      <c r="D146" s="5">
        <v>70.73</v>
      </c>
      <c r="E146" s="4" t="str">
        <f>HYPERLINK("https://www.ncbi.nlm.nih.gov/protein/WP_101705184.1?report=genbank&amp;log$=prottop&amp;blast_rank=178&amp;RID=92EC6PSH016","WP_101705184.1")</f>
        <v>WP_101705184.1</v>
      </c>
    </row>
    <row r="147" spans="1:5">
      <c r="A147" s="4" t="s">
        <v>1290</v>
      </c>
      <c r="B147" s="9">
        <v>0.96</v>
      </c>
      <c r="C147" s="10">
        <v>3.0000000000000001E-127</v>
      </c>
      <c r="D147" s="5">
        <v>70.73</v>
      </c>
      <c r="E147" s="4" t="str">
        <f>HYPERLINK("https://www.ncbi.nlm.nih.gov/protein/WP_222168128.1?report=genbank&amp;log$=prottop&amp;blast_rank=179&amp;RID=92EC6PSH016","WP_222168128.1")</f>
        <v>WP_222168128.1</v>
      </c>
    </row>
    <row r="148" spans="1:5">
      <c r="A148" s="4" t="s">
        <v>1299</v>
      </c>
      <c r="B148" s="9">
        <v>0.96</v>
      </c>
      <c r="C148" s="10">
        <v>6.0000000000000003E-126</v>
      </c>
      <c r="D148" s="5">
        <v>70.73</v>
      </c>
      <c r="E148" s="4" t="str">
        <f>HYPERLINK("https://www.ncbi.nlm.nih.gov/protein/WP_320659176.1?report=genbank&amp;log$=prottop&amp;blast_rank=239&amp;RID=92EC6PSH016","WP_320659176.1")</f>
        <v>WP_320659176.1</v>
      </c>
    </row>
    <row r="149" spans="1:5">
      <c r="A149" s="4" t="s">
        <v>1300</v>
      </c>
      <c r="B149" s="9">
        <v>0.97</v>
      </c>
      <c r="C149" s="10">
        <v>3.0000000000000001E-127</v>
      </c>
      <c r="D149" s="5">
        <v>70.67</v>
      </c>
      <c r="E149" s="4" t="str">
        <f>HYPERLINK("https://www.ncbi.nlm.nih.gov/protein/WP_024873559.1?report=genbank&amp;log$=prottop&amp;blast_rank=181&amp;RID=92EC6PSH016","WP_024873559.1")</f>
        <v>WP_024873559.1</v>
      </c>
    </row>
    <row r="150" spans="1:5">
      <c r="A150" s="4" t="s">
        <v>1301</v>
      </c>
      <c r="B150" s="9">
        <v>0.97</v>
      </c>
      <c r="C150" s="10">
        <v>4.0000000000000003E-130</v>
      </c>
      <c r="D150" s="5">
        <v>70.53</v>
      </c>
      <c r="E150" s="4" t="str">
        <f>HYPERLINK("https://www.ncbi.nlm.nih.gov/protein/WP_080753792.1?report=genbank&amp;log$=prottop&amp;blast_rank=99&amp;RID=92EC6PSH016","WP_080753792.1")</f>
        <v>WP_080753792.1</v>
      </c>
    </row>
    <row r="151" spans="1:5">
      <c r="A151" s="4" t="s">
        <v>1302</v>
      </c>
      <c r="B151" s="9">
        <v>0.97</v>
      </c>
      <c r="C151" s="10">
        <v>5.9999999999999997E-130</v>
      </c>
      <c r="D151" s="5">
        <v>70.53</v>
      </c>
      <c r="E151" s="4" t="str">
        <f>HYPERLINK("https://www.ncbi.nlm.nih.gov/protein/WP_330520700.1?report=genbank&amp;log$=prottop&amp;blast_rank=101&amp;RID=92EC6PSH016","WP_330520700.1")</f>
        <v>WP_330520700.1</v>
      </c>
    </row>
    <row r="152" spans="1:5">
      <c r="A152" s="4" t="s">
        <v>1301</v>
      </c>
      <c r="B152" s="9">
        <v>0.97</v>
      </c>
      <c r="C152" s="10">
        <v>9E-130</v>
      </c>
      <c r="D152" s="5">
        <v>70.53</v>
      </c>
      <c r="E152" s="4" t="str">
        <f>HYPERLINK("https://www.ncbi.nlm.nih.gov/protein/WP_180788082.1?report=genbank&amp;log$=prottop&amp;blast_rank=103&amp;RID=92EC6PSH016","WP_180788082.1")</f>
        <v>WP_180788082.1</v>
      </c>
    </row>
    <row r="153" spans="1:5">
      <c r="A153" s="4" t="s">
        <v>1303</v>
      </c>
      <c r="B153" s="9">
        <v>0.99</v>
      </c>
      <c r="C153" s="10">
        <v>1E-125</v>
      </c>
      <c r="D153" s="5">
        <v>70.48</v>
      </c>
      <c r="E153" s="4" t="str">
        <f>HYPERLINK("https://www.ncbi.nlm.nih.gov/protein/WP_289916135.1?report=genbank&amp;log$=prottop&amp;blast_rank=258&amp;RID=92EC6PSH016","WP_289916135.1")</f>
        <v>WP_289916135.1</v>
      </c>
    </row>
    <row r="154" spans="1:5">
      <c r="A154" s="4" t="s">
        <v>1304</v>
      </c>
      <c r="B154" s="9">
        <v>0.95</v>
      </c>
      <c r="C154" s="10">
        <v>3E-131</v>
      </c>
      <c r="D154" s="5">
        <v>70.44</v>
      </c>
      <c r="E154" s="4" t="str">
        <f>HYPERLINK("https://www.ncbi.nlm.nih.gov/protein/PAW49520.1?report=genbank&amp;log$=prottop&amp;blast_rank=85&amp;RID=92EC6PSH016","PAW49520.1")</f>
        <v>PAW49520.1</v>
      </c>
    </row>
    <row r="155" spans="1:5">
      <c r="A155" s="4" t="s">
        <v>1305</v>
      </c>
      <c r="B155" s="9">
        <v>0.95</v>
      </c>
      <c r="C155" s="10">
        <v>2.9999999999999998E-129</v>
      </c>
      <c r="D155" s="5">
        <v>70.44</v>
      </c>
      <c r="E155" s="4" t="str">
        <f>HYPERLINK("https://www.ncbi.nlm.nih.gov/protein/POA25628.1?report=genbank&amp;log$=prottop&amp;blast_rank=114&amp;RID=92EC6PSH016","POA25628.1")</f>
        <v>POA25628.1</v>
      </c>
    </row>
    <row r="156" spans="1:5">
      <c r="A156" s="4" t="s">
        <v>400</v>
      </c>
      <c r="B156" s="9">
        <v>0.95</v>
      </c>
      <c r="C156" s="10">
        <v>8.0000000000000004E-128</v>
      </c>
      <c r="D156" s="5">
        <v>70.44</v>
      </c>
      <c r="E156" s="4" t="str">
        <f>HYPERLINK("https://www.ncbi.nlm.nih.gov/protein/WP_178085233.1?report=genbank&amp;log$=prottop&amp;blast_rank=157&amp;RID=92EC6PSH016","WP_178085233.1")</f>
        <v>WP_178085233.1</v>
      </c>
    </row>
    <row r="157" spans="1:5">
      <c r="A157" s="4" t="s">
        <v>1018</v>
      </c>
      <c r="B157" s="9">
        <v>0.95</v>
      </c>
      <c r="C157" s="10">
        <v>2.0000000000000001E-127</v>
      </c>
      <c r="D157" s="5">
        <v>70.44</v>
      </c>
      <c r="E157" s="4" t="str">
        <f>HYPERLINK("https://www.ncbi.nlm.nih.gov/protein/WP_047293947.1?report=genbank&amp;log$=prottop&amp;blast_rank=166&amp;RID=92EC6PSH016","WP_047293947.1")</f>
        <v>WP_047293947.1</v>
      </c>
    </row>
    <row r="158" spans="1:5">
      <c r="A158" s="4" t="s">
        <v>1306</v>
      </c>
      <c r="B158" s="9">
        <v>0.91</v>
      </c>
      <c r="C158" s="10">
        <v>5.0000000000000003E-123</v>
      </c>
      <c r="D158" s="5">
        <v>70.260000000000005</v>
      </c>
      <c r="E158" s="4" t="str">
        <f>HYPERLINK("https://www.ncbi.nlm.nih.gov/protein/EGH24516.1?report=genbank&amp;log$=prottop&amp;blast_rank=367&amp;RID=92EC6PSH016","EGH24516.1")</f>
        <v>EGH24516.1</v>
      </c>
    </row>
    <row r="159" spans="1:5">
      <c r="A159" s="4" t="s">
        <v>1290</v>
      </c>
      <c r="B159" s="9">
        <v>0.96</v>
      </c>
      <c r="C159" s="10">
        <v>2.0000000000000001E-127</v>
      </c>
      <c r="D159" s="5">
        <v>70.239999999999995</v>
      </c>
      <c r="E159" s="4" t="str">
        <f>HYPERLINK("https://www.ncbi.nlm.nih.gov/protein/HCC6344119.1?report=genbank&amp;log$=prottop&amp;blast_rank=173&amp;RID=92EC6PSH016","HCC6344119.1")</f>
        <v>HCC6344119.1</v>
      </c>
    </row>
    <row r="160" spans="1:5">
      <c r="A160" s="4" t="s">
        <v>1295</v>
      </c>
      <c r="B160" s="9">
        <v>0.97</v>
      </c>
      <c r="C160" s="10">
        <v>6.9999999999999995E-129</v>
      </c>
      <c r="D160" s="5">
        <v>70.05</v>
      </c>
      <c r="E160" s="4" t="str">
        <f>HYPERLINK("https://www.ncbi.nlm.nih.gov/protein/WP_072036052.1?report=genbank&amp;log$=prottop&amp;blast_rank=127&amp;RID=92EC6PSH016","WP_072036052.1")</f>
        <v>WP_072036052.1</v>
      </c>
    </row>
    <row r="161" spans="1:5">
      <c r="A161" s="4" t="s">
        <v>1307</v>
      </c>
      <c r="B161" s="9">
        <v>0.97</v>
      </c>
      <c r="C161" s="10">
        <v>2.0000000000000001E-128</v>
      </c>
      <c r="D161" s="5">
        <v>70.05</v>
      </c>
      <c r="E161" s="4" t="str">
        <f>HYPERLINK("https://www.ncbi.nlm.nih.gov/protein/WP_225085165.1?report=genbank&amp;log$=prottop&amp;blast_rank=135&amp;RID=92EC6PSH016","WP_225085165.1")</f>
        <v>WP_225085165.1</v>
      </c>
    </row>
    <row r="162" spans="1:5">
      <c r="A162" s="4" t="s">
        <v>1018</v>
      </c>
      <c r="B162" s="9">
        <v>0.95</v>
      </c>
      <c r="C162" s="10">
        <v>1.9999999999999999E-129</v>
      </c>
      <c r="D162" s="5">
        <v>69.95</v>
      </c>
      <c r="E162" s="4" t="str">
        <f>HYPERLINK("https://www.ncbi.nlm.nih.gov/protein/WP_305423643.1?report=genbank&amp;log$=prottop&amp;blast_rank=109&amp;RID=92EC6PSH016","WP_305423643.1")</f>
        <v>WP_305423643.1</v>
      </c>
    </row>
    <row r="163" spans="1:5">
      <c r="A163" s="4" t="s">
        <v>1077</v>
      </c>
      <c r="B163" s="9">
        <v>0.95</v>
      </c>
      <c r="C163" s="10">
        <v>2.9999999999999998E-129</v>
      </c>
      <c r="D163" s="5">
        <v>69.95</v>
      </c>
      <c r="E163" s="4" t="str">
        <f>HYPERLINK("https://www.ncbi.nlm.nih.gov/protein/WP_240999057.1?report=genbank&amp;log$=prottop&amp;blast_rank=113&amp;RID=92EC6PSH016","WP_240999057.1")</f>
        <v>WP_240999057.1</v>
      </c>
    </row>
    <row r="164" spans="1:5">
      <c r="A164" s="4" t="s">
        <v>1308</v>
      </c>
      <c r="B164" s="9">
        <v>0.95</v>
      </c>
      <c r="C164" s="10">
        <v>5.9999999999999996E-129</v>
      </c>
      <c r="D164" s="5">
        <v>69.95</v>
      </c>
      <c r="E164" s="4" t="str">
        <f>HYPERLINK("https://www.ncbi.nlm.nih.gov/protein/MXR31892.1?report=genbank&amp;log$=prottop&amp;blast_rank=125&amp;RID=92EC6PSH016","MXR31892.1")</f>
        <v>MXR31892.1</v>
      </c>
    </row>
    <row r="165" spans="1:5">
      <c r="A165" s="4" t="s">
        <v>1309</v>
      </c>
      <c r="B165" s="9">
        <v>0.95</v>
      </c>
      <c r="C165" s="10">
        <v>4.0000000000000002E-128</v>
      </c>
      <c r="D165" s="5">
        <v>69.95</v>
      </c>
      <c r="E165" s="4" t="str">
        <f>HYPERLINK("https://www.ncbi.nlm.nih.gov/protein/WP_256581569.1?report=genbank&amp;log$=prottop&amp;blast_rank=144&amp;RID=92EC6PSH016","WP_256581569.1")</f>
        <v>WP_256581569.1</v>
      </c>
    </row>
    <row r="166" spans="1:5">
      <c r="A166" s="4" t="s">
        <v>1071</v>
      </c>
      <c r="B166" s="9">
        <v>0.95</v>
      </c>
      <c r="C166" s="10">
        <v>3.0000000000000001E-127</v>
      </c>
      <c r="D166" s="5">
        <v>69.95</v>
      </c>
      <c r="E166" s="4" t="str">
        <f>HYPERLINK("https://www.ncbi.nlm.nih.gov/protein/WP_192346928.1?report=genbank&amp;log$=prottop&amp;blast_rank=182&amp;RID=92EC6PSH016","WP_192346928.1")</f>
        <v>WP_192346928.1</v>
      </c>
    </row>
    <row r="167" spans="1:5">
      <c r="A167" s="4" t="s">
        <v>1280</v>
      </c>
      <c r="B167" s="9">
        <v>0.95</v>
      </c>
      <c r="C167" s="10">
        <v>4.0000000000000001E-127</v>
      </c>
      <c r="D167" s="5">
        <v>69.95</v>
      </c>
      <c r="E167" s="4" t="str">
        <f>HYPERLINK("https://www.ncbi.nlm.nih.gov/protein/KRP60579.1?report=genbank&amp;log$=prottop&amp;blast_rank=184&amp;RID=92EC6PSH016","KRP60579.1")</f>
        <v>KRP60579.1</v>
      </c>
    </row>
    <row r="168" spans="1:5">
      <c r="A168" s="4" t="s">
        <v>1309</v>
      </c>
      <c r="B168" s="9">
        <v>0.95</v>
      </c>
      <c r="C168" s="10">
        <v>4.0000000000000001E-127</v>
      </c>
      <c r="D168" s="5">
        <v>69.95</v>
      </c>
      <c r="E168" s="4" t="str">
        <f>HYPERLINK("https://www.ncbi.nlm.nih.gov/protein/PLR60047.1?report=genbank&amp;log$=prottop&amp;blast_rank=188&amp;RID=92EC6PSH016","PLR60047.1")</f>
        <v>PLR60047.1</v>
      </c>
    </row>
    <row r="169" spans="1:5">
      <c r="A169" s="4" t="s">
        <v>396</v>
      </c>
      <c r="B169" s="9">
        <v>0.95</v>
      </c>
      <c r="C169" s="10">
        <v>4.0000000000000001E-127</v>
      </c>
      <c r="D169" s="5">
        <v>69.95</v>
      </c>
      <c r="E169" s="4" t="str">
        <f>HYPERLINK("https://www.ncbi.nlm.nih.gov/protein/MBS3185334.1?report=genbank&amp;log$=prottop&amp;blast_rank=192&amp;RID=92EC6PSH016","MBS3185334.1")</f>
        <v>MBS3185334.1</v>
      </c>
    </row>
    <row r="170" spans="1:5">
      <c r="A170" s="4" t="s">
        <v>1310</v>
      </c>
      <c r="B170" s="9">
        <v>0.95</v>
      </c>
      <c r="C170" s="10">
        <v>4.9999999999999997E-127</v>
      </c>
      <c r="D170" s="5">
        <v>69.95</v>
      </c>
      <c r="E170" s="4" t="str">
        <f>HYPERLINK("https://www.ncbi.nlm.nih.gov/protein/WP_305480446.1?report=genbank&amp;log$=prottop&amp;blast_rank=194&amp;RID=92EC6PSH016","WP_305480446.1")</f>
        <v>WP_305480446.1</v>
      </c>
    </row>
    <row r="171" spans="1:5">
      <c r="A171" s="4" t="s">
        <v>386</v>
      </c>
      <c r="B171" s="9">
        <v>0.95</v>
      </c>
      <c r="C171" s="10">
        <v>4.9999999999999997E-127</v>
      </c>
      <c r="D171" s="5">
        <v>69.95</v>
      </c>
      <c r="E171" s="4" t="str">
        <f>HYPERLINK("https://www.ncbi.nlm.nih.gov/protein/MBJ2181475.1?report=genbank&amp;log$=prottop&amp;blast_rank=196&amp;RID=92EC6PSH016","MBJ2181475.1")</f>
        <v>MBJ2181475.1</v>
      </c>
    </row>
    <row r="172" spans="1:5">
      <c r="A172" s="4" t="s">
        <v>1074</v>
      </c>
      <c r="B172" s="9">
        <v>0.95</v>
      </c>
      <c r="C172" s="10">
        <v>4.9999999999999997E-127</v>
      </c>
      <c r="D172" s="5">
        <v>69.95</v>
      </c>
      <c r="E172" s="4" t="str">
        <f>HYPERLINK("https://www.ncbi.nlm.nih.gov/protein/WP_198760270.1?report=genbank&amp;log$=prottop&amp;blast_rank=198&amp;RID=92EC6PSH016","WP_198760270.1")</f>
        <v>WP_198760270.1</v>
      </c>
    </row>
    <row r="173" spans="1:5">
      <c r="A173" s="4" t="s">
        <v>400</v>
      </c>
      <c r="B173" s="9">
        <v>0.95</v>
      </c>
      <c r="C173" s="10">
        <v>6.9999999999999998E-127</v>
      </c>
      <c r="D173" s="5">
        <v>69.95</v>
      </c>
      <c r="E173" s="4" t="str">
        <f>HYPERLINK("https://www.ncbi.nlm.nih.gov/protein/WP_305438237.1?report=genbank&amp;log$=prottop&amp;blast_rank=208&amp;RID=92EC6PSH016","WP_305438237.1")</f>
        <v>WP_305438237.1</v>
      </c>
    </row>
    <row r="174" spans="1:5">
      <c r="A174" s="4" t="s">
        <v>373</v>
      </c>
      <c r="B174" s="9">
        <v>0.95</v>
      </c>
      <c r="C174" s="10">
        <v>6.9999999999999998E-127</v>
      </c>
      <c r="D174" s="5">
        <v>69.95</v>
      </c>
      <c r="E174" s="4" t="str">
        <f>HYPERLINK("https://www.ncbi.nlm.nih.gov/protein/EKW4642991.1?report=genbank&amp;log$=prottop&amp;blast_rank=209&amp;RID=92EC6PSH016","EKW4642991.1")</f>
        <v>EKW4642991.1</v>
      </c>
    </row>
    <row r="175" spans="1:5">
      <c r="A175" s="4" t="s">
        <v>440</v>
      </c>
      <c r="B175" s="9">
        <v>0.97</v>
      </c>
      <c r="C175" s="10">
        <v>7.9999999999999999E-118</v>
      </c>
      <c r="D175" s="5">
        <v>69.900000000000006</v>
      </c>
      <c r="E175" s="4" t="str">
        <f>HYPERLINK("https://www.ncbi.nlm.nih.gov/protein/MDQ2989590.1?report=genbank&amp;log$=prottop&amp;blast_rank=481&amp;RID=92EC6PSH016","MDQ2989590.1")</f>
        <v>MDQ2989590.1</v>
      </c>
    </row>
    <row r="176" spans="1:5">
      <c r="A176" s="4" t="s">
        <v>1311</v>
      </c>
      <c r="B176" s="9">
        <v>0.96</v>
      </c>
      <c r="C176" s="10">
        <v>8.0000000000000003E-134</v>
      </c>
      <c r="D176" s="5">
        <v>69.760000000000005</v>
      </c>
      <c r="E176" s="4" t="str">
        <f>HYPERLINK("https://www.ncbi.nlm.nih.gov/protein/WP_335714579.1?report=genbank&amp;log$=prottop&amp;blast_rank=59&amp;RID=92EC6PSH016","WP_335714579.1")</f>
        <v>WP_335714579.1</v>
      </c>
    </row>
    <row r="177" spans="1:5">
      <c r="A177" s="4" t="s">
        <v>1312</v>
      </c>
      <c r="B177" s="9">
        <v>0.96</v>
      </c>
      <c r="C177" s="10">
        <v>5.9999999999999996E-129</v>
      </c>
      <c r="D177" s="5">
        <v>69.760000000000005</v>
      </c>
      <c r="E177" s="4" t="str">
        <f>HYPERLINK("https://www.ncbi.nlm.nih.gov/protein/PIK77509.1?report=genbank&amp;log$=prottop&amp;blast_rank=124&amp;RID=92EC6PSH016","PIK77509.1")</f>
        <v>PIK77509.1</v>
      </c>
    </row>
    <row r="178" spans="1:5">
      <c r="A178" s="4" t="s">
        <v>1018</v>
      </c>
      <c r="B178" s="9">
        <v>0.96</v>
      </c>
      <c r="C178" s="10">
        <v>5.9999999999999996E-128</v>
      </c>
      <c r="D178" s="5">
        <v>69.760000000000005</v>
      </c>
      <c r="E178" s="4" t="str">
        <f>HYPERLINK("https://www.ncbi.nlm.nih.gov/protein/WP_054884590.1?report=genbank&amp;log$=prottop&amp;blast_rank=152&amp;RID=92EC6PSH016","WP_054884590.1")</f>
        <v>WP_054884590.1</v>
      </c>
    </row>
    <row r="179" spans="1:5">
      <c r="A179" s="4" t="s">
        <v>279</v>
      </c>
      <c r="B179" s="9">
        <v>0.91</v>
      </c>
      <c r="C179" s="10">
        <v>2.0000000000000001E-122</v>
      </c>
      <c r="D179" s="5">
        <v>69.739999999999995</v>
      </c>
      <c r="E179" s="4" t="str">
        <f>HYPERLINK("https://www.ncbi.nlm.nih.gov/protein/WP_236432415.1?report=genbank&amp;log$=prottop&amp;blast_rank=396&amp;RID=92EC6PSH016","WP_236432415.1")</f>
        <v>WP_236432415.1</v>
      </c>
    </row>
    <row r="180" spans="1:5">
      <c r="A180" s="4" t="s">
        <v>279</v>
      </c>
      <c r="B180" s="9">
        <v>0.91</v>
      </c>
      <c r="C180" s="10">
        <v>4.9999999999999999E-122</v>
      </c>
      <c r="D180" s="5">
        <v>69.739999999999995</v>
      </c>
      <c r="E180" s="4" t="str">
        <f>HYPERLINK("https://www.ncbi.nlm.nih.gov/protein/WP_226995472.1?report=genbank&amp;log$=prottop&amp;blast_rank=413&amp;RID=92EC6PSH016","WP_226995472.1")</f>
        <v>WP_226995472.1</v>
      </c>
    </row>
    <row r="181" spans="1:5">
      <c r="A181" s="4" t="s">
        <v>439</v>
      </c>
      <c r="B181" s="9">
        <v>0.98</v>
      </c>
      <c r="C181" s="10">
        <v>7E-126</v>
      </c>
      <c r="D181" s="5">
        <v>69.709999999999994</v>
      </c>
      <c r="E181" s="4" t="str">
        <f>HYPERLINK("https://www.ncbi.nlm.nih.gov/protein/WP_248275524.1?report=genbank&amp;log$=prottop&amp;blast_rank=244&amp;RID=92EC6PSH016","WP_248275524.1")</f>
        <v>WP_248275524.1</v>
      </c>
    </row>
    <row r="182" spans="1:5">
      <c r="A182" s="4" t="s">
        <v>1313</v>
      </c>
      <c r="B182" s="9">
        <v>0.99</v>
      </c>
      <c r="C182" s="10">
        <v>9.9999999999999993E-130</v>
      </c>
      <c r="D182" s="5">
        <v>69.52</v>
      </c>
      <c r="E182" s="4" t="str">
        <f>HYPERLINK("https://www.ncbi.nlm.nih.gov/protein/WP_082471035.1?report=genbank&amp;log$=prottop&amp;blast_rank=105&amp;RID=92EC6PSH016","WP_082471035.1")</f>
        <v>WP_082471035.1</v>
      </c>
    </row>
    <row r="183" spans="1:5">
      <c r="A183" s="4" t="s">
        <v>1314</v>
      </c>
      <c r="B183" s="9">
        <v>0.95</v>
      </c>
      <c r="C183" s="10">
        <v>1.0000000000000001E-128</v>
      </c>
      <c r="D183" s="5">
        <v>69.459999999999994</v>
      </c>
      <c r="E183" s="4" t="str">
        <f>HYPERLINK("https://www.ncbi.nlm.nih.gov/protein/WP_290024562.1?report=genbank&amp;log$=prottop&amp;blast_rank=133&amp;RID=92EC6PSH016","WP_290024562.1")</f>
        <v>WP_290024562.1</v>
      </c>
    </row>
    <row r="184" spans="1:5">
      <c r="A184" s="4" t="s">
        <v>364</v>
      </c>
      <c r="B184" s="9">
        <v>0.95</v>
      </c>
      <c r="C184" s="10">
        <v>1E-127</v>
      </c>
      <c r="D184" s="5">
        <v>69.459999999999994</v>
      </c>
      <c r="E184" s="4" t="str">
        <f>HYPERLINK("https://www.ncbi.nlm.nih.gov/protein/WP_150648009.1?report=genbank&amp;log$=prottop&amp;blast_rank=162&amp;RID=92EC6PSH016","WP_150648009.1")</f>
        <v>WP_150648009.1</v>
      </c>
    </row>
    <row r="185" spans="1:5">
      <c r="A185" s="4" t="s">
        <v>1018</v>
      </c>
      <c r="B185" s="9">
        <v>0.95</v>
      </c>
      <c r="C185" s="10">
        <v>2.0000000000000001E-127</v>
      </c>
      <c r="D185" s="5">
        <v>69.459999999999994</v>
      </c>
      <c r="E185" s="4" t="str">
        <f>HYPERLINK("https://www.ncbi.nlm.nih.gov/protein/WP_186620144.1?report=genbank&amp;log$=prottop&amp;blast_rank=175&amp;RID=92EC6PSH016","WP_186620144.1")</f>
        <v>WP_186620144.1</v>
      </c>
    </row>
    <row r="186" spans="1:5">
      <c r="A186" s="4" t="s">
        <v>1018</v>
      </c>
      <c r="B186" s="9">
        <v>0.95</v>
      </c>
      <c r="C186" s="10">
        <v>6.0000000000000002E-127</v>
      </c>
      <c r="D186" s="5">
        <v>69.459999999999994</v>
      </c>
      <c r="E186" s="4" t="str">
        <f>HYPERLINK("https://www.ncbi.nlm.nih.gov/protein/WP_129999477.1?report=genbank&amp;log$=prottop&amp;blast_rank=201&amp;RID=92EC6PSH016","WP_129999477.1")</f>
        <v>WP_129999477.1</v>
      </c>
    </row>
    <row r="187" spans="1:5">
      <c r="A187" s="4" t="s">
        <v>364</v>
      </c>
      <c r="B187" s="9">
        <v>0.95</v>
      </c>
      <c r="C187" s="10">
        <v>1.9999999999999999E-126</v>
      </c>
      <c r="D187" s="5">
        <v>69.459999999999994</v>
      </c>
      <c r="E187" s="4" t="str">
        <f>HYPERLINK("https://www.ncbi.nlm.nih.gov/protein/VVN89144.1?report=genbank&amp;log$=prottop&amp;blast_rank=222&amp;RID=92EC6PSH016","VVN89144.1")</f>
        <v>VVN89144.1</v>
      </c>
    </row>
    <row r="188" spans="1:5">
      <c r="A188" s="4" t="s">
        <v>1315</v>
      </c>
      <c r="B188" s="9">
        <v>0.95</v>
      </c>
      <c r="C188" s="10">
        <v>5.0000000000000001E-126</v>
      </c>
      <c r="D188" s="5">
        <v>69.459999999999994</v>
      </c>
      <c r="E188" s="4" t="str">
        <f>HYPERLINK("https://www.ncbi.nlm.nih.gov/protein/EJN31254.1?report=genbank&amp;log$=prottop&amp;blast_rank=235&amp;RID=92EC6PSH016","EJN31254.1")</f>
        <v>EJN31254.1</v>
      </c>
    </row>
    <row r="189" spans="1:5">
      <c r="A189" s="4" t="s">
        <v>279</v>
      </c>
      <c r="B189" s="9">
        <v>0.95</v>
      </c>
      <c r="C189" s="10">
        <v>7.9999999999999996E-126</v>
      </c>
      <c r="D189" s="5">
        <v>69.459999999999994</v>
      </c>
      <c r="E189" s="4" t="str">
        <f>HYPERLINK("https://www.ncbi.nlm.nih.gov/protein/WP_223115015.1?report=genbank&amp;log$=prottop&amp;blast_rank=248&amp;RID=92EC6PSH016","WP_223115015.1")</f>
        <v>WP_223115015.1</v>
      </c>
    </row>
    <row r="190" spans="1:5">
      <c r="A190" s="4" t="s">
        <v>1316</v>
      </c>
      <c r="B190" s="9">
        <v>0.97</v>
      </c>
      <c r="C190" s="10">
        <v>2E-132</v>
      </c>
      <c r="D190" s="5">
        <v>69.42</v>
      </c>
      <c r="E190" s="4" t="str">
        <f>HYPERLINK("https://www.ncbi.nlm.nih.gov/protein/KUO71787.1?report=genbank&amp;log$=prottop&amp;blast_rank=72&amp;RID=92EC6PSH016","KUO71787.1")</f>
        <v>KUO71787.1</v>
      </c>
    </row>
    <row r="191" spans="1:5">
      <c r="A191" s="4" t="s">
        <v>1317</v>
      </c>
      <c r="B191" s="9">
        <v>0.97</v>
      </c>
      <c r="C191" s="10">
        <v>9.9999999999999993E-125</v>
      </c>
      <c r="D191" s="5">
        <v>69.42</v>
      </c>
      <c r="E191" s="4" t="str">
        <f>HYPERLINK("https://www.ncbi.nlm.nih.gov/protein/MCK5854587.1?report=genbank&amp;log$=prottop&amp;blast_rank=298&amp;RID=92EC6PSH016","MCK5854587.1")</f>
        <v>MCK5854587.1</v>
      </c>
    </row>
    <row r="192" spans="1:5">
      <c r="A192" s="4" t="s">
        <v>1318</v>
      </c>
      <c r="B192" s="9">
        <v>0.97</v>
      </c>
      <c r="C192" s="10">
        <v>5.9999999999999999E-121</v>
      </c>
      <c r="D192" s="5">
        <v>69.42</v>
      </c>
      <c r="E192" s="4" t="str">
        <f>HYPERLINK("https://www.ncbi.nlm.nih.gov/protein/PKP13234.1?report=genbank&amp;log$=prottop&amp;blast_rank=429&amp;RID=92EC6PSH016","PKP13234.1")</f>
        <v>PKP13234.1</v>
      </c>
    </row>
    <row r="193" spans="1:5">
      <c r="A193" s="4" t="s">
        <v>1315</v>
      </c>
      <c r="B193" s="9">
        <v>0.96</v>
      </c>
      <c r="C193" s="10">
        <v>2.0000000000000001E-128</v>
      </c>
      <c r="D193" s="5">
        <v>69.27</v>
      </c>
      <c r="E193" s="4" t="str">
        <f>HYPERLINK("https://www.ncbi.nlm.nih.gov/protein/WP_085988541.1?report=genbank&amp;log$=prottop&amp;blast_rank=136&amp;RID=92EC6PSH016","WP_085988541.1")</f>
        <v>WP_085988541.1</v>
      </c>
    </row>
    <row r="194" spans="1:5">
      <c r="A194" s="4" t="s">
        <v>1319</v>
      </c>
      <c r="B194" s="9">
        <v>0.96</v>
      </c>
      <c r="C194" s="10">
        <v>2.9999999999999998E-123</v>
      </c>
      <c r="D194" s="5">
        <v>69.27</v>
      </c>
      <c r="E194" s="4" t="str">
        <f>HYPERLINK("https://www.ncbi.nlm.nih.gov/protein/WP_230155227.1?report=genbank&amp;log$=prottop&amp;blast_rank=362&amp;RID=92EC6PSH016","WP_230155227.1")</f>
        <v>WP_230155227.1</v>
      </c>
    </row>
    <row r="195" spans="1:5">
      <c r="A195" s="4" t="s">
        <v>1320</v>
      </c>
      <c r="B195" s="9">
        <v>0.98</v>
      </c>
      <c r="C195" s="10">
        <v>5.9999999999999997E-130</v>
      </c>
      <c r="D195" s="5">
        <v>69.23</v>
      </c>
      <c r="E195" s="4" t="str">
        <f>HYPERLINK("https://www.ncbi.nlm.nih.gov/protein/WP_279613092.1?report=genbank&amp;log$=prottop&amp;blast_rank=100&amp;RID=92EC6PSH016","WP_279613092.1")</f>
        <v>WP_279613092.1</v>
      </c>
    </row>
    <row r="196" spans="1:5">
      <c r="A196" s="4" t="s">
        <v>1320</v>
      </c>
      <c r="B196" s="9">
        <v>0.98</v>
      </c>
      <c r="C196" s="10">
        <v>2.9999999999999999E-125</v>
      </c>
      <c r="D196" s="5">
        <v>69.23</v>
      </c>
      <c r="E196" s="4" t="str">
        <f>HYPERLINK("https://www.ncbi.nlm.nih.gov/protein/VWM13938.1?report=genbank&amp;log$=prottop&amp;blast_rank=273&amp;RID=92EC6PSH016","VWM13938.1")</f>
        <v>VWM13938.1</v>
      </c>
    </row>
    <row r="197" spans="1:5">
      <c r="A197" s="4" t="s">
        <v>1321</v>
      </c>
      <c r="B197" s="9">
        <v>0.99</v>
      </c>
      <c r="C197" s="10">
        <v>2.0000000000000001E-123</v>
      </c>
      <c r="D197" s="5">
        <v>69.05</v>
      </c>
      <c r="E197" s="4" t="str">
        <f>HYPERLINK("https://www.ncbi.nlm.nih.gov/protein/WP_036016740.1?report=genbank&amp;log$=prottop&amp;blast_rank=350&amp;RID=92EC6PSH016","WP_036016740.1")</f>
        <v>WP_036016740.1</v>
      </c>
    </row>
    <row r="198" spans="1:5">
      <c r="A198" s="4" t="s">
        <v>1296</v>
      </c>
      <c r="B198" s="9">
        <v>0.95</v>
      </c>
      <c r="C198" s="10">
        <v>4.0000000000000001E-127</v>
      </c>
      <c r="D198" s="5">
        <v>68.97</v>
      </c>
      <c r="E198" s="4" t="str">
        <f>HYPERLINK("https://www.ncbi.nlm.nih.gov/protein/SDP19994.1?report=genbank&amp;log$=prottop&amp;blast_rank=191&amp;RID=92EC6PSH016","SDP19994.1")</f>
        <v>SDP19994.1</v>
      </c>
    </row>
    <row r="199" spans="1:5">
      <c r="A199" s="4" t="s">
        <v>999</v>
      </c>
      <c r="B199" s="9">
        <v>0.95</v>
      </c>
      <c r="C199" s="10">
        <v>2E-125</v>
      </c>
      <c r="D199" s="5">
        <v>68.97</v>
      </c>
      <c r="E199" s="4" t="str">
        <f>HYPERLINK("https://www.ncbi.nlm.nih.gov/protein/KTB59142.1?report=genbank&amp;log$=prottop&amp;blast_rank=261&amp;RID=92EC6PSH016","KTB59142.1")</f>
        <v>KTB59142.1</v>
      </c>
    </row>
    <row r="200" spans="1:5">
      <c r="A200" s="4" t="s">
        <v>1322</v>
      </c>
      <c r="B200" s="9">
        <v>0.97</v>
      </c>
      <c r="C200" s="10">
        <v>3.0000000000000002E-126</v>
      </c>
      <c r="D200" s="5">
        <v>68.930000000000007</v>
      </c>
      <c r="E200" s="4" t="str">
        <f>HYPERLINK("https://www.ncbi.nlm.nih.gov/protein/WP_087686638.1?report=genbank&amp;log$=prottop&amp;blast_rank=229&amp;RID=92EC6PSH016","WP_087686638.1")</f>
        <v>WP_087686638.1</v>
      </c>
    </row>
    <row r="201" spans="1:5">
      <c r="A201" s="4" t="s">
        <v>1323</v>
      </c>
      <c r="B201" s="9">
        <v>0.98</v>
      </c>
      <c r="C201" s="10">
        <v>9.9999999999999993E-125</v>
      </c>
      <c r="D201" s="5">
        <v>68.900000000000006</v>
      </c>
      <c r="E201" s="4" t="str">
        <f>HYPERLINK("https://www.ncbi.nlm.nih.gov/protein/WP_134707433.1?report=genbank&amp;log$=prottop&amp;blast_rank=304&amp;RID=92EC6PSH016","WP_134707433.1")</f>
        <v>WP_134707433.1</v>
      </c>
    </row>
    <row r="202" spans="1:5">
      <c r="A202" s="4" t="s">
        <v>1162</v>
      </c>
      <c r="B202" s="9">
        <v>0.95</v>
      </c>
      <c r="C202" s="10">
        <v>9.9999999999999998E-121</v>
      </c>
      <c r="D202" s="5">
        <v>68.81</v>
      </c>
      <c r="E202" s="4" t="str">
        <f>HYPERLINK("https://www.ncbi.nlm.nih.gov/protein/WP_234974793.1?report=genbank&amp;log$=prottop&amp;blast_rank=432&amp;RID=92EC6PSH016","WP_234974793.1")</f>
        <v>WP_234974793.1</v>
      </c>
    </row>
    <row r="203" spans="1:5">
      <c r="A203" s="4" t="s">
        <v>1324</v>
      </c>
      <c r="B203" s="9">
        <v>0.96</v>
      </c>
      <c r="C203" s="10">
        <v>4.9999999999999997E-127</v>
      </c>
      <c r="D203" s="5">
        <v>68.78</v>
      </c>
      <c r="E203" s="4" t="str">
        <f>HYPERLINK("https://www.ncbi.nlm.nih.gov/protein/WP_035695424.1?report=genbank&amp;log$=prottop&amp;blast_rank=195&amp;RID=92EC6PSH016","WP_035695424.1")</f>
        <v>WP_035695424.1</v>
      </c>
    </row>
    <row r="204" spans="1:5">
      <c r="A204" s="4" t="s">
        <v>457</v>
      </c>
      <c r="B204" s="9">
        <v>0.96</v>
      </c>
      <c r="C204" s="10">
        <v>3E-124</v>
      </c>
      <c r="D204" s="5">
        <v>68.78</v>
      </c>
      <c r="E204" s="4" t="str">
        <f>HYPERLINK("https://www.ncbi.nlm.nih.gov/protein/WP_024483231.1?report=genbank&amp;log$=prottop&amp;blast_rank=316&amp;RID=92EC6PSH016","WP_024483231.1")</f>
        <v>WP_024483231.1</v>
      </c>
    </row>
    <row r="205" spans="1:5">
      <c r="A205" s="4" t="s">
        <v>457</v>
      </c>
      <c r="B205" s="9">
        <v>0.96</v>
      </c>
      <c r="C205" s="10">
        <v>2E-125</v>
      </c>
      <c r="D205" s="5">
        <v>68.63</v>
      </c>
      <c r="E205" s="4" t="str">
        <f>HYPERLINK("https://www.ncbi.nlm.nih.gov/protein/WP_261457320.1?report=genbank&amp;log$=prottop&amp;blast_rank=263&amp;RID=92EC6PSH016","WP_261457320.1")</f>
        <v>WP_261457320.1</v>
      </c>
    </row>
    <row r="206" spans="1:5">
      <c r="A206" s="4" t="s">
        <v>1187</v>
      </c>
      <c r="B206" s="9">
        <v>0.96</v>
      </c>
      <c r="C206" s="10">
        <v>5.0000000000000003E-124</v>
      </c>
      <c r="D206" s="5">
        <v>68.63</v>
      </c>
      <c r="E206" s="4" t="str">
        <f>HYPERLINK("https://www.ncbi.nlm.nih.gov/protein/WP_324865479.1?report=genbank&amp;log$=prottop&amp;blast_rank=323&amp;RID=92EC6PSH016","WP_324865479.1")</f>
        <v>WP_324865479.1</v>
      </c>
    </row>
    <row r="207" spans="1:5">
      <c r="A207" s="4" t="s">
        <v>1325</v>
      </c>
      <c r="B207" s="9">
        <v>0.95</v>
      </c>
      <c r="C207" s="10">
        <v>5.0000000000000001E-128</v>
      </c>
      <c r="D207" s="5">
        <v>68.47</v>
      </c>
      <c r="E207" s="4" t="str">
        <f>HYPERLINK("https://www.ncbi.nlm.nih.gov/protein/WP_340056489.1?report=genbank&amp;log$=prottop&amp;blast_rank=151&amp;RID=92EC6PSH016","WP_340056489.1")</f>
        <v>WP_340056489.1</v>
      </c>
    </row>
    <row r="208" spans="1:5">
      <c r="A208" s="4" t="s">
        <v>250</v>
      </c>
      <c r="B208" s="9">
        <v>0.95</v>
      </c>
      <c r="C208" s="10">
        <v>2E-125</v>
      </c>
      <c r="D208" s="5">
        <v>68.47</v>
      </c>
      <c r="E208" s="4" t="str">
        <f>HYPERLINK("https://www.ncbi.nlm.nih.gov/protein/WP_339474405.1?report=genbank&amp;log$=prottop&amp;blast_rank=264&amp;RID=92EC6PSH016","WP_339474405.1")</f>
        <v>WP_339474405.1</v>
      </c>
    </row>
    <row r="209" spans="1:5">
      <c r="A209" s="4" t="s">
        <v>1326</v>
      </c>
      <c r="B209" s="9">
        <v>0.95</v>
      </c>
      <c r="C209" s="10">
        <v>4.9999999999999997E-125</v>
      </c>
      <c r="D209" s="5">
        <v>68.47</v>
      </c>
      <c r="E209" s="4" t="str">
        <f>HYPERLINK("https://www.ncbi.nlm.nih.gov/protein/QEU26622.1?report=genbank&amp;log$=prottop&amp;blast_rank=281&amp;RID=92EC6PSH016","QEU26622.1")</f>
        <v>QEU26622.1</v>
      </c>
    </row>
    <row r="210" spans="1:5">
      <c r="A210" s="4" t="s">
        <v>1326</v>
      </c>
      <c r="B210" s="9">
        <v>0.95</v>
      </c>
      <c r="C210" s="10">
        <v>1.9999999999999999E-124</v>
      </c>
      <c r="D210" s="5">
        <v>68.47</v>
      </c>
      <c r="E210" s="4" t="str">
        <f>HYPERLINK("https://www.ncbi.nlm.nih.gov/protein/WP_167517154.1?report=genbank&amp;log$=prottop&amp;blast_rank=309&amp;RID=92EC6PSH016","WP_167517154.1")</f>
        <v>WP_167517154.1</v>
      </c>
    </row>
    <row r="211" spans="1:5">
      <c r="A211" s="4" t="s">
        <v>1327</v>
      </c>
      <c r="B211" s="9">
        <v>0.97</v>
      </c>
      <c r="C211" s="10">
        <v>5.9999999999999996E-129</v>
      </c>
      <c r="D211" s="5">
        <v>68.45</v>
      </c>
      <c r="E211" s="4" t="str">
        <f>HYPERLINK("https://www.ncbi.nlm.nih.gov/protein/WP_007787654.1?report=genbank&amp;log$=prottop&amp;blast_rank=126&amp;RID=92EC6PSH016","WP_007787654.1")</f>
        <v>WP_007787654.1</v>
      </c>
    </row>
    <row r="212" spans="1:5">
      <c r="A212" s="4" t="s">
        <v>457</v>
      </c>
      <c r="B212" s="9">
        <v>0.96</v>
      </c>
      <c r="C212" s="10">
        <v>5.9999999999999998E-125</v>
      </c>
      <c r="D212" s="5">
        <v>68.290000000000006</v>
      </c>
      <c r="E212" s="4" t="str">
        <f>HYPERLINK("https://www.ncbi.nlm.nih.gov/protein/WP_141131855.1?report=genbank&amp;log$=prottop&amp;blast_rank=285&amp;RID=92EC6PSH016","WP_141131855.1")</f>
        <v>WP_141131855.1</v>
      </c>
    </row>
    <row r="213" spans="1:5">
      <c r="A213" s="4" t="s">
        <v>457</v>
      </c>
      <c r="B213" s="9">
        <v>0.96</v>
      </c>
      <c r="C213" s="10">
        <v>9.9999999999999993E-125</v>
      </c>
      <c r="D213" s="5">
        <v>68.290000000000006</v>
      </c>
      <c r="E213" s="4" t="str">
        <f>HYPERLINK("https://www.ncbi.nlm.nih.gov/protein/WP_309047854.1?report=genbank&amp;log$=prottop&amp;blast_rank=303&amp;RID=92EC6PSH016","WP_309047854.1")</f>
        <v>WP_309047854.1</v>
      </c>
    </row>
    <row r="214" spans="1:5">
      <c r="A214" s="4" t="s">
        <v>457</v>
      </c>
      <c r="B214" s="9">
        <v>0.96</v>
      </c>
      <c r="C214" s="10">
        <v>3E-124</v>
      </c>
      <c r="D214" s="5">
        <v>68.290000000000006</v>
      </c>
      <c r="E214" s="4" t="str">
        <f>HYPERLINK("https://www.ncbi.nlm.nih.gov/protein/WP_174333222.1?report=genbank&amp;log$=prottop&amp;blast_rank=312&amp;RID=92EC6PSH016","WP_174333222.1")</f>
        <v>WP_174333222.1</v>
      </c>
    </row>
    <row r="215" spans="1:5">
      <c r="A215" s="4" t="s">
        <v>457</v>
      </c>
      <c r="B215" s="9">
        <v>0.96</v>
      </c>
      <c r="C215" s="10">
        <v>3.9999999999999997E-124</v>
      </c>
      <c r="D215" s="5">
        <v>68.290000000000006</v>
      </c>
      <c r="E215" s="4" t="str">
        <f>HYPERLINK("https://www.ncbi.nlm.nih.gov/protein/WP_261467307.1?report=genbank&amp;log$=prottop&amp;blast_rank=321&amp;RID=92EC6PSH016","WP_261467307.1")</f>
        <v>WP_261467307.1</v>
      </c>
    </row>
    <row r="216" spans="1:5">
      <c r="A216" s="4" t="s">
        <v>1328</v>
      </c>
      <c r="B216" s="9">
        <v>0.98</v>
      </c>
      <c r="C216" s="10">
        <v>1E-125</v>
      </c>
      <c r="D216" s="5">
        <v>68.27</v>
      </c>
      <c r="E216" s="4" t="str">
        <f>HYPERLINK("https://www.ncbi.nlm.nih.gov/protein/WP_341383015.1?report=genbank&amp;log$=prottop&amp;blast_rank=255&amp;RID=92EC6PSH016","WP_341383015.1")</f>
        <v>WP_341383015.1</v>
      </c>
    </row>
    <row r="217" spans="1:5">
      <c r="A217" s="4" t="s">
        <v>1329</v>
      </c>
      <c r="B217" s="9">
        <v>0.97</v>
      </c>
      <c r="C217" s="10">
        <v>2E-119</v>
      </c>
      <c r="D217" s="5">
        <v>68.27</v>
      </c>
      <c r="E217" s="4" t="str">
        <f>HYPERLINK("https://www.ncbi.nlm.nih.gov/protein/WP_281613408.1?report=genbank&amp;log$=prottop&amp;blast_rank=450&amp;RID=92EC6PSH016","WP_281613408.1")</f>
        <v>WP_281613408.1</v>
      </c>
    </row>
    <row r="218" spans="1:5">
      <c r="A218" s="4" t="s">
        <v>902</v>
      </c>
      <c r="B218" s="9">
        <v>0.99</v>
      </c>
      <c r="C218" s="10">
        <v>9.9999999999999995E-127</v>
      </c>
      <c r="D218" s="5">
        <v>68.25</v>
      </c>
      <c r="E218" s="4" t="str">
        <f>HYPERLINK("https://www.ncbi.nlm.nih.gov/protein/WP_069341513.1?report=genbank&amp;log$=prottop&amp;blast_rank=217&amp;RID=92EC6PSH016","WP_069341513.1")</f>
        <v>WP_069341513.1</v>
      </c>
    </row>
    <row r="219" spans="1:5">
      <c r="A219" s="4" t="s">
        <v>1330</v>
      </c>
      <c r="B219" s="9">
        <v>0.94</v>
      </c>
      <c r="C219" s="10">
        <v>2.0000000000000001E-123</v>
      </c>
      <c r="D219" s="5">
        <v>68.16</v>
      </c>
      <c r="E219" s="4" t="str">
        <f>HYPERLINK("https://www.ncbi.nlm.nih.gov/protein/WP_267848333.1?report=genbank&amp;log$=prottop&amp;blast_rank=347&amp;RID=92EC6PSH016","WP_267848333.1")</f>
        <v>WP_267848333.1</v>
      </c>
    </row>
    <row r="220" spans="1:5">
      <c r="A220" s="4" t="s">
        <v>1331</v>
      </c>
      <c r="B220" s="9">
        <v>0.96</v>
      </c>
      <c r="C220" s="10">
        <v>2.9999999999999998E-123</v>
      </c>
      <c r="D220" s="5">
        <v>68.14</v>
      </c>
      <c r="E220" s="4" t="str">
        <f>HYPERLINK("https://www.ncbi.nlm.nih.gov/protein/WP_174471673.1?report=genbank&amp;log$=prottop&amp;blast_rank=356&amp;RID=92EC6PSH016","WP_174471673.1")</f>
        <v>WP_174471673.1</v>
      </c>
    </row>
    <row r="221" spans="1:5">
      <c r="A221" s="4" t="s">
        <v>1332</v>
      </c>
      <c r="B221" s="9">
        <v>0.97</v>
      </c>
      <c r="C221" s="10">
        <v>2E-119</v>
      </c>
      <c r="D221" s="5">
        <v>68.12</v>
      </c>
      <c r="E221" s="4" t="str">
        <f>HYPERLINK("https://www.ncbi.nlm.nih.gov/protein/HHB95130.1?report=genbank&amp;log$=prottop&amp;blast_rank=458&amp;RID=92EC6PSH016","HHB95130.1")</f>
        <v>HHB95130.1</v>
      </c>
    </row>
    <row r="222" spans="1:5">
      <c r="A222" s="4" t="s">
        <v>1333</v>
      </c>
      <c r="B222" s="9">
        <v>0.98</v>
      </c>
      <c r="C222" s="10">
        <v>9.9999999999999999E-132</v>
      </c>
      <c r="D222" s="5">
        <v>68.099999999999994</v>
      </c>
      <c r="E222" s="4" t="str">
        <f>HYPERLINK("https://www.ncbi.nlm.nih.gov/protein/WP_310769576.1?report=genbank&amp;log$=prottop&amp;blast_rank=80&amp;RID=92EC6PSH016","WP_310769576.1")</f>
        <v>WP_310769576.1</v>
      </c>
    </row>
    <row r="223" spans="1:5">
      <c r="A223" s="4" t="s">
        <v>1082</v>
      </c>
      <c r="B223" s="9">
        <v>0.95</v>
      </c>
      <c r="C223" s="10">
        <v>1E-127</v>
      </c>
      <c r="D223" s="5">
        <v>67.98</v>
      </c>
      <c r="E223" s="4" t="str">
        <f>HYPERLINK("https://www.ncbi.nlm.nih.gov/protein/AVB12515.1?report=genbank&amp;log$=prottop&amp;blast_rank=161&amp;RID=92EC6PSH016","AVB12515.1")</f>
        <v>AVB12515.1</v>
      </c>
    </row>
    <row r="224" spans="1:5">
      <c r="A224" s="4" t="s">
        <v>1082</v>
      </c>
      <c r="B224" s="9">
        <v>0.95</v>
      </c>
      <c r="C224" s="10">
        <v>2.0000000000000001E-127</v>
      </c>
      <c r="D224" s="5">
        <v>67.98</v>
      </c>
      <c r="E224" s="4" t="str">
        <f>HYPERLINK("https://www.ncbi.nlm.nih.gov/protein/PPS23903.1?report=genbank&amp;log$=prottop&amp;blast_rank=172&amp;RID=92EC6PSH016","PPS23903.1")</f>
        <v>PPS23903.1</v>
      </c>
    </row>
    <row r="225" spans="1:5">
      <c r="A225" s="4" t="s">
        <v>1334</v>
      </c>
      <c r="B225" s="9">
        <v>0.95</v>
      </c>
      <c r="C225" s="10">
        <v>4.0000000000000001E-127</v>
      </c>
      <c r="D225" s="5">
        <v>67.98</v>
      </c>
      <c r="E225" s="4" t="str">
        <f>HYPERLINK("https://www.ncbi.nlm.nih.gov/protein/AAY35187.1?report=genbank&amp;log$=prottop&amp;blast_rank=187&amp;RID=92EC6PSH016","AAY35187.1")</f>
        <v>AAY35187.1</v>
      </c>
    </row>
    <row r="226" spans="1:5">
      <c r="A226" s="4" t="s">
        <v>1081</v>
      </c>
      <c r="B226" s="9">
        <v>0.95</v>
      </c>
      <c r="C226" s="10">
        <v>1E-125</v>
      </c>
      <c r="D226" s="5">
        <v>67.98</v>
      </c>
      <c r="E226" s="4" t="str">
        <f>HYPERLINK("https://www.ncbi.nlm.nih.gov/protein/WP_032607324.1?report=genbank&amp;log$=prottop&amp;blast_rank=257&amp;RID=92EC6PSH016","WP_032607324.1")</f>
        <v>WP_032607324.1</v>
      </c>
    </row>
    <row r="227" spans="1:5">
      <c r="A227" s="4" t="s">
        <v>1335</v>
      </c>
      <c r="B227" s="9">
        <v>0.95</v>
      </c>
      <c r="C227" s="10">
        <v>2.9999999999999999E-125</v>
      </c>
      <c r="D227" s="5">
        <v>67.98</v>
      </c>
      <c r="E227" s="4" t="str">
        <f>HYPERLINK("https://www.ncbi.nlm.nih.gov/protein/ALE00714.1?report=genbank&amp;log$=prottop&amp;blast_rank=275&amp;RID=92EC6PSH016","ALE00714.1")</f>
        <v>ALE00714.1</v>
      </c>
    </row>
    <row r="228" spans="1:5">
      <c r="A228" s="4" t="s">
        <v>1040</v>
      </c>
      <c r="B228" s="9">
        <v>0.95</v>
      </c>
      <c r="C228" s="10">
        <v>6E-124</v>
      </c>
      <c r="D228" s="5">
        <v>67.98</v>
      </c>
      <c r="E228" s="4" t="str">
        <f>HYPERLINK("https://www.ncbi.nlm.nih.gov/protein/WP_263964722.1?report=genbank&amp;log$=prottop&amp;blast_rank=328&amp;RID=92EC6PSH016","WP_263964722.1")</f>
        <v>WP_263964722.1</v>
      </c>
    </row>
    <row r="229" spans="1:5">
      <c r="A229" s="4" t="s">
        <v>1336</v>
      </c>
      <c r="B229" s="9">
        <v>0.97</v>
      </c>
      <c r="C229" s="10">
        <v>7.9999999999999996E-126</v>
      </c>
      <c r="D229" s="5">
        <v>67.959999999999994</v>
      </c>
      <c r="E229" s="4" t="str">
        <f>HYPERLINK("https://www.ncbi.nlm.nih.gov/protein/WP_236170082.1?report=genbank&amp;log$=prottop&amp;blast_rank=249&amp;RID=92EC6PSH016","WP_236170082.1")</f>
        <v>WP_236170082.1</v>
      </c>
    </row>
    <row r="230" spans="1:5">
      <c r="A230" s="4" t="s">
        <v>1337</v>
      </c>
      <c r="B230" s="9">
        <v>0.97</v>
      </c>
      <c r="C230" s="10">
        <v>1.9999999999999999E-124</v>
      </c>
      <c r="D230" s="5">
        <v>67.959999999999994</v>
      </c>
      <c r="E230" s="4" t="str">
        <f>HYPERLINK("https://www.ncbi.nlm.nih.gov/protein/WP_012972301.1?report=genbank&amp;log$=prottop&amp;blast_rank=311&amp;RID=92EC6PSH016","WP_012972301.1")</f>
        <v>WP_012972301.1</v>
      </c>
    </row>
    <row r="231" spans="1:5">
      <c r="A231" s="4" t="s">
        <v>1338</v>
      </c>
      <c r="B231" s="9">
        <v>1</v>
      </c>
      <c r="C231" s="10">
        <v>5.0000000000000001E-126</v>
      </c>
      <c r="D231" s="5">
        <v>67.92</v>
      </c>
      <c r="E231" s="4" t="str">
        <f>HYPERLINK("https://www.ncbi.nlm.nih.gov/protein/ADU38102.1?report=genbank&amp;log$=prottop&amp;blast_rank=236&amp;RID=92EC6PSH016","ADU38102.1")</f>
        <v>ADU38102.1</v>
      </c>
    </row>
    <row r="232" spans="1:5">
      <c r="A232" s="4" t="s">
        <v>1339</v>
      </c>
      <c r="B232" s="9">
        <v>0.96</v>
      </c>
      <c r="C232" s="10">
        <v>1E-125</v>
      </c>
      <c r="D232" s="5">
        <v>67.8</v>
      </c>
      <c r="E232" s="4" t="str">
        <f>HYPERLINK("https://www.ncbi.nlm.nih.gov/protein/WP_024912833.1?report=genbank&amp;log$=prottop&amp;blast_rank=259&amp;RID=92EC6PSH016","WP_024912833.1")</f>
        <v>WP_024912833.1</v>
      </c>
    </row>
    <row r="233" spans="1:5">
      <c r="A233" s="4" t="s">
        <v>457</v>
      </c>
      <c r="B233" s="9">
        <v>0.96</v>
      </c>
      <c r="C233" s="10">
        <v>2.0000000000000001E-123</v>
      </c>
      <c r="D233" s="5">
        <v>67.8</v>
      </c>
      <c r="E233" s="4" t="str">
        <f>HYPERLINK("https://www.ncbi.nlm.nih.gov/protein/WP_261282416.1?report=genbank&amp;log$=prottop&amp;blast_rank=353&amp;RID=92EC6PSH016","WP_261282416.1")</f>
        <v>WP_261282416.1</v>
      </c>
    </row>
    <row r="234" spans="1:5">
      <c r="A234" s="4" t="s">
        <v>1340</v>
      </c>
      <c r="B234" s="9">
        <v>0.94</v>
      </c>
      <c r="C234" s="10">
        <v>2E-125</v>
      </c>
      <c r="D234" s="5">
        <v>67.66</v>
      </c>
      <c r="E234" s="4" t="str">
        <f>HYPERLINK("https://www.ncbi.nlm.nih.gov/protein/WP_313369385.1?report=genbank&amp;log$=prottop&amp;blast_rank=265&amp;RID=92EC6PSH016","WP_313369385.1")</f>
        <v>WP_313369385.1</v>
      </c>
    </row>
    <row r="235" spans="1:5">
      <c r="A235" s="4" t="s">
        <v>392</v>
      </c>
      <c r="B235" s="9">
        <v>0.94</v>
      </c>
      <c r="C235" s="10">
        <v>8.9999999999999999E-123</v>
      </c>
      <c r="D235" s="5">
        <v>67.66</v>
      </c>
      <c r="E235" s="4" t="str">
        <f>HYPERLINK("https://www.ncbi.nlm.nih.gov/protein/WP_241047939.1?report=genbank&amp;log$=prottop&amp;blast_rank=381&amp;RID=92EC6PSH016","WP_241047939.1")</f>
        <v>WP_241047939.1</v>
      </c>
    </row>
    <row r="236" spans="1:5">
      <c r="A236" s="4" t="s">
        <v>1080</v>
      </c>
      <c r="B236" s="9">
        <v>0.96</v>
      </c>
      <c r="C236" s="10">
        <v>1.0000000000000001E-123</v>
      </c>
      <c r="D236" s="5">
        <v>67.650000000000006</v>
      </c>
      <c r="E236" s="4" t="str">
        <f>HYPERLINK("https://www.ncbi.nlm.nih.gov/protein/WP_122221384.1?report=genbank&amp;log$=prottop&amp;blast_rank=342&amp;RID=92EC6PSH016","WP_122221384.1")</f>
        <v>WP_122221384.1</v>
      </c>
    </row>
    <row r="237" spans="1:5">
      <c r="A237" s="4" t="s">
        <v>1341</v>
      </c>
      <c r="B237" s="9">
        <v>0.99</v>
      </c>
      <c r="C237" s="10">
        <v>1.9999999999999999E-126</v>
      </c>
      <c r="D237" s="5">
        <v>67.62</v>
      </c>
      <c r="E237" s="4" t="str">
        <f>HYPERLINK("https://www.ncbi.nlm.nih.gov/protein/WP_342311495.1?report=genbank&amp;log$=prottop&amp;blast_rank=224&amp;RID=92EC6PSH016","WP_342311495.1")</f>
        <v>WP_342311495.1</v>
      </c>
    </row>
    <row r="238" spans="1:5">
      <c r="A238" s="4" t="s">
        <v>279</v>
      </c>
      <c r="B238" s="9">
        <v>0.95</v>
      </c>
      <c r="C238" s="10">
        <v>2.9999999999999999E-125</v>
      </c>
      <c r="D238" s="5">
        <v>67.489999999999995</v>
      </c>
      <c r="E238" s="4" t="str">
        <f>HYPERLINK("https://www.ncbi.nlm.nih.gov/protein/MCF5382760.1?report=genbank&amp;log$=prottop&amp;blast_rank=272&amp;RID=92EC6PSH016","MCF5382760.1")</f>
        <v>MCF5382760.1</v>
      </c>
    </row>
    <row r="239" spans="1:5">
      <c r="A239" s="4" t="s">
        <v>279</v>
      </c>
      <c r="B239" s="9">
        <v>0.95</v>
      </c>
      <c r="C239" s="10">
        <v>1.0000000000000001E-123</v>
      </c>
      <c r="D239" s="5">
        <v>67.489999999999995</v>
      </c>
      <c r="E239" s="4" t="str">
        <f>HYPERLINK("https://www.ncbi.nlm.nih.gov/protein/WP_236473956.1?report=genbank&amp;log$=prottop&amp;blast_rank=340&amp;RID=92EC6PSH016","WP_236473956.1")</f>
        <v>WP_236473956.1</v>
      </c>
    </row>
    <row r="240" spans="1:5">
      <c r="A240" s="4" t="s">
        <v>1077</v>
      </c>
      <c r="B240" s="9">
        <v>0.98</v>
      </c>
      <c r="C240" s="10">
        <v>1E-127</v>
      </c>
      <c r="D240" s="5">
        <v>67.459999999999994</v>
      </c>
      <c r="E240" s="4" t="str">
        <f>HYPERLINK("https://www.ncbi.nlm.nih.gov/protein/WP_122584929.1?report=genbank&amp;log$=prottop&amp;blast_rank=164&amp;RID=92EC6PSH016","WP_122584929.1")</f>
        <v>WP_122584929.1</v>
      </c>
    </row>
    <row r="241" spans="1:5">
      <c r="A241" s="4" t="s">
        <v>322</v>
      </c>
      <c r="B241" s="9">
        <v>0.98</v>
      </c>
      <c r="C241" s="10">
        <v>2.0000000000000001E-127</v>
      </c>
      <c r="D241" s="5">
        <v>67.459999999999994</v>
      </c>
      <c r="E241" s="4" t="str">
        <f>HYPERLINK("https://www.ncbi.nlm.nih.gov/protein/MEE4636441.1?report=genbank&amp;log$=prottop&amp;blast_rank=170&amp;RID=92EC6PSH016","MEE4636441.1")</f>
        <v>MEE4636441.1</v>
      </c>
    </row>
    <row r="242" spans="1:5">
      <c r="A242" s="4" t="s">
        <v>1077</v>
      </c>
      <c r="B242" s="9">
        <v>0.98</v>
      </c>
      <c r="C242" s="10">
        <v>9.9999999999999995E-127</v>
      </c>
      <c r="D242" s="5">
        <v>67.459999999999994</v>
      </c>
      <c r="E242" s="4" t="str">
        <f>HYPERLINK("https://www.ncbi.nlm.nih.gov/protein/WP_122739503.1?report=genbank&amp;log$=prottop&amp;blast_rank=219&amp;RID=92EC6PSH016","WP_122739503.1")</f>
        <v>WP_122739503.1</v>
      </c>
    </row>
    <row r="243" spans="1:5">
      <c r="A243" s="4" t="s">
        <v>1342</v>
      </c>
      <c r="B243" s="9">
        <v>0.98</v>
      </c>
      <c r="C243" s="10">
        <v>2.9999999999999998E-123</v>
      </c>
      <c r="D243" s="5">
        <v>67.459999999999994</v>
      </c>
      <c r="E243" s="4" t="str">
        <f>HYPERLINK("https://www.ncbi.nlm.nih.gov/protein/WP_169666542.1?report=genbank&amp;log$=prottop&amp;blast_rank=363&amp;RID=92EC6PSH016","WP_169666542.1")</f>
        <v>WP_169666542.1</v>
      </c>
    </row>
    <row r="244" spans="1:5">
      <c r="A244" s="4" t="s">
        <v>1343</v>
      </c>
      <c r="B244" s="9">
        <v>0.96</v>
      </c>
      <c r="C244" s="10">
        <v>9.9999999999999995E-127</v>
      </c>
      <c r="D244" s="5">
        <v>67.319999999999993</v>
      </c>
      <c r="E244" s="4" t="str">
        <f>HYPERLINK("https://www.ncbi.nlm.nih.gov/protein/WP_212563188.1?report=genbank&amp;log$=prottop&amp;blast_rank=214&amp;RID=92EC6PSH016","WP_212563188.1")</f>
        <v>WP_212563188.1</v>
      </c>
    </row>
    <row r="245" spans="1:5">
      <c r="A245" s="4" t="s">
        <v>457</v>
      </c>
      <c r="B245" s="9">
        <v>0.96</v>
      </c>
      <c r="C245" s="10">
        <v>6E-124</v>
      </c>
      <c r="D245" s="5">
        <v>67.319999999999993</v>
      </c>
      <c r="E245" s="4" t="str">
        <f>HYPERLINK("https://www.ncbi.nlm.nih.gov/protein/WP_186578989.1?report=genbank&amp;log$=prottop&amp;blast_rank=327&amp;RID=92EC6PSH016","WP_186578989.1")</f>
        <v>WP_186578989.1</v>
      </c>
    </row>
    <row r="246" spans="1:5">
      <c r="A246" s="4" t="s">
        <v>1344</v>
      </c>
      <c r="B246" s="9">
        <v>0.96</v>
      </c>
      <c r="C246" s="10">
        <v>9.0000000000000007E-121</v>
      </c>
      <c r="D246" s="5">
        <v>67.319999999999993</v>
      </c>
      <c r="E246" s="4" t="str">
        <f>HYPERLINK("https://www.ncbi.nlm.nih.gov/protein/MEA2050679.1?report=genbank&amp;log$=prottop&amp;blast_rank=430&amp;RID=92EC6PSH016","MEA2050679.1")</f>
        <v>MEA2050679.1</v>
      </c>
    </row>
    <row r="247" spans="1:5">
      <c r="A247" s="4" t="s">
        <v>1345</v>
      </c>
      <c r="B247" s="9">
        <v>0.98</v>
      </c>
      <c r="C247" s="10">
        <v>4.0000000000000002E-123</v>
      </c>
      <c r="D247" s="5">
        <v>67.31</v>
      </c>
      <c r="E247" s="4" t="str">
        <f>HYPERLINK("https://www.ncbi.nlm.nih.gov/protein/HKT63591.1?report=genbank&amp;log$=prottop&amp;blast_rank=364&amp;RID=92EC6PSH016","HKT63591.1")</f>
        <v>HKT63591.1</v>
      </c>
    </row>
    <row r="248" spans="1:5">
      <c r="A248" s="4" t="s">
        <v>283</v>
      </c>
      <c r="B248" s="9">
        <v>0.93</v>
      </c>
      <c r="C248" s="10">
        <v>8.9999999999999992E-124</v>
      </c>
      <c r="D248" s="5">
        <v>67.17</v>
      </c>
      <c r="E248" s="4" t="str">
        <f>HYPERLINK("https://www.ncbi.nlm.nih.gov/protein/MBC6658123.1?report=genbank&amp;log$=prottop&amp;blast_rank=337&amp;RID=92EC6PSH016","MBC6658123.1")</f>
        <v>MBC6658123.1</v>
      </c>
    </row>
    <row r="249" spans="1:5">
      <c r="A249" s="4" t="s">
        <v>1346</v>
      </c>
      <c r="B249" s="9">
        <v>0.96</v>
      </c>
      <c r="C249" s="10">
        <v>2.0000000000000001E-123</v>
      </c>
      <c r="D249" s="5">
        <v>67.16</v>
      </c>
      <c r="E249" s="4" t="str">
        <f>HYPERLINK("https://www.ncbi.nlm.nih.gov/protein/WP_120367117.1?report=genbank&amp;log$=prottop&amp;blast_rank=348&amp;RID=92EC6PSH016","WP_120367117.1")</f>
        <v>WP_120367117.1</v>
      </c>
    </row>
    <row r="250" spans="1:5">
      <c r="A250" s="4" t="s">
        <v>392</v>
      </c>
      <c r="B250" s="9">
        <v>0.94</v>
      </c>
      <c r="C250" s="10">
        <v>5.9999999999999997E-123</v>
      </c>
      <c r="D250" s="5">
        <v>67.16</v>
      </c>
      <c r="E250" s="4" t="str">
        <f>HYPERLINK("https://www.ncbi.nlm.nih.gov/protein/WYX11072.1?report=genbank&amp;log$=prottop&amp;blast_rank=372&amp;RID=92EC6PSH016","WYX11072.1")</f>
        <v>WYX11072.1</v>
      </c>
    </row>
    <row r="251" spans="1:5">
      <c r="A251" s="4" t="s">
        <v>1347</v>
      </c>
      <c r="B251" s="9">
        <v>0.96</v>
      </c>
      <c r="C251" s="10">
        <v>5.9999999999999997E-123</v>
      </c>
      <c r="D251" s="5">
        <v>67.16</v>
      </c>
      <c r="E251" s="4" t="str">
        <f>HYPERLINK("https://www.ncbi.nlm.nih.gov/protein/WP_233169663.1?report=genbank&amp;log$=prottop&amp;blast_rank=375&amp;RID=92EC6PSH016","WP_233169663.1")</f>
        <v>WP_233169663.1</v>
      </c>
    </row>
    <row r="252" spans="1:5">
      <c r="A252" s="4" t="s">
        <v>392</v>
      </c>
      <c r="B252" s="9">
        <v>0.94</v>
      </c>
      <c r="C252" s="10">
        <v>2.0000000000000001E-122</v>
      </c>
      <c r="D252" s="5">
        <v>67.16</v>
      </c>
      <c r="E252" s="4" t="str">
        <f>HYPERLINK("https://www.ncbi.nlm.nih.gov/protein/WP_053499217.1?report=genbank&amp;log$=prottop&amp;blast_rank=399&amp;RID=92EC6PSH016","WP_053499217.1")</f>
        <v>WP_053499217.1</v>
      </c>
    </row>
    <row r="253" spans="1:5">
      <c r="A253" s="4" t="s">
        <v>1018</v>
      </c>
      <c r="B253" s="9">
        <v>0.95</v>
      </c>
      <c r="C253" s="10">
        <v>5.0000000000000003E-123</v>
      </c>
      <c r="D253" s="5">
        <v>67</v>
      </c>
      <c r="E253" s="4" t="str">
        <f>HYPERLINK("https://www.ncbi.nlm.nih.gov/protein/WP_088523119.1?report=genbank&amp;log$=prottop&amp;blast_rank=368&amp;RID=92EC6PSH016","WP_088523119.1")</f>
        <v>WP_088523119.1</v>
      </c>
    </row>
    <row r="254" spans="1:5">
      <c r="A254" s="4" t="s">
        <v>1047</v>
      </c>
      <c r="B254" s="9">
        <v>0.95</v>
      </c>
      <c r="C254" s="10">
        <v>5.9999999999999997E-123</v>
      </c>
      <c r="D254" s="5">
        <v>67</v>
      </c>
      <c r="E254" s="4" t="str">
        <f>HYPERLINK("https://www.ncbi.nlm.nih.gov/protein/WP_078189758.1?report=genbank&amp;log$=prottop&amp;blast_rank=374&amp;RID=92EC6PSH016","WP_078189758.1")</f>
        <v>WP_078189758.1</v>
      </c>
    </row>
    <row r="255" spans="1:5">
      <c r="A255" s="4" t="s">
        <v>1348</v>
      </c>
      <c r="B255" s="9">
        <v>0.98</v>
      </c>
      <c r="C255" s="10">
        <v>4.0000000000000002E-123</v>
      </c>
      <c r="D255" s="5">
        <v>66.989999999999995</v>
      </c>
      <c r="E255" s="4" t="str">
        <f>HYPERLINK("https://www.ncbi.nlm.nih.gov/protein/WP_066210105.1?report=genbank&amp;log$=prottop&amp;blast_rank=365&amp;RID=92EC6PSH016","WP_066210105.1")</f>
        <v>WP_066210105.1</v>
      </c>
    </row>
    <row r="256" spans="1:5">
      <c r="A256" s="4" t="s">
        <v>1349</v>
      </c>
      <c r="B256" s="9">
        <v>0.98</v>
      </c>
      <c r="C256" s="10">
        <v>4.0000000000000003E-133</v>
      </c>
      <c r="D256" s="5">
        <v>66.83</v>
      </c>
      <c r="E256" s="4" t="str">
        <f>HYPERLINK("https://www.ncbi.nlm.nih.gov/protein/WP_249507198.1?report=genbank&amp;log$=prottop&amp;blast_rank=68&amp;RID=92EC6PSH016","WP_249507198.1")</f>
        <v>WP_249507198.1</v>
      </c>
    </row>
    <row r="257" spans="1:5">
      <c r="A257" s="4" t="s">
        <v>1350</v>
      </c>
      <c r="B257" s="9">
        <v>0.96</v>
      </c>
      <c r="C257" s="10">
        <v>1.9999999999999999E-126</v>
      </c>
      <c r="D257" s="5">
        <v>66.83</v>
      </c>
      <c r="E257" s="4" t="str">
        <f>HYPERLINK("https://www.ncbi.nlm.nih.gov/protein/VXC43020.1?report=genbank&amp;log$=prottop&amp;blast_rank=220&amp;RID=92EC6PSH016","VXC43020.1")</f>
        <v>VXC43020.1</v>
      </c>
    </row>
    <row r="258" spans="1:5">
      <c r="A258" s="4" t="s">
        <v>1351</v>
      </c>
      <c r="B258" s="9">
        <v>0.98</v>
      </c>
      <c r="C258" s="10">
        <v>1E-117</v>
      </c>
      <c r="D258" s="5">
        <v>66.83</v>
      </c>
      <c r="E258" s="4" t="str">
        <f>HYPERLINK("https://www.ncbi.nlm.nih.gov/protein/WP_198856245.1?report=genbank&amp;log$=prottop&amp;blast_rank=485&amp;RID=92EC6PSH016","WP_198856245.1")</f>
        <v>WP_198856245.1</v>
      </c>
    </row>
    <row r="259" spans="1:5">
      <c r="A259" s="4" t="s">
        <v>1077</v>
      </c>
      <c r="B259" s="9">
        <v>0.99</v>
      </c>
      <c r="C259" s="10">
        <v>6.0000000000000002E-127</v>
      </c>
      <c r="D259" s="5">
        <v>66.819999999999993</v>
      </c>
      <c r="E259" s="4" t="str">
        <f>HYPERLINK("https://www.ncbi.nlm.nih.gov/protein/WP_122455761.1?report=genbank&amp;log$=prottop&amp;blast_rank=204&amp;RID=92EC6PSH016","WP_122455761.1")</f>
        <v>WP_122455761.1</v>
      </c>
    </row>
    <row r="260" spans="1:5">
      <c r="A260" s="4" t="s">
        <v>283</v>
      </c>
      <c r="B260" s="9">
        <v>0.94</v>
      </c>
      <c r="C260" s="10">
        <v>9.9999999999999995E-127</v>
      </c>
      <c r="D260" s="5">
        <v>66.67</v>
      </c>
      <c r="E260" s="4" t="str">
        <f>HYPERLINK("https://www.ncbi.nlm.nih.gov/protein/WP_222839882.1?report=genbank&amp;log$=prottop&amp;blast_rank=218&amp;RID=92EC6PSH016","WP_222839882.1")</f>
        <v>WP_222839882.1</v>
      </c>
    </row>
    <row r="261" spans="1:5">
      <c r="A261" s="4" t="s">
        <v>1352</v>
      </c>
      <c r="B261" s="9">
        <v>0.94</v>
      </c>
      <c r="C261" s="10">
        <v>2.0000000000000001E-123</v>
      </c>
      <c r="D261" s="5">
        <v>66.67</v>
      </c>
      <c r="E261" s="4" t="str">
        <f>HYPERLINK("https://www.ncbi.nlm.nih.gov/protein/TYS69951.1?report=genbank&amp;log$=prottop&amp;blast_rank=352&amp;RID=92EC6PSH016","TYS69951.1")</f>
        <v>TYS69951.1</v>
      </c>
    </row>
    <row r="262" spans="1:5">
      <c r="A262" s="4" t="s">
        <v>1353</v>
      </c>
      <c r="B262" s="9">
        <v>0.97</v>
      </c>
      <c r="C262" s="10">
        <v>6.9999999999999997E-123</v>
      </c>
      <c r="D262" s="5">
        <v>66.67</v>
      </c>
      <c r="E262" s="4" t="str">
        <f>HYPERLINK("https://www.ncbi.nlm.nih.gov/protein/WP_257723132.1?report=genbank&amp;log$=prottop&amp;blast_rank=378&amp;RID=92EC6PSH016","WP_257723132.1")</f>
        <v>WP_257723132.1</v>
      </c>
    </row>
    <row r="263" spans="1:5">
      <c r="A263" s="4" t="s">
        <v>1068</v>
      </c>
      <c r="B263" s="9">
        <v>0.97</v>
      </c>
      <c r="C263" s="10">
        <v>2E-121</v>
      </c>
      <c r="D263" s="5">
        <v>66.67</v>
      </c>
      <c r="E263" s="4" t="str">
        <f>HYPERLINK("https://www.ncbi.nlm.nih.gov/protein/MBV6752608.1?report=genbank&amp;log$=prottop&amp;blast_rank=419&amp;RID=92EC6PSH016","MBV6752608.1")</f>
        <v>MBV6752608.1</v>
      </c>
    </row>
    <row r="264" spans="1:5">
      <c r="A264" s="4" t="s">
        <v>1354</v>
      </c>
      <c r="B264" s="9">
        <v>0.99</v>
      </c>
      <c r="C264" s="10">
        <v>2E-120</v>
      </c>
      <c r="D264" s="5">
        <v>66.67</v>
      </c>
      <c r="E264" s="4" t="str">
        <f>HYPERLINK("https://www.ncbi.nlm.nih.gov/protein/WP_312924868.1?report=genbank&amp;log$=prottop&amp;blast_rank=435&amp;RID=92EC6PSH016","WP_312924868.1")</f>
        <v>WP_312924868.1</v>
      </c>
    </row>
    <row r="265" spans="1:5">
      <c r="A265" s="4" t="s">
        <v>1354</v>
      </c>
      <c r="B265" s="9">
        <v>0.99</v>
      </c>
      <c r="C265" s="10">
        <v>5.0000000000000001E-120</v>
      </c>
      <c r="D265" s="5">
        <v>66.67</v>
      </c>
      <c r="E265" s="4" t="str">
        <f>HYPERLINK("https://www.ncbi.nlm.nih.gov/protein/WP_312583205.1?report=genbank&amp;log$=prottop&amp;blast_rank=441&amp;RID=92EC6PSH016","WP_312583205.1")</f>
        <v>WP_312583205.1</v>
      </c>
    </row>
    <row r="266" spans="1:5">
      <c r="A266" s="4" t="s">
        <v>1355</v>
      </c>
      <c r="B266" s="9">
        <v>0.91</v>
      </c>
      <c r="C266" s="10">
        <v>9.9999999999999999E-119</v>
      </c>
      <c r="D266" s="5">
        <v>66.67</v>
      </c>
      <c r="E266" s="4" t="str">
        <f>HYPERLINK("https://www.ncbi.nlm.nih.gov/protein/MDM1756779.1?report=genbank&amp;log$=prottop&amp;blast_rank=468&amp;RID=92EC6PSH016","MDM1756779.1")</f>
        <v>MDM1756779.1</v>
      </c>
    </row>
    <row r="267" spans="1:5">
      <c r="A267" s="4" t="s">
        <v>1076</v>
      </c>
      <c r="B267" s="9">
        <v>1</v>
      </c>
      <c r="C267" s="10">
        <v>1.9999999999999999E-129</v>
      </c>
      <c r="D267" s="5">
        <v>66.510000000000005</v>
      </c>
      <c r="E267" s="4" t="str">
        <f>HYPERLINK("https://www.ncbi.nlm.nih.gov/protein/WP_272631486.1?report=genbank&amp;log$=prottop&amp;blast_rank=112&amp;RID=92EC6PSH016","WP_272631486.1")</f>
        <v>WP_272631486.1</v>
      </c>
    </row>
    <row r="268" spans="1:5">
      <c r="A268" s="4" t="s">
        <v>1075</v>
      </c>
      <c r="B268" s="9">
        <v>1</v>
      </c>
      <c r="C268" s="10">
        <v>2.9999999999999998E-129</v>
      </c>
      <c r="D268" s="5">
        <v>66.510000000000005</v>
      </c>
      <c r="E268" s="4" t="str">
        <f>HYPERLINK("https://www.ncbi.nlm.nih.gov/protein/WP_346631189.1?report=genbank&amp;log$=prottop&amp;blast_rank=116&amp;RID=92EC6PSH016","WP_346631189.1")</f>
        <v>WP_346631189.1</v>
      </c>
    </row>
    <row r="269" spans="1:5">
      <c r="A269" s="4" t="s">
        <v>1356</v>
      </c>
      <c r="B269" s="9">
        <v>1</v>
      </c>
      <c r="C269" s="10">
        <v>9.9999999999999993E-125</v>
      </c>
      <c r="D269" s="5">
        <v>66.510000000000005</v>
      </c>
      <c r="E269" s="4" t="str">
        <f>HYPERLINK("https://www.ncbi.nlm.nih.gov/protein/WP_025859231.1?report=genbank&amp;log$=prottop&amp;blast_rank=292&amp;RID=92EC6PSH016","WP_025859231.1")</f>
        <v>WP_025859231.1</v>
      </c>
    </row>
    <row r="270" spans="1:5">
      <c r="A270" s="4" t="s">
        <v>1046</v>
      </c>
      <c r="B270" s="9">
        <v>0.95</v>
      </c>
      <c r="C270" s="10">
        <v>3E-122</v>
      </c>
      <c r="D270" s="5">
        <v>66.5</v>
      </c>
      <c r="E270" s="4" t="str">
        <f>HYPERLINK("https://www.ncbi.nlm.nih.gov/protein/WP_286433544.1?report=genbank&amp;log$=prottop&amp;blast_rank=400&amp;RID=92EC6PSH016","WP_286433544.1")</f>
        <v>WP_286433544.1</v>
      </c>
    </row>
    <row r="271" spans="1:5">
      <c r="A271" s="4" t="s">
        <v>1357</v>
      </c>
      <c r="B271" s="9">
        <v>0.97</v>
      </c>
      <c r="C271" s="10">
        <v>4.9999999999999999E-122</v>
      </c>
      <c r="D271" s="5">
        <v>66.5</v>
      </c>
      <c r="E271" s="4" t="str">
        <f>HYPERLINK("https://www.ncbi.nlm.nih.gov/protein/WP_188867724.1?report=genbank&amp;log$=prottop&amp;blast_rank=407&amp;RID=92EC6PSH016","WP_188867724.1")</f>
        <v>WP_188867724.1</v>
      </c>
    </row>
    <row r="272" spans="1:5">
      <c r="A272" s="4" t="s">
        <v>1358</v>
      </c>
      <c r="B272" s="9">
        <v>0.99</v>
      </c>
      <c r="C272" s="10">
        <v>2.9999999999999998E-128</v>
      </c>
      <c r="D272" s="5">
        <v>66.349999999999994</v>
      </c>
      <c r="E272" s="4" t="str">
        <f>HYPERLINK("https://www.ncbi.nlm.nih.gov/protein/WP_087500122.1?report=genbank&amp;log$=prottop&amp;blast_rank=141&amp;RID=92EC6PSH016","WP_087500122.1")</f>
        <v>WP_087500122.1</v>
      </c>
    </row>
    <row r="273" spans="1:5">
      <c r="A273" s="4" t="s">
        <v>1359</v>
      </c>
      <c r="B273" s="9">
        <v>0.96</v>
      </c>
      <c r="C273" s="10">
        <v>5.0000000000000001E-126</v>
      </c>
      <c r="D273" s="5">
        <v>66.34</v>
      </c>
      <c r="E273" s="4" t="str">
        <f>HYPERLINK("https://www.ncbi.nlm.nih.gov/protein/MCU0663654.1?report=genbank&amp;log$=prottop&amp;blast_rank=234&amp;RID=92EC6PSH016","MCU0663654.1")</f>
        <v>MCU0663654.1</v>
      </c>
    </row>
    <row r="274" spans="1:5">
      <c r="A274" s="4" t="s">
        <v>1360</v>
      </c>
      <c r="B274" s="9">
        <v>0.96</v>
      </c>
      <c r="C274" s="10">
        <v>9.9999999999999993E-125</v>
      </c>
      <c r="D274" s="5">
        <v>66.34</v>
      </c>
      <c r="E274" s="4" t="str">
        <f>HYPERLINK("https://www.ncbi.nlm.nih.gov/protein/WP_342768528.1?report=genbank&amp;log$=prottop&amp;blast_rank=296&amp;RID=92EC6PSH016","WP_342768528.1")</f>
        <v>WP_342768528.1</v>
      </c>
    </row>
    <row r="275" spans="1:5">
      <c r="A275" s="4" t="s">
        <v>441</v>
      </c>
      <c r="B275" s="9">
        <v>0.99</v>
      </c>
      <c r="C275" s="10">
        <v>2.9999999999999999E-130</v>
      </c>
      <c r="D275" s="5">
        <v>66.2</v>
      </c>
      <c r="E275" s="4" t="str">
        <f>HYPERLINK("https://www.ncbi.nlm.nih.gov/protein/WP_318392256.1?report=genbank&amp;log$=prottop&amp;blast_rank=96&amp;RID=92EC6PSH016","WP_318392256.1")</f>
        <v>WP_318392256.1</v>
      </c>
    </row>
    <row r="276" spans="1:5">
      <c r="A276" s="4" t="s">
        <v>64</v>
      </c>
      <c r="B276" s="9">
        <v>0.97</v>
      </c>
      <c r="C276" s="10">
        <v>5.9999999999999997E-123</v>
      </c>
      <c r="D276" s="5">
        <v>66.180000000000007</v>
      </c>
      <c r="E276" s="4" t="str">
        <f>HYPERLINK("https://www.ncbi.nlm.nih.gov/protein/WP_228278790.1?report=genbank&amp;log$=prottop&amp;blast_rank=376&amp;RID=92EC6PSH016","WP_228278790.1")</f>
        <v>WP_228278790.1</v>
      </c>
    </row>
    <row r="277" spans="1:5">
      <c r="A277" s="4" t="s">
        <v>1361</v>
      </c>
      <c r="B277" s="9">
        <v>0.97</v>
      </c>
      <c r="C277" s="10">
        <v>4.9999999999999999E-122</v>
      </c>
      <c r="D277" s="5">
        <v>66.180000000000007</v>
      </c>
      <c r="E277" s="4" t="str">
        <f>HYPERLINK("https://www.ncbi.nlm.nih.gov/protein/WP_035274415.1?report=genbank&amp;log$=prottop&amp;blast_rank=412&amp;RID=92EC6PSH016","WP_035274415.1")</f>
        <v>WP_035274415.1</v>
      </c>
    </row>
    <row r="278" spans="1:5">
      <c r="A278" s="4" t="s">
        <v>1353</v>
      </c>
      <c r="B278" s="9">
        <v>0.97</v>
      </c>
      <c r="C278" s="10">
        <v>2E-121</v>
      </c>
      <c r="D278" s="5">
        <v>66.180000000000007</v>
      </c>
      <c r="E278" s="4" t="str">
        <f>HYPERLINK("https://www.ncbi.nlm.nih.gov/protein/WP_250757086.1?report=genbank&amp;log$=prottop&amp;blast_rank=418&amp;RID=92EC6PSH016","WP_250757086.1")</f>
        <v>WP_250757086.1</v>
      </c>
    </row>
    <row r="279" spans="1:5">
      <c r="A279" s="4" t="s">
        <v>400</v>
      </c>
      <c r="B279" s="9">
        <v>0.97</v>
      </c>
      <c r="C279" s="10">
        <v>9.9999999999999998E-121</v>
      </c>
      <c r="D279" s="5">
        <v>66.180000000000007</v>
      </c>
      <c r="E279" s="4" t="str">
        <f>HYPERLINK("https://www.ncbi.nlm.nih.gov/protein/WP_100941347.1?report=genbank&amp;log$=prottop&amp;blast_rank=431&amp;RID=92EC6PSH016","WP_100941347.1")</f>
        <v>WP_100941347.1</v>
      </c>
    </row>
    <row r="280" spans="1:5">
      <c r="A280" s="4" t="s">
        <v>1362</v>
      </c>
      <c r="B280" s="9">
        <v>0.97</v>
      </c>
      <c r="C280" s="10">
        <v>4.0000000000000001E-117</v>
      </c>
      <c r="D280" s="5">
        <v>66.180000000000007</v>
      </c>
      <c r="E280" s="4" t="str">
        <f>HYPERLINK("https://www.ncbi.nlm.nih.gov/protein/WP_229029201.1?report=genbank&amp;log$=prottop&amp;blast_rank=494&amp;RID=92EC6PSH016","WP_229029201.1")</f>
        <v>WP_229029201.1</v>
      </c>
    </row>
    <row r="281" spans="1:5">
      <c r="A281" s="4" t="s">
        <v>595</v>
      </c>
      <c r="B281" s="9">
        <v>0.94</v>
      </c>
      <c r="C281" s="10">
        <v>2.9999999999999998E-123</v>
      </c>
      <c r="D281" s="5">
        <v>66.17</v>
      </c>
      <c r="E281" s="4" t="str">
        <f>HYPERLINK("https://www.ncbi.nlm.nih.gov/protein/MYA15670.1?report=genbank&amp;log$=prottop&amp;blast_rank=357&amp;RID=92EC6PSH016","MYA15670.1")</f>
        <v>MYA15670.1</v>
      </c>
    </row>
    <row r="282" spans="1:5">
      <c r="A282" s="4" t="s">
        <v>1018</v>
      </c>
      <c r="B282" s="9">
        <v>1</v>
      </c>
      <c r="C282" s="10">
        <v>1.9999999999999999E-129</v>
      </c>
      <c r="D282" s="5">
        <v>66.040000000000006</v>
      </c>
      <c r="E282" s="4" t="str">
        <f>HYPERLINK("https://www.ncbi.nlm.nih.gov/protein/WP_170004770.1?report=genbank&amp;log$=prottop&amp;blast_rank=110&amp;RID=92EC6PSH016","WP_170004770.1")</f>
        <v>WP_170004770.1</v>
      </c>
    </row>
    <row r="283" spans="1:5">
      <c r="A283" s="4" t="s">
        <v>1018</v>
      </c>
      <c r="B283" s="9">
        <v>1</v>
      </c>
      <c r="C283" s="10">
        <v>1.9999999999999999E-129</v>
      </c>
      <c r="D283" s="5">
        <v>66.040000000000006</v>
      </c>
      <c r="E283" s="4" t="str">
        <f>HYPERLINK("https://www.ncbi.nlm.nih.gov/protein/WP_016966820.1?report=genbank&amp;log$=prottop&amp;blast_rank=111&amp;RID=92EC6PSH016","WP_016966820.1")</f>
        <v>WP_016966820.1</v>
      </c>
    </row>
    <row r="284" spans="1:5">
      <c r="A284" s="4" t="s">
        <v>1018</v>
      </c>
      <c r="B284" s="9">
        <v>1</v>
      </c>
      <c r="C284" s="10">
        <v>2.9999999999999998E-129</v>
      </c>
      <c r="D284" s="5">
        <v>66.040000000000006</v>
      </c>
      <c r="E284" s="4" t="str">
        <f>HYPERLINK("https://www.ncbi.nlm.nih.gov/protein/WP_068582386.1?report=genbank&amp;log$=prottop&amp;blast_rank=115&amp;RID=92EC6PSH016","WP_068582386.1")</f>
        <v>WP_068582386.1</v>
      </c>
    </row>
    <row r="285" spans="1:5">
      <c r="A285" s="4" t="s">
        <v>1363</v>
      </c>
      <c r="B285" s="9">
        <v>1</v>
      </c>
      <c r="C285" s="10">
        <v>2.9999999999999998E-129</v>
      </c>
      <c r="D285" s="5">
        <v>66.040000000000006</v>
      </c>
      <c r="E285" s="4" t="str">
        <f>HYPERLINK("https://www.ncbi.nlm.nih.gov/protein/WP_108545730.1?report=genbank&amp;log$=prottop&amp;blast_rank=117&amp;RID=92EC6PSH016","WP_108545730.1")</f>
        <v>WP_108545730.1</v>
      </c>
    </row>
    <row r="286" spans="1:5">
      <c r="A286" s="4" t="s">
        <v>1364</v>
      </c>
      <c r="B286" s="9">
        <v>1</v>
      </c>
      <c r="C286" s="10">
        <v>2.9999999999999998E-129</v>
      </c>
      <c r="D286" s="5">
        <v>66.040000000000006</v>
      </c>
      <c r="E286" s="4" t="str">
        <f>HYPERLINK("https://www.ncbi.nlm.nih.gov/protein/KTC42368.1?report=genbank&amp;log$=prottop&amp;blast_rank=118&amp;RID=92EC6PSH016","KTC42368.1")</f>
        <v>KTC42368.1</v>
      </c>
    </row>
    <row r="287" spans="1:5">
      <c r="A287" s="4" t="s">
        <v>1363</v>
      </c>
      <c r="B287" s="9">
        <v>1</v>
      </c>
      <c r="C287" s="10">
        <v>3.9999999999999997E-129</v>
      </c>
      <c r="D287" s="5">
        <v>66.040000000000006</v>
      </c>
      <c r="E287" s="4" t="str">
        <f>HYPERLINK("https://www.ncbi.nlm.nih.gov/protein/WP_052470422.1?report=genbank&amp;log$=prottop&amp;blast_rank=120&amp;RID=92EC6PSH016","WP_052470422.1")</f>
        <v>WP_052470422.1</v>
      </c>
    </row>
    <row r="288" spans="1:5">
      <c r="A288" s="4" t="s">
        <v>1365</v>
      </c>
      <c r="B288" s="9">
        <v>1</v>
      </c>
      <c r="C288" s="10">
        <v>2.9999999999999998E-128</v>
      </c>
      <c r="D288" s="5">
        <v>66.040000000000006</v>
      </c>
      <c r="E288" s="4" t="str">
        <f>HYPERLINK("https://www.ncbi.nlm.nih.gov/protein/WP_205486610.1?report=genbank&amp;log$=prottop&amp;blast_rank=139&amp;RID=92EC6PSH016","WP_205486610.1")</f>
        <v>WP_205486610.1</v>
      </c>
    </row>
    <row r="289" spans="1:5">
      <c r="A289" s="4" t="s">
        <v>1290</v>
      </c>
      <c r="B289" s="9">
        <v>0.98</v>
      </c>
      <c r="C289" s="10">
        <v>5.0000000000000003E-124</v>
      </c>
      <c r="D289" s="5">
        <v>66.03</v>
      </c>
      <c r="E289" s="4" t="str">
        <f>HYPERLINK("https://www.ncbi.nlm.nih.gov/protein/WP_336220692.1?report=genbank&amp;log$=prottop&amp;blast_rank=325&amp;RID=92EC6PSH016","WP_336220692.1")</f>
        <v>WP_336220692.1</v>
      </c>
    </row>
    <row r="290" spans="1:5">
      <c r="A290" s="4" t="s">
        <v>64</v>
      </c>
      <c r="B290" s="9">
        <v>0.94</v>
      </c>
      <c r="C290" s="10">
        <v>2E-119</v>
      </c>
      <c r="D290" s="5">
        <v>66</v>
      </c>
      <c r="E290" s="4" t="str">
        <f>HYPERLINK("https://www.ncbi.nlm.nih.gov/protein/MDM1290839.1?report=genbank&amp;log$=prottop&amp;blast_rank=454&amp;RID=92EC6PSH016","MDM1290839.1")</f>
        <v>MDM1290839.1</v>
      </c>
    </row>
    <row r="291" spans="1:5">
      <c r="A291" s="4" t="s">
        <v>1366</v>
      </c>
      <c r="B291" s="9">
        <v>0.99</v>
      </c>
      <c r="C291" s="10">
        <v>9.9999999999999993E-125</v>
      </c>
      <c r="D291" s="5">
        <v>65.88</v>
      </c>
      <c r="E291" s="4" t="str">
        <f>HYPERLINK("https://www.ncbi.nlm.nih.gov/protein/MBW4789273.1?report=genbank&amp;log$=prottop&amp;blast_rank=302&amp;RID=92EC6PSH016","MBW4789273.1")</f>
        <v>MBW4789273.1</v>
      </c>
    </row>
    <row r="292" spans="1:5">
      <c r="A292" s="4" t="s">
        <v>1367</v>
      </c>
      <c r="B292" s="9">
        <v>0.96</v>
      </c>
      <c r="C292" s="10">
        <v>3E-124</v>
      </c>
      <c r="D292" s="5">
        <v>65.849999999999994</v>
      </c>
      <c r="E292" s="4" t="str">
        <f>HYPERLINK("https://www.ncbi.nlm.nih.gov/protein/WP_198642251.1?report=genbank&amp;log$=prottop&amp;blast_rank=317&amp;RID=92EC6PSH016","WP_198642251.1")</f>
        <v>WP_198642251.1</v>
      </c>
    </row>
    <row r="293" spans="1:5">
      <c r="A293" s="4" t="s">
        <v>1368</v>
      </c>
      <c r="B293" s="9">
        <v>0.93</v>
      </c>
      <c r="C293" s="10">
        <v>2.9999999999999999E-121</v>
      </c>
      <c r="D293" s="5">
        <v>65.83</v>
      </c>
      <c r="E293" s="4" t="str">
        <f>HYPERLINK("https://www.ncbi.nlm.nih.gov/protein/AST94262.1?report=genbank&amp;log$=prottop&amp;blast_rank=423&amp;RID=92EC6PSH016","AST94262.1")</f>
        <v>AST94262.1</v>
      </c>
    </row>
    <row r="294" spans="1:5">
      <c r="A294" s="4" t="s">
        <v>1369</v>
      </c>
      <c r="B294" s="9">
        <v>0.9</v>
      </c>
      <c r="C294" s="10">
        <v>2E-120</v>
      </c>
      <c r="D294" s="5">
        <v>65.8</v>
      </c>
      <c r="E294" s="4" t="str">
        <f>HYPERLINK("https://www.ncbi.nlm.nih.gov/protein/WP_284079080.1?report=genbank&amp;log$=prottop&amp;blast_rank=436&amp;RID=92EC6PSH016","WP_284079080.1")</f>
        <v>WP_284079080.1</v>
      </c>
    </row>
    <row r="295" spans="1:5">
      <c r="A295" s="4" t="s">
        <v>1091</v>
      </c>
      <c r="B295" s="9">
        <v>0.99</v>
      </c>
      <c r="C295" s="10">
        <v>6.0000000000000003E-126</v>
      </c>
      <c r="D295" s="5">
        <v>65.709999999999994</v>
      </c>
      <c r="E295" s="4" t="str">
        <f>HYPERLINK("https://www.ncbi.nlm.nih.gov/protein/WP_236780202.1?report=genbank&amp;log$=prottop&amp;blast_rank=242&amp;RID=92EC6PSH016","WP_236780202.1")</f>
        <v>WP_236780202.1</v>
      </c>
    </row>
    <row r="296" spans="1:5">
      <c r="A296" s="4" t="s">
        <v>262</v>
      </c>
      <c r="B296" s="9">
        <v>0.94</v>
      </c>
      <c r="C296" s="10">
        <v>4.9999999999999999E-121</v>
      </c>
      <c r="D296" s="5">
        <v>65.67</v>
      </c>
      <c r="E296" s="4" t="str">
        <f>HYPERLINK("https://www.ncbi.nlm.nih.gov/protein/HCI7966937.1?report=genbank&amp;log$=prottop&amp;blast_rank=426&amp;RID=92EC6PSH016","HCI7966937.1")</f>
        <v>HCI7966937.1</v>
      </c>
    </row>
    <row r="297" spans="1:5">
      <c r="A297" s="4" t="s">
        <v>340</v>
      </c>
      <c r="B297" s="9">
        <v>0.92</v>
      </c>
      <c r="C297" s="10">
        <v>6.9999999999999997E-120</v>
      </c>
      <c r="D297" s="5">
        <v>65.66</v>
      </c>
      <c r="E297" s="4" t="str">
        <f>HYPERLINK("https://www.ncbi.nlm.nih.gov/protein/WP_317459220.1?report=genbank&amp;log$=prottop&amp;blast_rank=442&amp;RID=92EC6PSH016","WP_317459220.1")</f>
        <v>WP_317459220.1</v>
      </c>
    </row>
    <row r="298" spans="1:5">
      <c r="A298" s="4" t="s">
        <v>262</v>
      </c>
      <c r="B298" s="9">
        <v>0.92</v>
      </c>
      <c r="C298" s="10">
        <v>9E-120</v>
      </c>
      <c r="D298" s="5">
        <v>65.66</v>
      </c>
      <c r="E298" s="4" t="str">
        <f>HYPERLINK("https://www.ncbi.nlm.nih.gov/protein/WP_228261450.1?report=genbank&amp;log$=prottop&amp;blast_rank=445&amp;RID=92EC6PSH016","WP_228261450.1")</f>
        <v>WP_228261450.1</v>
      </c>
    </row>
    <row r="299" spans="1:5">
      <c r="A299" s="4" t="s">
        <v>262</v>
      </c>
      <c r="B299" s="9">
        <v>0.92</v>
      </c>
      <c r="C299" s="10">
        <v>4.0000000000000001E-119</v>
      </c>
      <c r="D299" s="5">
        <v>65.66</v>
      </c>
      <c r="E299" s="4" t="str">
        <f>HYPERLINK("https://www.ncbi.nlm.nih.gov/protein/HCD1767968.1?report=genbank&amp;log$=prottop&amp;blast_rank=463&amp;RID=92EC6PSH016","HCD1767968.1")</f>
        <v>HCD1767968.1</v>
      </c>
    </row>
    <row r="300" spans="1:5">
      <c r="A300" s="4" t="s">
        <v>262</v>
      </c>
      <c r="B300" s="9">
        <v>0.95</v>
      </c>
      <c r="C300" s="10">
        <v>3E-122</v>
      </c>
      <c r="D300" s="5">
        <v>65.52</v>
      </c>
      <c r="E300" s="4" t="str">
        <f>HYPERLINK("https://www.ncbi.nlm.nih.gov/protein/HBZ3680679.1?report=genbank&amp;log$=prottop&amp;blast_rank=401&amp;RID=92EC6PSH016","HBZ3680679.1")</f>
        <v>HBZ3680679.1</v>
      </c>
    </row>
    <row r="301" spans="1:5">
      <c r="A301" s="4" t="s">
        <v>1370</v>
      </c>
      <c r="B301" s="9">
        <v>0.95</v>
      </c>
      <c r="C301" s="10">
        <v>4.9999999999999999E-122</v>
      </c>
      <c r="D301" s="5">
        <v>65.52</v>
      </c>
      <c r="E301" s="4" t="str">
        <f>HYPERLINK("https://www.ncbi.nlm.nih.gov/protein/PVY79679.1?report=genbank&amp;log$=prottop&amp;blast_rank=410&amp;RID=92EC6PSH016","PVY79679.1")</f>
        <v>PVY79679.1</v>
      </c>
    </row>
    <row r="302" spans="1:5">
      <c r="A302" s="4" t="s">
        <v>1371</v>
      </c>
      <c r="B302" s="9">
        <v>0.95</v>
      </c>
      <c r="C302" s="10">
        <v>4.9999999999999999E-122</v>
      </c>
      <c r="D302" s="5">
        <v>65.52</v>
      </c>
      <c r="E302" s="4" t="str">
        <f>HYPERLINK("https://www.ncbi.nlm.nih.gov/protein/WP_234472858.1?report=genbank&amp;log$=prottop&amp;blast_rank=411&amp;RID=92EC6PSH016","WP_234472858.1")</f>
        <v>WP_234472858.1</v>
      </c>
    </row>
    <row r="303" spans="1:5">
      <c r="A303" s="4" t="s">
        <v>1361</v>
      </c>
      <c r="B303" s="9">
        <v>0.99</v>
      </c>
      <c r="C303" s="10">
        <v>7.9999999999999995E-124</v>
      </c>
      <c r="D303" s="5">
        <v>65.400000000000006</v>
      </c>
      <c r="E303" s="4" t="str">
        <f>HYPERLINK("https://www.ncbi.nlm.nih.gov/protein/WP_051316202.1?report=genbank&amp;log$=prottop&amp;blast_rank=333&amp;RID=92EC6PSH016","WP_051316202.1")</f>
        <v>WP_051316202.1</v>
      </c>
    </row>
    <row r="304" spans="1:5">
      <c r="A304" s="4" t="s">
        <v>262</v>
      </c>
      <c r="B304" s="9">
        <v>0.97</v>
      </c>
      <c r="C304" s="10">
        <v>4.9999999999999997E-125</v>
      </c>
      <c r="D304" s="5">
        <v>65.38</v>
      </c>
      <c r="E304" s="4" t="str">
        <f>HYPERLINK("https://www.ncbi.nlm.nih.gov/protein/WP_318606115.1?report=genbank&amp;log$=prottop&amp;blast_rank=283&amp;RID=92EC6PSH016","WP_318606115.1")</f>
        <v>WP_318606115.1</v>
      </c>
    </row>
    <row r="305" spans="1:5">
      <c r="A305" s="4" t="s">
        <v>1372</v>
      </c>
      <c r="B305" s="9">
        <v>0.98</v>
      </c>
      <c r="C305" s="10">
        <v>3E-124</v>
      </c>
      <c r="D305" s="5">
        <v>65.38</v>
      </c>
      <c r="E305" s="4" t="str">
        <f>HYPERLINK("https://www.ncbi.nlm.nih.gov/protein/WP_130016054.1?report=genbank&amp;log$=prottop&amp;blast_rank=313&amp;RID=92EC6PSH016","WP_130016054.1")</f>
        <v>WP_130016054.1</v>
      </c>
    </row>
    <row r="306" spans="1:5">
      <c r="A306" s="4" t="s">
        <v>1343</v>
      </c>
      <c r="B306" s="9">
        <v>0.98</v>
      </c>
      <c r="C306" s="10">
        <v>7.9999999999999995E-124</v>
      </c>
      <c r="D306" s="5">
        <v>65.38</v>
      </c>
      <c r="E306" s="4" t="str">
        <f>HYPERLINK("https://www.ncbi.nlm.nih.gov/protein/WP_147882826.1?report=genbank&amp;log$=prottop&amp;blast_rank=334&amp;RID=92EC6PSH016","WP_147882826.1")</f>
        <v>WP_147882826.1</v>
      </c>
    </row>
    <row r="307" spans="1:5">
      <c r="A307" s="4" t="s">
        <v>1373</v>
      </c>
      <c r="B307" s="9">
        <v>0.98</v>
      </c>
      <c r="C307" s="10">
        <v>6.9999999999999997E-118</v>
      </c>
      <c r="D307" s="5">
        <v>65.38</v>
      </c>
      <c r="E307" s="4" t="str">
        <f>HYPERLINK("https://www.ncbi.nlm.nih.gov/protein/MET0331124.1?report=genbank&amp;log$=prottop&amp;blast_rank=480&amp;RID=92EC6PSH016","MET0331124.1")</f>
        <v>MET0331124.1</v>
      </c>
    </row>
    <row r="308" spans="1:5">
      <c r="A308" s="4" t="s">
        <v>595</v>
      </c>
      <c r="B308" s="9">
        <v>0.96</v>
      </c>
      <c r="C308" s="10">
        <v>9.0000000000000005E-126</v>
      </c>
      <c r="D308" s="5">
        <v>65.37</v>
      </c>
      <c r="E308" s="4" t="str">
        <f>HYPERLINK("https://www.ncbi.nlm.nih.gov/protein/MYE10592.1?report=genbank&amp;log$=prottop&amp;blast_rank=252&amp;RID=92EC6PSH016","MYE10592.1")</f>
        <v>MYE10592.1</v>
      </c>
    </row>
    <row r="309" spans="1:5">
      <c r="A309" s="4" t="s">
        <v>262</v>
      </c>
      <c r="B309" s="9">
        <v>0.96</v>
      </c>
      <c r="C309" s="10">
        <v>2.9999999999999998E-123</v>
      </c>
      <c r="D309" s="5">
        <v>65.37</v>
      </c>
      <c r="E309" s="4" t="str">
        <f>HYPERLINK("https://www.ncbi.nlm.nih.gov/protein/HBW2371723.1?report=genbank&amp;log$=prottop&amp;blast_rank=360&amp;RID=92EC6PSH016","HBW2371723.1")</f>
        <v>HBW2371723.1</v>
      </c>
    </row>
    <row r="310" spans="1:5">
      <c r="A310" s="4" t="s">
        <v>1374</v>
      </c>
      <c r="B310" s="9">
        <v>0.94</v>
      </c>
      <c r="C310" s="10">
        <v>1E-119</v>
      </c>
      <c r="D310" s="5">
        <v>65.349999999999994</v>
      </c>
      <c r="E310" s="4" t="str">
        <f>HYPERLINK("https://www.ncbi.nlm.nih.gov/protein/WP_290241723.1?report=genbank&amp;log$=prottop&amp;blast_rank=446&amp;RID=92EC6PSH016","WP_290241723.1")</f>
        <v>WP_290241723.1</v>
      </c>
    </row>
    <row r="311" spans="1:5">
      <c r="A311" s="4" t="s">
        <v>1352</v>
      </c>
      <c r="B311" s="9">
        <v>0.98</v>
      </c>
      <c r="C311" s="10">
        <v>4.0000000000000001E-127</v>
      </c>
      <c r="D311" s="5">
        <v>65.239999999999995</v>
      </c>
      <c r="E311" s="4" t="str">
        <f>HYPERLINK("https://www.ncbi.nlm.nih.gov/protein/WP_262372437.1?report=genbank&amp;log$=prottop&amp;blast_rank=193&amp;RID=92EC6PSH016","WP_262372437.1")</f>
        <v>WP_262372437.1</v>
      </c>
    </row>
    <row r="312" spans="1:5">
      <c r="A312" s="4" t="s">
        <v>1375</v>
      </c>
      <c r="B312" s="9">
        <v>0.98</v>
      </c>
      <c r="C312" s="10">
        <v>4.9999999999999997E-127</v>
      </c>
      <c r="D312" s="5">
        <v>65.239999999999995</v>
      </c>
      <c r="E312" s="4" t="str">
        <f>HYPERLINK("https://www.ncbi.nlm.nih.gov/protein/WP_335378182.1?report=genbank&amp;log$=prottop&amp;blast_rank=200&amp;RID=92EC6PSH016","WP_335378182.1")</f>
        <v>WP_335378182.1</v>
      </c>
    </row>
    <row r="313" spans="1:5">
      <c r="A313" s="4" t="s">
        <v>1376</v>
      </c>
      <c r="B313" s="9">
        <v>0.96</v>
      </c>
      <c r="C313" s="10">
        <v>4.0000000000000001E-119</v>
      </c>
      <c r="D313" s="5">
        <v>65.2</v>
      </c>
      <c r="E313" s="4" t="str">
        <f>HYPERLINK("https://www.ncbi.nlm.nih.gov/protein/WP_248756947.1?report=genbank&amp;log$=prottop&amp;blast_rank=462&amp;RID=92EC6PSH016","WP_248756947.1")</f>
        <v>WP_248756947.1</v>
      </c>
    </row>
    <row r="314" spans="1:5">
      <c r="A314" s="4" t="s">
        <v>1377</v>
      </c>
      <c r="B314" s="9">
        <v>0.94</v>
      </c>
      <c r="C314" s="10">
        <v>4.0000000000000002E-122</v>
      </c>
      <c r="D314" s="5">
        <v>65.17</v>
      </c>
      <c r="E314" s="4" t="str">
        <f>HYPERLINK("https://www.ncbi.nlm.nih.gov/protein/KML40667.1?report=genbank&amp;log$=prottop&amp;blast_rank=405&amp;RID=92EC6PSH016","KML40667.1")</f>
        <v>KML40667.1</v>
      </c>
    </row>
    <row r="315" spans="1:5">
      <c r="A315" s="4" t="s">
        <v>262</v>
      </c>
      <c r="B315" s="9">
        <v>0.91</v>
      </c>
      <c r="C315" s="10">
        <v>6.9999999999999997E-117</v>
      </c>
      <c r="D315" s="5">
        <v>65.13</v>
      </c>
      <c r="E315" s="4" t="str">
        <f>HYPERLINK("https://www.ncbi.nlm.nih.gov/protein/HCB3387547.1?report=genbank&amp;log$=prottop&amp;blast_rank=499&amp;RID=92EC6PSH016","HCB3387547.1")</f>
        <v>HCB3387547.1</v>
      </c>
    </row>
    <row r="316" spans="1:5">
      <c r="A316" s="4" t="s">
        <v>1378</v>
      </c>
      <c r="B316" s="9">
        <v>0.98</v>
      </c>
      <c r="C316" s="10">
        <v>1.0000000000000001E-122</v>
      </c>
      <c r="D316" s="5">
        <v>65.069999999999993</v>
      </c>
      <c r="E316" s="4" t="str">
        <f>HYPERLINK("https://www.ncbi.nlm.nih.gov/protein/WP_075690464.1?report=genbank&amp;log$=prottop&amp;blast_rank=385&amp;RID=92EC6PSH016","WP_075690464.1")</f>
        <v>WP_075690464.1</v>
      </c>
    </row>
    <row r="317" spans="1:5">
      <c r="A317" s="4" t="s">
        <v>1379</v>
      </c>
      <c r="B317" s="9">
        <v>0.96</v>
      </c>
      <c r="C317" s="10">
        <v>1.9999999999999999E-126</v>
      </c>
      <c r="D317" s="5">
        <v>65.05</v>
      </c>
      <c r="E317" s="4" t="str">
        <f>HYPERLINK("https://www.ncbi.nlm.nih.gov/protein/WP_342826734.1?report=genbank&amp;log$=prottop&amp;blast_rank=221&amp;RID=92EC6PSH016","WP_342826734.1")</f>
        <v>WP_342826734.1</v>
      </c>
    </row>
    <row r="318" spans="1:5">
      <c r="A318" s="4" t="s">
        <v>262</v>
      </c>
      <c r="B318" s="9">
        <v>0.96</v>
      </c>
      <c r="C318" s="10">
        <v>9.9999999999999993E-125</v>
      </c>
      <c r="D318" s="5">
        <v>65.05</v>
      </c>
      <c r="E318" s="4" t="str">
        <f>HYPERLINK("https://www.ncbi.nlm.nih.gov/protein/HBW9278441.1?report=genbank&amp;log$=prottop&amp;blast_rank=299&amp;RID=92EC6PSH016","HBW9278441.1")</f>
        <v>HBW9278441.1</v>
      </c>
    </row>
    <row r="319" spans="1:5">
      <c r="A319" s="4" t="s">
        <v>262</v>
      </c>
      <c r="B319" s="9">
        <v>0.96</v>
      </c>
      <c r="C319" s="10">
        <v>2.0000000000000001E-123</v>
      </c>
      <c r="D319" s="5">
        <v>65.05</v>
      </c>
      <c r="E319" s="4" t="str">
        <f>HYPERLINK("https://www.ncbi.nlm.nih.gov/protein/HBW2338290.1?report=genbank&amp;log$=prottop&amp;blast_rank=349&amp;RID=92EC6PSH016","HBW2338290.1")</f>
        <v>HBW2338290.1</v>
      </c>
    </row>
    <row r="320" spans="1:5">
      <c r="A320" s="4" t="s">
        <v>262</v>
      </c>
      <c r="B320" s="9">
        <v>0.92</v>
      </c>
      <c r="C320" s="10">
        <v>6.0000000000000004E-118</v>
      </c>
      <c r="D320" s="5">
        <v>64.97</v>
      </c>
      <c r="E320" s="4" t="str">
        <f>HYPERLINK("https://www.ncbi.nlm.nih.gov/protein/HBY6952607.1?report=genbank&amp;log$=prottop&amp;blast_rank=479&amp;RID=92EC6PSH016","HBY6952607.1")</f>
        <v>HBY6952607.1</v>
      </c>
    </row>
    <row r="321" spans="1:5">
      <c r="A321" s="4" t="s">
        <v>1380</v>
      </c>
      <c r="B321" s="9">
        <v>0.99</v>
      </c>
      <c r="C321" s="10">
        <v>2E-121</v>
      </c>
      <c r="D321" s="5">
        <v>64.930000000000007</v>
      </c>
      <c r="E321" s="4" t="str">
        <f>HYPERLINK("https://www.ncbi.nlm.nih.gov/protein/WP_336854579.1?report=genbank&amp;log$=prottop&amp;blast_rank=421&amp;RID=92EC6PSH016","WP_336854579.1")</f>
        <v>WP_336854579.1</v>
      </c>
    </row>
    <row r="322" spans="1:5">
      <c r="A322" s="4" t="s">
        <v>1323</v>
      </c>
      <c r="B322" s="9">
        <v>0.97</v>
      </c>
      <c r="C322" s="10">
        <v>3.0000000000000001E-127</v>
      </c>
      <c r="D322" s="5">
        <v>64.900000000000006</v>
      </c>
      <c r="E322" s="4" t="str">
        <f>HYPERLINK("https://www.ncbi.nlm.nih.gov/protein/WP_072568975.1?report=genbank&amp;log$=prottop&amp;blast_rank=183&amp;RID=92EC6PSH016","WP_072568975.1")</f>
        <v>WP_072568975.1</v>
      </c>
    </row>
    <row r="323" spans="1:5">
      <c r="A323" s="4" t="s">
        <v>441</v>
      </c>
      <c r="B323" s="9">
        <v>0.97</v>
      </c>
      <c r="C323" s="10">
        <v>4.0000000000000001E-127</v>
      </c>
      <c r="D323" s="5">
        <v>64.900000000000006</v>
      </c>
      <c r="E323" s="4" t="str">
        <f>HYPERLINK("https://www.ncbi.nlm.nih.gov/protein/WP_318372649.1?report=genbank&amp;log$=prottop&amp;blast_rank=189&amp;RID=92EC6PSH016","WP_318372649.1")</f>
        <v>WP_318372649.1</v>
      </c>
    </row>
    <row r="324" spans="1:5">
      <c r="A324" s="4" t="s">
        <v>1381</v>
      </c>
      <c r="B324" s="9">
        <v>0.97</v>
      </c>
      <c r="C324" s="10">
        <v>4.9999999999999997E-127</v>
      </c>
      <c r="D324" s="5">
        <v>64.900000000000006</v>
      </c>
      <c r="E324" s="4" t="str">
        <f>HYPERLINK("https://www.ncbi.nlm.nih.gov/protein/WP_354468381.1?report=genbank&amp;log$=prottop&amp;blast_rank=199&amp;RID=92EC6PSH016","WP_354468381.1")</f>
        <v>WP_354468381.1</v>
      </c>
    </row>
    <row r="325" spans="1:5">
      <c r="A325" s="4" t="s">
        <v>1382</v>
      </c>
      <c r="B325" s="9">
        <v>0.97</v>
      </c>
      <c r="C325" s="10">
        <v>6.9999999999999998E-127</v>
      </c>
      <c r="D325" s="5">
        <v>64.900000000000006</v>
      </c>
      <c r="E325" s="4" t="str">
        <f>HYPERLINK("https://www.ncbi.nlm.nih.gov/protein/WP_218336735.1?report=genbank&amp;log$=prottop&amp;blast_rank=211&amp;RID=92EC6PSH016","WP_218336735.1")</f>
        <v>WP_218336735.1</v>
      </c>
    </row>
    <row r="326" spans="1:5">
      <c r="A326" s="4" t="s">
        <v>283</v>
      </c>
      <c r="B326" s="9">
        <v>0.97</v>
      </c>
      <c r="C326" s="10">
        <v>8.0000000000000002E-127</v>
      </c>
      <c r="D326" s="5">
        <v>64.900000000000006</v>
      </c>
      <c r="E326" s="4" t="str">
        <f>HYPERLINK("https://www.ncbi.nlm.nih.gov/protein/WP_260241974.1?report=genbank&amp;log$=prottop&amp;blast_rank=212&amp;RID=92EC6PSH016","WP_260241974.1")</f>
        <v>WP_260241974.1</v>
      </c>
    </row>
    <row r="327" spans="1:5">
      <c r="A327" s="4" t="s">
        <v>1372</v>
      </c>
      <c r="B327" s="9">
        <v>0.97</v>
      </c>
      <c r="C327" s="10">
        <v>7.9999999999999996E-126</v>
      </c>
      <c r="D327" s="5">
        <v>64.900000000000006</v>
      </c>
      <c r="E327" s="4" t="str">
        <f>HYPERLINK("https://www.ncbi.nlm.nih.gov/protein/WP_270101390.1?report=genbank&amp;log$=prottop&amp;blast_rank=251&amp;RID=92EC6PSH016","WP_270101390.1")</f>
        <v>WP_270101390.1</v>
      </c>
    </row>
    <row r="328" spans="1:5">
      <c r="A328" s="4" t="s">
        <v>1383</v>
      </c>
      <c r="B328" s="9">
        <v>0.97</v>
      </c>
      <c r="C328" s="10">
        <v>2E-125</v>
      </c>
      <c r="D328" s="5">
        <v>64.900000000000006</v>
      </c>
      <c r="E328" s="4" t="str">
        <f>HYPERLINK("https://www.ncbi.nlm.nih.gov/protein/MEE8728283.1?report=genbank&amp;log$=prottop&amp;blast_rank=266&amp;RID=92EC6PSH016","MEE8728283.1")</f>
        <v>MEE8728283.1</v>
      </c>
    </row>
    <row r="329" spans="1:5">
      <c r="A329" s="4" t="s">
        <v>262</v>
      </c>
      <c r="B329" s="9">
        <v>0.97</v>
      </c>
      <c r="C329" s="10">
        <v>2.9999999999999999E-125</v>
      </c>
      <c r="D329" s="5">
        <v>64.900000000000006</v>
      </c>
      <c r="E329" s="4" t="str">
        <f>HYPERLINK("https://www.ncbi.nlm.nih.gov/protein/WP_306457868.1?report=genbank&amp;log$=prottop&amp;blast_rank=268&amp;RID=92EC6PSH016","WP_306457868.1")</f>
        <v>WP_306457868.1</v>
      </c>
    </row>
    <row r="330" spans="1:5">
      <c r="A330" s="4" t="s">
        <v>262</v>
      </c>
      <c r="B330" s="9">
        <v>0.97</v>
      </c>
      <c r="C330" s="10">
        <v>4E-125</v>
      </c>
      <c r="D330" s="5">
        <v>64.900000000000006</v>
      </c>
      <c r="E330" s="4" t="str">
        <f>HYPERLINK("https://www.ncbi.nlm.nih.gov/protein/EIW8554486.1?report=genbank&amp;log$=prottop&amp;blast_rank=278&amp;RID=92EC6PSH016","EIW8554486.1")</f>
        <v>EIW8554486.1</v>
      </c>
    </row>
    <row r="331" spans="1:5">
      <c r="A331" s="4" t="s">
        <v>262</v>
      </c>
      <c r="B331" s="9">
        <v>0.97</v>
      </c>
      <c r="C331" s="10">
        <v>4.9999999999999997E-125</v>
      </c>
      <c r="D331" s="5">
        <v>64.900000000000006</v>
      </c>
      <c r="E331" s="4" t="str">
        <f>HYPERLINK("https://www.ncbi.nlm.nih.gov/protein/WP_087835671.1?report=genbank&amp;log$=prottop&amp;blast_rank=282&amp;RID=92EC6PSH016","WP_087835671.1")</f>
        <v>WP_087835671.1</v>
      </c>
    </row>
    <row r="332" spans="1:5">
      <c r="A332" s="4" t="s">
        <v>262</v>
      </c>
      <c r="B332" s="9">
        <v>0.97</v>
      </c>
      <c r="C332" s="10">
        <v>5.9999999999999998E-125</v>
      </c>
      <c r="D332" s="5">
        <v>64.900000000000006</v>
      </c>
      <c r="E332" s="4" t="str">
        <f>HYPERLINK("https://www.ncbi.nlm.nih.gov/protein/WP_261191980.1?report=genbank&amp;log$=prottop&amp;blast_rank=288&amp;RID=92EC6PSH016","WP_261191980.1")</f>
        <v>WP_261191980.1</v>
      </c>
    </row>
    <row r="333" spans="1:5">
      <c r="A333" s="4" t="s">
        <v>275</v>
      </c>
      <c r="B333" s="9">
        <v>0.97</v>
      </c>
      <c r="C333" s="10">
        <v>8.0000000000000001E-125</v>
      </c>
      <c r="D333" s="5">
        <v>64.900000000000006</v>
      </c>
      <c r="E333" s="4" t="str">
        <f>HYPERLINK("https://www.ncbi.nlm.nih.gov/protein/WP_014386537.1?report=genbank&amp;log$=prottop&amp;blast_rank=290&amp;RID=92EC6PSH016","WP_014386537.1")</f>
        <v>WP_014386537.1</v>
      </c>
    </row>
    <row r="334" spans="1:5">
      <c r="A334" s="4" t="s">
        <v>262</v>
      </c>
      <c r="B334" s="9">
        <v>0.97</v>
      </c>
      <c r="C334" s="10">
        <v>9.9999999999999993E-125</v>
      </c>
      <c r="D334" s="5">
        <v>64.900000000000006</v>
      </c>
      <c r="E334" s="4" t="str">
        <f>HYPERLINK("https://www.ncbi.nlm.nih.gov/protein/WP_353339349.1?report=genbank&amp;log$=prottop&amp;blast_rank=295&amp;RID=92EC6PSH016","WP_353339349.1")</f>
        <v>WP_353339349.1</v>
      </c>
    </row>
    <row r="335" spans="1:5">
      <c r="A335" s="4" t="s">
        <v>262</v>
      </c>
      <c r="B335" s="9">
        <v>0.97</v>
      </c>
      <c r="C335" s="10">
        <v>1.9999999999999999E-124</v>
      </c>
      <c r="D335" s="5">
        <v>64.900000000000006</v>
      </c>
      <c r="E335" s="4" t="str">
        <f>HYPERLINK("https://www.ncbi.nlm.nih.gov/protein/WP_004902233.1?report=genbank&amp;log$=prottop&amp;blast_rank=308&amp;RID=92EC6PSH016","WP_004902233.1")</f>
        <v>WP_004902233.1</v>
      </c>
    </row>
    <row r="336" spans="1:5">
      <c r="A336" s="4" t="s">
        <v>1384</v>
      </c>
      <c r="B336" s="9">
        <v>0.98</v>
      </c>
      <c r="C336" s="10">
        <v>2.0000000000000001E-123</v>
      </c>
      <c r="D336" s="5">
        <v>64.900000000000006</v>
      </c>
      <c r="E336" s="4" t="str">
        <f>HYPERLINK("https://www.ncbi.nlm.nih.gov/protein/WP_213382324.1?report=genbank&amp;log$=prottop&amp;blast_rank=351&amp;RID=92EC6PSH016","WP_213382324.1")</f>
        <v>WP_213382324.1</v>
      </c>
    </row>
    <row r="337" spans="1:5">
      <c r="A337" s="4" t="s">
        <v>1385</v>
      </c>
      <c r="B337" s="9">
        <v>0.98</v>
      </c>
      <c r="C337" s="10">
        <v>5.9999999999999997E-123</v>
      </c>
      <c r="D337" s="5">
        <v>64.900000000000006</v>
      </c>
      <c r="E337" s="4" t="str">
        <f>HYPERLINK("https://www.ncbi.nlm.nih.gov/protein/WP_294878240.1?report=genbank&amp;log$=prottop&amp;blast_rank=370&amp;RID=92EC6PSH016","WP_294878240.1")</f>
        <v>WP_294878240.1</v>
      </c>
    </row>
    <row r="338" spans="1:5">
      <c r="A338" s="4" t="s">
        <v>1386</v>
      </c>
      <c r="B338" s="9">
        <v>0.98</v>
      </c>
      <c r="C338" s="10">
        <v>6.0000000000000002E-127</v>
      </c>
      <c r="D338" s="5">
        <v>64.760000000000005</v>
      </c>
      <c r="E338" s="4" t="str">
        <f>HYPERLINK("https://www.ncbi.nlm.nih.gov/protein/WP_333849221.1?report=genbank&amp;log$=prottop&amp;blast_rank=202&amp;RID=92EC6PSH016","WP_333849221.1")</f>
        <v>WP_333849221.1</v>
      </c>
    </row>
    <row r="339" spans="1:5">
      <c r="A339" s="4" t="s">
        <v>1387</v>
      </c>
      <c r="B339" s="9">
        <v>0.98</v>
      </c>
      <c r="C339" s="10">
        <v>3.0000000000000002E-126</v>
      </c>
      <c r="D339" s="5">
        <v>64.760000000000005</v>
      </c>
      <c r="E339" s="4" t="str">
        <f>HYPERLINK("https://www.ncbi.nlm.nih.gov/protein/WP_251175058.1?report=genbank&amp;log$=prottop&amp;blast_rank=228&amp;RID=92EC6PSH016","WP_251175058.1")</f>
        <v>WP_251175058.1</v>
      </c>
    </row>
    <row r="340" spans="1:5">
      <c r="A340" s="4" t="s">
        <v>1388</v>
      </c>
      <c r="B340" s="9">
        <v>0.98</v>
      </c>
      <c r="C340" s="10">
        <v>3.9999999999999998E-126</v>
      </c>
      <c r="D340" s="5">
        <v>64.760000000000005</v>
      </c>
      <c r="E340" s="4" t="str">
        <f>HYPERLINK("https://www.ncbi.nlm.nih.gov/protein/WP_335482529.1?report=genbank&amp;log$=prottop&amp;blast_rank=232&amp;RID=92EC6PSH016","WP_335482529.1")</f>
        <v>WP_335482529.1</v>
      </c>
    </row>
    <row r="341" spans="1:5">
      <c r="A341" s="4" t="s">
        <v>1389</v>
      </c>
      <c r="B341" s="9">
        <v>0.98</v>
      </c>
      <c r="C341" s="10">
        <v>6.0000000000000003E-126</v>
      </c>
      <c r="D341" s="5">
        <v>64.760000000000005</v>
      </c>
      <c r="E341" s="4" t="str">
        <f>HYPERLINK("https://www.ncbi.nlm.nih.gov/protein/WP_341001705.1?report=genbank&amp;log$=prottop&amp;blast_rank=241&amp;RID=92EC6PSH016","WP_341001705.1")</f>
        <v>WP_341001705.1</v>
      </c>
    </row>
    <row r="342" spans="1:5">
      <c r="A342" s="4" t="s">
        <v>1390</v>
      </c>
      <c r="B342" s="9">
        <v>0.96</v>
      </c>
      <c r="C342" s="10">
        <v>2E-119</v>
      </c>
      <c r="D342" s="5">
        <v>64.709999999999994</v>
      </c>
      <c r="E342" s="4" t="str">
        <f>HYPERLINK("https://www.ncbi.nlm.nih.gov/protein/WP_261381489.1?report=genbank&amp;log$=prottop&amp;blast_rank=457&amp;RID=92EC6PSH016","WP_261381489.1")</f>
        <v>WP_261381489.1</v>
      </c>
    </row>
    <row r="343" spans="1:5">
      <c r="A343" s="4" t="s">
        <v>1391</v>
      </c>
      <c r="B343" s="9">
        <v>0.94</v>
      </c>
      <c r="C343" s="10">
        <v>9.9999999999999998E-121</v>
      </c>
      <c r="D343" s="5">
        <v>64.680000000000007</v>
      </c>
      <c r="E343" s="4" t="str">
        <f>HYPERLINK("https://www.ncbi.nlm.nih.gov/protein/QFK73257.1?report=genbank&amp;log$=prottop&amp;blast_rank=434&amp;RID=92EC6PSH016","QFK73257.1")</f>
        <v>QFK73257.1</v>
      </c>
    </row>
    <row r="344" spans="1:5">
      <c r="A344" s="4" t="s">
        <v>1392</v>
      </c>
      <c r="B344" s="9">
        <v>0.94</v>
      </c>
      <c r="C344" s="10">
        <v>2E-120</v>
      </c>
      <c r="D344" s="5">
        <v>64.680000000000007</v>
      </c>
      <c r="E344" s="4" t="str">
        <f>HYPERLINK("https://www.ncbi.nlm.nih.gov/protein/NMH73919.1?report=genbank&amp;log$=prottop&amp;blast_rank=437&amp;RID=92EC6PSH016","NMH73919.1")</f>
        <v>NMH73919.1</v>
      </c>
    </row>
    <row r="345" spans="1:5">
      <c r="A345" s="4" t="s">
        <v>1393</v>
      </c>
      <c r="B345" s="9">
        <v>0.99</v>
      </c>
      <c r="C345" s="10">
        <v>9.9999999999999993E-130</v>
      </c>
      <c r="D345" s="5">
        <v>64.62</v>
      </c>
      <c r="E345" s="4" t="str">
        <f>HYPERLINK("https://www.ncbi.nlm.nih.gov/protein/WP_119889238.1?report=genbank&amp;log$=prottop&amp;blast_rank=107&amp;RID=92EC6PSH016","WP_119889238.1")</f>
        <v>WP_119889238.1</v>
      </c>
    </row>
    <row r="346" spans="1:5">
      <c r="A346" s="4" t="s">
        <v>1394</v>
      </c>
      <c r="B346" s="9">
        <v>0.99</v>
      </c>
      <c r="C346" s="10">
        <v>2.9999999999999998E-128</v>
      </c>
      <c r="D346" s="5">
        <v>64.45</v>
      </c>
      <c r="E346" s="4" t="str">
        <f>HYPERLINK("https://www.ncbi.nlm.nih.gov/protein/WP_204412828.1?report=genbank&amp;log$=prottop&amp;blast_rank=137&amp;RID=92EC6PSH016","WP_204412828.1")</f>
        <v>WP_204412828.1</v>
      </c>
    </row>
    <row r="347" spans="1:5">
      <c r="A347" s="4" t="s">
        <v>1380</v>
      </c>
      <c r="B347" s="9">
        <v>0.99</v>
      </c>
      <c r="C347" s="10">
        <v>3.9999999999999999E-121</v>
      </c>
      <c r="D347" s="5">
        <v>64.45</v>
      </c>
      <c r="E347" s="4" t="str">
        <f>HYPERLINK("https://www.ncbi.nlm.nih.gov/protein/MDU5453590.1?report=genbank&amp;log$=prottop&amp;blast_rank=425&amp;RID=92EC6PSH016","MDU5453590.1")</f>
        <v>MDU5453590.1</v>
      </c>
    </row>
    <row r="348" spans="1:5">
      <c r="A348" s="4" t="s">
        <v>1395</v>
      </c>
      <c r="B348" s="9">
        <v>0.97</v>
      </c>
      <c r="C348" s="10">
        <v>3.0000000000000001E-127</v>
      </c>
      <c r="D348" s="5">
        <v>64.42</v>
      </c>
      <c r="E348" s="4" t="str">
        <f>HYPERLINK("https://www.ncbi.nlm.nih.gov/protein/WP_187515062.1?report=genbank&amp;log$=prottop&amp;blast_rank=180&amp;RID=92EC6PSH016","WP_187515062.1")</f>
        <v>WP_187515062.1</v>
      </c>
    </row>
    <row r="349" spans="1:5">
      <c r="A349" s="4" t="s">
        <v>460</v>
      </c>
      <c r="B349" s="9">
        <v>0.97</v>
      </c>
      <c r="C349" s="10">
        <v>3.9999999999999998E-126</v>
      </c>
      <c r="D349" s="5">
        <v>64.42</v>
      </c>
      <c r="E349" s="4" t="str">
        <f>HYPERLINK("https://www.ncbi.nlm.nih.gov/protein/WP_324251115.1?report=genbank&amp;log$=prottop&amp;blast_rank=231&amp;RID=92EC6PSH016","WP_324251115.1")</f>
        <v>WP_324251115.1</v>
      </c>
    </row>
    <row r="350" spans="1:5">
      <c r="A350" s="4" t="s">
        <v>262</v>
      </c>
      <c r="B350" s="9">
        <v>0.97</v>
      </c>
      <c r="C350" s="10">
        <v>6.0000000000000003E-126</v>
      </c>
      <c r="D350" s="5">
        <v>64.42</v>
      </c>
      <c r="E350" s="4" t="str">
        <f>HYPERLINK("https://www.ncbi.nlm.nih.gov/protein/WP_317580812.1?report=genbank&amp;log$=prottop&amp;blast_rank=238&amp;RID=92EC6PSH016","WP_317580812.1")</f>
        <v>WP_317580812.1</v>
      </c>
    </row>
    <row r="351" spans="1:5">
      <c r="A351" s="4" t="s">
        <v>1396</v>
      </c>
      <c r="B351" s="9">
        <v>0.97</v>
      </c>
      <c r="C351" s="10">
        <v>6.0000000000000003E-126</v>
      </c>
      <c r="D351" s="5">
        <v>64.42</v>
      </c>
      <c r="E351" s="4" t="str">
        <f>HYPERLINK("https://www.ncbi.nlm.nih.gov/protein/WP_104921709.1?report=genbank&amp;log$=prottop&amp;blast_rank=243&amp;RID=92EC6PSH016","WP_104921709.1")</f>
        <v>WP_104921709.1</v>
      </c>
    </row>
    <row r="352" spans="1:5">
      <c r="A352" s="4" t="s">
        <v>262</v>
      </c>
      <c r="B352" s="9">
        <v>0.97</v>
      </c>
      <c r="C352" s="10">
        <v>7E-126</v>
      </c>
      <c r="D352" s="5">
        <v>64.42</v>
      </c>
      <c r="E352" s="4" t="str">
        <f>HYPERLINK("https://www.ncbi.nlm.nih.gov/protein/WP_354004329.1?report=genbank&amp;log$=prottop&amp;blast_rank=247&amp;RID=92EC6PSH016","WP_354004329.1")</f>
        <v>WP_354004329.1</v>
      </c>
    </row>
    <row r="353" spans="1:5">
      <c r="A353" s="4" t="s">
        <v>1397</v>
      </c>
      <c r="B353" s="9">
        <v>0.97</v>
      </c>
      <c r="C353" s="10">
        <v>2.9999999999999999E-125</v>
      </c>
      <c r="D353" s="5">
        <v>64.42</v>
      </c>
      <c r="E353" s="4" t="str">
        <f>HYPERLINK("https://www.ncbi.nlm.nih.gov/protein/WP_046374419.1?report=genbank&amp;log$=prottop&amp;blast_rank=269&amp;RID=92EC6PSH016","WP_046374419.1")</f>
        <v>WP_046374419.1</v>
      </c>
    </row>
    <row r="354" spans="1:5">
      <c r="A354" s="4" t="s">
        <v>1368</v>
      </c>
      <c r="B354" s="9">
        <v>0.97</v>
      </c>
      <c r="C354" s="10">
        <v>7E-125</v>
      </c>
      <c r="D354" s="5">
        <v>64.42</v>
      </c>
      <c r="E354" s="4" t="str">
        <f>HYPERLINK("https://www.ncbi.nlm.nih.gov/protein/WP_235858037.1?report=genbank&amp;log$=prottop&amp;blast_rank=289&amp;RID=92EC6PSH016","WP_235858037.1")</f>
        <v>WP_235858037.1</v>
      </c>
    </row>
    <row r="355" spans="1:5">
      <c r="A355" s="4" t="s">
        <v>1398</v>
      </c>
      <c r="B355" s="9">
        <v>0.97</v>
      </c>
      <c r="C355" s="10">
        <v>9.0000000000000002E-125</v>
      </c>
      <c r="D355" s="5">
        <v>64.42</v>
      </c>
      <c r="E355" s="4" t="str">
        <f>HYPERLINK("https://www.ncbi.nlm.nih.gov/protein/VED43333.1?report=genbank&amp;log$=prottop&amp;blast_rank=291&amp;RID=92EC6PSH016","VED43333.1")</f>
        <v>VED43333.1</v>
      </c>
    </row>
    <row r="356" spans="1:5">
      <c r="A356" s="4" t="s">
        <v>1291</v>
      </c>
      <c r="B356" s="9">
        <v>0.97</v>
      </c>
      <c r="C356" s="10">
        <v>1.9999999999999999E-124</v>
      </c>
      <c r="D356" s="5">
        <v>64.42</v>
      </c>
      <c r="E356" s="4" t="str">
        <f>HYPERLINK("https://www.ncbi.nlm.nih.gov/protein/WP_009652451.1?report=genbank&amp;log$=prottop&amp;blast_rank=306&amp;RID=92EC6PSH016","WP_009652451.1")</f>
        <v>WP_009652451.1</v>
      </c>
    </row>
    <row r="357" spans="1:5">
      <c r="A357" s="4" t="s">
        <v>1399</v>
      </c>
      <c r="B357" s="9">
        <v>0.97</v>
      </c>
      <c r="C357" s="10">
        <v>3.9999999999999997E-124</v>
      </c>
      <c r="D357" s="5">
        <v>64.42</v>
      </c>
      <c r="E357" s="4" t="str">
        <f>HYPERLINK("https://www.ncbi.nlm.nih.gov/protein/WP_138781937.1?report=genbank&amp;log$=prottop&amp;blast_rank=319&amp;RID=92EC6PSH016","WP_138781937.1")</f>
        <v>WP_138781937.1</v>
      </c>
    </row>
    <row r="358" spans="1:5">
      <c r="A358" s="4" t="s">
        <v>262</v>
      </c>
      <c r="B358" s="9">
        <v>0.97</v>
      </c>
      <c r="C358" s="10">
        <v>3.9999999999999997E-124</v>
      </c>
      <c r="D358" s="5">
        <v>64.42</v>
      </c>
      <c r="E358" s="4" t="str">
        <f>HYPERLINK("https://www.ncbi.nlm.nih.gov/protein/EKU8656024.1?report=genbank&amp;log$=prottop&amp;blast_rank=320&amp;RID=92EC6PSH016","EKU8656024.1")</f>
        <v>EKU8656024.1</v>
      </c>
    </row>
    <row r="359" spans="1:5">
      <c r="A359" s="4" t="s">
        <v>267</v>
      </c>
      <c r="B359" s="9">
        <v>0.97</v>
      </c>
      <c r="C359" s="10">
        <v>6E-124</v>
      </c>
      <c r="D359" s="5">
        <v>64.42</v>
      </c>
      <c r="E359" s="4" t="str">
        <f>HYPERLINK("https://www.ncbi.nlm.nih.gov/protein/WP_131930481.1?report=genbank&amp;log$=prottop&amp;blast_rank=326&amp;RID=92EC6PSH016","WP_131930481.1")</f>
        <v>WP_131930481.1</v>
      </c>
    </row>
    <row r="360" spans="1:5">
      <c r="A360" s="4" t="s">
        <v>262</v>
      </c>
      <c r="B360" s="9">
        <v>0.97</v>
      </c>
      <c r="C360" s="10">
        <v>8.9999999999999992E-124</v>
      </c>
      <c r="D360" s="5">
        <v>64.42</v>
      </c>
      <c r="E360" s="4" t="str">
        <f>HYPERLINK("https://www.ncbi.nlm.nih.gov/protein/WP_063740491.1?report=genbank&amp;log$=prottop&amp;blast_rank=338&amp;RID=92EC6PSH016","WP_063740491.1")</f>
        <v>WP_063740491.1</v>
      </c>
    </row>
    <row r="361" spans="1:5">
      <c r="A361" s="4" t="s">
        <v>1371</v>
      </c>
      <c r="B361" s="9">
        <v>1</v>
      </c>
      <c r="C361" s="10">
        <v>4.0000000000000001E-127</v>
      </c>
      <c r="D361" s="5">
        <v>64.319999999999993</v>
      </c>
      <c r="E361" s="4" t="str">
        <f>HYPERLINK("https://www.ncbi.nlm.nih.gov/protein/MBK0127063.1?report=genbank&amp;log$=prottop&amp;blast_rank=185&amp;RID=92EC6PSH016","MBK0127063.1")</f>
        <v>MBK0127063.1</v>
      </c>
    </row>
    <row r="362" spans="1:5">
      <c r="A362" s="4" t="s">
        <v>1395</v>
      </c>
      <c r="B362" s="9">
        <v>1</v>
      </c>
      <c r="C362" s="10">
        <v>4.0000000000000001E-127</v>
      </c>
      <c r="D362" s="5">
        <v>64.319999999999993</v>
      </c>
      <c r="E362" s="4" t="str">
        <f>HYPERLINK("https://www.ncbi.nlm.nih.gov/protein/WP_116585338.1?report=genbank&amp;log$=prottop&amp;blast_rank=186&amp;RID=92EC6PSH016","WP_116585338.1")</f>
        <v>WP_116585338.1</v>
      </c>
    </row>
    <row r="363" spans="1:5">
      <c r="A363" s="4" t="s">
        <v>674</v>
      </c>
      <c r="B363" s="9">
        <v>0.93</v>
      </c>
      <c r="C363" s="10">
        <v>4.0000000000000001E-119</v>
      </c>
      <c r="D363" s="5">
        <v>64.319999999999993</v>
      </c>
      <c r="E363" s="4" t="str">
        <f>HYPERLINK("https://www.ncbi.nlm.nih.gov/protein/HMQ79912.1?report=genbank&amp;log$=prottop&amp;blast_rank=464&amp;RID=92EC6PSH016","HMQ79912.1")</f>
        <v>HMQ79912.1</v>
      </c>
    </row>
    <row r="364" spans="1:5">
      <c r="A364" s="4" t="s">
        <v>1400</v>
      </c>
      <c r="B364" s="9">
        <v>0.98</v>
      </c>
      <c r="C364" s="10">
        <v>2.9999999999999999E-125</v>
      </c>
      <c r="D364" s="5">
        <v>64.290000000000006</v>
      </c>
      <c r="E364" s="4" t="str">
        <f>HYPERLINK("https://www.ncbi.nlm.nih.gov/protein/WP_232310374.1?report=genbank&amp;log$=prottop&amp;blast_rank=270&amp;RID=92EC6PSH016","WP_232310374.1")</f>
        <v>WP_232310374.1</v>
      </c>
    </row>
    <row r="365" spans="1:5">
      <c r="A365" s="4" t="s">
        <v>1352</v>
      </c>
      <c r="B365" s="9">
        <v>0.98</v>
      </c>
      <c r="C365" s="10">
        <v>2.9999999999999998E-123</v>
      </c>
      <c r="D365" s="5">
        <v>64.290000000000006</v>
      </c>
      <c r="E365" s="4" t="str">
        <f>HYPERLINK("https://www.ncbi.nlm.nih.gov/protein/WP_237662870.1?report=genbank&amp;log$=prottop&amp;blast_rank=358&amp;RID=92EC6PSH016","WP_237662870.1")</f>
        <v>WP_237662870.1</v>
      </c>
    </row>
    <row r="366" spans="1:5">
      <c r="A366" s="4" t="s">
        <v>470</v>
      </c>
      <c r="B366" s="9">
        <v>0.99</v>
      </c>
      <c r="C366" s="10">
        <v>2.0000000000000001E-127</v>
      </c>
      <c r="D366" s="5">
        <v>64.150000000000006</v>
      </c>
      <c r="E366" s="4" t="str">
        <f>HYPERLINK("https://www.ncbi.nlm.nih.gov/protein/WP_165552190.1?report=genbank&amp;log$=prottop&amp;blast_rank=169&amp;RID=92EC6PSH016","WP_165552190.1")</f>
        <v>WP_165552190.1</v>
      </c>
    </row>
    <row r="367" spans="1:5">
      <c r="A367" s="4" t="s">
        <v>1374</v>
      </c>
      <c r="B367" s="9">
        <v>0.99</v>
      </c>
      <c r="C367" s="10">
        <v>4.9999999999999999E-122</v>
      </c>
      <c r="D367" s="5">
        <v>64.150000000000006</v>
      </c>
      <c r="E367" s="4" t="str">
        <f>HYPERLINK("https://www.ncbi.nlm.nih.gov/protein/WP_261825232.1?report=genbank&amp;log$=prottop&amp;blast_rank=409&amp;RID=92EC6PSH016","WP_261825232.1")</f>
        <v>WP_261825232.1</v>
      </c>
    </row>
    <row r="368" spans="1:5">
      <c r="A368" s="4" t="s">
        <v>1370</v>
      </c>
      <c r="B368" s="9">
        <v>0.99</v>
      </c>
      <c r="C368" s="10">
        <v>2E-119</v>
      </c>
      <c r="D368" s="5">
        <v>64.150000000000006</v>
      </c>
      <c r="E368" s="4" t="str">
        <f>HYPERLINK("https://www.ncbi.nlm.nih.gov/protein/WP_176018053.1?report=genbank&amp;log$=prottop&amp;blast_rank=452&amp;RID=92EC6PSH016","WP_176018053.1")</f>
        <v>WP_176018053.1</v>
      </c>
    </row>
    <row r="369" spans="1:5">
      <c r="A369" s="4" t="s">
        <v>1370</v>
      </c>
      <c r="B369" s="9">
        <v>0.99</v>
      </c>
      <c r="C369" s="10">
        <v>2E-119</v>
      </c>
      <c r="D369" s="5">
        <v>64.150000000000006</v>
      </c>
      <c r="E369" s="4" t="str">
        <f>HYPERLINK("https://www.ncbi.nlm.nih.gov/protein/WP_336714457.1?report=genbank&amp;log$=prottop&amp;blast_rank=455&amp;RID=92EC6PSH016","WP_336714457.1")</f>
        <v>WP_336714457.1</v>
      </c>
    </row>
    <row r="370" spans="1:5">
      <c r="A370" s="4" t="s">
        <v>1401</v>
      </c>
      <c r="B370" s="9">
        <v>0.99</v>
      </c>
      <c r="C370" s="10">
        <v>7E-126</v>
      </c>
      <c r="D370" s="5">
        <v>63.98</v>
      </c>
      <c r="E370" s="4" t="str">
        <f>HYPERLINK("https://www.ncbi.nlm.nih.gov/protein/WP_248737332.1?report=genbank&amp;log$=prottop&amp;blast_rank=246&amp;RID=92EC6PSH016","WP_248737332.1")</f>
        <v>WP_248737332.1</v>
      </c>
    </row>
    <row r="371" spans="1:5">
      <c r="A371" s="4" t="s">
        <v>1395</v>
      </c>
      <c r="B371" s="9">
        <v>0.97</v>
      </c>
      <c r="C371" s="10">
        <v>2.0000000000000001E-127</v>
      </c>
      <c r="D371" s="5">
        <v>63.94</v>
      </c>
      <c r="E371" s="4" t="str">
        <f>HYPERLINK("https://www.ncbi.nlm.nih.gov/protein/WP_150036939.1?report=genbank&amp;log$=prottop&amp;blast_rank=171&amp;RID=92EC6PSH016","WP_150036939.1")</f>
        <v>WP_150036939.1</v>
      </c>
    </row>
    <row r="372" spans="1:5">
      <c r="A372" s="4" t="s">
        <v>1402</v>
      </c>
      <c r="B372" s="9">
        <v>0.97</v>
      </c>
      <c r="C372" s="10">
        <v>3.0000000000000002E-126</v>
      </c>
      <c r="D372" s="5">
        <v>63.94</v>
      </c>
      <c r="E372" s="4" t="str">
        <f>HYPERLINK("https://www.ncbi.nlm.nih.gov/protein/WP_346440630.1?report=genbank&amp;log$=prottop&amp;blast_rank=225&amp;RID=92EC6PSH016","WP_346440630.1")</f>
        <v>WP_346440630.1</v>
      </c>
    </row>
    <row r="373" spans="1:5">
      <c r="A373" s="4" t="s">
        <v>1403</v>
      </c>
      <c r="B373" s="9">
        <v>0.97</v>
      </c>
      <c r="C373" s="10">
        <v>2E-125</v>
      </c>
      <c r="D373" s="5">
        <v>63.94</v>
      </c>
      <c r="E373" s="4" t="str">
        <f>HYPERLINK("https://www.ncbi.nlm.nih.gov/protein/WP_045325595.1?report=genbank&amp;log$=prottop&amp;blast_rank=262&amp;RID=92EC6PSH016","WP_045325595.1")</f>
        <v>WP_045325595.1</v>
      </c>
    </row>
    <row r="374" spans="1:5">
      <c r="A374" s="4" t="s">
        <v>1404</v>
      </c>
      <c r="B374" s="9">
        <v>0.94</v>
      </c>
      <c r="C374" s="10">
        <v>9.9999999999999998E-121</v>
      </c>
      <c r="D374" s="5">
        <v>63.86</v>
      </c>
      <c r="E374" s="4" t="str">
        <f>HYPERLINK("https://www.ncbi.nlm.nih.gov/protein/WP_248574515.1?report=genbank&amp;log$=prottop&amp;blast_rank=433&amp;RID=92EC6PSH016","WP_248574515.1")</f>
        <v>WP_248574515.1</v>
      </c>
    </row>
    <row r="375" spans="1:5">
      <c r="A375" s="4" t="s">
        <v>1405</v>
      </c>
      <c r="B375" s="9">
        <v>1</v>
      </c>
      <c r="C375" s="10">
        <v>8.9999999999999998E-127</v>
      </c>
      <c r="D375" s="5">
        <v>63.85</v>
      </c>
      <c r="E375" s="4" t="str">
        <f>HYPERLINK("https://www.ncbi.nlm.nih.gov/protein/WP_241575233.1?report=genbank&amp;log$=prottop&amp;blast_rank=213&amp;RID=92EC6PSH016","WP_241575233.1")</f>
        <v>WP_241575233.1</v>
      </c>
    </row>
    <row r="376" spans="1:5">
      <c r="A376" s="4" t="s">
        <v>1402</v>
      </c>
      <c r="B376" s="9">
        <v>1</v>
      </c>
      <c r="C376" s="10">
        <v>3.0000000000000002E-126</v>
      </c>
      <c r="D376" s="5">
        <v>63.85</v>
      </c>
      <c r="E376" s="4" t="str">
        <f>HYPERLINK("https://www.ncbi.nlm.nih.gov/protein/WP_354439701.1?report=genbank&amp;log$=prottop&amp;blast_rank=227&amp;RID=92EC6PSH016","WP_354439701.1")</f>
        <v>WP_354439701.1</v>
      </c>
    </row>
    <row r="377" spans="1:5">
      <c r="A377" s="4" t="s">
        <v>1406</v>
      </c>
      <c r="B377" s="9">
        <v>1</v>
      </c>
      <c r="C377" s="10">
        <v>6.0000000000000003E-126</v>
      </c>
      <c r="D377" s="5">
        <v>63.85</v>
      </c>
      <c r="E377" s="4" t="str">
        <f>HYPERLINK("https://www.ncbi.nlm.nih.gov/protein/WP_048279403.1?report=genbank&amp;log$=prottop&amp;blast_rank=237&amp;RID=92EC6PSH016","WP_048279403.1")</f>
        <v>WP_048279403.1</v>
      </c>
    </row>
    <row r="378" spans="1:5">
      <c r="A378" s="4" t="s">
        <v>1370</v>
      </c>
      <c r="B378" s="9">
        <v>0.98</v>
      </c>
      <c r="C378" s="10">
        <v>2.0000000000000001E-128</v>
      </c>
      <c r="D378" s="5">
        <v>63.81</v>
      </c>
      <c r="E378" s="4" t="str">
        <f>HYPERLINK("https://www.ncbi.nlm.nih.gov/protein/WP_158151258.1?report=genbank&amp;log$=prottop&amp;blast_rank=134&amp;RID=92EC6PSH016","WP_158151258.1")</f>
        <v>WP_158151258.1</v>
      </c>
    </row>
    <row r="379" spans="1:5">
      <c r="A379" s="4" t="s">
        <v>1386</v>
      </c>
      <c r="B379" s="9">
        <v>0.98</v>
      </c>
      <c r="C379" s="10">
        <v>3.0000000000000002E-126</v>
      </c>
      <c r="D379" s="5">
        <v>63.81</v>
      </c>
      <c r="E379" s="4" t="str">
        <f>HYPERLINK("https://www.ncbi.nlm.nih.gov/protein/WP_312079331.1?report=genbank&amp;log$=prottop&amp;blast_rank=230&amp;RID=92EC6PSH016","WP_312079331.1")</f>
        <v>WP_312079331.1</v>
      </c>
    </row>
    <row r="380" spans="1:5">
      <c r="A380" s="4" t="s">
        <v>1377</v>
      </c>
      <c r="B380" s="9">
        <v>0.98</v>
      </c>
      <c r="C380" s="10">
        <v>7E-126</v>
      </c>
      <c r="D380" s="5">
        <v>63.81</v>
      </c>
      <c r="E380" s="4" t="str">
        <f>HYPERLINK("https://www.ncbi.nlm.nih.gov/protein/WP_231594009.1?report=genbank&amp;log$=prottop&amp;blast_rank=245&amp;RID=92EC6PSH016","WP_231594009.1")</f>
        <v>WP_231594009.1</v>
      </c>
    </row>
    <row r="381" spans="1:5">
      <c r="A381" s="4" t="s">
        <v>323</v>
      </c>
      <c r="B381" s="9">
        <v>0.99</v>
      </c>
      <c r="C381" s="10">
        <v>9.9999999999999993E-125</v>
      </c>
      <c r="D381" s="5">
        <v>63.81</v>
      </c>
      <c r="E381" s="4" t="str">
        <f>HYPERLINK("https://www.ncbi.nlm.nih.gov/protein/WP_202818502.1?report=genbank&amp;log$=prottop&amp;blast_rank=300&amp;RID=92EC6PSH016","WP_202818502.1")</f>
        <v>WP_202818502.1</v>
      </c>
    </row>
    <row r="382" spans="1:5">
      <c r="A382" s="4" t="s">
        <v>1407</v>
      </c>
      <c r="B382" s="9">
        <v>0.96</v>
      </c>
      <c r="C382" s="10">
        <v>2.0000000000000001E-117</v>
      </c>
      <c r="D382" s="5">
        <v>63.73</v>
      </c>
      <c r="E382" s="4" t="str">
        <f>HYPERLINK("https://www.ncbi.nlm.nih.gov/protein/WP_260408862.1?report=genbank&amp;log$=prottop&amp;blast_rank=492&amp;RID=92EC6PSH016","WP_260408862.1")</f>
        <v>WP_260408862.1</v>
      </c>
    </row>
    <row r="383" spans="1:5">
      <c r="A383" s="4" t="s">
        <v>1070</v>
      </c>
      <c r="B383" s="9">
        <v>0.96</v>
      </c>
      <c r="C383" s="10">
        <v>8.0000000000000002E-117</v>
      </c>
      <c r="D383" s="5">
        <v>63.73</v>
      </c>
      <c r="E383" s="4" t="str">
        <f>HYPERLINK("https://www.ncbi.nlm.nih.gov/protein/WP_047541452.1?report=genbank&amp;log$=prottop&amp;blast_rank=500&amp;RID=92EC6PSH016","WP_047541452.1")</f>
        <v>WP_047541452.1</v>
      </c>
    </row>
    <row r="384" spans="1:5">
      <c r="A384" s="4" t="s">
        <v>1408</v>
      </c>
      <c r="B384" s="9">
        <v>0.99</v>
      </c>
      <c r="C384" s="10">
        <v>1.0000000000000001E-128</v>
      </c>
      <c r="D384" s="5">
        <v>63.68</v>
      </c>
      <c r="E384" s="4" t="str">
        <f>HYPERLINK("https://www.ncbi.nlm.nih.gov/protein/WP_164483037.1?report=genbank&amp;log$=prottop&amp;blast_rank=129&amp;RID=92EC6PSH016","WP_164483037.1")</f>
        <v>WP_164483037.1</v>
      </c>
    </row>
    <row r="385" spans="1:5">
      <c r="A385" s="4" t="s">
        <v>1408</v>
      </c>
      <c r="B385" s="9">
        <v>0.99</v>
      </c>
      <c r="C385" s="10">
        <v>4.0000000000000002E-128</v>
      </c>
      <c r="D385" s="5">
        <v>63.68</v>
      </c>
      <c r="E385" s="4" t="str">
        <f>HYPERLINK("https://www.ncbi.nlm.nih.gov/protein/WP_039338451.1?report=genbank&amp;log$=prottop&amp;blast_rank=143&amp;RID=92EC6PSH016","WP_039338451.1")</f>
        <v>WP_039338451.1</v>
      </c>
    </row>
    <row r="386" spans="1:5">
      <c r="A386" s="4" t="s">
        <v>1409</v>
      </c>
      <c r="B386" s="9">
        <v>0.99</v>
      </c>
      <c r="C386" s="10">
        <v>3.9999999999999998E-126</v>
      </c>
      <c r="D386" s="5">
        <v>63.68</v>
      </c>
      <c r="E386" s="4" t="str">
        <f>HYPERLINK("https://www.ncbi.nlm.nih.gov/protein/WP_198236600.1?report=genbank&amp;log$=prottop&amp;blast_rank=233&amp;RID=92EC6PSH016","WP_198236600.1")</f>
        <v>WP_198236600.1</v>
      </c>
    </row>
    <row r="387" spans="1:5">
      <c r="A387" s="4" t="s">
        <v>1395</v>
      </c>
      <c r="B387" s="9">
        <v>0.99</v>
      </c>
      <c r="C387" s="10">
        <v>1E-119</v>
      </c>
      <c r="D387" s="5">
        <v>63.68</v>
      </c>
      <c r="E387" s="4" t="str">
        <f>HYPERLINK("https://www.ncbi.nlm.nih.gov/protein/WP_058707759.1?report=genbank&amp;log$=prottop&amp;blast_rank=449&amp;RID=92EC6PSH016","WP_058707759.1")</f>
        <v>WP_058707759.1</v>
      </c>
    </row>
    <row r="388" spans="1:5">
      <c r="A388" s="4" t="s">
        <v>1370</v>
      </c>
      <c r="B388" s="9">
        <v>0.99</v>
      </c>
      <c r="C388" s="10">
        <v>2E-119</v>
      </c>
      <c r="D388" s="5">
        <v>63.68</v>
      </c>
      <c r="E388" s="4" t="str">
        <f>HYPERLINK("https://www.ncbi.nlm.nih.gov/protein/WP_336730747.1?report=genbank&amp;log$=prottop&amp;blast_rank=453&amp;RID=92EC6PSH016","WP_336730747.1")</f>
        <v>WP_336730747.1</v>
      </c>
    </row>
    <row r="389" spans="1:5">
      <c r="A389" s="4" t="s">
        <v>1402</v>
      </c>
      <c r="B389" s="9">
        <v>0.99</v>
      </c>
      <c r="C389" s="10">
        <v>2E-119</v>
      </c>
      <c r="D389" s="5">
        <v>63.68</v>
      </c>
      <c r="E389" s="4" t="str">
        <f>HYPERLINK("https://www.ncbi.nlm.nih.gov/protein/WP_154926710.1?report=genbank&amp;log$=prottop&amp;blast_rank=456&amp;RID=92EC6PSH016","WP_154926710.1")</f>
        <v>WP_154926710.1</v>
      </c>
    </row>
    <row r="390" spans="1:5">
      <c r="A390" s="4" t="s">
        <v>1370</v>
      </c>
      <c r="B390" s="9">
        <v>0.99</v>
      </c>
      <c r="C390" s="10">
        <v>3.0000000000000002E-119</v>
      </c>
      <c r="D390" s="5">
        <v>63.68</v>
      </c>
      <c r="E390" s="4" t="str">
        <f>HYPERLINK("https://www.ncbi.nlm.nih.gov/protein/WP_210523905.1?report=genbank&amp;log$=prottop&amp;blast_rank=461&amp;RID=92EC6PSH016","WP_210523905.1")</f>
        <v>WP_210523905.1</v>
      </c>
    </row>
    <row r="391" spans="1:5">
      <c r="A391" s="4" t="s">
        <v>1410</v>
      </c>
      <c r="B391" s="9">
        <v>0.94</v>
      </c>
      <c r="C391" s="10">
        <v>1E-117</v>
      </c>
      <c r="D391" s="5">
        <v>63.68</v>
      </c>
      <c r="E391" s="4" t="str">
        <f>HYPERLINK("https://www.ncbi.nlm.nih.gov/protein/WP_318539773.1?report=genbank&amp;log$=prottop&amp;blast_rank=487&amp;RID=92EC6PSH016","WP_318539773.1")</f>
        <v>WP_318539773.1</v>
      </c>
    </row>
    <row r="392" spans="1:5">
      <c r="A392" s="4" t="s">
        <v>1410</v>
      </c>
      <c r="B392" s="9">
        <v>0.94</v>
      </c>
      <c r="C392" s="10">
        <v>2.9999999999999999E-117</v>
      </c>
      <c r="D392" s="5">
        <v>63.68</v>
      </c>
      <c r="E392" s="4" t="str">
        <f>HYPERLINK("https://www.ncbi.nlm.nih.gov/protein/WP_255248183.1?report=genbank&amp;log$=prottop&amp;blast_rank=493&amp;RID=92EC6PSH016","WP_255248183.1")</f>
        <v>WP_255248183.1</v>
      </c>
    </row>
    <row r="393" spans="1:5">
      <c r="A393" s="4" t="s">
        <v>1311</v>
      </c>
      <c r="B393" s="9">
        <v>0.98</v>
      </c>
      <c r="C393" s="10">
        <v>9.9999999999999993E-125</v>
      </c>
      <c r="D393" s="5">
        <v>63.64</v>
      </c>
      <c r="E393" s="4" t="str">
        <f>HYPERLINK("https://www.ncbi.nlm.nih.gov/protein/WP_335384302.1?report=genbank&amp;log$=prottop&amp;blast_rank=301&amp;RID=92EC6PSH016","WP_335384302.1")</f>
        <v>WP_335384302.1</v>
      </c>
    </row>
    <row r="394" spans="1:5">
      <c r="A394" s="4" t="s">
        <v>1411</v>
      </c>
      <c r="B394" s="9">
        <v>0.99</v>
      </c>
      <c r="C394" s="10">
        <v>2E-125</v>
      </c>
      <c r="D394" s="5">
        <v>63.51</v>
      </c>
      <c r="E394" s="4" t="str">
        <f>HYPERLINK("https://www.ncbi.nlm.nih.gov/protein/WP_245864242.1?report=genbank&amp;log$=prottop&amp;blast_rank=260&amp;RID=92EC6PSH016","WP_245864242.1")</f>
        <v>WP_245864242.1</v>
      </c>
    </row>
    <row r="395" spans="1:5">
      <c r="A395" s="4" t="s">
        <v>1412</v>
      </c>
      <c r="B395" s="9">
        <v>0.97</v>
      </c>
      <c r="C395" s="10">
        <v>6.9999999999999998E-127</v>
      </c>
      <c r="D395" s="5">
        <v>63.46</v>
      </c>
      <c r="E395" s="4" t="str">
        <f>HYPERLINK("https://www.ncbi.nlm.nih.gov/protein/WP_077246125.1?report=genbank&amp;log$=prottop&amp;blast_rank=210&amp;RID=92EC6PSH016","WP_077246125.1")</f>
        <v>WP_077246125.1</v>
      </c>
    </row>
    <row r="396" spans="1:5">
      <c r="A396" s="4" t="s">
        <v>1079</v>
      </c>
      <c r="B396" s="9">
        <v>0.98</v>
      </c>
      <c r="C396" s="10">
        <v>1.0000000000000001E-122</v>
      </c>
      <c r="D396" s="5">
        <v>63.46</v>
      </c>
      <c r="E396" s="4" t="str">
        <f>HYPERLINK("https://www.ncbi.nlm.nih.gov/protein/WP_312318859.1?report=genbank&amp;log$=prottop&amp;blast_rank=387&amp;RID=92EC6PSH016","WP_312318859.1")</f>
        <v>WP_312318859.1</v>
      </c>
    </row>
    <row r="397" spans="1:5">
      <c r="A397" s="4" t="s">
        <v>1410</v>
      </c>
      <c r="B397" s="9">
        <v>0.96</v>
      </c>
      <c r="C397" s="10">
        <v>3.0000000000000002E-119</v>
      </c>
      <c r="D397" s="5">
        <v>63.41</v>
      </c>
      <c r="E397" s="4" t="str">
        <f>HYPERLINK("https://www.ncbi.nlm.nih.gov/protein/PAE08309.1?report=genbank&amp;log$=prottop&amp;blast_rank=460&amp;RID=92EC6PSH016","PAE08309.1")</f>
        <v>PAE08309.1</v>
      </c>
    </row>
    <row r="398" spans="1:5">
      <c r="A398" s="4" t="s">
        <v>1413</v>
      </c>
      <c r="B398" s="9">
        <v>1</v>
      </c>
      <c r="C398" s="10">
        <v>6.0000000000000002E-127</v>
      </c>
      <c r="D398" s="5">
        <v>63.38</v>
      </c>
      <c r="E398" s="4" t="str">
        <f>HYPERLINK("https://www.ncbi.nlm.nih.gov/protein/ORM51408.1?report=genbank&amp;log$=prottop&amp;blast_rank=207&amp;RID=92EC6PSH016","ORM51408.1")</f>
        <v>ORM51408.1</v>
      </c>
    </row>
    <row r="399" spans="1:5">
      <c r="A399" s="4" t="s">
        <v>1406</v>
      </c>
      <c r="B399" s="9">
        <v>1</v>
      </c>
      <c r="C399" s="10">
        <v>3.0000000000000002E-126</v>
      </c>
      <c r="D399" s="5">
        <v>63.38</v>
      </c>
      <c r="E399" s="4" t="str">
        <f>HYPERLINK("https://www.ncbi.nlm.nih.gov/protein/WP_043080700.1?report=genbank&amp;log$=prottop&amp;blast_rank=226&amp;RID=92EC6PSH016","WP_043080700.1")</f>
        <v>WP_043080700.1</v>
      </c>
    </row>
    <row r="400" spans="1:5">
      <c r="A400" s="4" t="s">
        <v>1406</v>
      </c>
      <c r="B400" s="9">
        <v>1</v>
      </c>
      <c r="C400" s="10">
        <v>4E-125</v>
      </c>
      <c r="D400" s="5">
        <v>63.38</v>
      </c>
      <c r="E400" s="4" t="str">
        <f>HYPERLINK("https://www.ncbi.nlm.nih.gov/protein/WP_048286414.1?report=genbank&amp;log$=prottop&amp;blast_rank=277&amp;RID=92EC6PSH016","WP_048286414.1")</f>
        <v>WP_048286414.1</v>
      </c>
    </row>
    <row r="401" spans="1:5">
      <c r="A401" s="4" t="s">
        <v>1414</v>
      </c>
      <c r="B401" s="9">
        <v>0.99</v>
      </c>
      <c r="C401" s="10">
        <v>1.9999999999999999E-124</v>
      </c>
      <c r="D401" s="5">
        <v>63.38</v>
      </c>
      <c r="E401" s="4" t="str">
        <f>HYPERLINK("https://www.ncbi.nlm.nih.gov/protein/WP_317087485.1?report=genbank&amp;log$=prottop&amp;blast_rank=307&amp;RID=92EC6PSH016","WP_317087485.1")</f>
        <v>WP_317087485.1</v>
      </c>
    </row>
    <row r="402" spans="1:5">
      <c r="A402" s="4" t="s">
        <v>1415</v>
      </c>
      <c r="B402" s="9">
        <v>0.98</v>
      </c>
      <c r="C402" s="10">
        <v>1E-125</v>
      </c>
      <c r="D402" s="5">
        <v>63.33</v>
      </c>
      <c r="E402" s="4" t="str">
        <f>HYPERLINK("https://www.ncbi.nlm.nih.gov/protein/WP_251398024.1?report=genbank&amp;log$=prottop&amp;blast_rank=254&amp;RID=92EC6PSH016","WP_251398024.1")</f>
        <v>WP_251398024.1</v>
      </c>
    </row>
    <row r="403" spans="1:5">
      <c r="A403" s="4" t="s">
        <v>1416</v>
      </c>
      <c r="B403" s="9">
        <v>0.98</v>
      </c>
      <c r="C403" s="10">
        <v>1.9999999999999999E-124</v>
      </c>
      <c r="D403" s="5">
        <v>63.33</v>
      </c>
      <c r="E403" s="4" t="str">
        <f>HYPERLINK("https://www.ncbi.nlm.nih.gov/protein/WP_225983687.1?report=genbank&amp;log$=prottop&amp;blast_rank=305&amp;RID=92EC6PSH016","WP_225983687.1")</f>
        <v>WP_225983687.1</v>
      </c>
    </row>
    <row r="404" spans="1:5">
      <c r="A404" s="4" t="s">
        <v>1392</v>
      </c>
      <c r="B404" s="9">
        <v>0.98</v>
      </c>
      <c r="C404" s="10">
        <v>1.0000000000000001E-123</v>
      </c>
      <c r="D404" s="5">
        <v>63.33</v>
      </c>
      <c r="E404" s="4" t="str">
        <f>HYPERLINK("https://www.ncbi.nlm.nih.gov/protein/WP_346775339.1?report=genbank&amp;log$=prottop&amp;blast_rank=339&amp;RID=92EC6PSH016","WP_346775339.1")</f>
        <v>WP_346775339.1</v>
      </c>
    </row>
    <row r="405" spans="1:5">
      <c r="A405" s="4" t="s">
        <v>1417</v>
      </c>
      <c r="B405" s="9">
        <v>0.97</v>
      </c>
      <c r="C405" s="10">
        <v>3.9999999999999999E-120</v>
      </c>
      <c r="D405" s="5">
        <v>63.29</v>
      </c>
      <c r="E405" s="4" t="str">
        <f>HYPERLINK("https://www.ncbi.nlm.nih.gov/protein/WP_303687240.1?report=genbank&amp;log$=prottop&amp;blast_rank=440&amp;RID=92EC6PSH016","WP_303687240.1")</f>
        <v>WP_303687240.1</v>
      </c>
    </row>
    <row r="406" spans="1:5">
      <c r="A406" s="4" t="s">
        <v>262</v>
      </c>
      <c r="B406" s="9">
        <v>0.95</v>
      </c>
      <c r="C406" s="10">
        <v>1E-119</v>
      </c>
      <c r="D406" s="5">
        <v>63.24</v>
      </c>
      <c r="E406" s="4" t="str">
        <f>HYPERLINK("https://www.ncbi.nlm.nih.gov/protein/HBR9603775.1?report=genbank&amp;log$=prottop&amp;blast_rank=447&amp;RID=92EC6PSH016","HBR9603775.1")</f>
        <v>HBR9603775.1</v>
      </c>
    </row>
    <row r="407" spans="1:5">
      <c r="A407" s="4" t="s">
        <v>1418</v>
      </c>
      <c r="B407" s="9">
        <v>0.99</v>
      </c>
      <c r="C407" s="10">
        <v>8.0000000000000004E-128</v>
      </c>
      <c r="D407" s="5">
        <v>63.21</v>
      </c>
      <c r="E407" s="4" t="str">
        <f>HYPERLINK("https://www.ncbi.nlm.nih.gov/protein/WP_159227077.1?report=genbank&amp;log$=prottop&amp;blast_rank=159&amp;RID=92EC6PSH016","WP_159227077.1")</f>
        <v>WP_159227077.1</v>
      </c>
    </row>
    <row r="408" spans="1:5">
      <c r="A408" s="4" t="s">
        <v>1370</v>
      </c>
      <c r="B408" s="9">
        <v>0.99</v>
      </c>
      <c r="C408" s="10">
        <v>6.9999999999999997E-120</v>
      </c>
      <c r="D408" s="5">
        <v>63.21</v>
      </c>
      <c r="E408" s="4" t="str">
        <f>HYPERLINK("https://www.ncbi.nlm.nih.gov/protein/WP_112899926.1?report=genbank&amp;log$=prottop&amp;blast_rank=443&amp;RID=92EC6PSH016","WP_112899926.1")</f>
        <v>WP_112899926.1</v>
      </c>
    </row>
    <row r="409" spans="1:5">
      <c r="A409" s="4" t="s">
        <v>1370</v>
      </c>
      <c r="B409" s="9">
        <v>0.99</v>
      </c>
      <c r="C409" s="10">
        <v>7.9999999999999998E-120</v>
      </c>
      <c r="D409" s="5">
        <v>63.21</v>
      </c>
      <c r="E409" s="4" t="str">
        <f>HYPERLINK("https://www.ncbi.nlm.nih.gov/protein/WP_210530807.1?report=genbank&amp;log$=prottop&amp;blast_rank=444&amp;RID=92EC6PSH016","WP_210530807.1")</f>
        <v>WP_210530807.1</v>
      </c>
    </row>
    <row r="410" spans="1:5">
      <c r="A410" s="4" t="s">
        <v>1395</v>
      </c>
      <c r="B410" s="9">
        <v>0.99</v>
      </c>
      <c r="C410" s="10">
        <v>2E-119</v>
      </c>
      <c r="D410" s="5">
        <v>63.21</v>
      </c>
      <c r="E410" s="4" t="str">
        <f>HYPERLINK("https://www.ncbi.nlm.nih.gov/protein/WP_110003357.1?report=genbank&amp;log$=prottop&amp;blast_rank=451&amp;RID=92EC6PSH016","WP_110003357.1")</f>
        <v>WP_110003357.1</v>
      </c>
    </row>
    <row r="411" spans="1:5">
      <c r="A411" s="4" t="s">
        <v>1377</v>
      </c>
      <c r="B411" s="9">
        <v>0.99</v>
      </c>
      <c r="C411" s="10">
        <v>2.9999999999999999E-125</v>
      </c>
      <c r="D411" s="5">
        <v>63.03</v>
      </c>
      <c r="E411" s="4" t="str">
        <f>HYPERLINK("https://www.ncbi.nlm.nih.gov/protein/WP_250800655.1?report=genbank&amp;log$=prottop&amp;blast_rank=274&amp;RID=92EC6PSH016","WP_250800655.1")</f>
        <v>WP_250800655.1</v>
      </c>
    </row>
    <row r="412" spans="1:5">
      <c r="A412" s="4" t="s">
        <v>1419</v>
      </c>
      <c r="B412" s="9">
        <v>0.99</v>
      </c>
      <c r="C412" s="10">
        <v>9.9999999999999993E-125</v>
      </c>
      <c r="D412" s="5">
        <v>63.03</v>
      </c>
      <c r="E412" s="4" t="str">
        <f>HYPERLINK("https://www.ncbi.nlm.nih.gov/protein/WP_335518914.1?report=genbank&amp;log$=prottop&amp;blast_rank=297&amp;RID=92EC6PSH016","WP_335518914.1")</f>
        <v>WP_335518914.1</v>
      </c>
    </row>
    <row r="413" spans="1:5">
      <c r="A413" s="4" t="s">
        <v>498</v>
      </c>
      <c r="B413" s="9">
        <v>0.99</v>
      </c>
      <c r="C413" s="10">
        <v>6.9999999999999997E-124</v>
      </c>
      <c r="D413" s="5">
        <v>63.03</v>
      </c>
      <c r="E413" s="4" t="str">
        <f>HYPERLINK("https://www.ncbi.nlm.nih.gov/protein/MED3642980.1?report=genbank&amp;log$=prottop&amp;blast_rank=331&amp;RID=92EC6PSH016","MED3642980.1")</f>
        <v>MED3642980.1</v>
      </c>
    </row>
    <row r="414" spans="1:5">
      <c r="A414" s="4" t="s">
        <v>1420</v>
      </c>
      <c r="B414" s="9">
        <v>0.99</v>
      </c>
      <c r="C414" s="10">
        <v>8.9999999999999996E-122</v>
      </c>
      <c r="D414" s="5">
        <v>63.03</v>
      </c>
      <c r="E414" s="4" t="str">
        <f>HYPERLINK("https://www.ncbi.nlm.nih.gov/protein/WP_197974112.1?report=genbank&amp;log$=prottop&amp;blast_rank=416&amp;RID=92EC6PSH016","WP_197974112.1")</f>
        <v>WP_197974112.1</v>
      </c>
    </row>
    <row r="415" spans="1:5">
      <c r="A415" s="4" t="s">
        <v>323</v>
      </c>
      <c r="B415" s="9">
        <v>0.94</v>
      </c>
      <c r="C415" s="10">
        <v>1E-117</v>
      </c>
      <c r="D415" s="5">
        <v>63</v>
      </c>
      <c r="E415" s="4" t="str">
        <f>HYPERLINK("https://www.ncbi.nlm.nih.gov/protein/KIP86737.1?report=genbank&amp;log$=prottop&amp;blast_rank=484&amp;RID=92EC6PSH016","KIP86737.1")</f>
        <v>KIP86737.1</v>
      </c>
    </row>
    <row r="416" spans="1:5">
      <c r="A416" s="4" t="s">
        <v>1421</v>
      </c>
      <c r="B416" s="9">
        <v>0.94</v>
      </c>
      <c r="C416" s="10">
        <v>2.0000000000000001E-117</v>
      </c>
      <c r="D416" s="5">
        <v>63</v>
      </c>
      <c r="E416" s="4" t="str">
        <f>HYPERLINK("https://www.ncbi.nlm.nih.gov/protein/MBD8636607.1?report=genbank&amp;log$=prottop&amp;blast_rank=491&amp;RID=92EC6PSH016","MBD8636607.1")</f>
        <v>MBD8636607.1</v>
      </c>
    </row>
    <row r="417" spans="1:5">
      <c r="A417" s="4" t="s">
        <v>266</v>
      </c>
      <c r="B417" s="9">
        <v>0.97</v>
      </c>
      <c r="C417" s="10">
        <v>1.0000000000000001E-123</v>
      </c>
      <c r="D417" s="5">
        <v>62.98</v>
      </c>
      <c r="E417" s="4" t="str">
        <f>HYPERLINK("https://www.ncbi.nlm.nih.gov/protein/HBQ8815173.1?report=genbank&amp;log$=prottop&amp;blast_rank=344&amp;RID=92EC6PSH016","HBQ8815173.1")</f>
        <v>HBQ8815173.1</v>
      </c>
    </row>
    <row r="418" spans="1:5">
      <c r="A418" s="4" t="s">
        <v>262</v>
      </c>
      <c r="B418" s="9">
        <v>0.97</v>
      </c>
      <c r="C418" s="10">
        <v>2.9999999999999998E-123</v>
      </c>
      <c r="D418" s="5">
        <v>62.98</v>
      </c>
      <c r="E418" s="4" t="str">
        <f>HYPERLINK("https://www.ncbi.nlm.nih.gov/protein/MCJ6364530.1?report=genbank&amp;log$=prottop&amp;blast_rank=359&amp;RID=92EC6PSH016","MCJ6364530.1")</f>
        <v>MCJ6364530.1</v>
      </c>
    </row>
    <row r="419" spans="1:5">
      <c r="A419" s="4" t="s">
        <v>1422</v>
      </c>
      <c r="B419" s="9">
        <v>0.97</v>
      </c>
      <c r="C419" s="10">
        <v>4.0000000000000002E-123</v>
      </c>
      <c r="D419" s="5">
        <v>62.98</v>
      </c>
      <c r="E419" s="4" t="str">
        <f>HYPERLINK("https://www.ncbi.nlm.nih.gov/protein/EDT2062823.1?report=genbank&amp;log$=prottop&amp;blast_rank=366&amp;RID=92EC6PSH016","EDT2062823.1")</f>
        <v>EDT2062823.1</v>
      </c>
    </row>
    <row r="420" spans="1:5">
      <c r="A420" s="4" t="s">
        <v>275</v>
      </c>
      <c r="B420" s="9">
        <v>0.97</v>
      </c>
      <c r="C420" s="10">
        <v>5.0000000000000003E-123</v>
      </c>
      <c r="D420" s="5">
        <v>62.98</v>
      </c>
      <c r="E420" s="4" t="str">
        <f>HYPERLINK("https://www.ncbi.nlm.nih.gov/protein/WP_136460898.1?report=genbank&amp;log$=prottop&amp;blast_rank=369&amp;RID=92EC6PSH016","WP_136460898.1")</f>
        <v>WP_136460898.1</v>
      </c>
    </row>
    <row r="421" spans="1:5">
      <c r="A421" s="4" t="s">
        <v>1423</v>
      </c>
      <c r="B421" s="9">
        <v>0.97</v>
      </c>
      <c r="C421" s="10">
        <v>6.9999999999999997E-123</v>
      </c>
      <c r="D421" s="5">
        <v>62.98</v>
      </c>
      <c r="E421" s="4" t="str">
        <f>HYPERLINK("https://www.ncbi.nlm.nih.gov/protein/HCR9502552.1?report=genbank&amp;log$=prottop&amp;blast_rank=377&amp;RID=92EC6PSH016","HCR9502552.1")</f>
        <v>HCR9502552.1</v>
      </c>
    </row>
    <row r="422" spans="1:5">
      <c r="A422" s="4" t="s">
        <v>280</v>
      </c>
      <c r="B422" s="9">
        <v>0.97</v>
      </c>
      <c r="C422" s="10">
        <v>3E-122</v>
      </c>
      <c r="D422" s="5">
        <v>62.98</v>
      </c>
      <c r="E422" s="4" t="str">
        <f>HYPERLINK("https://www.ncbi.nlm.nih.gov/protein/WP_241218779.1?report=genbank&amp;log$=prottop&amp;blast_rank=403&amp;RID=92EC6PSH016","WP_241218779.1")</f>
        <v>WP_241218779.1</v>
      </c>
    </row>
    <row r="423" spans="1:5">
      <c r="A423" s="4" t="s">
        <v>1424</v>
      </c>
      <c r="B423" s="9">
        <v>1</v>
      </c>
      <c r="C423" s="10">
        <v>9.9999999999999995E-127</v>
      </c>
      <c r="D423" s="5">
        <v>62.91</v>
      </c>
      <c r="E423" s="4" t="str">
        <f>HYPERLINK("https://www.ncbi.nlm.nih.gov/protein/WP_286584038.1?report=genbank&amp;log$=prottop&amp;blast_rank=215&amp;RID=92EC6PSH016","WP_286584038.1")</f>
        <v>WP_286584038.1</v>
      </c>
    </row>
    <row r="424" spans="1:5">
      <c r="A424" s="4" t="s">
        <v>292</v>
      </c>
      <c r="B424" s="9">
        <v>1</v>
      </c>
      <c r="C424" s="10">
        <v>9.9999999999999995E-127</v>
      </c>
      <c r="D424" s="5">
        <v>62.91</v>
      </c>
      <c r="E424" s="4" t="str">
        <f>HYPERLINK("https://www.ncbi.nlm.nih.gov/protein/WP_279270135.1?report=genbank&amp;log$=prottop&amp;blast_rank=216&amp;RID=92EC6PSH016","WP_279270135.1")</f>
        <v>WP_279270135.1</v>
      </c>
    </row>
    <row r="425" spans="1:5">
      <c r="A425" s="4" t="s">
        <v>1425</v>
      </c>
      <c r="B425" s="9">
        <v>0.94</v>
      </c>
      <c r="C425" s="10">
        <v>9.9999999999999999E-119</v>
      </c>
      <c r="D425" s="5">
        <v>62.87</v>
      </c>
      <c r="E425" s="4" t="str">
        <f>HYPERLINK("https://www.ncbi.nlm.nih.gov/protein/RID85214.1?report=genbank&amp;log$=prottop&amp;blast_rank=467&amp;RID=92EC6PSH016","RID85214.1")</f>
        <v>RID85214.1</v>
      </c>
    </row>
    <row r="426" spans="1:5">
      <c r="A426" s="4" t="s">
        <v>1426</v>
      </c>
      <c r="B426" s="9">
        <v>0.98</v>
      </c>
      <c r="C426" s="10">
        <v>1.0000000000000001E-123</v>
      </c>
      <c r="D426" s="5">
        <v>62.86</v>
      </c>
      <c r="E426" s="4" t="str">
        <f>HYPERLINK("https://www.ncbi.nlm.nih.gov/protein/WP_254654702.1?report=genbank&amp;log$=prottop&amp;blast_rank=343&amp;RID=92EC6PSH016","WP_254654702.1")</f>
        <v>WP_254654702.1</v>
      </c>
    </row>
    <row r="427" spans="1:5">
      <c r="A427" s="4" t="s">
        <v>1426</v>
      </c>
      <c r="B427" s="9">
        <v>0.98</v>
      </c>
      <c r="C427" s="10">
        <v>2.0000000000000001E-123</v>
      </c>
      <c r="D427" s="5">
        <v>62.86</v>
      </c>
      <c r="E427" s="4" t="str">
        <f>HYPERLINK("https://www.ncbi.nlm.nih.gov/protein/OCA86945.1?report=genbank&amp;log$=prottop&amp;blast_rank=346&amp;RID=92EC6PSH016","OCA86945.1")</f>
        <v>OCA86945.1</v>
      </c>
    </row>
    <row r="428" spans="1:5">
      <c r="A428" s="4" t="s">
        <v>1427</v>
      </c>
      <c r="B428" s="9">
        <v>0.97</v>
      </c>
      <c r="C428" s="10">
        <v>3.0000000000000001E-120</v>
      </c>
      <c r="D428" s="5">
        <v>62.8</v>
      </c>
      <c r="E428" s="4" t="str">
        <f>HYPERLINK("https://www.ncbi.nlm.nih.gov/protein/MDB5900983.1?report=genbank&amp;log$=prottop&amp;blast_rank=439&amp;RID=92EC6PSH016","MDB5900983.1")</f>
        <v>MDB5900983.1</v>
      </c>
    </row>
    <row r="429" spans="1:5">
      <c r="A429" s="4" t="s">
        <v>1428</v>
      </c>
      <c r="B429" s="9">
        <v>0.96</v>
      </c>
      <c r="C429" s="10">
        <v>1E-117</v>
      </c>
      <c r="D429" s="5">
        <v>62.75</v>
      </c>
      <c r="E429" s="4" t="str">
        <f>HYPERLINK("https://www.ncbi.nlm.nih.gov/protein/WP_223592380.1?report=genbank&amp;log$=prottop&amp;blast_rank=483&amp;RID=92EC6PSH016","WP_223592380.1")</f>
        <v>WP_223592380.1</v>
      </c>
    </row>
    <row r="430" spans="1:5">
      <c r="A430" s="4" t="s">
        <v>1295</v>
      </c>
      <c r="B430" s="9">
        <v>0.99</v>
      </c>
      <c r="C430" s="10">
        <v>4.0000000000000002E-128</v>
      </c>
      <c r="D430" s="5">
        <v>62.74</v>
      </c>
      <c r="E430" s="4" t="str">
        <f>HYPERLINK("https://www.ncbi.nlm.nih.gov/protein/WP_039556154.1?report=genbank&amp;log$=prottop&amp;blast_rank=145&amp;RID=92EC6PSH016","WP_039556154.1")</f>
        <v>WP_039556154.1</v>
      </c>
    </row>
    <row r="431" spans="1:5">
      <c r="A431" s="4" t="s">
        <v>1301</v>
      </c>
      <c r="B431" s="9">
        <v>0.99</v>
      </c>
      <c r="C431" s="10">
        <v>4.0000000000000002E-128</v>
      </c>
      <c r="D431" s="5">
        <v>62.74</v>
      </c>
      <c r="E431" s="4" t="str">
        <f>HYPERLINK("https://www.ncbi.nlm.nih.gov/protein/WP_010308382.1?report=genbank&amp;log$=prottop&amp;blast_rank=147&amp;RID=92EC6PSH016","WP_010308382.1")</f>
        <v>WP_010308382.1</v>
      </c>
    </row>
    <row r="432" spans="1:5">
      <c r="A432" s="4" t="s">
        <v>1429</v>
      </c>
      <c r="B432" s="9">
        <v>0.99</v>
      </c>
      <c r="C432" s="10">
        <v>2.0000000000000001E-127</v>
      </c>
      <c r="D432" s="5">
        <v>62.74</v>
      </c>
      <c r="E432" s="4" t="str">
        <f>HYPERLINK("https://www.ncbi.nlm.nih.gov/protein/WP_336847589.1?report=genbank&amp;log$=prottop&amp;blast_rank=167&amp;RID=92EC6PSH016","WP_336847589.1")</f>
        <v>WP_336847589.1</v>
      </c>
    </row>
    <row r="433" spans="1:5">
      <c r="A433" s="4" t="s">
        <v>1430</v>
      </c>
      <c r="B433" s="9">
        <v>0.99</v>
      </c>
      <c r="C433" s="10">
        <v>6.0000000000000002E-127</v>
      </c>
      <c r="D433" s="5">
        <v>62.74</v>
      </c>
      <c r="E433" s="4" t="str">
        <f>HYPERLINK("https://www.ncbi.nlm.nih.gov/protein/WP_129709996.1?report=genbank&amp;log$=prottop&amp;blast_rank=205&amp;RID=92EC6PSH016","WP_129709996.1")</f>
        <v>WP_129709996.1</v>
      </c>
    </row>
    <row r="434" spans="1:5">
      <c r="A434" s="4" t="s">
        <v>1395</v>
      </c>
      <c r="B434" s="9">
        <v>0.99</v>
      </c>
      <c r="C434" s="10">
        <v>4.9999999999999997E-125</v>
      </c>
      <c r="D434" s="5">
        <v>62.74</v>
      </c>
      <c r="E434" s="4" t="str">
        <f>HYPERLINK("https://www.ncbi.nlm.nih.gov/protein/WP_097096283.1?report=genbank&amp;log$=prottop&amp;blast_rank=284&amp;RID=92EC6PSH016","WP_097096283.1")</f>
        <v>WP_097096283.1</v>
      </c>
    </row>
    <row r="435" spans="1:5">
      <c r="A435" s="4" t="s">
        <v>1431</v>
      </c>
      <c r="B435" s="9">
        <v>1</v>
      </c>
      <c r="C435" s="10">
        <v>1.0000000000000001E-122</v>
      </c>
      <c r="D435" s="5">
        <v>62.74</v>
      </c>
      <c r="E435" s="4" t="str">
        <f>HYPERLINK("https://www.ncbi.nlm.nih.gov/protein/WP_314403150.1?report=genbank&amp;log$=prottop&amp;blast_rank=390&amp;RID=92EC6PSH016","WP_314403150.1")</f>
        <v>WP_314403150.1</v>
      </c>
    </row>
    <row r="436" spans="1:5">
      <c r="A436" s="4" t="s">
        <v>1432</v>
      </c>
      <c r="B436" s="9">
        <v>0.98</v>
      </c>
      <c r="C436" s="10">
        <v>1.9999999999999999E-126</v>
      </c>
      <c r="D436" s="5">
        <v>62.68</v>
      </c>
      <c r="E436" s="4" t="str">
        <f>HYPERLINK("https://www.ncbi.nlm.nih.gov/protein/WP_147199042.1?report=genbank&amp;log$=prottop&amp;blast_rank=223&amp;RID=92EC6PSH016","WP_147199042.1")</f>
        <v>WP_147199042.1</v>
      </c>
    </row>
    <row r="437" spans="1:5">
      <c r="A437" s="4" t="s">
        <v>1433</v>
      </c>
      <c r="B437" s="9">
        <v>0.98</v>
      </c>
      <c r="C437" s="10">
        <v>2.0000000000000001E-123</v>
      </c>
      <c r="D437" s="5">
        <v>62.68</v>
      </c>
      <c r="E437" s="4" t="str">
        <f>HYPERLINK("https://www.ncbi.nlm.nih.gov/protein/WP_289983917.1?report=genbank&amp;log$=prottop&amp;blast_rank=345&amp;RID=92EC6PSH016","WP_289983917.1")</f>
        <v>WP_289983917.1</v>
      </c>
    </row>
    <row r="438" spans="1:5">
      <c r="A438" s="4" t="s">
        <v>1434</v>
      </c>
      <c r="B438" s="9">
        <v>0.99</v>
      </c>
      <c r="C438" s="10">
        <v>2.9999999999999999E-125</v>
      </c>
      <c r="D438" s="5">
        <v>62.56</v>
      </c>
      <c r="E438" s="4" t="str">
        <f>HYPERLINK("https://www.ncbi.nlm.nih.gov/protein/WP_306010433.1?report=genbank&amp;log$=prottop&amp;blast_rank=271&amp;RID=92EC6PSH016","WP_306010433.1")</f>
        <v>WP_306010433.1</v>
      </c>
    </row>
    <row r="439" spans="1:5">
      <c r="A439" s="4" t="s">
        <v>1435</v>
      </c>
      <c r="B439" s="9">
        <v>0.97</v>
      </c>
      <c r="C439" s="10">
        <v>8.0000000000000004E-128</v>
      </c>
      <c r="D439" s="5">
        <v>62.5</v>
      </c>
      <c r="E439" s="4" t="str">
        <f>HYPERLINK("https://www.ncbi.nlm.nih.gov/protein/WP_012769581.1?report=genbank&amp;log$=prottop&amp;blast_rank=156&amp;RID=92EC6PSH016","WP_012769581.1")</f>
        <v>WP_012769581.1</v>
      </c>
    </row>
    <row r="440" spans="1:5">
      <c r="A440" s="4" t="s">
        <v>1436</v>
      </c>
      <c r="B440" s="9">
        <v>0.97</v>
      </c>
      <c r="C440" s="10">
        <v>2.0000000000000001E-127</v>
      </c>
      <c r="D440" s="5">
        <v>62.5</v>
      </c>
      <c r="E440" s="4" t="str">
        <f>HYPERLINK("https://www.ncbi.nlm.nih.gov/protein/WP_143839930.1?report=genbank&amp;log$=prottop&amp;blast_rank=168&amp;RID=92EC6PSH016","WP_143839930.1")</f>
        <v>WP_143839930.1</v>
      </c>
    </row>
    <row r="441" spans="1:5">
      <c r="A441" s="4" t="s">
        <v>280</v>
      </c>
      <c r="B441" s="9">
        <v>0.97</v>
      </c>
      <c r="C441" s="10">
        <v>1.0000000000000001E-122</v>
      </c>
      <c r="D441" s="5">
        <v>62.5</v>
      </c>
      <c r="E441" s="4" t="str">
        <f>HYPERLINK("https://www.ncbi.nlm.nih.gov/protein/WP_124835937.1?report=genbank&amp;log$=prottop&amp;blast_rank=388&amp;RID=92EC6PSH016","WP_124835937.1")</f>
        <v>WP_124835937.1</v>
      </c>
    </row>
    <row r="442" spans="1:5">
      <c r="A442" s="4" t="s">
        <v>280</v>
      </c>
      <c r="B442" s="9">
        <v>0.97</v>
      </c>
      <c r="C442" s="10">
        <v>2.0000000000000001E-122</v>
      </c>
      <c r="D442" s="5">
        <v>62.5</v>
      </c>
      <c r="E442" s="4" t="str">
        <f>HYPERLINK("https://www.ncbi.nlm.nih.gov/protein/WP_336478522.1?report=genbank&amp;log$=prottop&amp;blast_rank=391&amp;RID=92EC6PSH016","WP_336478522.1")</f>
        <v>WP_336478522.1</v>
      </c>
    </row>
    <row r="443" spans="1:5">
      <c r="A443" s="4" t="s">
        <v>1437</v>
      </c>
      <c r="B443" s="9">
        <v>1</v>
      </c>
      <c r="C443" s="10">
        <v>5.9999999999999998E-125</v>
      </c>
      <c r="D443" s="5">
        <v>62.44</v>
      </c>
      <c r="E443" s="4" t="str">
        <f>HYPERLINK("https://www.ncbi.nlm.nih.gov/protein/WP_286535660.1?report=genbank&amp;log$=prottop&amp;blast_rank=286&amp;RID=92EC6PSH016","WP_286535660.1")</f>
        <v>WP_286535660.1</v>
      </c>
    </row>
    <row r="444" spans="1:5">
      <c r="A444" s="4" t="s">
        <v>1438</v>
      </c>
      <c r="B444" s="9">
        <v>0.99</v>
      </c>
      <c r="C444" s="10">
        <v>1.0000000000000001E-128</v>
      </c>
      <c r="D444" s="5">
        <v>62.38</v>
      </c>
      <c r="E444" s="4" t="str">
        <f>HYPERLINK("https://www.ncbi.nlm.nih.gov/protein/WP_075878623.1?report=genbank&amp;log$=prottop&amp;blast_rank=128&amp;RID=92EC6PSH016","WP_075878623.1")</f>
        <v>WP_075878623.1</v>
      </c>
    </row>
    <row r="445" spans="1:5">
      <c r="A445" s="4" t="s">
        <v>1439</v>
      </c>
      <c r="B445" s="9">
        <v>0.98</v>
      </c>
      <c r="C445" s="10">
        <v>7.9999999999999996E-126</v>
      </c>
      <c r="D445" s="5">
        <v>62.38</v>
      </c>
      <c r="E445" s="4" t="str">
        <f>HYPERLINK("https://www.ncbi.nlm.nih.gov/protein/WP_253616330.1?report=genbank&amp;log$=prottop&amp;blast_rank=250&amp;RID=92EC6PSH016","WP_253616330.1")</f>
        <v>WP_253616330.1</v>
      </c>
    </row>
    <row r="446" spans="1:5">
      <c r="A446" s="4" t="s">
        <v>1440</v>
      </c>
      <c r="B446" s="9">
        <v>0.98</v>
      </c>
      <c r="C446" s="10">
        <v>2.0000000000000001E-123</v>
      </c>
      <c r="D446" s="5">
        <v>62.38</v>
      </c>
      <c r="E446" s="4" t="str">
        <f>HYPERLINK("https://www.ncbi.nlm.nih.gov/protein/WP_289342191.1?report=genbank&amp;log$=prottop&amp;blast_rank=354&amp;RID=92EC6PSH016","WP_289342191.1")</f>
        <v>WP_289342191.1</v>
      </c>
    </row>
    <row r="447" spans="1:5">
      <c r="A447" s="4" t="s">
        <v>1441</v>
      </c>
      <c r="B447" s="9">
        <v>0.99</v>
      </c>
      <c r="C447" s="10">
        <v>8.9999999999999996E-122</v>
      </c>
      <c r="D447" s="5">
        <v>62.38</v>
      </c>
      <c r="E447" s="4" t="str">
        <f>HYPERLINK("https://www.ncbi.nlm.nih.gov/protein/WP_200733690.1?report=genbank&amp;log$=prottop&amp;blast_rank=417&amp;RID=92EC6PSH016","WP_200733690.1")</f>
        <v>WP_200733690.1</v>
      </c>
    </row>
    <row r="448" spans="1:5">
      <c r="A448" s="4" t="s">
        <v>1442</v>
      </c>
      <c r="B448" s="9">
        <v>0.97</v>
      </c>
      <c r="C448" s="10">
        <v>3E-122</v>
      </c>
      <c r="D448" s="5">
        <v>62.32</v>
      </c>
      <c r="E448" s="4" t="str">
        <f>HYPERLINK("https://www.ncbi.nlm.nih.gov/protein/WP_221401337.1?report=genbank&amp;log$=prottop&amp;blast_rank=404&amp;RID=92EC6PSH016","WP_221401337.1")</f>
        <v>WP_221401337.1</v>
      </c>
    </row>
    <row r="449" spans="1:5">
      <c r="A449" s="4" t="s">
        <v>1443</v>
      </c>
      <c r="B449" s="9">
        <v>0.97</v>
      </c>
      <c r="C449" s="10">
        <v>1E-117</v>
      </c>
      <c r="D449" s="5">
        <v>62.32</v>
      </c>
      <c r="E449" s="4" t="str">
        <f>HYPERLINK("https://www.ncbi.nlm.nih.gov/protein/NJD36859.1?report=genbank&amp;log$=prottop&amp;blast_rank=488&amp;RID=92EC6PSH016","NJD36859.1")</f>
        <v>NJD36859.1</v>
      </c>
    </row>
    <row r="450" spans="1:5">
      <c r="A450" s="4" t="s">
        <v>1444</v>
      </c>
      <c r="B450" s="9">
        <v>0.99</v>
      </c>
      <c r="C450" s="10">
        <v>5.9999999999999998E-125</v>
      </c>
      <c r="D450" s="5">
        <v>62.26</v>
      </c>
      <c r="E450" s="4" t="str">
        <f>HYPERLINK("https://www.ncbi.nlm.nih.gov/protein/WP_148992718.1?report=genbank&amp;log$=prottop&amp;blast_rank=287&amp;RID=92EC6PSH016","WP_148992718.1")</f>
        <v>WP_148992718.1</v>
      </c>
    </row>
    <row r="451" spans="1:5">
      <c r="A451" s="4" t="s">
        <v>150</v>
      </c>
      <c r="B451" s="9">
        <v>0.96</v>
      </c>
      <c r="C451" s="10">
        <v>1E-117</v>
      </c>
      <c r="D451" s="5">
        <v>62.25</v>
      </c>
      <c r="E451" s="4" t="str">
        <f>HYPERLINK("https://www.ncbi.nlm.nih.gov/protein/MED3602913.1?report=genbank&amp;log$=prottop&amp;blast_rank=486&amp;RID=92EC6PSH016","MED3602913.1")</f>
        <v>MED3602913.1</v>
      </c>
    </row>
    <row r="452" spans="1:5">
      <c r="A452" s="4" t="s">
        <v>1445</v>
      </c>
      <c r="B452" s="9">
        <v>0.98</v>
      </c>
      <c r="C452" s="10">
        <v>5.9999999999999997E-123</v>
      </c>
      <c r="D452" s="5">
        <v>62.2</v>
      </c>
      <c r="E452" s="4" t="str">
        <f>HYPERLINK("https://www.ncbi.nlm.nih.gov/protein/AWH35650.1?report=genbank&amp;log$=prottop&amp;blast_rank=373&amp;RID=92EC6PSH016","AWH35650.1")</f>
        <v>AWH35650.1</v>
      </c>
    </row>
    <row r="453" spans="1:5">
      <c r="A453" s="4" t="s">
        <v>1446</v>
      </c>
      <c r="B453" s="9">
        <v>0.99</v>
      </c>
      <c r="C453" s="10">
        <v>1.0000000000000001E-123</v>
      </c>
      <c r="D453" s="5">
        <v>62.09</v>
      </c>
      <c r="E453" s="4" t="str">
        <f>HYPERLINK("https://www.ncbi.nlm.nih.gov/protein/WP_136833471.1?report=genbank&amp;log$=prottop&amp;blast_rank=341&amp;RID=92EC6PSH016","WP_136833471.1")</f>
        <v>WP_136833471.1</v>
      </c>
    </row>
    <row r="454" spans="1:5">
      <c r="A454" s="4" t="s">
        <v>1447</v>
      </c>
      <c r="B454" s="9">
        <v>0.95</v>
      </c>
      <c r="C454" s="10">
        <v>5.9999999999999999E-121</v>
      </c>
      <c r="D454" s="5">
        <v>62.07</v>
      </c>
      <c r="E454" s="4" t="str">
        <f>HYPERLINK("https://www.ncbi.nlm.nih.gov/protein/WP_136000563.1?report=genbank&amp;log$=prottop&amp;blast_rank=428&amp;RID=92EC6PSH016","WP_136000563.1")</f>
        <v>WP_136000563.1</v>
      </c>
    </row>
    <row r="455" spans="1:5">
      <c r="A455" s="4" t="s">
        <v>1078</v>
      </c>
      <c r="B455" s="9">
        <v>0.99</v>
      </c>
      <c r="C455" s="10">
        <v>1.0000000000000001E-122</v>
      </c>
      <c r="D455" s="5">
        <v>61.9</v>
      </c>
      <c r="E455" s="4" t="str">
        <f>HYPERLINK("https://www.ncbi.nlm.nih.gov/protein/WP_049433486.1?report=genbank&amp;log$=prottop&amp;blast_rank=389&amp;RID=92EC6PSH016","WP_049433486.1")</f>
        <v>WP_049433486.1</v>
      </c>
    </row>
    <row r="456" spans="1:5">
      <c r="A456" s="4" t="s">
        <v>1448</v>
      </c>
      <c r="B456" s="9">
        <v>0.97</v>
      </c>
      <c r="C456" s="10">
        <v>5.0000000000000003E-124</v>
      </c>
      <c r="D456" s="5">
        <v>61.84</v>
      </c>
      <c r="E456" s="4" t="str">
        <f>HYPERLINK("https://www.ncbi.nlm.nih.gov/protein/HQP25999.1?report=genbank&amp;log$=prottop&amp;blast_rank=324&amp;RID=92EC6PSH016","HQP25999.1")</f>
        <v>HQP25999.1</v>
      </c>
    </row>
    <row r="457" spans="1:5">
      <c r="A457" s="4" t="s">
        <v>1449</v>
      </c>
      <c r="B457" s="9">
        <v>0.97</v>
      </c>
      <c r="C457" s="10">
        <v>2E-121</v>
      </c>
      <c r="D457" s="5">
        <v>61.84</v>
      </c>
      <c r="E457" s="4" t="str">
        <f>HYPERLINK("https://www.ncbi.nlm.nih.gov/protein/WP_135094287.1?report=genbank&amp;log$=prottop&amp;blast_rank=420&amp;RID=92EC6PSH016","WP_135094287.1")</f>
        <v>WP_135094287.1</v>
      </c>
    </row>
    <row r="458" spans="1:5">
      <c r="A458" s="4" t="s">
        <v>1450</v>
      </c>
      <c r="B458" s="9">
        <v>0.99</v>
      </c>
      <c r="C458" s="10">
        <v>2.0000000000000001E-127</v>
      </c>
      <c r="D458" s="5">
        <v>61.79</v>
      </c>
      <c r="E458" s="4" t="str">
        <f>HYPERLINK("https://www.ncbi.nlm.nih.gov/protein/WP_113625513.1?report=genbank&amp;log$=prottop&amp;blast_rank=165&amp;RID=92EC6PSH016","WP_113625513.1")</f>
        <v>WP_113625513.1</v>
      </c>
    </row>
    <row r="459" spans="1:5">
      <c r="A459" s="4" t="s">
        <v>323</v>
      </c>
      <c r="B459" s="9">
        <v>0.98</v>
      </c>
      <c r="C459" s="10">
        <v>4E-125</v>
      </c>
      <c r="D459" s="5">
        <v>61.72</v>
      </c>
      <c r="E459" s="4" t="str">
        <f>HYPERLINK("https://www.ncbi.nlm.nih.gov/protein/EKV1266391.1?report=genbank&amp;log$=prottop&amp;blast_rank=279&amp;RID=92EC6PSH016","EKV1266391.1")</f>
        <v>EKV1266391.1</v>
      </c>
    </row>
    <row r="460" spans="1:5">
      <c r="A460" s="4" t="s">
        <v>323</v>
      </c>
      <c r="B460" s="9">
        <v>0.98</v>
      </c>
      <c r="C460" s="10">
        <v>6.9999999999999997E-123</v>
      </c>
      <c r="D460" s="5">
        <v>61.72</v>
      </c>
      <c r="E460" s="4" t="str">
        <f>HYPERLINK("https://www.ncbi.nlm.nih.gov/protein/WP_080354691.1?report=genbank&amp;log$=prottop&amp;blast_rank=379&amp;RID=92EC6PSH016","WP_080354691.1")</f>
        <v>WP_080354691.1</v>
      </c>
    </row>
    <row r="461" spans="1:5">
      <c r="A461" s="4" t="s">
        <v>1451</v>
      </c>
      <c r="B461" s="9">
        <v>0.98</v>
      </c>
      <c r="C461" s="10">
        <v>1.0000000000000001E-122</v>
      </c>
      <c r="D461" s="5">
        <v>61.72</v>
      </c>
      <c r="E461" s="4" t="str">
        <f>HYPERLINK("https://www.ncbi.nlm.nih.gov/protein/WP_279938974.1?report=genbank&amp;log$=prottop&amp;blast_rank=383&amp;RID=92EC6PSH016","WP_279938974.1")</f>
        <v>WP_279938974.1</v>
      </c>
    </row>
    <row r="462" spans="1:5">
      <c r="A462" s="4" t="s">
        <v>323</v>
      </c>
      <c r="B462" s="9">
        <v>0.98</v>
      </c>
      <c r="C462" s="10">
        <v>1.0000000000000001E-122</v>
      </c>
      <c r="D462" s="5">
        <v>61.72</v>
      </c>
      <c r="E462" s="4" t="str">
        <f>HYPERLINK("https://www.ncbi.nlm.nih.gov/protein/MBH1852500.1?report=genbank&amp;log$=prottop&amp;blast_rank=384&amp;RID=92EC6PSH016","MBH1852500.1")</f>
        <v>MBH1852500.1</v>
      </c>
    </row>
    <row r="463" spans="1:5">
      <c r="A463" s="4" t="s">
        <v>323</v>
      </c>
      <c r="B463" s="9">
        <v>0.98</v>
      </c>
      <c r="C463" s="10">
        <v>2.0000000000000001E-122</v>
      </c>
      <c r="D463" s="5">
        <v>61.72</v>
      </c>
      <c r="E463" s="4" t="str">
        <f>HYPERLINK("https://www.ncbi.nlm.nih.gov/protein/WP_274850027.1?report=genbank&amp;log$=prottop&amp;blast_rank=392&amp;RID=92EC6PSH016","WP_274850027.1")</f>
        <v>WP_274850027.1</v>
      </c>
    </row>
    <row r="464" spans="1:5">
      <c r="A464" s="4" t="s">
        <v>1452</v>
      </c>
      <c r="B464" s="9">
        <v>0.98</v>
      </c>
      <c r="C464" s="10">
        <v>3.0000000000000002E-118</v>
      </c>
      <c r="D464" s="5">
        <v>61.72</v>
      </c>
      <c r="E464" s="4" t="str">
        <f>HYPERLINK("https://www.ncbi.nlm.nih.gov/protein/WP_096156473.1?report=genbank&amp;log$=prottop&amp;blast_rank=473&amp;RID=92EC6PSH016","WP_096156473.1")</f>
        <v>WP_096156473.1</v>
      </c>
    </row>
    <row r="465" spans="1:5">
      <c r="A465" s="4" t="s">
        <v>1425</v>
      </c>
      <c r="B465" s="9">
        <v>0.99</v>
      </c>
      <c r="C465" s="10">
        <v>2.0000000000000001E-122</v>
      </c>
      <c r="D465" s="5">
        <v>61.61</v>
      </c>
      <c r="E465" s="4" t="str">
        <f>HYPERLINK("https://www.ncbi.nlm.nih.gov/protein/WP_246370299.1?report=genbank&amp;log$=prottop&amp;blast_rank=398&amp;RID=92EC6PSH016","WP_246370299.1")</f>
        <v>WP_246370299.1</v>
      </c>
    </row>
    <row r="466" spans="1:5">
      <c r="A466" s="4" t="s">
        <v>1453</v>
      </c>
      <c r="B466" s="9">
        <v>0.96</v>
      </c>
      <c r="C466" s="10">
        <v>5.0000000000000001E-118</v>
      </c>
      <c r="D466" s="5">
        <v>61.46</v>
      </c>
      <c r="E466" s="4" t="str">
        <f>HYPERLINK("https://www.ncbi.nlm.nih.gov/protein/WP_335416469.1?report=genbank&amp;log$=prottop&amp;blast_rank=478&amp;RID=92EC6PSH016","WP_335416469.1")</f>
        <v>WP_335416469.1</v>
      </c>
    </row>
    <row r="467" spans="1:5">
      <c r="A467" s="4" t="s">
        <v>1454</v>
      </c>
      <c r="B467" s="9">
        <v>0.98</v>
      </c>
      <c r="C467" s="10">
        <v>2.0000000000000001E-122</v>
      </c>
      <c r="D467" s="5">
        <v>61.43</v>
      </c>
      <c r="E467" s="4" t="str">
        <f>HYPERLINK("https://www.ncbi.nlm.nih.gov/protein/WP_227395932.1?report=genbank&amp;log$=prottop&amp;blast_rank=395&amp;RID=92EC6PSH016","WP_227395932.1")</f>
        <v>WP_227395932.1</v>
      </c>
    </row>
    <row r="468" spans="1:5">
      <c r="A468" s="4" t="s">
        <v>1455</v>
      </c>
      <c r="B468" s="9">
        <v>0.97</v>
      </c>
      <c r="C468" s="10">
        <v>8.0000000000000005E-122</v>
      </c>
      <c r="D468" s="5">
        <v>61.35</v>
      </c>
      <c r="E468" s="4" t="str">
        <f>HYPERLINK("https://www.ncbi.nlm.nih.gov/protein/WP_082090803.1?report=genbank&amp;log$=prottop&amp;blast_rank=414&amp;RID=92EC6PSH016","WP_082090803.1")</f>
        <v>WP_082090803.1</v>
      </c>
    </row>
    <row r="469" spans="1:5">
      <c r="A469" s="4" t="s">
        <v>1427</v>
      </c>
      <c r="B469" s="9">
        <v>0.97</v>
      </c>
      <c r="C469" s="10">
        <v>4.9999999999999999E-119</v>
      </c>
      <c r="D469" s="5">
        <v>61.35</v>
      </c>
      <c r="E469" s="4" t="str">
        <f>HYPERLINK("https://www.ncbi.nlm.nih.gov/protein/MDB5914420.1?report=genbank&amp;log$=prottop&amp;blast_rank=465&amp;RID=92EC6PSH016","MDB5914420.1")</f>
        <v>MDB5914420.1</v>
      </c>
    </row>
    <row r="470" spans="1:5">
      <c r="A470" s="4" t="s">
        <v>1456</v>
      </c>
      <c r="B470" s="9">
        <v>0.98</v>
      </c>
      <c r="C470" s="10">
        <v>2.0000000000000001E-117</v>
      </c>
      <c r="D470" s="5">
        <v>61.24</v>
      </c>
      <c r="E470" s="4" t="str">
        <f>HYPERLINK("https://www.ncbi.nlm.nih.gov/protein/WP_242297534.1?report=genbank&amp;log$=prottop&amp;blast_rank=490&amp;RID=92EC6PSH016","WP_242297534.1")</f>
        <v>WP_242297534.1</v>
      </c>
    </row>
    <row r="471" spans="1:5">
      <c r="A471" s="4" t="s">
        <v>662</v>
      </c>
      <c r="B471" s="9">
        <v>0.97</v>
      </c>
      <c r="C471" s="10">
        <v>1E-119</v>
      </c>
      <c r="D471" s="5">
        <v>61.17</v>
      </c>
      <c r="E471" s="4" t="str">
        <f>HYPERLINK("https://www.ncbi.nlm.nih.gov/protein/HLA35672.1?report=genbank&amp;log$=prottop&amp;blast_rank=448&amp;RID=92EC6PSH016","HLA35672.1")</f>
        <v>HLA35672.1</v>
      </c>
    </row>
    <row r="472" spans="1:5">
      <c r="A472" s="4" t="s">
        <v>1457</v>
      </c>
      <c r="B472" s="9">
        <v>0.99</v>
      </c>
      <c r="C472" s="10">
        <v>8.0000000000000005E-123</v>
      </c>
      <c r="D472" s="5">
        <v>61.14</v>
      </c>
      <c r="E472" s="4" t="str">
        <f>HYPERLINK("https://www.ncbi.nlm.nih.gov/protein/WP_335486385.1?report=genbank&amp;log$=prottop&amp;blast_rank=380&amp;RID=92EC6PSH016","WP_335486385.1")</f>
        <v>WP_335486385.1</v>
      </c>
    </row>
    <row r="473" spans="1:5">
      <c r="A473" s="4" t="s">
        <v>1458</v>
      </c>
      <c r="B473" s="9">
        <v>0.97</v>
      </c>
      <c r="C473" s="10">
        <v>5.0000000000000001E-128</v>
      </c>
      <c r="D473" s="5">
        <v>61.06</v>
      </c>
      <c r="E473" s="4" t="str">
        <f>HYPERLINK("https://www.ncbi.nlm.nih.gov/protein/WP_276217995.1?report=genbank&amp;log$=prottop&amp;blast_rank=150&amp;RID=92EC6PSH016","WP_276217995.1")</f>
        <v>WP_276217995.1</v>
      </c>
    </row>
    <row r="474" spans="1:5">
      <c r="A474" s="4" t="s">
        <v>1459</v>
      </c>
      <c r="B474" s="9">
        <v>0.95</v>
      </c>
      <c r="C474" s="10">
        <v>2E-118</v>
      </c>
      <c r="D474" s="5">
        <v>60.89</v>
      </c>
      <c r="E474" s="4" t="str">
        <f>HYPERLINK("https://www.ncbi.nlm.nih.gov/protein/PKP49237.1?report=genbank&amp;log$=prottop&amp;blast_rank=472&amp;RID=92EC6PSH016","PKP49237.1")</f>
        <v>PKP49237.1</v>
      </c>
    </row>
    <row r="475" spans="1:5">
      <c r="A475" s="4" t="s">
        <v>1460</v>
      </c>
      <c r="B475" s="9">
        <v>0.97</v>
      </c>
      <c r="C475" s="10">
        <v>2.9999999999999999E-121</v>
      </c>
      <c r="D475" s="5">
        <v>60.87</v>
      </c>
      <c r="E475" s="4" t="str">
        <f>HYPERLINK("https://www.ncbi.nlm.nih.gov/protein/WP_247854552.1?report=genbank&amp;log$=prottop&amp;blast_rank=422&amp;RID=92EC6PSH016","WP_247854552.1")</f>
        <v>WP_247854552.1</v>
      </c>
    </row>
    <row r="476" spans="1:5">
      <c r="A476" s="4" t="s">
        <v>1461</v>
      </c>
      <c r="B476" s="9">
        <v>0.97</v>
      </c>
      <c r="C476" s="10">
        <v>2E-118</v>
      </c>
      <c r="D476" s="5">
        <v>60.87</v>
      </c>
      <c r="E476" s="4" t="str">
        <f>HYPERLINK("https://www.ncbi.nlm.nih.gov/protein/WP_111573224.1?report=genbank&amp;log$=prottop&amp;blast_rank=471&amp;RID=92EC6PSH016","WP_111573224.1")</f>
        <v>WP_111573224.1</v>
      </c>
    </row>
    <row r="477" spans="1:5">
      <c r="A477" s="4" t="s">
        <v>1462</v>
      </c>
      <c r="B477" s="9">
        <v>1</v>
      </c>
      <c r="C477" s="10">
        <v>8.0000000000000005E-122</v>
      </c>
      <c r="D477" s="5">
        <v>60.85</v>
      </c>
      <c r="E477" s="4" t="str">
        <f>HYPERLINK("https://www.ncbi.nlm.nih.gov/protein/PKO97663.1?report=genbank&amp;log$=prottop&amp;blast_rank=415&amp;RID=92EC6PSH016","PKO97663.1")</f>
        <v>PKO97663.1</v>
      </c>
    </row>
    <row r="478" spans="1:5">
      <c r="A478" s="4" t="s">
        <v>1463</v>
      </c>
      <c r="B478" s="9">
        <v>0.98</v>
      </c>
      <c r="C478" s="10">
        <v>2.0000000000000001E-123</v>
      </c>
      <c r="D478" s="5">
        <v>60.77</v>
      </c>
      <c r="E478" s="4" t="str">
        <f>HYPERLINK("https://www.ncbi.nlm.nih.gov/protein/HEY4552592.1?report=genbank&amp;log$=prottop&amp;blast_rank=355&amp;RID=92EC6PSH016","HEY4552592.1")</f>
        <v>HEY4552592.1</v>
      </c>
    </row>
    <row r="479" spans="1:5">
      <c r="A479" s="4" t="s">
        <v>1464</v>
      </c>
      <c r="B479" s="9">
        <v>0.98</v>
      </c>
      <c r="C479" s="10">
        <v>3.0000000000000002E-118</v>
      </c>
      <c r="D479" s="5">
        <v>60.77</v>
      </c>
      <c r="E479" s="4" t="str">
        <f>HYPERLINK("https://www.ncbi.nlm.nih.gov/protein/WP_255850325.1?report=genbank&amp;log$=prottop&amp;blast_rank=474&amp;RID=92EC6PSH016","WP_255850325.1")</f>
        <v>WP_255850325.1</v>
      </c>
    </row>
    <row r="480" spans="1:5">
      <c r="A480" s="4" t="s">
        <v>1465</v>
      </c>
      <c r="B480" s="9">
        <v>0.98</v>
      </c>
      <c r="C480" s="10">
        <v>5.0000000000000001E-118</v>
      </c>
      <c r="D480" s="5">
        <v>60.77</v>
      </c>
      <c r="E480" s="4" t="str">
        <f>HYPERLINK("https://www.ncbi.nlm.nih.gov/protein/HDR7793187.1?report=genbank&amp;log$=prottop&amp;blast_rank=477&amp;RID=92EC6PSH016","HDR7793187.1")</f>
        <v>HDR7793187.1</v>
      </c>
    </row>
    <row r="481" spans="1:5">
      <c r="A481" s="4" t="s">
        <v>1466</v>
      </c>
      <c r="B481" s="9">
        <v>0.98</v>
      </c>
      <c r="C481" s="10">
        <v>4.0000000000000001E-117</v>
      </c>
      <c r="D481" s="5">
        <v>60.77</v>
      </c>
      <c r="E481" s="4" t="str">
        <f>HYPERLINK("https://www.ncbi.nlm.nih.gov/protein/ACK87260.1?report=genbank&amp;log$=prottop&amp;blast_rank=495&amp;RID=92EC6PSH016","ACK87260.1")</f>
        <v>ACK87260.1</v>
      </c>
    </row>
    <row r="482" spans="1:5">
      <c r="A482" s="4" t="s">
        <v>136</v>
      </c>
      <c r="B482" s="9">
        <v>0.98</v>
      </c>
      <c r="C482" s="10">
        <v>5E-117</v>
      </c>
      <c r="D482" s="5">
        <v>60.77</v>
      </c>
      <c r="E482" s="4" t="str">
        <f>HYPERLINK("https://www.ncbi.nlm.nih.gov/protein/WP_232294964.1?report=genbank&amp;log$=prottop&amp;blast_rank=497&amp;RID=92EC6PSH016","WP_232294964.1")</f>
        <v>WP_232294964.1</v>
      </c>
    </row>
    <row r="483" spans="1:5">
      <c r="A483" s="4" t="s">
        <v>1467</v>
      </c>
      <c r="B483" s="9">
        <v>0.99</v>
      </c>
      <c r="C483" s="10">
        <v>2.9999999999999999E-125</v>
      </c>
      <c r="D483" s="5">
        <v>60.66</v>
      </c>
      <c r="E483" s="4" t="str">
        <f>HYPERLINK("https://www.ncbi.nlm.nih.gov/protein/WP_056238745.1?report=genbank&amp;log$=prottop&amp;blast_rank=267&amp;RID=92EC6PSH016","WP_056238745.1")</f>
        <v>WP_056238745.1</v>
      </c>
    </row>
    <row r="484" spans="1:5">
      <c r="A484" s="4" t="s">
        <v>1468</v>
      </c>
      <c r="B484" s="9">
        <v>0.96</v>
      </c>
      <c r="C484" s="10">
        <v>3.9999999999999999E-118</v>
      </c>
      <c r="D484" s="5">
        <v>60.49</v>
      </c>
      <c r="E484" s="4" t="str">
        <f>HYPERLINK("https://www.ncbi.nlm.nih.gov/protein/WP_335703358.1?report=genbank&amp;log$=prottop&amp;blast_rank=475&amp;RID=92EC6PSH016","WP_335703358.1")</f>
        <v>WP_335703358.1</v>
      </c>
    </row>
    <row r="485" spans="1:5">
      <c r="A485" s="4" t="s">
        <v>1469</v>
      </c>
      <c r="B485" s="9">
        <v>0.97</v>
      </c>
      <c r="C485" s="10">
        <v>2.0000000000000001E-122</v>
      </c>
      <c r="D485" s="5">
        <v>60.39</v>
      </c>
      <c r="E485" s="4" t="str">
        <f>HYPERLINK("https://www.ncbi.nlm.nih.gov/protein/WP_246079009.1?report=genbank&amp;log$=prottop&amp;blast_rank=393&amp;RID=92EC6PSH016","WP_246079009.1")</f>
        <v>WP_246079009.1</v>
      </c>
    </row>
    <row r="486" spans="1:5">
      <c r="A486" s="4" t="s">
        <v>1469</v>
      </c>
      <c r="B486" s="9">
        <v>0.97</v>
      </c>
      <c r="C486" s="10">
        <v>2.0000000000000001E-122</v>
      </c>
      <c r="D486" s="5">
        <v>60.39</v>
      </c>
      <c r="E486" s="4" t="str">
        <f>HYPERLINK("https://www.ncbi.nlm.nih.gov/protein/TDG00911.1?report=genbank&amp;log$=prottop&amp;blast_rank=394&amp;RID=92EC6PSH016","TDG00911.1")</f>
        <v>TDG00911.1</v>
      </c>
    </row>
    <row r="487" spans="1:5">
      <c r="A487" s="4" t="s">
        <v>1470</v>
      </c>
      <c r="B487" s="9">
        <v>0.97</v>
      </c>
      <c r="C487" s="10">
        <v>2E-118</v>
      </c>
      <c r="D487" s="5">
        <v>60.39</v>
      </c>
      <c r="E487" s="4" t="str">
        <f>HYPERLINK("https://www.ncbi.nlm.nih.gov/protein/WP_152180826.1?report=genbank&amp;log$=prottop&amp;blast_rank=470&amp;RID=92EC6PSH016","WP_152180826.1")</f>
        <v>WP_152180826.1</v>
      </c>
    </row>
    <row r="488" spans="1:5">
      <c r="A488" s="4" t="s">
        <v>136</v>
      </c>
      <c r="B488" s="9">
        <v>0.98</v>
      </c>
      <c r="C488" s="10">
        <v>2.0000000000000001E-117</v>
      </c>
      <c r="D488" s="5">
        <v>60.29</v>
      </c>
      <c r="E488" s="4" t="str">
        <f>HYPERLINK("https://www.ncbi.nlm.nih.gov/protein/WP_322368166.1?report=genbank&amp;log$=prottop&amp;blast_rank=489&amp;RID=92EC6PSH016","WP_322368166.1")</f>
        <v>WP_322368166.1</v>
      </c>
    </row>
    <row r="489" spans="1:5">
      <c r="A489" s="4" t="s">
        <v>1471</v>
      </c>
      <c r="B489" s="9">
        <v>0.94</v>
      </c>
      <c r="C489" s="10">
        <v>9.9999999999999999E-119</v>
      </c>
      <c r="D489" s="5">
        <v>60.2</v>
      </c>
      <c r="E489" s="4" t="str">
        <f>HYPERLINK("https://www.ncbi.nlm.nih.gov/protein/WP_286201293.1?report=genbank&amp;log$=prottop&amp;blast_rank=469&amp;RID=92EC6PSH016","WP_286201293.1")</f>
        <v>WP_286201293.1</v>
      </c>
    </row>
    <row r="490" spans="1:5">
      <c r="A490" s="4" t="s">
        <v>1402</v>
      </c>
      <c r="B490" s="9">
        <v>0.99</v>
      </c>
      <c r="C490" s="10">
        <v>1.9999999999999999E-124</v>
      </c>
      <c r="D490" s="5">
        <v>60.19</v>
      </c>
      <c r="E490" s="4" t="str">
        <f>HYPERLINK("https://www.ncbi.nlm.nih.gov/protein/WP_307515221.1?report=genbank&amp;log$=prottop&amp;blast_rank=310&amp;RID=92EC6PSH016","WP_307515221.1")</f>
        <v>WP_307515221.1</v>
      </c>
    </row>
    <row r="491" spans="1:5">
      <c r="A491" s="4" t="s">
        <v>1472</v>
      </c>
      <c r="B491" s="9">
        <v>0.96</v>
      </c>
      <c r="C491" s="10">
        <v>5E-117</v>
      </c>
      <c r="D491" s="5">
        <v>60</v>
      </c>
      <c r="E491" s="4" t="str">
        <f>HYPERLINK("https://www.ncbi.nlm.nih.gov/protein/WP_078382042.1?report=genbank&amp;log$=prottop&amp;blast_rank=496&amp;RID=92EC6PSH016","WP_078382042.1")</f>
        <v>WP_078382042.1</v>
      </c>
    </row>
    <row r="492" spans="1:5">
      <c r="A492" s="4" t="s">
        <v>1473</v>
      </c>
      <c r="B492" s="9">
        <v>0.99</v>
      </c>
      <c r="C492" s="10">
        <v>5.9999999999999997E-123</v>
      </c>
      <c r="D492" s="5">
        <v>59.91</v>
      </c>
      <c r="E492" s="4" t="str">
        <f>HYPERLINK("https://www.ncbi.nlm.nih.gov/protein/MCO6507063.1?report=genbank&amp;log$=prottop&amp;blast_rank=371&amp;RID=92EC6PSH016","MCO6507063.1")</f>
        <v>MCO6507063.1</v>
      </c>
    </row>
    <row r="493" spans="1:5">
      <c r="A493" s="4" t="s">
        <v>1473</v>
      </c>
      <c r="B493" s="9">
        <v>0.99</v>
      </c>
      <c r="C493" s="10">
        <v>8.9999999999999999E-123</v>
      </c>
      <c r="D493" s="5">
        <v>59.91</v>
      </c>
      <c r="E493" s="4" t="str">
        <f>HYPERLINK("https://www.ncbi.nlm.nih.gov/protein/WP_287957603.1?report=genbank&amp;log$=prottop&amp;blast_rank=382&amp;RID=92EC6PSH016","WP_287957603.1")</f>
        <v>WP_287957603.1</v>
      </c>
    </row>
    <row r="494" spans="1:5">
      <c r="A494" s="4" t="s">
        <v>1402</v>
      </c>
      <c r="B494" s="9">
        <v>0.99</v>
      </c>
      <c r="C494" s="10">
        <v>3E-124</v>
      </c>
      <c r="D494" s="5">
        <v>59.72</v>
      </c>
      <c r="E494" s="4" t="str">
        <f>HYPERLINK("https://www.ncbi.nlm.nih.gov/protein/WP_115765175.1?report=genbank&amp;log$=prottop&amp;blast_rank=314&amp;RID=92EC6PSH016","WP_115765175.1")</f>
        <v>WP_115765175.1</v>
      </c>
    </row>
    <row r="495" spans="1:5">
      <c r="A495" s="4" t="s">
        <v>1474</v>
      </c>
      <c r="B495" s="9">
        <v>0.99</v>
      </c>
      <c r="C495" s="10">
        <v>3E-124</v>
      </c>
      <c r="D495" s="5">
        <v>59.72</v>
      </c>
      <c r="E495" s="4" t="str">
        <f>HYPERLINK("https://www.ncbi.nlm.nih.gov/protein/WP_337021268.1?report=genbank&amp;log$=prottop&amp;blast_rank=315&amp;RID=92EC6PSH016","WP_337021268.1")</f>
        <v>WP_337021268.1</v>
      </c>
    </row>
    <row r="496" spans="1:5">
      <c r="A496" s="4" t="s">
        <v>1475</v>
      </c>
      <c r="B496" s="9">
        <v>0.99</v>
      </c>
      <c r="C496" s="10">
        <v>3E-122</v>
      </c>
      <c r="D496" s="5">
        <v>59.72</v>
      </c>
      <c r="E496" s="4" t="str">
        <f>HYPERLINK("https://www.ncbi.nlm.nih.gov/protein/WP_151993965.1?report=genbank&amp;log$=prottop&amp;blast_rank=402&amp;RID=92EC6PSH016","WP_151993965.1")</f>
        <v>WP_151993965.1</v>
      </c>
    </row>
    <row r="497" spans="1:5">
      <c r="A497" s="4" t="s">
        <v>1476</v>
      </c>
      <c r="B497" s="9">
        <v>0.94</v>
      </c>
      <c r="C497" s="10">
        <v>3.9999999999999999E-118</v>
      </c>
      <c r="D497" s="5">
        <v>59.7</v>
      </c>
      <c r="E497" s="4" t="str">
        <f>HYPERLINK("https://www.ncbi.nlm.nih.gov/protein/PJN87290.1?report=genbank&amp;log$=prottop&amp;blast_rank=476&amp;RID=92EC6PSH016","PJN87290.1")</f>
        <v>PJN87290.1</v>
      </c>
    </row>
    <row r="498" spans="1:5">
      <c r="A498" s="4" t="s">
        <v>1477</v>
      </c>
      <c r="B498" s="9">
        <v>0.97</v>
      </c>
      <c r="C498" s="10">
        <v>1.0000000000000001E-122</v>
      </c>
      <c r="D498" s="5">
        <v>59.62</v>
      </c>
      <c r="E498" s="4" t="str">
        <f>HYPERLINK("https://www.ncbi.nlm.nih.gov/protein/WP_101639800.1?report=genbank&amp;log$=prottop&amp;blast_rank=386&amp;RID=92EC6PSH016","WP_101639800.1")</f>
        <v>WP_101639800.1</v>
      </c>
    </row>
    <row r="499" spans="1:5">
      <c r="A499" s="4" t="s">
        <v>870</v>
      </c>
      <c r="B499" s="9">
        <v>1</v>
      </c>
      <c r="C499" s="10">
        <v>4.9999999999999999E-121</v>
      </c>
      <c r="D499" s="5">
        <v>58.96</v>
      </c>
      <c r="E499" s="4" t="str">
        <f>HYPERLINK("https://www.ncbi.nlm.nih.gov/protein/WP_139327966.1?report=genbank&amp;log$=prottop&amp;blast_rank=427&amp;RID=92EC6PSH016","WP_139327966.1")</f>
        <v>WP_139327966.1</v>
      </c>
    </row>
    <row r="500" spans="1:5">
      <c r="A500" s="4" t="s">
        <v>1072</v>
      </c>
      <c r="B500" s="9">
        <v>1</v>
      </c>
      <c r="C500" s="10">
        <v>2E-120</v>
      </c>
      <c r="D500" s="5">
        <v>58.96</v>
      </c>
      <c r="E500" s="4" t="str">
        <f>HYPERLINK("https://www.ncbi.nlm.nih.gov/protein/WP_267314247.1?report=genbank&amp;log$=prottop&amp;blast_rank=438&amp;RID=92EC6PSH016","WP_267314247.1")</f>
        <v>WP_267314247.1</v>
      </c>
    </row>
    <row r="501" spans="1:5">
      <c r="A501" s="4" t="s">
        <v>1478</v>
      </c>
      <c r="B501" s="9">
        <v>0.97</v>
      </c>
      <c r="C501" s="10">
        <v>3.0000000000000002E-119</v>
      </c>
      <c r="D501" s="5">
        <v>58.94</v>
      </c>
      <c r="E501" s="4" t="str">
        <f>HYPERLINK("https://www.ncbi.nlm.nih.gov/protein/WP_341282093.1?report=genbank&amp;log$=prottop&amp;blast_rank=459&amp;RID=92EC6PSH016","WP_341282093.1")</f>
        <v>WP_341282093.1</v>
      </c>
    </row>
    <row r="502" spans="1:5">
      <c r="A502" s="4" t="s">
        <v>1479</v>
      </c>
      <c r="B502" s="9">
        <v>0.95</v>
      </c>
      <c r="C502" s="10">
        <v>1E-117</v>
      </c>
      <c r="D502" s="5">
        <v>58.82</v>
      </c>
      <c r="E502" s="4" t="str">
        <f>HYPERLINK("https://www.ncbi.nlm.nih.gov/protein/WP_137671266.1?report=genbank&amp;log$=prottop&amp;blast_rank=482&amp;RID=92EC6PSH016","WP_137671266.1")</f>
        <v>WP_137671266.1</v>
      </c>
    </row>
    <row r="503" spans="1:5">
      <c r="A503" s="4" t="s">
        <v>1476</v>
      </c>
      <c r="B503" s="9">
        <v>0.98</v>
      </c>
      <c r="C503" s="10">
        <v>4.0000000000000002E-122</v>
      </c>
      <c r="D503" s="5">
        <v>58.57</v>
      </c>
      <c r="E503" s="4" t="str">
        <f>HYPERLINK("https://www.ncbi.nlm.nih.gov/protein/WP_232732492.1?report=genbank&amp;log$=prottop&amp;blast_rank=406&amp;RID=92EC6PSH016","WP_232732492.1")</f>
        <v>WP_232732492.1</v>
      </c>
    </row>
    <row r="504" spans="1:5">
      <c r="A504" s="4" t="s">
        <v>1471</v>
      </c>
      <c r="B504" s="9">
        <v>0.98</v>
      </c>
      <c r="C504" s="10">
        <v>4.9999999999999999E-122</v>
      </c>
      <c r="D504" s="5">
        <v>58.57</v>
      </c>
      <c r="E504" s="4" t="str">
        <f>HYPERLINK("https://www.ncbi.nlm.nih.gov/protein/MBT2666147.1?report=genbank&amp;log$=prottop&amp;blast_rank=408&amp;RID=92EC6PSH016","MBT2666147.1")</f>
        <v>MBT2666147.1</v>
      </c>
    </row>
    <row r="505" spans="1:5">
      <c r="A505" s="4" t="s">
        <v>122</v>
      </c>
      <c r="B505" s="9">
        <v>1</v>
      </c>
      <c r="C505" s="10">
        <v>6.0000000000000004E-119</v>
      </c>
      <c r="D505" s="5">
        <v>58.02</v>
      </c>
      <c r="E505" s="4" t="str">
        <f>HYPERLINK("https://www.ncbi.nlm.nih.gov/protein/KAF0204338.1?report=genbank&amp;log$=prottop&amp;blast_rank=466&amp;RID=92EC6PSH016","KAF0204338.1")</f>
        <v>KAF0204338.1</v>
      </c>
    </row>
    <row r="506" spans="1:5">
      <c r="A506" s="4" t="s">
        <v>1480</v>
      </c>
      <c r="B506" s="9">
        <v>1</v>
      </c>
      <c r="C506" s="10">
        <v>5.9999999999999998E-117</v>
      </c>
      <c r="D506" s="5">
        <v>57.55</v>
      </c>
      <c r="E506" s="4" t="str">
        <f>HYPERLINK("https://www.ncbi.nlm.nih.gov/protein/MBW6492478.1?report=genbank&amp;log$=prottop&amp;blast_rank=498&amp;RID=92EC6PSH016","MBW6492478.1")</f>
        <v>MBW6492478.1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B0AFD-A2FA-8743-9DC3-B611E3867257}">
  <dimension ref="A1:E506"/>
  <sheetViews>
    <sheetView workbookViewId="0">
      <selection activeCell="B32" sqref="B32"/>
    </sheetView>
  </sheetViews>
  <sheetFormatPr baseColWidth="10" defaultRowHeight="16"/>
  <cols>
    <col min="1" max="1" width="30.83203125" style="4" customWidth="1"/>
    <col min="2" max="4" width="30.83203125" style="5" customWidth="1"/>
    <col min="5" max="5" width="30.83203125" style="4" customWidth="1"/>
  </cols>
  <sheetData>
    <row r="1" spans="1:5" s="28" customFormat="1" ht="19">
      <c r="A1" s="26" t="s">
        <v>1087</v>
      </c>
      <c r="B1" s="27"/>
      <c r="C1" s="27"/>
      <c r="D1" s="27"/>
      <c r="E1" s="26"/>
    </row>
    <row r="2" spans="1:5" s="28" customFormat="1" ht="19">
      <c r="A2" s="30" t="s">
        <v>1481</v>
      </c>
      <c r="B2" s="27"/>
      <c r="C2" s="27"/>
      <c r="D2" s="27"/>
      <c r="E2" s="26"/>
    </row>
    <row r="3" spans="1:5" s="28" customFormat="1" ht="19">
      <c r="A3" s="30" t="s">
        <v>1482</v>
      </c>
      <c r="B3" s="27"/>
      <c r="C3" s="27"/>
      <c r="D3" s="27"/>
      <c r="E3" s="26"/>
    </row>
    <row r="4" spans="1:5">
      <c r="A4" s="21"/>
    </row>
    <row r="6" spans="1:5" s="13" customFormat="1">
      <c r="A6" s="7" t="s">
        <v>10</v>
      </c>
      <c r="B6" s="8" t="s">
        <v>11</v>
      </c>
      <c r="C6" s="8" t="s">
        <v>12</v>
      </c>
      <c r="D6" s="8" t="s">
        <v>13</v>
      </c>
      <c r="E6" s="7" t="s">
        <v>14</v>
      </c>
    </row>
    <row r="7" spans="1:5">
      <c r="A7" s="4" t="s">
        <v>15</v>
      </c>
      <c r="B7" s="9">
        <v>1</v>
      </c>
      <c r="C7" s="5">
        <v>0</v>
      </c>
      <c r="D7" s="5">
        <v>100</v>
      </c>
      <c r="E7" s="4" t="str">
        <f>HYPERLINK("https://www.ncbi.nlm.nih.gov/protein/WP_005483178.1?report=genbank&amp;log$=prottop&amp;blast_rank=7&amp;RID=92EWBNK7013","WP_005483178.1")</f>
        <v>WP_005483178.1</v>
      </c>
    </row>
    <row r="8" spans="1:5">
      <c r="A8" s="4" t="s">
        <v>15</v>
      </c>
      <c r="B8" s="9">
        <v>1</v>
      </c>
      <c r="C8" s="5">
        <v>0</v>
      </c>
      <c r="D8" s="5">
        <v>100</v>
      </c>
      <c r="E8" s="4" t="str">
        <f>HYPERLINK("https://www.ncbi.nlm.nih.gov/protein/WP_049875404.1?report=genbank&amp;log$=prottop&amp;blast_rank=8&amp;RID=92EWBNK7013","WP_049875404.1")</f>
        <v>WP_049875404.1</v>
      </c>
    </row>
    <row r="9" spans="1:5">
      <c r="A9" s="4" t="s">
        <v>15</v>
      </c>
      <c r="B9" s="9">
        <v>0.94</v>
      </c>
      <c r="C9" s="10">
        <v>7.9999999999999996E-178</v>
      </c>
      <c r="D9" s="5">
        <v>100</v>
      </c>
      <c r="E9" s="4" t="str">
        <f>HYPERLINK("https://www.ncbi.nlm.nih.gov/protein/MCF9480495.1?report=genbank&amp;log$=prottop&amp;blast_rank=104&amp;RID=92EWBNK7013","MCF9480495.1")</f>
        <v>MCF9480495.1</v>
      </c>
    </row>
    <row r="10" spans="1:5">
      <c r="A10" s="4" t="s">
        <v>15</v>
      </c>
      <c r="B10" s="9">
        <v>0.88</v>
      </c>
      <c r="C10" s="10">
        <v>1.9999999999999999E-164</v>
      </c>
      <c r="D10" s="5">
        <v>100</v>
      </c>
      <c r="E10" s="4" t="str">
        <f>HYPERLINK("https://www.ncbi.nlm.nih.gov/protein/WP_161716090.1?report=genbank&amp;log$=prottop&amp;blast_rank=456&amp;RID=92EWBNK7013","WP_161716090.1")</f>
        <v>WP_161716090.1</v>
      </c>
    </row>
    <row r="11" spans="1:5">
      <c r="A11" s="4" t="s">
        <v>15</v>
      </c>
      <c r="B11" s="9">
        <v>0.88</v>
      </c>
      <c r="C11" s="10">
        <v>1.9999999999999998E-163</v>
      </c>
      <c r="D11" s="5">
        <v>100</v>
      </c>
      <c r="E11" s="4" t="str">
        <f>HYPERLINK("https://www.ncbi.nlm.nih.gov/protein/WP_229650752.1?report=genbank&amp;log$=prottop&amp;blast_rank=490&amp;RID=92EWBNK7013","WP_229650752.1")</f>
        <v>WP_229650752.1</v>
      </c>
    </row>
    <row r="12" spans="1:5">
      <c r="A12" s="4" t="s">
        <v>15</v>
      </c>
      <c r="B12" s="9">
        <v>1</v>
      </c>
      <c r="C12" s="5">
        <v>0</v>
      </c>
      <c r="D12" s="5">
        <v>99.64</v>
      </c>
      <c r="E12" s="4" t="str">
        <f>HYPERLINK("https://www.ncbi.nlm.nih.gov/protein/WP_021454732.1?report=genbank&amp;log$=prottop&amp;blast_rank=15&amp;RID=92EWBNK7013","WP_021454732.1")</f>
        <v>WP_021454732.1</v>
      </c>
    </row>
    <row r="13" spans="1:5">
      <c r="A13" s="4" t="s">
        <v>15</v>
      </c>
      <c r="B13" s="9">
        <v>1</v>
      </c>
      <c r="C13" s="5">
        <v>0</v>
      </c>
      <c r="D13" s="5">
        <v>99.64</v>
      </c>
      <c r="E13" s="4" t="str">
        <f>HYPERLINK("https://www.ncbi.nlm.nih.gov/protein/WP_281946651.1?report=genbank&amp;log$=prottop&amp;blast_rank=21&amp;RID=92EWBNK7013","WP_281946651.1")</f>
        <v>WP_281946651.1</v>
      </c>
    </row>
    <row r="14" spans="1:5">
      <c r="A14" s="4" t="s">
        <v>15</v>
      </c>
      <c r="B14" s="9">
        <v>1</v>
      </c>
      <c r="C14" s="5">
        <v>0</v>
      </c>
      <c r="D14" s="5">
        <v>99.27</v>
      </c>
      <c r="E14" s="4" t="str">
        <f>HYPERLINK("https://www.ncbi.nlm.nih.gov/protein/WP_281515901.1?report=genbank&amp;log$=prottop&amp;blast_rank=5&amp;RID=92EWBNK7013","WP_281515901.1")</f>
        <v>WP_281515901.1</v>
      </c>
    </row>
    <row r="15" spans="1:5">
      <c r="A15" s="4" t="s">
        <v>15</v>
      </c>
      <c r="B15" s="9">
        <v>1</v>
      </c>
      <c r="C15" s="5">
        <v>0</v>
      </c>
      <c r="D15" s="5">
        <v>98.91</v>
      </c>
      <c r="E15" s="4" t="str">
        <f>HYPERLINK("https://www.ncbi.nlm.nih.gov/protein/WP_069539491.1?report=genbank&amp;log$=prottop&amp;blast_rank=2&amp;RID=92EWBNK7013","WP_069539491.1")</f>
        <v>WP_069539491.1</v>
      </c>
    </row>
    <row r="16" spans="1:5">
      <c r="A16" s="4" t="s">
        <v>15</v>
      </c>
      <c r="B16" s="9">
        <v>1</v>
      </c>
      <c r="C16" s="5">
        <v>0</v>
      </c>
      <c r="D16" s="5">
        <v>98.91</v>
      </c>
      <c r="E16" s="4" t="str">
        <f>HYPERLINK("https://www.ncbi.nlm.nih.gov/protein/WP_140069008.1?report=genbank&amp;log$=prottop&amp;blast_rank=4&amp;RID=92EWBNK7013","WP_140069008.1")</f>
        <v>WP_140069008.1</v>
      </c>
    </row>
    <row r="17" spans="1:5">
      <c r="A17" s="4" t="s">
        <v>15</v>
      </c>
      <c r="B17" s="9">
        <v>1</v>
      </c>
      <c r="C17" s="5">
        <v>0</v>
      </c>
      <c r="D17" s="5">
        <v>98.91</v>
      </c>
      <c r="E17" s="4" t="str">
        <f>HYPERLINK("https://www.ncbi.nlm.nih.gov/protein/WP_268809508.1?report=genbank&amp;log$=prottop&amp;blast_rank=16&amp;RID=92EWBNK7013","WP_268809508.1")</f>
        <v>WP_268809508.1</v>
      </c>
    </row>
    <row r="18" spans="1:5">
      <c r="A18" s="4" t="s">
        <v>15</v>
      </c>
      <c r="B18" s="9">
        <v>1</v>
      </c>
      <c r="C18" s="5">
        <v>0</v>
      </c>
      <c r="D18" s="5">
        <v>98.91</v>
      </c>
      <c r="E18" s="4" t="str">
        <f>HYPERLINK("https://www.ncbi.nlm.nih.gov/protein/MDG2669424.1?report=genbank&amp;log$=prottop&amp;blast_rank=19&amp;RID=92EWBNK7013","MDG2669424.1")</f>
        <v>MDG2669424.1</v>
      </c>
    </row>
    <row r="19" spans="1:5">
      <c r="A19" s="4" t="s">
        <v>15</v>
      </c>
      <c r="B19" s="9">
        <v>1</v>
      </c>
      <c r="C19" s="5">
        <v>0</v>
      </c>
      <c r="D19" s="5">
        <v>98.55</v>
      </c>
      <c r="E19" s="4" t="str">
        <f>HYPERLINK("https://www.ncbi.nlm.nih.gov/protein/MBE3775332.1?report=genbank&amp;log$=prottop&amp;blast_rank=1&amp;RID=92EWBNK7013","MBE3775332.1")</f>
        <v>MBE3775332.1</v>
      </c>
    </row>
    <row r="20" spans="1:5">
      <c r="A20" s="4" t="s">
        <v>15</v>
      </c>
      <c r="B20" s="9">
        <v>1</v>
      </c>
      <c r="C20" s="5">
        <v>0</v>
      </c>
      <c r="D20" s="5">
        <v>98.55</v>
      </c>
      <c r="E20" s="4" t="str">
        <f>HYPERLINK("https://www.ncbi.nlm.nih.gov/protein/HCG8575943.1?report=genbank&amp;log$=prottop&amp;blast_rank=10&amp;RID=92EWBNK7013","HCG8575943.1")</f>
        <v>HCG8575943.1</v>
      </c>
    </row>
    <row r="21" spans="1:5">
      <c r="A21" s="4" t="s">
        <v>15</v>
      </c>
      <c r="B21" s="9">
        <v>1</v>
      </c>
      <c r="C21" s="5">
        <v>0</v>
      </c>
      <c r="D21" s="5">
        <v>98.55</v>
      </c>
      <c r="E21" s="4" t="str">
        <f>HYPERLINK("https://www.ncbi.nlm.nih.gov/protein/EGQ8118076.1?report=genbank&amp;log$=prottop&amp;blast_rank=18&amp;RID=92EWBNK7013","EGQ8118076.1")</f>
        <v>EGQ8118076.1</v>
      </c>
    </row>
    <row r="22" spans="1:5">
      <c r="A22" s="4" t="s">
        <v>1483</v>
      </c>
      <c r="B22" s="9">
        <v>1</v>
      </c>
      <c r="C22" s="5">
        <v>0</v>
      </c>
      <c r="D22" s="5">
        <v>94.91</v>
      </c>
      <c r="E22" s="4" t="str">
        <f>HYPERLINK("https://www.ncbi.nlm.nih.gov/protein/WP_281029029.1?report=genbank&amp;log$=prottop&amp;blast_rank=17&amp;RID=92EWBNK7013","WP_281029029.1")</f>
        <v>WP_281029029.1</v>
      </c>
    </row>
    <row r="23" spans="1:5">
      <c r="A23" s="4" t="s">
        <v>1484</v>
      </c>
      <c r="B23" s="9">
        <v>1</v>
      </c>
      <c r="C23" s="5">
        <v>0</v>
      </c>
      <c r="D23" s="5">
        <v>94.55</v>
      </c>
      <c r="E23" s="4" t="str">
        <f>HYPERLINK("https://www.ncbi.nlm.nih.gov/protein/WP_171394323.1?report=genbank&amp;log$=prottop&amp;blast_rank=20&amp;RID=92EWBNK7013","WP_171394323.1")</f>
        <v>WP_171394323.1</v>
      </c>
    </row>
    <row r="24" spans="1:5">
      <c r="A24" s="4" t="s">
        <v>980</v>
      </c>
      <c r="B24" s="9">
        <v>1</v>
      </c>
      <c r="C24" s="5">
        <v>0</v>
      </c>
      <c r="D24" s="5">
        <v>93.82</v>
      </c>
      <c r="E24" s="4" t="str">
        <f>HYPERLINK("https://www.ncbi.nlm.nih.gov/protein/WP_303517064.1?report=genbank&amp;log$=prottop&amp;blast_rank=22&amp;RID=92EWBNK7013","WP_303517064.1")</f>
        <v>WP_303517064.1</v>
      </c>
    </row>
    <row r="25" spans="1:5">
      <c r="A25" s="4" t="s">
        <v>43</v>
      </c>
      <c r="B25" s="9">
        <v>1</v>
      </c>
      <c r="C25" s="5">
        <v>0</v>
      </c>
      <c r="D25" s="5">
        <v>93.82</v>
      </c>
      <c r="E25" s="4" t="str">
        <f>HYPERLINK("https://www.ncbi.nlm.nih.gov/protein/WP_102327510.1?report=genbank&amp;log$=prottop&amp;blast_rank=24&amp;RID=92EWBNK7013","WP_102327510.1")</f>
        <v>WP_102327510.1</v>
      </c>
    </row>
    <row r="26" spans="1:5">
      <c r="A26" s="4" t="s">
        <v>43</v>
      </c>
      <c r="B26" s="9">
        <v>1</v>
      </c>
      <c r="C26" s="5">
        <v>0</v>
      </c>
      <c r="D26" s="5">
        <v>90.18</v>
      </c>
      <c r="E26" s="4" t="str">
        <f>HYPERLINK("https://www.ncbi.nlm.nih.gov/protein/WP_094501645.1?report=genbank&amp;log$=prottop&amp;blast_rank=6&amp;RID=92EWBNK7013","WP_094501645.1")</f>
        <v>WP_094501645.1</v>
      </c>
    </row>
    <row r="27" spans="1:5">
      <c r="A27" s="4" t="s">
        <v>56</v>
      </c>
      <c r="B27" s="9">
        <v>1</v>
      </c>
      <c r="C27" s="5">
        <v>0</v>
      </c>
      <c r="D27" s="5">
        <v>89.82</v>
      </c>
      <c r="E27" s="4" t="str">
        <f>HYPERLINK("https://www.ncbi.nlm.nih.gov/protein/WP_133415919.1?report=genbank&amp;log$=prottop&amp;blast_rank=13&amp;RID=92EWBNK7013","WP_133415919.1")</f>
        <v>WP_133415919.1</v>
      </c>
    </row>
    <row r="28" spans="1:5">
      <c r="A28" s="4" t="s">
        <v>237</v>
      </c>
      <c r="B28" s="9">
        <v>1</v>
      </c>
      <c r="C28" s="5">
        <v>0</v>
      </c>
      <c r="D28" s="5">
        <v>89.82</v>
      </c>
      <c r="E28" s="4" t="str">
        <f>HYPERLINK("https://www.ncbi.nlm.nih.gov/protein/WP_114805990.1?report=genbank&amp;log$=prottop&amp;blast_rank=14&amp;RID=92EWBNK7013","WP_114805990.1")</f>
        <v>WP_114805990.1</v>
      </c>
    </row>
    <row r="29" spans="1:5">
      <c r="A29" s="4" t="s">
        <v>43</v>
      </c>
      <c r="B29" s="9">
        <v>1</v>
      </c>
      <c r="C29" s="5">
        <v>0</v>
      </c>
      <c r="D29" s="5">
        <v>89.45</v>
      </c>
      <c r="E29" s="4" t="str">
        <f>HYPERLINK("https://www.ncbi.nlm.nih.gov/protein/WP_108192308.1?report=genbank&amp;log$=prottop&amp;blast_rank=3&amp;RID=92EWBNK7013","WP_108192308.1")</f>
        <v>WP_108192308.1</v>
      </c>
    </row>
    <row r="30" spans="1:5">
      <c r="A30" s="4" t="s">
        <v>63</v>
      </c>
      <c r="B30" s="9">
        <v>1</v>
      </c>
      <c r="C30" s="5">
        <v>0</v>
      </c>
      <c r="D30" s="5">
        <v>89.45</v>
      </c>
      <c r="E30" s="4" t="str">
        <f>HYPERLINK("https://www.ncbi.nlm.nih.gov/protein/WP_171327699.1?report=genbank&amp;log$=prottop&amp;blast_rank=9&amp;RID=92EWBNK7013","WP_171327699.1")</f>
        <v>WP_171327699.1</v>
      </c>
    </row>
    <row r="31" spans="1:5">
      <c r="A31" s="4" t="s">
        <v>56</v>
      </c>
      <c r="B31" s="9">
        <v>1</v>
      </c>
      <c r="C31" s="5">
        <v>0</v>
      </c>
      <c r="D31" s="5">
        <v>89.45</v>
      </c>
      <c r="E31" s="4" t="str">
        <f>HYPERLINK("https://www.ncbi.nlm.nih.gov/protein/WP_233942832.1?report=genbank&amp;log$=prottop&amp;blast_rank=12&amp;RID=92EWBNK7013","WP_233942832.1")</f>
        <v>WP_233942832.1</v>
      </c>
    </row>
    <row r="32" spans="1:5">
      <c r="A32" s="4" t="s">
        <v>967</v>
      </c>
      <c r="B32" s="9">
        <v>1</v>
      </c>
      <c r="C32" s="5">
        <v>0</v>
      </c>
      <c r="D32" s="5">
        <v>80.73</v>
      </c>
      <c r="E32" s="4" t="str">
        <f>HYPERLINK("https://www.ncbi.nlm.nih.gov/protein/WP_342199944.1?report=genbank&amp;log$=prottop&amp;blast_rank=37&amp;RID=92EWBNK7013","WP_342199944.1")</f>
        <v>WP_342199944.1</v>
      </c>
    </row>
    <row r="33" spans="1:5">
      <c r="A33" s="4" t="s">
        <v>1485</v>
      </c>
      <c r="B33" s="9">
        <v>1</v>
      </c>
      <c r="C33" s="5">
        <v>0</v>
      </c>
      <c r="D33" s="5">
        <v>79.64</v>
      </c>
      <c r="E33" s="4" t="str">
        <f>HYPERLINK("https://www.ncbi.nlm.nih.gov/protein/CAA0094908.1?report=genbank&amp;log$=prottop&amp;blast_rank=30&amp;RID=92EWBNK7013","CAA0094908.1")</f>
        <v>CAA0094908.1</v>
      </c>
    </row>
    <row r="34" spans="1:5">
      <c r="A34" s="4" t="s">
        <v>73</v>
      </c>
      <c r="B34" s="9">
        <v>1</v>
      </c>
      <c r="C34" s="5">
        <v>0</v>
      </c>
      <c r="D34" s="5">
        <v>79.27</v>
      </c>
      <c r="E34" s="4" t="str">
        <f>HYPERLINK("https://www.ncbi.nlm.nih.gov/protein/WP_299788413.1?report=genbank&amp;log$=prottop&amp;blast_rank=47&amp;RID=92EWBNK7013","WP_299788413.1")</f>
        <v>WP_299788413.1</v>
      </c>
    </row>
    <row r="35" spans="1:5">
      <c r="A35" s="4" t="s">
        <v>1486</v>
      </c>
      <c r="B35" s="9">
        <v>1</v>
      </c>
      <c r="C35" s="10">
        <v>3.0000000000000001E-180</v>
      </c>
      <c r="D35" s="5">
        <v>79.27</v>
      </c>
      <c r="E35" s="4" t="str">
        <f>HYPERLINK("https://www.ncbi.nlm.nih.gov/protein/WP_108944940.1?report=genbank&amp;log$=prottop&amp;blast_rank=68&amp;RID=92EWBNK7013","WP_108944940.1")</f>
        <v>WP_108944940.1</v>
      </c>
    </row>
    <row r="36" spans="1:5">
      <c r="A36" s="4" t="s">
        <v>310</v>
      </c>
      <c r="B36" s="9">
        <v>0.98</v>
      </c>
      <c r="C36" s="10">
        <v>1E-179</v>
      </c>
      <c r="D36" s="5">
        <v>79.040000000000006</v>
      </c>
      <c r="E36" s="4" t="str">
        <f>HYPERLINK("https://www.ncbi.nlm.nih.gov/protein/RLB58840.1?report=genbank&amp;log$=prottop&amp;blast_rank=74&amp;RID=92EWBNK7013","RLB58840.1")</f>
        <v>RLB58840.1</v>
      </c>
    </row>
    <row r="37" spans="1:5">
      <c r="A37" s="4" t="s">
        <v>1487</v>
      </c>
      <c r="B37" s="9">
        <v>1</v>
      </c>
      <c r="C37" s="10">
        <v>1E-180</v>
      </c>
      <c r="D37" s="5">
        <v>78.55</v>
      </c>
      <c r="E37" s="4" t="str">
        <f>HYPERLINK("https://www.ncbi.nlm.nih.gov/protein/WP_248999665.1?report=genbank&amp;log$=prottop&amp;blast_rank=63&amp;RID=92EWBNK7013","WP_248999665.1")</f>
        <v>WP_248999665.1</v>
      </c>
    </row>
    <row r="38" spans="1:5">
      <c r="A38" s="4" t="s">
        <v>15</v>
      </c>
      <c r="B38" s="9">
        <v>1</v>
      </c>
      <c r="C38" s="10">
        <v>1.9999999999999999E-177</v>
      </c>
      <c r="D38" s="5">
        <v>76.98</v>
      </c>
      <c r="E38" s="4" t="str">
        <f>HYPERLINK("https://www.ncbi.nlm.nih.gov/protein/ELA8137715.1?report=genbank&amp;log$=prottop&amp;blast_rank=110&amp;RID=92EWBNK7013","ELA8137715.1")</f>
        <v>ELA8137715.1</v>
      </c>
    </row>
    <row r="39" spans="1:5">
      <c r="A39" s="4" t="s">
        <v>1488</v>
      </c>
      <c r="B39" s="9">
        <v>1</v>
      </c>
      <c r="C39" s="10">
        <v>3.0000000000000001E-177</v>
      </c>
      <c r="D39" s="5">
        <v>76.62</v>
      </c>
      <c r="E39" s="4" t="str">
        <f>HYPERLINK("https://www.ncbi.nlm.nih.gov/protein/EKM27728.1?report=genbank&amp;log$=prottop&amp;blast_rank=113&amp;RID=92EWBNK7013","EKM27728.1")</f>
        <v>EKM27728.1</v>
      </c>
    </row>
    <row r="40" spans="1:5">
      <c r="A40" s="4" t="s">
        <v>15</v>
      </c>
      <c r="B40" s="9">
        <v>1</v>
      </c>
      <c r="C40" s="10">
        <v>3.0000000000000001E-177</v>
      </c>
      <c r="D40" s="5">
        <v>76.62</v>
      </c>
      <c r="E40" s="4" t="str">
        <f>HYPERLINK("https://www.ncbi.nlm.nih.gov/protein/EKA7366051.1?report=genbank&amp;log$=prottop&amp;blast_rank=114&amp;RID=92EWBNK7013","EKA7366051.1")</f>
        <v>EKA7366051.1</v>
      </c>
    </row>
    <row r="41" spans="1:5">
      <c r="A41" s="4" t="s">
        <v>15</v>
      </c>
      <c r="B41" s="9">
        <v>1</v>
      </c>
      <c r="C41" s="10">
        <v>3.9999999999999998E-177</v>
      </c>
      <c r="D41" s="5">
        <v>76.62</v>
      </c>
      <c r="E41" s="4" t="str">
        <f>HYPERLINK("https://www.ncbi.nlm.nih.gov/protein/HCE3309664.1?report=genbank&amp;log$=prottop&amp;blast_rank=118&amp;RID=92EWBNK7013","HCE3309664.1")</f>
        <v>HCE3309664.1</v>
      </c>
    </row>
    <row r="42" spans="1:5">
      <c r="A42" s="4" t="s">
        <v>992</v>
      </c>
      <c r="B42" s="9">
        <v>1</v>
      </c>
      <c r="C42" s="10">
        <v>5E-177</v>
      </c>
      <c r="D42" s="5">
        <v>76.62</v>
      </c>
      <c r="E42" s="4" t="str">
        <f>HYPERLINK("https://www.ncbi.nlm.nih.gov/protein/WP_256966120.1?report=genbank&amp;log$=prottop&amp;blast_rank=123&amp;RID=92EWBNK7013","WP_256966120.1")</f>
        <v>WP_256966120.1</v>
      </c>
    </row>
    <row r="43" spans="1:5">
      <c r="A43" s="4" t="s">
        <v>1488</v>
      </c>
      <c r="B43" s="9">
        <v>1</v>
      </c>
      <c r="C43" s="10">
        <v>6.0000000000000002E-177</v>
      </c>
      <c r="D43" s="5">
        <v>76.62</v>
      </c>
      <c r="E43" s="4" t="str">
        <f>HYPERLINK("https://www.ncbi.nlm.nih.gov/protein/WP_032801948.1?report=genbank&amp;log$=prottop&amp;blast_rank=127&amp;RID=92EWBNK7013","WP_032801948.1")</f>
        <v>WP_032801948.1</v>
      </c>
    </row>
    <row r="44" spans="1:5">
      <c r="A44" s="4" t="s">
        <v>240</v>
      </c>
      <c r="B44" s="9">
        <v>1</v>
      </c>
      <c r="C44" s="10">
        <v>2E-176</v>
      </c>
      <c r="D44" s="5">
        <v>76.62</v>
      </c>
      <c r="E44" s="4" t="str">
        <f>HYPERLINK("https://www.ncbi.nlm.nih.gov/protein/MBY8220682.1?report=genbank&amp;log$=prottop&amp;blast_rank=139&amp;RID=92EWBNK7013","MBY8220682.1")</f>
        <v>MBY8220682.1</v>
      </c>
    </row>
    <row r="45" spans="1:5">
      <c r="A45" s="4" t="s">
        <v>992</v>
      </c>
      <c r="B45" s="9">
        <v>1</v>
      </c>
      <c r="C45" s="10">
        <v>3E-176</v>
      </c>
      <c r="D45" s="5">
        <v>76.62</v>
      </c>
      <c r="E45" s="4" t="str">
        <f>HYPERLINK("https://www.ncbi.nlm.nih.gov/protein/WP_258487603.1?report=genbank&amp;log$=prottop&amp;blast_rank=147&amp;RID=92EWBNK7013","WP_258487603.1")</f>
        <v>WP_258487603.1</v>
      </c>
    </row>
    <row r="46" spans="1:5">
      <c r="A46" s="4" t="s">
        <v>237</v>
      </c>
      <c r="B46" s="9">
        <v>1</v>
      </c>
      <c r="C46" s="5">
        <v>0</v>
      </c>
      <c r="D46" s="5">
        <v>76.260000000000005</v>
      </c>
      <c r="E46" s="4" t="str">
        <f>HYPERLINK("https://www.ncbi.nlm.nih.gov/protein/WP_113629467.1?report=genbank&amp;log$=prottop&amp;blast_rank=26&amp;RID=92EWBNK7013","WP_113629467.1")</f>
        <v>WP_113629467.1</v>
      </c>
    </row>
    <row r="47" spans="1:5">
      <c r="A47" s="4" t="s">
        <v>1489</v>
      </c>
      <c r="B47" s="9">
        <v>1</v>
      </c>
      <c r="C47" s="5">
        <v>0</v>
      </c>
      <c r="D47" s="5">
        <v>76.260000000000005</v>
      </c>
      <c r="E47" s="4" t="str">
        <f>HYPERLINK("https://www.ncbi.nlm.nih.gov/protein/WP_224021276.1?report=genbank&amp;log$=prottop&amp;blast_rank=35&amp;RID=92EWBNK7013","WP_224021276.1")</f>
        <v>WP_224021276.1</v>
      </c>
    </row>
    <row r="48" spans="1:5">
      <c r="A48" s="4" t="s">
        <v>18</v>
      </c>
      <c r="B48" s="9">
        <v>1</v>
      </c>
      <c r="C48" s="10">
        <v>9.9999999999999995E-178</v>
      </c>
      <c r="D48" s="5">
        <v>76.260000000000005</v>
      </c>
      <c r="E48" s="4" t="str">
        <f>HYPERLINK("https://www.ncbi.nlm.nih.gov/protein/WP_242423960.1?report=genbank&amp;log$=prottop&amp;blast_rank=108&amp;RID=92EWBNK7013","WP_242423960.1")</f>
        <v>WP_242423960.1</v>
      </c>
    </row>
    <row r="49" spans="1:5">
      <c r="A49" s="4" t="s">
        <v>44</v>
      </c>
      <c r="B49" s="9">
        <v>1</v>
      </c>
      <c r="C49" s="10">
        <v>3.9999999999999998E-177</v>
      </c>
      <c r="D49" s="5">
        <v>76.260000000000005</v>
      </c>
      <c r="E49" s="4" t="str">
        <f>HYPERLINK("https://www.ncbi.nlm.nih.gov/protein/WP_080537791.1?report=genbank&amp;log$=prottop&amp;blast_rank=116&amp;RID=92EWBNK7013","WP_080537791.1")</f>
        <v>WP_080537791.1</v>
      </c>
    </row>
    <row r="50" spans="1:5">
      <c r="A50" s="4" t="s">
        <v>816</v>
      </c>
      <c r="B50" s="9">
        <v>1</v>
      </c>
      <c r="C50" s="10">
        <v>3.9999999999999998E-177</v>
      </c>
      <c r="D50" s="5">
        <v>76.260000000000005</v>
      </c>
      <c r="E50" s="4" t="str">
        <f>HYPERLINK("https://www.ncbi.nlm.nih.gov/protein/CAH6810997.1?report=genbank&amp;log$=prottop&amp;blast_rank=120&amp;RID=92EWBNK7013","CAH6810997.1")</f>
        <v>CAH6810997.1</v>
      </c>
    </row>
    <row r="51" spans="1:5">
      <c r="A51" s="4" t="s">
        <v>18</v>
      </c>
      <c r="B51" s="9">
        <v>1</v>
      </c>
      <c r="C51" s="10">
        <v>5E-177</v>
      </c>
      <c r="D51" s="5">
        <v>76.260000000000005</v>
      </c>
      <c r="E51" s="4" t="str">
        <f>HYPERLINK("https://www.ncbi.nlm.nih.gov/protein/EJI1281193.1?report=genbank&amp;log$=prottop&amp;blast_rank=122&amp;RID=92EWBNK7013","EJI1281193.1")</f>
        <v>EJI1281193.1</v>
      </c>
    </row>
    <row r="52" spans="1:5">
      <c r="A52" s="4" t="s">
        <v>1490</v>
      </c>
      <c r="B52" s="9">
        <v>1</v>
      </c>
      <c r="C52" s="10">
        <v>3E-176</v>
      </c>
      <c r="D52" s="5">
        <v>76.260000000000005</v>
      </c>
      <c r="E52" s="4" t="str">
        <f>HYPERLINK("https://www.ncbi.nlm.nih.gov/protein/WP_232768874.1?report=genbank&amp;log$=prottop&amp;blast_rank=146&amp;RID=92EWBNK7013","WP_232768874.1")</f>
        <v>WP_232768874.1</v>
      </c>
    </row>
    <row r="53" spans="1:5">
      <c r="A53" s="4" t="s">
        <v>1491</v>
      </c>
      <c r="B53" s="9">
        <v>0.99</v>
      </c>
      <c r="C53" s="5">
        <v>0</v>
      </c>
      <c r="D53" s="5">
        <v>76.17</v>
      </c>
      <c r="E53" s="4" t="str">
        <f>HYPERLINK("https://www.ncbi.nlm.nih.gov/protein/WP_055034332.1?report=genbank&amp;log$=prottop&amp;blast_rank=33&amp;RID=92EWBNK7013","WP_055034332.1")</f>
        <v>WP_055034332.1</v>
      </c>
    </row>
    <row r="54" spans="1:5">
      <c r="A54" s="4" t="s">
        <v>237</v>
      </c>
      <c r="B54" s="9">
        <v>1</v>
      </c>
      <c r="C54" s="5">
        <v>0</v>
      </c>
      <c r="D54" s="5">
        <v>75.900000000000006</v>
      </c>
      <c r="E54" s="4" t="str">
        <f>HYPERLINK("https://www.ncbi.nlm.nih.gov/protein/EJL6492901.1?report=genbank&amp;log$=prottop&amp;blast_rank=38&amp;RID=92EWBNK7013","EJL6492901.1")</f>
        <v>EJL6492901.1</v>
      </c>
    </row>
    <row r="55" spans="1:5">
      <c r="A55" s="4" t="s">
        <v>1492</v>
      </c>
      <c r="B55" s="9">
        <v>1</v>
      </c>
      <c r="C55" s="5">
        <v>0</v>
      </c>
      <c r="D55" s="5">
        <v>75.900000000000006</v>
      </c>
      <c r="E55" s="4" t="str">
        <f>HYPERLINK("https://www.ncbi.nlm.nih.gov/protein/WP_282111248.1?report=genbank&amp;log$=prottop&amp;blast_rank=45&amp;RID=92EWBNK7013","WP_282111248.1")</f>
        <v>WP_282111248.1</v>
      </c>
    </row>
    <row r="56" spans="1:5">
      <c r="A56" s="4" t="s">
        <v>1493</v>
      </c>
      <c r="B56" s="9">
        <v>1</v>
      </c>
      <c r="C56" s="10">
        <v>2E-176</v>
      </c>
      <c r="D56" s="5">
        <v>75.900000000000006</v>
      </c>
      <c r="E56" s="4" t="str">
        <f>HYPERLINK("https://www.ncbi.nlm.nih.gov/protein/WP_290034391.1?report=genbank&amp;log$=prottop&amp;blast_rank=140&amp;RID=92EWBNK7013","WP_290034391.1")</f>
        <v>WP_290034391.1</v>
      </c>
    </row>
    <row r="57" spans="1:5">
      <c r="A57" s="4" t="s">
        <v>1494</v>
      </c>
      <c r="B57" s="9">
        <v>1</v>
      </c>
      <c r="C57" s="5">
        <v>0</v>
      </c>
      <c r="D57" s="5">
        <v>75.540000000000006</v>
      </c>
      <c r="E57" s="4" t="str">
        <f>HYPERLINK("https://www.ncbi.nlm.nih.gov/protein/WP_158116636.1?report=genbank&amp;log$=prottop&amp;blast_rank=27&amp;RID=92EWBNK7013","WP_158116636.1")</f>
        <v>WP_158116636.1</v>
      </c>
    </row>
    <row r="58" spans="1:5">
      <c r="A58" s="4" t="s">
        <v>1491</v>
      </c>
      <c r="B58" s="9">
        <v>1</v>
      </c>
      <c r="C58" s="5">
        <v>0</v>
      </c>
      <c r="D58" s="5">
        <v>75.540000000000006</v>
      </c>
      <c r="E58" s="4" t="str">
        <f>HYPERLINK("https://www.ncbi.nlm.nih.gov/protein/WP_095459691.1?report=genbank&amp;log$=prottop&amp;blast_rank=39&amp;RID=92EWBNK7013","WP_095459691.1")</f>
        <v>WP_095459691.1</v>
      </c>
    </row>
    <row r="59" spans="1:5">
      <c r="A59" s="4" t="s">
        <v>46</v>
      </c>
      <c r="B59" s="9">
        <v>1</v>
      </c>
      <c r="C59" s="5">
        <v>0</v>
      </c>
      <c r="D59" s="5">
        <v>75.540000000000006</v>
      </c>
      <c r="E59" s="4" t="str">
        <f>HYPERLINK("https://www.ncbi.nlm.nih.gov/protein/WP_332420348.1?report=genbank&amp;log$=prottop&amp;blast_rank=44&amp;RID=92EWBNK7013","WP_332420348.1")</f>
        <v>WP_332420348.1</v>
      </c>
    </row>
    <row r="60" spans="1:5">
      <c r="A60" s="4" t="s">
        <v>242</v>
      </c>
      <c r="B60" s="9">
        <v>1</v>
      </c>
      <c r="C60" s="10">
        <v>4.9999999999999998E-179</v>
      </c>
      <c r="D60" s="5">
        <v>75.540000000000006</v>
      </c>
      <c r="E60" s="4" t="str">
        <f>HYPERLINK("https://www.ncbi.nlm.nih.gov/protein/WP_305838768.1?report=genbank&amp;log$=prottop&amp;blast_rank=87&amp;RID=92EWBNK7013","WP_305838768.1")</f>
        <v>WP_305838768.1</v>
      </c>
    </row>
    <row r="61" spans="1:5">
      <c r="A61" s="4" t="s">
        <v>1495</v>
      </c>
      <c r="B61" s="9">
        <v>1</v>
      </c>
      <c r="C61" s="5">
        <v>0</v>
      </c>
      <c r="D61" s="5">
        <v>75.27</v>
      </c>
      <c r="E61" s="4" t="str">
        <f>HYPERLINK("https://www.ncbi.nlm.nih.gov/protein/VFK24570.1?report=genbank&amp;log$=prottop&amp;blast_rank=51&amp;RID=92EWBNK7013","VFK24570.1")</f>
        <v>VFK24570.1</v>
      </c>
    </row>
    <row r="62" spans="1:5">
      <c r="A62" s="4" t="s">
        <v>1496</v>
      </c>
      <c r="B62" s="9">
        <v>1</v>
      </c>
      <c r="C62" s="10">
        <v>1.9999999999999999E-178</v>
      </c>
      <c r="D62" s="5">
        <v>75.27</v>
      </c>
      <c r="E62" s="4" t="str">
        <f>HYPERLINK("https://www.ncbi.nlm.nih.gov/protein/WP_044415286.1?report=genbank&amp;log$=prottop&amp;blast_rank=94&amp;RID=92EWBNK7013","WP_044415286.1")</f>
        <v>WP_044415286.1</v>
      </c>
    </row>
    <row r="63" spans="1:5">
      <c r="A63" s="4" t="s">
        <v>1494</v>
      </c>
      <c r="B63" s="9">
        <v>1</v>
      </c>
      <c r="C63" s="5">
        <v>0</v>
      </c>
      <c r="D63" s="5">
        <v>75.180000000000007</v>
      </c>
      <c r="E63" s="4" t="str">
        <f>HYPERLINK("https://www.ncbi.nlm.nih.gov/protein/WP_243033117.1?report=genbank&amp;log$=prottop&amp;blast_rank=29&amp;RID=92EWBNK7013","WP_243033117.1")</f>
        <v>WP_243033117.1</v>
      </c>
    </row>
    <row r="64" spans="1:5">
      <c r="A64" s="4" t="s">
        <v>17</v>
      </c>
      <c r="B64" s="9">
        <v>1</v>
      </c>
      <c r="C64" s="10">
        <v>3.9999999999999998E-177</v>
      </c>
      <c r="D64" s="5">
        <v>74.819999999999993</v>
      </c>
      <c r="E64" s="4" t="str">
        <f>HYPERLINK("https://www.ncbi.nlm.nih.gov/protein/CAK2775518.1?report=genbank&amp;log$=prottop&amp;blast_rank=121&amp;RID=92EWBNK7013","CAK2775518.1")</f>
        <v>CAK2775518.1</v>
      </c>
    </row>
    <row r="65" spans="1:5">
      <c r="A65" s="4" t="s">
        <v>15</v>
      </c>
      <c r="B65" s="9">
        <v>1</v>
      </c>
      <c r="C65" s="5">
        <v>0</v>
      </c>
      <c r="D65" s="5">
        <v>74.55</v>
      </c>
      <c r="E65" s="4" t="str">
        <f>HYPERLINK("https://www.ncbi.nlm.nih.gov/protein/WP_045600529.1?report=genbank&amp;log$=prottop&amp;blast_rank=25&amp;RID=92EWBNK7013","WP_045600529.1")</f>
        <v>WP_045600529.1</v>
      </c>
    </row>
    <row r="66" spans="1:5">
      <c r="A66" s="4" t="s">
        <v>15</v>
      </c>
      <c r="B66" s="9">
        <v>1</v>
      </c>
      <c r="C66" s="5">
        <v>0</v>
      </c>
      <c r="D66" s="5">
        <v>74.55</v>
      </c>
      <c r="E66" s="4" t="str">
        <f>HYPERLINK("https://www.ncbi.nlm.nih.gov/protein/WP_274004096.1?report=genbank&amp;log$=prottop&amp;blast_rank=40&amp;RID=92EWBNK7013","WP_274004096.1")</f>
        <v>WP_274004096.1</v>
      </c>
    </row>
    <row r="67" spans="1:5">
      <c r="A67" s="4" t="s">
        <v>1497</v>
      </c>
      <c r="B67" s="9">
        <v>1</v>
      </c>
      <c r="C67" s="10">
        <v>1E-179</v>
      </c>
      <c r="D67" s="5">
        <v>74.55</v>
      </c>
      <c r="E67" s="4" t="str">
        <f>HYPERLINK("https://www.ncbi.nlm.nih.gov/protein/WP_163885495.1?report=genbank&amp;log$=prottop&amp;blast_rank=75&amp;RID=92EWBNK7013","WP_163885495.1")</f>
        <v>WP_163885495.1</v>
      </c>
    </row>
    <row r="68" spans="1:5">
      <c r="A68" s="4" t="s">
        <v>269</v>
      </c>
      <c r="B68" s="9">
        <v>1</v>
      </c>
      <c r="C68" s="10">
        <v>2E-179</v>
      </c>
      <c r="D68" s="5">
        <v>74.55</v>
      </c>
      <c r="E68" s="4" t="str">
        <f>HYPERLINK("https://www.ncbi.nlm.nih.gov/protein/WP_260663959.1?report=genbank&amp;log$=prottop&amp;blast_rank=79&amp;RID=92EWBNK7013","WP_260663959.1")</f>
        <v>WP_260663959.1</v>
      </c>
    </row>
    <row r="69" spans="1:5">
      <c r="A69" s="4" t="s">
        <v>293</v>
      </c>
      <c r="B69" s="9">
        <v>1</v>
      </c>
      <c r="C69" s="10">
        <v>7.0000000000000005E-179</v>
      </c>
      <c r="D69" s="5">
        <v>74.55</v>
      </c>
      <c r="E69" s="4" t="str">
        <f>HYPERLINK("https://www.ncbi.nlm.nih.gov/protein/WP_195569289.1?report=genbank&amp;log$=prottop&amp;blast_rank=89&amp;RID=92EWBNK7013","WP_195569289.1")</f>
        <v>WP_195569289.1</v>
      </c>
    </row>
    <row r="70" spans="1:5">
      <c r="A70" s="4" t="s">
        <v>17</v>
      </c>
      <c r="B70" s="9">
        <v>1</v>
      </c>
      <c r="C70" s="10">
        <v>2E-179</v>
      </c>
      <c r="D70" s="5">
        <v>74.459999999999994</v>
      </c>
      <c r="E70" s="4" t="str">
        <f>HYPERLINK("https://www.ncbi.nlm.nih.gov/protein/WP_132968513.1?report=genbank&amp;log$=prottop&amp;blast_rank=80&amp;RID=92EWBNK7013","WP_132968513.1")</f>
        <v>WP_132968513.1</v>
      </c>
    </row>
    <row r="71" spans="1:5">
      <c r="A71" s="4" t="s">
        <v>17</v>
      </c>
      <c r="B71" s="9">
        <v>1</v>
      </c>
      <c r="C71" s="10">
        <v>1E-175</v>
      </c>
      <c r="D71" s="5">
        <v>74.459999999999994</v>
      </c>
      <c r="E71" s="4" t="str">
        <f>HYPERLINK("https://www.ncbi.nlm.nih.gov/protein/WP_123295121.1?report=genbank&amp;log$=prottop&amp;blast_rank=162&amp;RID=92EWBNK7013","WP_123295121.1")</f>
        <v>WP_123295121.1</v>
      </c>
    </row>
    <row r="72" spans="1:5">
      <c r="A72" s="4" t="s">
        <v>15</v>
      </c>
      <c r="B72" s="9">
        <v>1</v>
      </c>
      <c r="C72" s="5">
        <v>0</v>
      </c>
      <c r="D72" s="5">
        <v>74.180000000000007</v>
      </c>
      <c r="E72" s="4" t="str">
        <f>HYPERLINK("https://www.ncbi.nlm.nih.gov/protein/EGQ9815621.1?report=genbank&amp;log$=prottop&amp;blast_rank=34&amp;RID=92EWBNK7013","EGQ9815621.1")</f>
        <v>EGQ9815621.1</v>
      </c>
    </row>
    <row r="73" spans="1:5">
      <c r="A73" s="4" t="s">
        <v>304</v>
      </c>
      <c r="B73" s="9">
        <v>1</v>
      </c>
      <c r="C73" s="10">
        <v>8.0000000000000002E-179</v>
      </c>
      <c r="D73" s="5">
        <v>74.180000000000007</v>
      </c>
      <c r="E73" s="4" t="str">
        <f>HYPERLINK("https://www.ncbi.nlm.nih.gov/protein/WP_272573190.1?report=genbank&amp;log$=prottop&amp;blast_rank=90&amp;RID=92EWBNK7013","WP_272573190.1")</f>
        <v>WP_272573190.1</v>
      </c>
    </row>
    <row r="74" spans="1:5">
      <c r="A74" s="4" t="s">
        <v>1498</v>
      </c>
      <c r="B74" s="9">
        <v>1</v>
      </c>
      <c r="C74" s="10">
        <v>4.9999999999999998E-178</v>
      </c>
      <c r="D74" s="5">
        <v>74.180000000000007</v>
      </c>
      <c r="E74" s="4" t="str">
        <f>HYPERLINK("https://www.ncbi.nlm.nih.gov/protein/WP_116002321.1?report=genbank&amp;log$=prottop&amp;blast_rank=102&amp;RID=92EWBNK7013","WP_116002321.1")</f>
        <v>WP_116002321.1</v>
      </c>
    </row>
    <row r="75" spans="1:5">
      <c r="A75" s="4" t="s">
        <v>15</v>
      </c>
      <c r="B75" s="9">
        <v>1</v>
      </c>
      <c r="C75" s="5">
        <v>0</v>
      </c>
      <c r="D75" s="5">
        <v>74.099999999999994</v>
      </c>
      <c r="E75" s="4" t="str">
        <f>HYPERLINK("https://www.ncbi.nlm.nih.gov/protein/WP_140221588.1?report=genbank&amp;log$=prottop&amp;blast_rank=42&amp;RID=92EWBNK7013","WP_140221588.1")</f>
        <v>WP_140221588.1</v>
      </c>
    </row>
    <row r="76" spans="1:5">
      <c r="A76" s="4" t="s">
        <v>15</v>
      </c>
      <c r="B76" s="9">
        <v>1</v>
      </c>
      <c r="C76" s="5">
        <v>0</v>
      </c>
      <c r="D76" s="5">
        <v>74.099999999999994</v>
      </c>
      <c r="E76" s="4" t="str">
        <f>HYPERLINK("https://www.ncbi.nlm.nih.gov/protein/HAS6741204.1?report=genbank&amp;log$=prottop&amp;blast_rank=46&amp;RID=92EWBNK7013","HAS6741204.1")</f>
        <v>HAS6741204.1</v>
      </c>
    </row>
    <row r="77" spans="1:5">
      <c r="A77" s="4" t="s">
        <v>15</v>
      </c>
      <c r="B77" s="9">
        <v>1</v>
      </c>
      <c r="C77" s="5">
        <v>0</v>
      </c>
      <c r="D77" s="5">
        <v>74.099999999999994</v>
      </c>
      <c r="E77" s="4" t="str">
        <f>HYPERLINK("https://www.ncbi.nlm.nih.gov/protein/WP_140099219.1?report=genbank&amp;log$=prottop&amp;blast_rank=48&amp;RID=92EWBNK7013","WP_140099219.1")</f>
        <v>WP_140099219.1</v>
      </c>
    </row>
    <row r="78" spans="1:5">
      <c r="A78" s="4" t="s">
        <v>18</v>
      </c>
      <c r="B78" s="9">
        <v>1</v>
      </c>
      <c r="C78" s="5">
        <v>0</v>
      </c>
      <c r="D78" s="5">
        <v>74.099999999999994</v>
      </c>
      <c r="E78" s="4" t="str">
        <f>HYPERLINK("https://www.ncbi.nlm.nih.gov/protein/WP_188047578.1?report=genbank&amp;log$=prottop&amp;blast_rank=49&amp;RID=92EWBNK7013","WP_188047578.1")</f>
        <v>WP_188047578.1</v>
      </c>
    </row>
    <row r="79" spans="1:5">
      <c r="A79" s="4" t="s">
        <v>43</v>
      </c>
      <c r="B79" s="9">
        <v>1</v>
      </c>
      <c r="C79" s="5">
        <v>0</v>
      </c>
      <c r="D79" s="5">
        <v>74.099999999999994</v>
      </c>
      <c r="E79" s="4" t="str">
        <f>HYPERLINK("https://www.ncbi.nlm.nih.gov/protein/WP_185891407.1?report=genbank&amp;log$=prottop&amp;blast_rank=50&amp;RID=92EWBNK7013","WP_185891407.1")</f>
        <v>WP_185891407.1</v>
      </c>
    </row>
    <row r="80" spans="1:5">
      <c r="A80" s="4" t="s">
        <v>17</v>
      </c>
      <c r="B80" s="9">
        <v>1</v>
      </c>
      <c r="C80" s="10">
        <v>9.9999999999999995E-179</v>
      </c>
      <c r="D80" s="5">
        <v>74.099999999999994</v>
      </c>
      <c r="E80" s="4" t="str">
        <f>HYPERLINK("https://www.ncbi.nlm.nih.gov/protein/WP_210445628.1?report=genbank&amp;log$=prottop&amp;blast_rank=93&amp;RID=92EWBNK7013","WP_210445628.1")</f>
        <v>WP_210445628.1</v>
      </c>
    </row>
    <row r="81" spans="1:5">
      <c r="A81" s="4" t="s">
        <v>17</v>
      </c>
      <c r="B81" s="9">
        <v>1</v>
      </c>
      <c r="C81" s="10">
        <v>7.9999999999999996E-178</v>
      </c>
      <c r="D81" s="5">
        <v>74.099999999999994</v>
      </c>
      <c r="E81" s="4" t="str">
        <f>HYPERLINK("https://www.ncbi.nlm.nih.gov/protein/CAK2775380.1?report=genbank&amp;log$=prottop&amp;blast_rank=105&amp;RID=92EWBNK7013","CAK2775380.1")</f>
        <v>CAK2775380.1</v>
      </c>
    </row>
    <row r="82" spans="1:5">
      <c r="A82" s="4" t="s">
        <v>816</v>
      </c>
      <c r="B82" s="9">
        <v>1</v>
      </c>
      <c r="C82" s="5">
        <v>0</v>
      </c>
      <c r="D82" s="5">
        <v>73.819999999999993</v>
      </c>
      <c r="E82" s="4" t="str">
        <f>HYPERLINK("https://www.ncbi.nlm.nih.gov/protein/CAH7053374.1?report=genbank&amp;log$=prottop&amp;blast_rank=52&amp;RID=92EWBNK7013","CAH7053374.1")</f>
        <v>CAH7053374.1</v>
      </c>
    </row>
    <row r="83" spans="1:5">
      <c r="A83" s="4" t="s">
        <v>1499</v>
      </c>
      <c r="B83" s="9">
        <v>1</v>
      </c>
      <c r="C83" s="10">
        <v>1E-179</v>
      </c>
      <c r="D83" s="5">
        <v>73.819999999999993</v>
      </c>
      <c r="E83" s="4" t="str">
        <f>HYPERLINK("https://www.ncbi.nlm.nih.gov/protein/WP_272664771.1?report=genbank&amp;log$=prottop&amp;blast_rank=76&amp;RID=92EWBNK7013","WP_272664771.1")</f>
        <v>WP_272664771.1</v>
      </c>
    </row>
    <row r="84" spans="1:5">
      <c r="A84" s="4" t="s">
        <v>17</v>
      </c>
      <c r="B84" s="9">
        <v>1</v>
      </c>
      <c r="C84" s="10">
        <v>7.9999999999999996E-177</v>
      </c>
      <c r="D84" s="5">
        <v>73.739999999999995</v>
      </c>
      <c r="E84" s="4" t="str">
        <f>HYPERLINK("https://www.ncbi.nlm.nih.gov/protein/CAK2444691.1?report=genbank&amp;log$=prottop&amp;blast_rank=132&amp;RID=92EWBNK7013","CAK2444691.1")</f>
        <v>CAK2444691.1</v>
      </c>
    </row>
    <row r="85" spans="1:5">
      <c r="A85" s="4" t="s">
        <v>1500</v>
      </c>
      <c r="B85" s="9">
        <v>1</v>
      </c>
      <c r="C85" s="5">
        <v>0</v>
      </c>
      <c r="D85" s="5">
        <v>72.73</v>
      </c>
      <c r="E85" s="4" t="str">
        <f>HYPERLINK("https://www.ncbi.nlm.nih.gov/protein/WP_128384130.1?report=genbank&amp;log$=prottop&amp;blast_rank=23&amp;RID=92EWBNK7013","WP_128384130.1")</f>
        <v>WP_128384130.1</v>
      </c>
    </row>
    <row r="86" spans="1:5">
      <c r="A86" s="4" t="s">
        <v>1501</v>
      </c>
      <c r="B86" s="9">
        <v>1</v>
      </c>
      <c r="C86" s="10">
        <v>2E-179</v>
      </c>
      <c r="D86" s="5">
        <v>71.94</v>
      </c>
      <c r="E86" s="4" t="str">
        <f>HYPERLINK("https://www.ncbi.nlm.nih.gov/protein/WP_275872713.1?report=genbank&amp;log$=prottop&amp;blast_rank=83&amp;RID=92EWBNK7013","WP_275872713.1")</f>
        <v>WP_275872713.1</v>
      </c>
    </row>
    <row r="87" spans="1:5">
      <c r="A87" s="4" t="s">
        <v>1502</v>
      </c>
      <c r="B87" s="9">
        <v>1</v>
      </c>
      <c r="C87" s="10">
        <v>2E-174</v>
      </c>
      <c r="D87" s="5">
        <v>70.650000000000006</v>
      </c>
      <c r="E87" s="4" t="str">
        <f>HYPERLINK("https://www.ncbi.nlm.nih.gov/protein/WP_237296340.1?report=genbank&amp;log$=prottop&amp;blast_rank=176&amp;RID=92EWBNK7013","WP_237296340.1")</f>
        <v>WP_237296340.1</v>
      </c>
    </row>
    <row r="88" spans="1:5">
      <c r="A88" s="4" t="s">
        <v>1503</v>
      </c>
      <c r="B88" s="9">
        <v>0.96</v>
      </c>
      <c r="C88" s="10">
        <v>2E-176</v>
      </c>
      <c r="D88" s="5">
        <v>70.569999999999993</v>
      </c>
      <c r="E88" s="4" t="str">
        <f>HYPERLINK("https://www.ncbi.nlm.nih.gov/protein/NIM17035.1?report=genbank&amp;log$=prottop&amp;blast_rank=143&amp;RID=92EWBNK7013","NIM17035.1")</f>
        <v>NIM17035.1</v>
      </c>
    </row>
    <row r="89" spans="1:5">
      <c r="A89" s="4" t="s">
        <v>1089</v>
      </c>
      <c r="B89" s="9">
        <v>0.99</v>
      </c>
      <c r="C89" s="5">
        <v>0</v>
      </c>
      <c r="D89" s="5">
        <v>69.34</v>
      </c>
      <c r="E89" s="4" t="str">
        <f>HYPERLINK("https://www.ncbi.nlm.nih.gov/protein/NOX36716.1?report=genbank&amp;log$=prottop&amp;blast_rank=11&amp;RID=92EWBNK7013","NOX36716.1")</f>
        <v>NOX36716.1</v>
      </c>
    </row>
    <row r="90" spans="1:5">
      <c r="A90" s="4" t="s">
        <v>443</v>
      </c>
      <c r="B90" s="9">
        <v>0.99</v>
      </c>
      <c r="C90" s="10">
        <v>9.9999999999999998E-172</v>
      </c>
      <c r="D90" s="5">
        <v>66.91</v>
      </c>
      <c r="E90" s="4" t="str">
        <f>HYPERLINK("https://www.ncbi.nlm.nih.gov/protein/WP_299937171.1?report=genbank&amp;log$=prottop&amp;blast_rank=207&amp;RID=92EWBNK7013","WP_299937171.1")</f>
        <v>WP_299937171.1</v>
      </c>
    </row>
    <row r="91" spans="1:5">
      <c r="A91" s="4" t="s">
        <v>1504</v>
      </c>
      <c r="B91" s="9">
        <v>0.98</v>
      </c>
      <c r="C91" s="10">
        <v>3E-171</v>
      </c>
      <c r="D91" s="5">
        <v>64.47</v>
      </c>
      <c r="E91" s="4" t="str">
        <f>HYPERLINK("https://www.ncbi.nlm.nih.gov/protein/WP_108283092.1?report=genbank&amp;log$=prottop&amp;blast_rank=211&amp;RID=92EWBNK7013","WP_108283092.1")</f>
        <v>WP_108283092.1</v>
      </c>
    </row>
    <row r="92" spans="1:5">
      <c r="A92" s="4" t="s">
        <v>967</v>
      </c>
      <c r="B92" s="9">
        <v>0.98</v>
      </c>
      <c r="C92" s="10">
        <v>3.0000000000000001E-177</v>
      </c>
      <c r="D92" s="5">
        <v>64.099999999999994</v>
      </c>
      <c r="E92" s="4" t="str">
        <f>HYPERLINK("https://www.ncbi.nlm.nih.gov/protein/WP_208146636.1?report=genbank&amp;log$=prottop&amp;blast_rank=112&amp;RID=92EWBNK7013","WP_208146636.1")</f>
        <v>WP_208146636.1</v>
      </c>
    </row>
    <row r="93" spans="1:5">
      <c r="A93" s="4" t="s">
        <v>1505</v>
      </c>
      <c r="B93" s="9">
        <v>0.98</v>
      </c>
      <c r="C93" s="10">
        <v>1E-173</v>
      </c>
      <c r="D93" s="5">
        <v>64.099999999999994</v>
      </c>
      <c r="E93" s="4" t="str">
        <f>HYPERLINK("https://www.ncbi.nlm.nih.gov/protein/WP_011496495.1?report=genbank&amp;log$=prottop&amp;blast_rank=185&amp;RID=92EWBNK7013","WP_011496495.1")</f>
        <v>WP_011496495.1</v>
      </c>
    </row>
    <row r="94" spans="1:5">
      <c r="A94" s="4" t="s">
        <v>1506</v>
      </c>
      <c r="B94" s="9">
        <v>0.99</v>
      </c>
      <c r="C94" s="10">
        <v>8E-176</v>
      </c>
      <c r="D94" s="5">
        <v>63.87</v>
      </c>
      <c r="E94" s="4" t="str">
        <f>HYPERLINK("https://www.ncbi.nlm.nih.gov/protein/MBK6999467.1?report=genbank&amp;log$=prottop&amp;blast_rank=156&amp;RID=92EWBNK7013","MBK6999467.1")</f>
        <v>MBK6999467.1</v>
      </c>
    </row>
    <row r="95" spans="1:5">
      <c r="A95" s="4" t="s">
        <v>958</v>
      </c>
      <c r="B95" s="9">
        <v>0.98</v>
      </c>
      <c r="C95" s="10">
        <v>7.9999999999999996E-178</v>
      </c>
      <c r="D95" s="5">
        <v>63.74</v>
      </c>
      <c r="E95" s="4" t="str">
        <f>HYPERLINK("https://www.ncbi.nlm.nih.gov/protein/WP_200885402.1?report=genbank&amp;log$=prottop&amp;blast_rank=106&amp;RID=92EWBNK7013","WP_200885402.1")</f>
        <v>WP_200885402.1</v>
      </c>
    </row>
    <row r="96" spans="1:5">
      <c r="A96" s="4" t="s">
        <v>375</v>
      </c>
      <c r="B96" s="9">
        <v>0.98</v>
      </c>
      <c r="C96" s="10">
        <v>3.0000000000000001E-177</v>
      </c>
      <c r="D96" s="5">
        <v>63.37</v>
      </c>
      <c r="E96" s="4" t="str">
        <f>HYPERLINK("https://www.ncbi.nlm.nih.gov/protein/WP_337076133.1?report=genbank&amp;log$=prottop&amp;blast_rank=111&amp;RID=92EWBNK7013","WP_337076133.1")</f>
        <v>WP_337076133.1</v>
      </c>
    </row>
    <row r="97" spans="1:5">
      <c r="A97" s="4" t="s">
        <v>1507</v>
      </c>
      <c r="B97" s="9">
        <v>0.99</v>
      </c>
      <c r="C97" s="10">
        <v>2E-180</v>
      </c>
      <c r="D97" s="5">
        <v>63.14</v>
      </c>
      <c r="E97" s="4" t="str">
        <f>HYPERLINK("https://www.ncbi.nlm.nih.gov/protein/WP_005229343.1?report=genbank&amp;log$=prottop&amp;blast_rank=65&amp;RID=92EWBNK7013","WP_005229343.1")</f>
        <v>WP_005229343.1</v>
      </c>
    </row>
    <row r="98" spans="1:5">
      <c r="A98" s="4" t="s">
        <v>1058</v>
      </c>
      <c r="B98" s="9">
        <v>1</v>
      </c>
      <c r="C98" s="10">
        <v>4.9999999999999998E-179</v>
      </c>
      <c r="D98" s="5">
        <v>63.04</v>
      </c>
      <c r="E98" s="4" t="str">
        <f>HYPERLINK("https://www.ncbi.nlm.nih.gov/protein/WP_044435981.1?report=genbank&amp;log$=prottop&amp;blast_rank=86&amp;RID=92EWBNK7013","WP_044435981.1")</f>
        <v>WP_044435981.1</v>
      </c>
    </row>
    <row r="99" spans="1:5">
      <c r="A99" s="4" t="s">
        <v>1058</v>
      </c>
      <c r="B99" s="9">
        <v>1</v>
      </c>
      <c r="C99" s="10">
        <v>6.0000000000000001E-179</v>
      </c>
      <c r="D99" s="5">
        <v>63.04</v>
      </c>
      <c r="E99" s="4" t="str">
        <f>HYPERLINK("https://www.ncbi.nlm.nih.gov/protein/WP_228135084.1?report=genbank&amp;log$=prottop&amp;blast_rank=88&amp;RID=92EWBNK7013","WP_228135084.1")</f>
        <v>WP_228135084.1</v>
      </c>
    </row>
    <row r="100" spans="1:5">
      <c r="A100" s="4" t="s">
        <v>1058</v>
      </c>
      <c r="B100" s="9">
        <v>1</v>
      </c>
      <c r="C100" s="10">
        <v>9.9999999999999995E-179</v>
      </c>
      <c r="D100" s="5">
        <v>63.04</v>
      </c>
      <c r="E100" s="4" t="str">
        <f>HYPERLINK("https://www.ncbi.nlm.nih.gov/protein/WP_262734599.1?report=genbank&amp;log$=prottop&amp;blast_rank=92&amp;RID=92EWBNK7013","WP_262734599.1")</f>
        <v>WP_262734599.1</v>
      </c>
    </row>
    <row r="101" spans="1:5">
      <c r="A101" s="4" t="s">
        <v>1508</v>
      </c>
      <c r="B101" s="9">
        <v>1</v>
      </c>
      <c r="C101" s="5">
        <v>0</v>
      </c>
      <c r="D101" s="5">
        <v>62.68</v>
      </c>
      <c r="E101" s="4" t="str">
        <f>HYPERLINK("https://www.ncbi.nlm.nih.gov/protein/WP_131374344.1?report=genbank&amp;log$=prottop&amp;blast_rank=31&amp;RID=92EWBNK7013","WP_131374344.1")</f>
        <v>WP_131374344.1</v>
      </c>
    </row>
    <row r="102" spans="1:5">
      <c r="A102" s="4" t="s">
        <v>1509</v>
      </c>
      <c r="B102" s="9">
        <v>0.98</v>
      </c>
      <c r="C102" s="10">
        <v>2.9999999999999999E-178</v>
      </c>
      <c r="D102" s="5">
        <v>62.64</v>
      </c>
      <c r="E102" s="4" t="str">
        <f>HYPERLINK("https://www.ncbi.nlm.nih.gov/protein/WP_256260989.1?report=genbank&amp;log$=prottop&amp;blast_rank=99&amp;RID=92EWBNK7013","WP_256260989.1")</f>
        <v>WP_256260989.1</v>
      </c>
    </row>
    <row r="103" spans="1:5">
      <c r="A103" s="4" t="s">
        <v>1509</v>
      </c>
      <c r="B103" s="9">
        <v>0.98</v>
      </c>
      <c r="C103" s="10">
        <v>3.9999999999999998E-178</v>
      </c>
      <c r="D103" s="5">
        <v>62.64</v>
      </c>
      <c r="E103" s="4" t="str">
        <f>HYPERLINK("https://www.ncbi.nlm.nih.gov/protein/MBV7316217.1?report=genbank&amp;log$=prottop&amp;blast_rank=101&amp;RID=92EWBNK7013","MBV7316217.1")</f>
        <v>MBV7316217.1</v>
      </c>
    </row>
    <row r="104" spans="1:5">
      <c r="A104" s="4" t="s">
        <v>1065</v>
      </c>
      <c r="B104" s="9">
        <v>0.98</v>
      </c>
      <c r="C104" s="10">
        <v>9.9999999999999995E-178</v>
      </c>
      <c r="D104" s="5">
        <v>62.64</v>
      </c>
      <c r="E104" s="4" t="str">
        <f>HYPERLINK("https://www.ncbi.nlm.nih.gov/protein/WP_109113048.1?report=genbank&amp;log$=prottop&amp;blast_rank=107&amp;RID=92EWBNK7013","WP_109113048.1")</f>
        <v>WP_109113048.1</v>
      </c>
    </row>
    <row r="105" spans="1:5">
      <c r="A105" s="4" t="s">
        <v>966</v>
      </c>
      <c r="B105" s="9">
        <v>0.98</v>
      </c>
      <c r="C105" s="10">
        <v>1.9999999999999999E-177</v>
      </c>
      <c r="D105" s="5">
        <v>62.64</v>
      </c>
      <c r="E105" s="4" t="str">
        <f>HYPERLINK("https://www.ncbi.nlm.nih.gov/protein/WP_106843746.1?report=genbank&amp;log$=prottop&amp;blast_rank=109&amp;RID=92EWBNK7013","WP_106843746.1")</f>
        <v>WP_106843746.1</v>
      </c>
    </row>
    <row r="106" spans="1:5">
      <c r="A106" s="4" t="s">
        <v>1510</v>
      </c>
      <c r="B106" s="9">
        <v>0.98</v>
      </c>
      <c r="C106" s="10">
        <v>6.0000000000000002E-177</v>
      </c>
      <c r="D106" s="5">
        <v>62.64</v>
      </c>
      <c r="E106" s="4" t="str">
        <f>HYPERLINK("https://www.ncbi.nlm.nih.gov/protein/WP_098143281.1?report=genbank&amp;log$=prottop&amp;blast_rank=128&amp;RID=92EWBNK7013","WP_098143281.1")</f>
        <v>WP_098143281.1</v>
      </c>
    </row>
    <row r="107" spans="1:5">
      <c r="A107" s="4" t="s">
        <v>1511</v>
      </c>
      <c r="B107" s="9">
        <v>0.98</v>
      </c>
      <c r="C107" s="10">
        <v>1E-174</v>
      </c>
      <c r="D107" s="5">
        <v>62.64</v>
      </c>
      <c r="E107" s="4" t="str">
        <f>HYPERLINK("https://www.ncbi.nlm.nih.gov/protein/MEC4583797.1?report=genbank&amp;log$=prottop&amp;blast_rank=174&amp;RID=92EWBNK7013","MEC4583797.1")</f>
        <v>MEC4583797.1</v>
      </c>
    </row>
    <row r="108" spans="1:5">
      <c r="A108" s="4" t="s">
        <v>956</v>
      </c>
      <c r="B108" s="9">
        <v>0.99</v>
      </c>
      <c r="C108" s="10">
        <v>9.9999999999999995E-179</v>
      </c>
      <c r="D108" s="5">
        <v>62.55</v>
      </c>
      <c r="E108" s="4" t="str">
        <f>HYPERLINK("https://www.ncbi.nlm.nih.gov/protein/WP_325796310.1?report=genbank&amp;log$=prottop&amp;blast_rank=91&amp;RID=92EWBNK7013","WP_325796310.1")</f>
        <v>WP_325796310.1</v>
      </c>
    </row>
    <row r="109" spans="1:5">
      <c r="A109" s="4" t="s">
        <v>130</v>
      </c>
      <c r="B109" s="9">
        <v>0.99</v>
      </c>
      <c r="C109" s="10">
        <v>2.9999999999999999E-178</v>
      </c>
      <c r="D109" s="5">
        <v>62.55</v>
      </c>
      <c r="E109" s="4" t="str">
        <f>HYPERLINK("https://www.ncbi.nlm.nih.gov/protein/WP_241351501.1?report=genbank&amp;log$=prottop&amp;blast_rank=97&amp;RID=92EWBNK7013","WP_241351501.1")</f>
        <v>WP_241351501.1</v>
      </c>
    </row>
    <row r="110" spans="1:5">
      <c r="A110" s="4" t="s">
        <v>119</v>
      </c>
      <c r="B110" s="9">
        <v>0.99</v>
      </c>
      <c r="C110" s="5">
        <v>0</v>
      </c>
      <c r="D110" s="5">
        <v>62.41</v>
      </c>
      <c r="E110" s="4" t="str">
        <f>HYPERLINK("https://www.ncbi.nlm.nih.gov/protein/WP_180184827.1?report=genbank&amp;log$=prottop&amp;blast_rank=32&amp;RID=92EWBNK7013","WP_180184827.1")</f>
        <v>WP_180184827.1</v>
      </c>
    </row>
    <row r="111" spans="1:5">
      <c r="A111" s="4" t="s">
        <v>1507</v>
      </c>
      <c r="B111" s="9">
        <v>0.99</v>
      </c>
      <c r="C111" s="10">
        <v>2E-179</v>
      </c>
      <c r="D111" s="5">
        <v>62.41</v>
      </c>
      <c r="E111" s="4" t="str">
        <f>HYPERLINK("https://www.ncbi.nlm.nih.gov/protein/WP_312049402.1?report=genbank&amp;log$=prottop&amp;blast_rank=81&amp;RID=92EWBNK7013","WP_312049402.1")</f>
        <v>WP_312049402.1</v>
      </c>
    </row>
    <row r="112" spans="1:5">
      <c r="A112" s="4" t="s">
        <v>1512</v>
      </c>
      <c r="B112" s="9">
        <v>0.93</v>
      </c>
      <c r="C112" s="10">
        <v>1E-165</v>
      </c>
      <c r="D112" s="5">
        <v>62.4</v>
      </c>
      <c r="E112" s="4" t="str">
        <f>HYPERLINK("https://www.ncbi.nlm.nih.gov/protein/WP_240490414.1?report=genbank&amp;log$=prottop&amp;blast_rank=410&amp;RID=92EWBNK7013","WP_240490414.1")</f>
        <v>WP_240490414.1</v>
      </c>
    </row>
    <row r="113" spans="1:5">
      <c r="A113" s="4" t="s">
        <v>1046</v>
      </c>
      <c r="B113" s="9">
        <v>1</v>
      </c>
      <c r="C113" s="10">
        <v>2E-180</v>
      </c>
      <c r="D113" s="5">
        <v>62.32</v>
      </c>
      <c r="E113" s="4" t="str">
        <f>HYPERLINK("https://www.ncbi.nlm.nih.gov/protein/WP_286381693.1?report=genbank&amp;log$=prottop&amp;blast_rank=64&amp;RID=92EWBNK7013","WP_286381693.1")</f>
        <v>WP_286381693.1</v>
      </c>
    </row>
    <row r="114" spans="1:5">
      <c r="A114" s="4" t="s">
        <v>1513</v>
      </c>
      <c r="B114" s="9">
        <v>1</v>
      </c>
      <c r="C114" s="10">
        <v>8.0000000000000002E-180</v>
      </c>
      <c r="D114" s="5">
        <v>62.32</v>
      </c>
      <c r="E114" s="4" t="str">
        <f>HYPERLINK("https://www.ncbi.nlm.nih.gov/protein/WP_254805066.1?report=genbank&amp;log$=prottop&amp;blast_rank=73&amp;RID=92EWBNK7013","WP_254805066.1")</f>
        <v>WP_254805066.1</v>
      </c>
    </row>
    <row r="115" spans="1:5">
      <c r="A115" s="4" t="s">
        <v>966</v>
      </c>
      <c r="B115" s="9">
        <v>0.98</v>
      </c>
      <c r="C115" s="10">
        <v>3.9999999999999998E-177</v>
      </c>
      <c r="D115" s="5">
        <v>62.27</v>
      </c>
      <c r="E115" s="4" t="str">
        <f>HYPERLINK("https://www.ncbi.nlm.nih.gov/protein/OCQ44006.1?report=genbank&amp;log$=prottop&amp;blast_rank=119&amp;RID=92EWBNK7013","OCQ44006.1")</f>
        <v>OCQ44006.1</v>
      </c>
    </row>
    <row r="116" spans="1:5">
      <c r="A116" s="4" t="s">
        <v>966</v>
      </c>
      <c r="B116" s="9">
        <v>0.98</v>
      </c>
      <c r="C116" s="10">
        <v>7.0000000000000003E-177</v>
      </c>
      <c r="D116" s="5">
        <v>62.27</v>
      </c>
      <c r="E116" s="4" t="str">
        <f>HYPERLINK("https://www.ncbi.nlm.nih.gov/protein/KZW94905.1?report=genbank&amp;log$=prottop&amp;blast_rank=129&amp;RID=92EWBNK7013","KZW94905.1")</f>
        <v>KZW94905.1</v>
      </c>
    </row>
    <row r="117" spans="1:5">
      <c r="A117" s="4" t="s">
        <v>966</v>
      </c>
      <c r="B117" s="9">
        <v>0.98</v>
      </c>
      <c r="C117" s="10">
        <v>7.0000000000000003E-177</v>
      </c>
      <c r="D117" s="5">
        <v>62.27</v>
      </c>
      <c r="E117" s="4" t="str">
        <f>HYPERLINK("https://www.ncbi.nlm.nih.gov/protein/WP_159158091.1?report=genbank&amp;log$=prottop&amp;blast_rank=130&amp;RID=92EWBNK7013","WP_159158091.1")</f>
        <v>WP_159158091.1</v>
      </c>
    </row>
    <row r="118" spans="1:5">
      <c r="A118" s="4" t="s">
        <v>966</v>
      </c>
      <c r="B118" s="9">
        <v>0.98</v>
      </c>
      <c r="C118" s="10">
        <v>7.0000000000000003E-177</v>
      </c>
      <c r="D118" s="5">
        <v>62.27</v>
      </c>
      <c r="E118" s="4" t="str">
        <f>HYPERLINK("https://www.ncbi.nlm.nih.gov/protein/WP_155737359.1?report=genbank&amp;log$=prottop&amp;blast_rank=131&amp;RID=92EWBNK7013","WP_155737359.1")</f>
        <v>WP_155737359.1</v>
      </c>
    </row>
    <row r="119" spans="1:5">
      <c r="A119" s="4" t="s">
        <v>1514</v>
      </c>
      <c r="B119" s="9">
        <v>0.98</v>
      </c>
      <c r="C119" s="10">
        <v>1E-176</v>
      </c>
      <c r="D119" s="5">
        <v>62.27</v>
      </c>
      <c r="E119" s="4" t="str">
        <f>HYPERLINK("https://www.ncbi.nlm.nih.gov/protein/WP_156120269.1?report=genbank&amp;log$=prottop&amp;blast_rank=135&amp;RID=92EWBNK7013","WP_156120269.1")</f>
        <v>WP_156120269.1</v>
      </c>
    </row>
    <row r="120" spans="1:5">
      <c r="A120" s="4" t="s">
        <v>155</v>
      </c>
      <c r="B120" s="9">
        <v>0.94</v>
      </c>
      <c r="C120" s="10">
        <v>2E-170</v>
      </c>
      <c r="D120" s="5">
        <v>62.21</v>
      </c>
      <c r="E120" s="4" t="str">
        <f>HYPERLINK("https://www.ncbi.nlm.nih.gov/protein/WP_279741423.1?report=genbank&amp;log$=prottop&amp;blast_rank=237&amp;RID=92EWBNK7013","WP_279741423.1")</f>
        <v>WP_279741423.1</v>
      </c>
    </row>
    <row r="121" spans="1:5">
      <c r="A121" s="4" t="s">
        <v>1515</v>
      </c>
      <c r="B121" s="9">
        <v>0.99</v>
      </c>
      <c r="C121" s="5">
        <v>0</v>
      </c>
      <c r="D121" s="5">
        <v>62.04</v>
      </c>
      <c r="E121" s="4" t="str">
        <f>HYPERLINK("https://www.ncbi.nlm.nih.gov/protein/UOH74312.1?report=genbank&amp;log$=prottop&amp;blast_rank=43&amp;RID=92EWBNK7013","UOH74312.1")</f>
        <v>UOH74312.1</v>
      </c>
    </row>
    <row r="122" spans="1:5">
      <c r="A122" s="4" t="s">
        <v>119</v>
      </c>
      <c r="B122" s="9">
        <v>0.99</v>
      </c>
      <c r="C122" s="10">
        <v>4E-176</v>
      </c>
      <c r="D122" s="5">
        <v>62.04</v>
      </c>
      <c r="E122" s="4" t="str">
        <f>HYPERLINK("https://www.ncbi.nlm.nih.gov/protein/WP_004959914.1?report=genbank&amp;log$=prottop&amp;blast_rank=149&amp;RID=92EWBNK7013","WP_004959914.1")</f>
        <v>WP_004959914.1</v>
      </c>
    </row>
    <row r="123" spans="1:5">
      <c r="A123" s="4" t="s">
        <v>1516</v>
      </c>
      <c r="B123" s="9">
        <v>0.99</v>
      </c>
      <c r="C123" s="10">
        <v>4E-176</v>
      </c>
      <c r="D123" s="5">
        <v>62.04</v>
      </c>
      <c r="E123" s="4" t="str">
        <f>HYPERLINK("https://www.ncbi.nlm.nih.gov/protein/WP_005403037.1?report=genbank&amp;log$=prottop&amp;blast_rank=150&amp;RID=92EWBNK7013","WP_005403037.1")</f>
        <v>WP_005403037.1</v>
      </c>
    </row>
    <row r="124" spans="1:5">
      <c r="A124" s="4" t="s">
        <v>1516</v>
      </c>
      <c r="B124" s="9">
        <v>0.99</v>
      </c>
      <c r="C124" s="10">
        <v>8E-176</v>
      </c>
      <c r="D124" s="5">
        <v>62.04</v>
      </c>
      <c r="E124" s="4" t="str">
        <f>HYPERLINK("https://www.ncbi.nlm.nih.gov/protein/WP_151730442.1?report=genbank&amp;log$=prottop&amp;blast_rank=157&amp;RID=92EWBNK7013","WP_151730442.1")</f>
        <v>WP_151730442.1</v>
      </c>
    </row>
    <row r="125" spans="1:5">
      <c r="A125" s="4" t="s">
        <v>1516</v>
      </c>
      <c r="B125" s="9">
        <v>0.99</v>
      </c>
      <c r="C125" s="10">
        <v>1E-175</v>
      </c>
      <c r="D125" s="5">
        <v>62.04</v>
      </c>
      <c r="E125" s="4" t="str">
        <f>HYPERLINK("https://www.ncbi.nlm.nih.gov/protein/WP_204378831.1?report=genbank&amp;log$=prottop&amp;blast_rank=161&amp;RID=92EWBNK7013","WP_204378831.1")</f>
        <v>WP_204378831.1</v>
      </c>
    </row>
    <row r="126" spans="1:5">
      <c r="A126" s="4" t="s">
        <v>1517</v>
      </c>
      <c r="B126" s="9">
        <v>1</v>
      </c>
      <c r="C126" s="5">
        <v>0</v>
      </c>
      <c r="D126" s="5">
        <v>61.96</v>
      </c>
      <c r="E126" s="4" t="str">
        <f>HYPERLINK("https://www.ncbi.nlm.nih.gov/protein/WP_321099362.1?report=genbank&amp;log$=prottop&amp;blast_rank=28&amp;RID=92EWBNK7013","WP_321099362.1")</f>
        <v>WP_321099362.1</v>
      </c>
    </row>
    <row r="127" spans="1:5">
      <c r="A127" s="4" t="s">
        <v>155</v>
      </c>
      <c r="B127" s="9">
        <v>1</v>
      </c>
      <c r="C127" s="10">
        <v>1.9999999999999999E-178</v>
      </c>
      <c r="D127" s="5">
        <v>61.96</v>
      </c>
      <c r="E127" s="4" t="str">
        <f>HYPERLINK("https://www.ncbi.nlm.nih.gov/protein/WP_317110344.1?report=genbank&amp;log$=prottop&amp;blast_rank=95&amp;RID=92EWBNK7013","WP_317110344.1")</f>
        <v>WP_317110344.1</v>
      </c>
    </row>
    <row r="128" spans="1:5">
      <c r="A128" s="4" t="s">
        <v>1518</v>
      </c>
      <c r="B128" s="9">
        <v>1</v>
      </c>
      <c r="C128" s="10">
        <v>4.9999999999999998E-178</v>
      </c>
      <c r="D128" s="5">
        <v>61.96</v>
      </c>
      <c r="E128" s="4" t="str">
        <f>HYPERLINK("https://www.ncbi.nlm.nih.gov/protein/WP_023014243.1?report=genbank&amp;log$=prottop&amp;blast_rank=103&amp;RID=92EWBNK7013","WP_023014243.1")</f>
        <v>WP_023014243.1</v>
      </c>
    </row>
    <row r="129" spans="1:5">
      <c r="A129" s="4" t="s">
        <v>1519</v>
      </c>
      <c r="B129" s="9">
        <v>1</v>
      </c>
      <c r="C129" s="10">
        <v>7.9999999999999996E-177</v>
      </c>
      <c r="D129" s="5">
        <v>61.96</v>
      </c>
      <c r="E129" s="4" t="str">
        <f>HYPERLINK("https://www.ncbi.nlm.nih.gov/protein/WP_322902329.1?report=genbank&amp;log$=prottop&amp;blast_rank=133&amp;RID=92EWBNK7013","WP_322902329.1")</f>
        <v>WP_322902329.1</v>
      </c>
    </row>
    <row r="130" spans="1:5">
      <c r="A130" s="4" t="s">
        <v>129</v>
      </c>
      <c r="B130" s="9">
        <v>1</v>
      </c>
      <c r="C130" s="10">
        <v>2E-176</v>
      </c>
      <c r="D130" s="5">
        <v>61.96</v>
      </c>
      <c r="E130" s="4" t="str">
        <f>HYPERLINK("https://www.ncbi.nlm.nih.gov/protein/WP_032019035.1?report=genbank&amp;log$=prottop&amp;blast_rank=144&amp;RID=92EWBNK7013","WP_032019035.1")</f>
        <v>WP_032019035.1</v>
      </c>
    </row>
    <row r="131" spans="1:5">
      <c r="A131" s="4" t="s">
        <v>72</v>
      </c>
      <c r="B131" s="9">
        <v>1</v>
      </c>
      <c r="C131" s="10">
        <v>3E-176</v>
      </c>
      <c r="D131" s="5">
        <v>61.96</v>
      </c>
      <c r="E131" s="4" t="str">
        <f>HYPERLINK("https://www.ncbi.nlm.nih.gov/protein/CAI3110444.1?report=genbank&amp;log$=prottop&amp;blast_rank=145&amp;RID=92EWBNK7013","CAI3110444.1")</f>
        <v>CAI3110444.1</v>
      </c>
    </row>
    <row r="132" spans="1:5">
      <c r="A132" s="4" t="s">
        <v>129</v>
      </c>
      <c r="B132" s="9">
        <v>1</v>
      </c>
      <c r="C132" s="10">
        <v>4E-176</v>
      </c>
      <c r="D132" s="5">
        <v>61.96</v>
      </c>
      <c r="E132" s="4" t="str">
        <f>HYPERLINK("https://www.ncbi.nlm.nih.gov/protein/WP_331396452.1?report=genbank&amp;log$=prottop&amp;blast_rank=148&amp;RID=92EWBNK7013","WP_331396452.1")</f>
        <v>WP_331396452.1</v>
      </c>
    </row>
    <row r="133" spans="1:5">
      <c r="A133" s="4" t="s">
        <v>127</v>
      </c>
      <c r="B133" s="9">
        <v>1</v>
      </c>
      <c r="C133" s="10">
        <v>5E-176</v>
      </c>
      <c r="D133" s="5">
        <v>61.96</v>
      </c>
      <c r="E133" s="4" t="str">
        <f>HYPERLINK("https://www.ncbi.nlm.nih.gov/protein/WP_191000561.1?report=genbank&amp;log$=prottop&amp;blast_rank=151&amp;RID=92EWBNK7013","WP_191000561.1")</f>
        <v>WP_191000561.1</v>
      </c>
    </row>
    <row r="134" spans="1:5">
      <c r="A134" s="4" t="s">
        <v>191</v>
      </c>
      <c r="B134" s="9">
        <v>1</v>
      </c>
      <c r="C134" s="10">
        <v>5E-176</v>
      </c>
      <c r="D134" s="5">
        <v>61.96</v>
      </c>
      <c r="E134" s="4" t="str">
        <f>HYPERLINK("https://www.ncbi.nlm.nih.gov/protein/WP_343569811.1?report=genbank&amp;log$=prottop&amp;blast_rank=152&amp;RID=92EWBNK7013","WP_343569811.1")</f>
        <v>WP_343569811.1</v>
      </c>
    </row>
    <row r="135" spans="1:5">
      <c r="A135" s="4" t="s">
        <v>129</v>
      </c>
      <c r="B135" s="9">
        <v>1</v>
      </c>
      <c r="C135" s="10">
        <v>1E-174</v>
      </c>
      <c r="D135" s="5">
        <v>61.96</v>
      </c>
      <c r="E135" s="4" t="str">
        <f>HYPERLINK("https://www.ncbi.nlm.nih.gov/protein/MDC4496191.1?report=genbank&amp;log$=prottop&amp;blast_rank=175&amp;RID=92EWBNK7013","MDC4496191.1")</f>
        <v>MDC4496191.1</v>
      </c>
    </row>
    <row r="136" spans="1:5">
      <c r="A136" s="4" t="s">
        <v>375</v>
      </c>
      <c r="B136" s="9">
        <v>0.98</v>
      </c>
      <c r="C136" s="10">
        <v>3.9999999999999998E-177</v>
      </c>
      <c r="D136" s="5">
        <v>61.9</v>
      </c>
      <c r="E136" s="4" t="str">
        <f>HYPERLINK("https://www.ncbi.nlm.nih.gov/protein/WP_279450641.1?report=genbank&amp;log$=prottop&amp;blast_rank=117&amp;RID=92EWBNK7013","WP_279450641.1")</f>
        <v>WP_279450641.1</v>
      </c>
    </row>
    <row r="137" spans="1:5">
      <c r="A137" s="4" t="s">
        <v>997</v>
      </c>
      <c r="B137" s="9">
        <v>0.98</v>
      </c>
      <c r="C137" s="10">
        <v>6.0000000000000002E-177</v>
      </c>
      <c r="D137" s="5">
        <v>61.9</v>
      </c>
      <c r="E137" s="4" t="str">
        <f>HYPERLINK("https://www.ncbi.nlm.nih.gov/protein/WP_268854318.1?report=genbank&amp;log$=prottop&amp;blast_rank=126&amp;RID=92EWBNK7013","WP_268854318.1")</f>
        <v>WP_268854318.1</v>
      </c>
    </row>
    <row r="138" spans="1:5">
      <c r="A138" s="4" t="s">
        <v>966</v>
      </c>
      <c r="B138" s="9">
        <v>0.98</v>
      </c>
      <c r="C138" s="10">
        <v>2E-176</v>
      </c>
      <c r="D138" s="5">
        <v>61.9</v>
      </c>
      <c r="E138" s="4" t="str">
        <f>HYPERLINK("https://www.ncbi.nlm.nih.gov/protein/WP_157161868.1?report=genbank&amp;log$=prottop&amp;blast_rank=142&amp;RID=92EWBNK7013","WP_157161868.1")</f>
        <v>WP_157161868.1</v>
      </c>
    </row>
    <row r="139" spans="1:5">
      <c r="A139" s="4" t="s">
        <v>1520</v>
      </c>
      <c r="B139" s="9">
        <v>0.98</v>
      </c>
      <c r="C139" s="10">
        <v>8E-176</v>
      </c>
      <c r="D139" s="5">
        <v>61.9</v>
      </c>
      <c r="E139" s="4" t="str">
        <f>HYPERLINK("https://www.ncbi.nlm.nih.gov/protein/WP_120369337.1?report=genbank&amp;log$=prottop&amp;blast_rank=158&amp;RID=92EWBNK7013","WP_120369337.1")</f>
        <v>WP_120369337.1</v>
      </c>
    </row>
    <row r="140" spans="1:5">
      <c r="A140" s="4" t="s">
        <v>1521</v>
      </c>
      <c r="B140" s="9">
        <v>0.99</v>
      </c>
      <c r="C140" s="10">
        <v>2E-179</v>
      </c>
      <c r="D140" s="5">
        <v>61.68</v>
      </c>
      <c r="E140" s="4" t="str">
        <f>HYPERLINK("https://www.ncbi.nlm.nih.gov/protein/WP_284067097.1?report=genbank&amp;log$=prottop&amp;blast_rank=82&amp;RID=92EWBNK7013","WP_284067097.1")</f>
        <v>WP_284067097.1</v>
      </c>
    </row>
    <row r="141" spans="1:5">
      <c r="A141" s="4" t="s">
        <v>1522</v>
      </c>
      <c r="B141" s="9">
        <v>0.99</v>
      </c>
      <c r="C141" s="10">
        <v>4E-175</v>
      </c>
      <c r="D141" s="5">
        <v>61.68</v>
      </c>
      <c r="E141" s="4" t="str">
        <f>HYPERLINK("https://www.ncbi.nlm.nih.gov/protein/WP_087546846.1?report=genbank&amp;log$=prottop&amp;blast_rank=168&amp;RID=92EWBNK7013","WP_087546846.1")</f>
        <v>WP_087546846.1</v>
      </c>
    </row>
    <row r="142" spans="1:5">
      <c r="A142" s="4" t="s">
        <v>94</v>
      </c>
      <c r="B142" s="9">
        <v>1</v>
      </c>
      <c r="C142" s="5">
        <v>0</v>
      </c>
      <c r="D142" s="5">
        <v>61.59</v>
      </c>
      <c r="E142" s="4" t="str">
        <f>HYPERLINK("https://www.ncbi.nlm.nih.gov/protein/WP_253159227.1?report=genbank&amp;log$=prottop&amp;blast_rank=41&amp;RID=92EWBNK7013","WP_253159227.1")</f>
        <v>WP_253159227.1</v>
      </c>
    </row>
    <row r="143" spans="1:5">
      <c r="A143" s="4" t="s">
        <v>121</v>
      </c>
      <c r="B143" s="9">
        <v>1</v>
      </c>
      <c r="C143" s="10">
        <v>5E-177</v>
      </c>
      <c r="D143" s="5">
        <v>61.59</v>
      </c>
      <c r="E143" s="4" t="str">
        <f>HYPERLINK("https://www.ncbi.nlm.nih.gov/protein/HCA5285862.1?report=genbank&amp;log$=prottop&amp;blast_rank=125&amp;RID=92EWBNK7013","HCA5285862.1")</f>
        <v>HCA5285862.1</v>
      </c>
    </row>
    <row r="144" spans="1:5">
      <c r="A144" s="4" t="s">
        <v>128</v>
      </c>
      <c r="B144" s="9">
        <v>1</v>
      </c>
      <c r="C144" s="10">
        <v>1E-176</v>
      </c>
      <c r="D144" s="5">
        <v>61.59</v>
      </c>
      <c r="E144" s="4" t="str">
        <f>HYPERLINK("https://www.ncbi.nlm.nih.gov/protein/WP_044424917.1?report=genbank&amp;log$=prottop&amp;blast_rank=137&amp;RID=92EWBNK7013","WP_044424917.1")</f>
        <v>WP_044424917.1</v>
      </c>
    </row>
    <row r="145" spans="1:5">
      <c r="A145" s="4" t="s">
        <v>1523</v>
      </c>
      <c r="B145" s="9">
        <v>1</v>
      </c>
      <c r="C145" s="10">
        <v>1E-176</v>
      </c>
      <c r="D145" s="5">
        <v>61.59</v>
      </c>
      <c r="E145" s="4" t="str">
        <f>HYPERLINK("https://www.ncbi.nlm.nih.gov/protein/WP_032063151.1?report=genbank&amp;log$=prottop&amp;blast_rank=138&amp;RID=92EWBNK7013","WP_032063151.1")</f>
        <v>WP_032063151.1</v>
      </c>
    </row>
    <row r="146" spans="1:5">
      <c r="A146" s="4" t="s">
        <v>128</v>
      </c>
      <c r="B146" s="9">
        <v>1</v>
      </c>
      <c r="C146" s="10">
        <v>2E-176</v>
      </c>
      <c r="D146" s="5">
        <v>61.59</v>
      </c>
      <c r="E146" s="4" t="str">
        <f>HYPERLINK("https://www.ncbi.nlm.nih.gov/protein/WP_182917493.1?report=genbank&amp;log$=prottop&amp;blast_rank=141&amp;RID=92EWBNK7013","WP_182917493.1")</f>
        <v>WP_182917493.1</v>
      </c>
    </row>
    <row r="147" spans="1:5">
      <c r="A147" s="4" t="s">
        <v>966</v>
      </c>
      <c r="B147" s="9">
        <v>0.98</v>
      </c>
      <c r="C147" s="10">
        <v>1E-175</v>
      </c>
      <c r="D147" s="5">
        <v>61.54</v>
      </c>
      <c r="E147" s="4" t="str">
        <f>HYPERLINK("https://www.ncbi.nlm.nih.gov/protein/WP_320545707.1?report=genbank&amp;log$=prottop&amp;blast_rank=163&amp;RID=92EWBNK7013","WP_320545707.1")</f>
        <v>WP_320545707.1</v>
      </c>
    </row>
    <row r="148" spans="1:5">
      <c r="A148" s="4" t="s">
        <v>119</v>
      </c>
      <c r="B148" s="9">
        <v>0.98</v>
      </c>
      <c r="C148" s="10">
        <v>3.0000000000000002E-174</v>
      </c>
      <c r="D148" s="5">
        <v>61.54</v>
      </c>
      <c r="E148" s="4" t="str">
        <f>HYPERLINK("https://www.ncbi.nlm.nih.gov/protein/WP_033523765.1?report=genbank&amp;log$=prottop&amp;blast_rank=179&amp;RID=92EWBNK7013","WP_033523765.1")</f>
        <v>WP_033523765.1</v>
      </c>
    </row>
    <row r="149" spans="1:5">
      <c r="A149" s="4" t="s">
        <v>129</v>
      </c>
      <c r="B149" s="9">
        <v>0.98</v>
      </c>
      <c r="C149" s="10">
        <v>1E-173</v>
      </c>
      <c r="D149" s="5">
        <v>61.54</v>
      </c>
      <c r="E149" s="4" t="str">
        <f>HYPERLINK("https://www.ncbi.nlm.nih.gov/protein/WP_301433299.1?report=genbank&amp;log$=prottop&amp;blast_rank=184&amp;RID=92EWBNK7013","WP_301433299.1")</f>
        <v>WP_301433299.1</v>
      </c>
    </row>
    <row r="150" spans="1:5">
      <c r="A150" s="4" t="s">
        <v>1524</v>
      </c>
      <c r="B150" s="9">
        <v>0.99</v>
      </c>
      <c r="C150" s="10">
        <v>9.0000000000000007E-177</v>
      </c>
      <c r="D150" s="5">
        <v>61.45</v>
      </c>
      <c r="E150" s="4" t="str">
        <f>HYPERLINK("https://www.ncbi.nlm.nih.gov/protein/NNP70996.1?report=genbank&amp;log$=prottop&amp;blast_rank=134&amp;RID=92EWBNK7013","NNP70996.1")</f>
        <v>NNP70996.1</v>
      </c>
    </row>
    <row r="151" spans="1:5">
      <c r="A151" s="4" t="s">
        <v>1524</v>
      </c>
      <c r="B151" s="9">
        <v>0.99</v>
      </c>
      <c r="C151" s="10">
        <v>1E-176</v>
      </c>
      <c r="D151" s="5">
        <v>61.45</v>
      </c>
      <c r="E151" s="4" t="str">
        <f>HYPERLINK("https://www.ncbi.nlm.nih.gov/protein/WP_171553652.1?report=genbank&amp;log$=prottop&amp;blast_rank=136&amp;RID=92EWBNK7013","WP_171553652.1")</f>
        <v>WP_171553652.1</v>
      </c>
    </row>
    <row r="152" spans="1:5">
      <c r="A152" s="4" t="s">
        <v>129</v>
      </c>
      <c r="B152" s="9">
        <v>0.98</v>
      </c>
      <c r="C152" s="10">
        <v>5.0000000000000002E-173</v>
      </c>
      <c r="D152" s="5">
        <v>61.4</v>
      </c>
      <c r="E152" s="4" t="str">
        <f>HYPERLINK("https://www.ncbi.nlm.nih.gov/protein/EMC1591051.1?report=genbank&amp;log$=prottop&amp;blast_rank=192&amp;RID=92EWBNK7013","EMC1591051.1")</f>
        <v>EMC1591051.1</v>
      </c>
    </row>
    <row r="153" spans="1:5">
      <c r="A153" s="4" t="s">
        <v>68</v>
      </c>
      <c r="B153" s="9">
        <v>0.99</v>
      </c>
      <c r="C153" s="5">
        <v>0</v>
      </c>
      <c r="D153" s="5">
        <v>61.31</v>
      </c>
      <c r="E153" s="4" t="str">
        <f>HYPERLINK("https://www.ncbi.nlm.nih.gov/protein/WP_284879822.1?report=genbank&amp;log$=prottop&amp;blast_rank=55&amp;RID=92EWBNK7013","WP_284879822.1")</f>
        <v>WP_284879822.1</v>
      </c>
    </row>
    <row r="154" spans="1:5">
      <c r="A154" s="4" t="s">
        <v>94</v>
      </c>
      <c r="B154" s="9">
        <v>1</v>
      </c>
      <c r="C154" s="5">
        <v>0</v>
      </c>
      <c r="D154" s="5">
        <v>61.23</v>
      </c>
      <c r="E154" s="4" t="str">
        <f>HYPERLINK("https://www.ncbi.nlm.nih.gov/protein/WP_253112740.1?report=genbank&amp;log$=prottop&amp;blast_rank=53&amp;RID=92EWBNK7013","WP_253112740.1")</f>
        <v>WP_253112740.1</v>
      </c>
    </row>
    <row r="155" spans="1:5">
      <c r="A155" s="4" t="s">
        <v>1525</v>
      </c>
      <c r="B155" s="9">
        <v>1</v>
      </c>
      <c r="C155" s="10">
        <v>1E-180</v>
      </c>
      <c r="D155" s="5">
        <v>61.23</v>
      </c>
      <c r="E155" s="4" t="str">
        <f>HYPERLINK("https://www.ncbi.nlm.nih.gov/protein/WP_180037648.1?report=genbank&amp;log$=prottop&amp;blast_rank=59&amp;RID=92EWBNK7013","WP_180037648.1")</f>
        <v>WP_180037648.1</v>
      </c>
    </row>
    <row r="156" spans="1:5">
      <c r="A156" s="4" t="s">
        <v>1258</v>
      </c>
      <c r="B156" s="9">
        <v>1</v>
      </c>
      <c r="C156" s="10">
        <v>3.0000000000000001E-180</v>
      </c>
      <c r="D156" s="5">
        <v>61.23</v>
      </c>
      <c r="E156" s="4" t="str">
        <f>HYPERLINK("https://www.ncbi.nlm.nih.gov/protein/WP_312967298.1?report=genbank&amp;log$=prottop&amp;blast_rank=70&amp;RID=92EWBNK7013","WP_312967298.1")</f>
        <v>WP_312967298.1</v>
      </c>
    </row>
    <row r="157" spans="1:5">
      <c r="A157" s="4" t="s">
        <v>129</v>
      </c>
      <c r="B157" s="9">
        <v>1</v>
      </c>
      <c r="C157" s="10">
        <v>6E-176</v>
      </c>
      <c r="D157" s="5">
        <v>61.23</v>
      </c>
      <c r="E157" s="4" t="str">
        <f>HYPERLINK("https://www.ncbi.nlm.nih.gov/protein/HEE6385523.1?report=genbank&amp;log$=prottop&amp;blast_rank=154&amp;RID=92EWBNK7013","HEE6385523.1")</f>
        <v>HEE6385523.1</v>
      </c>
    </row>
    <row r="158" spans="1:5">
      <c r="A158" s="4" t="s">
        <v>1526</v>
      </c>
      <c r="B158" s="9">
        <v>1</v>
      </c>
      <c r="C158" s="10">
        <v>7E-176</v>
      </c>
      <c r="D158" s="5">
        <v>61.23</v>
      </c>
      <c r="E158" s="4" t="str">
        <f>HYPERLINK("https://www.ncbi.nlm.nih.gov/protein/AXY57456.1?report=genbank&amp;log$=prottop&amp;blast_rank=155&amp;RID=92EWBNK7013","AXY57456.1")</f>
        <v>AXY57456.1</v>
      </c>
    </row>
    <row r="159" spans="1:5">
      <c r="A159" s="4" t="s">
        <v>1526</v>
      </c>
      <c r="B159" s="9">
        <v>1</v>
      </c>
      <c r="C159" s="10">
        <v>9E-176</v>
      </c>
      <c r="D159" s="5">
        <v>61.23</v>
      </c>
      <c r="E159" s="4" t="str">
        <f>HYPERLINK("https://www.ncbi.nlm.nih.gov/protein/WP_171405458.1?report=genbank&amp;log$=prottop&amp;blast_rank=159&amp;RID=92EWBNK7013","WP_171405458.1")</f>
        <v>WP_171405458.1</v>
      </c>
    </row>
    <row r="160" spans="1:5">
      <c r="A160" s="4" t="s">
        <v>1527</v>
      </c>
      <c r="B160" s="9">
        <v>1</v>
      </c>
      <c r="C160" s="10">
        <v>1E-175</v>
      </c>
      <c r="D160" s="5">
        <v>61.23</v>
      </c>
      <c r="E160" s="4" t="str">
        <f>HYPERLINK("https://www.ncbi.nlm.nih.gov/protein/MDR0070739.1?report=genbank&amp;log$=prottop&amp;blast_rank=160&amp;RID=92EWBNK7013","MDR0070739.1")</f>
        <v>MDR0070739.1</v>
      </c>
    </row>
    <row r="161" spans="1:5">
      <c r="A161" s="4" t="s">
        <v>1270</v>
      </c>
      <c r="B161" s="9">
        <v>1</v>
      </c>
      <c r="C161" s="10">
        <v>1E-175</v>
      </c>
      <c r="D161" s="5">
        <v>61.23</v>
      </c>
      <c r="E161" s="4" t="str">
        <f>HYPERLINK("https://www.ncbi.nlm.nih.gov/protein/WP_262438595.1?report=genbank&amp;log$=prottop&amp;blast_rank=164&amp;RID=92EWBNK7013","WP_262438595.1")</f>
        <v>WP_262438595.1</v>
      </c>
    </row>
    <row r="162" spans="1:5">
      <c r="A162" s="4" t="s">
        <v>119</v>
      </c>
      <c r="B162" s="9">
        <v>1</v>
      </c>
      <c r="C162" s="10">
        <v>2E-175</v>
      </c>
      <c r="D162" s="5">
        <v>61.23</v>
      </c>
      <c r="E162" s="4" t="str">
        <f>HYPERLINK("https://www.ncbi.nlm.nih.gov/protein/WP_005129359.1?report=genbank&amp;log$=prottop&amp;blast_rank=165&amp;RID=92EWBNK7013","WP_005129359.1")</f>
        <v>WP_005129359.1</v>
      </c>
    </row>
    <row r="163" spans="1:5">
      <c r="A163" s="4" t="s">
        <v>129</v>
      </c>
      <c r="B163" s="9">
        <v>1</v>
      </c>
      <c r="C163" s="10">
        <v>2E-175</v>
      </c>
      <c r="D163" s="5">
        <v>61.23</v>
      </c>
      <c r="E163" s="4" t="str">
        <f>HYPERLINK("https://www.ncbi.nlm.nih.gov/protein/WP_032050850.1?report=genbank&amp;log$=prottop&amp;blast_rank=166&amp;RID=92EWBNK7013","WP_032050850.1")</f>
        <v>WP_032050850.1</v>
      </c>
    </row>
    <row r="164" spans="1:5">
      <c r="A164" s="4" t="s">
        <v>1528</v>
      </c>
      <c r="B164" s="9">
        <v>0.98</v>
      </c>
      <c r="C164" s="10">
        <v>2.0000000000000001E-173</v>
      </c>
      <c r="D164" s="5">
        <v>61.17</v>
      </c>
      <c r="E164" s="4" t="str">
        <f>HYPERLINK("https://www.ncbi.nlm.nih.gov/protein/WP_297744508.1?report=genbank&amp;log$=prottop&amp;blast_rank=188&amp;RID=92EWBNK7013","WP_297744508.1")</f>
        <v>WP_297744508.1</v>
      </c>
    </row>
    <row r="165" spans="1:5">
      <c r="A165" s="4" t="s">
        <v>72</v>
      </c>
      <c r="B165" s="9">
        <v>0.99</v>
      </c>
      <c r="C165" s="10">
        <v>5E-177</v>
      </c>
      <c r="D165" s="5">
        <v>61.09</v>
      </c>
      <c r="E165" s="4" t="str">
        <f>HYPERLINK("https://www.ncbi.nlm.nih.gov/protein/WP_016138940.1?report=genbank&amp;log$=prottop&amp;blast_rank=124&amp;RID=92EWBNK7013","WP_016138940.1")</f>
        <v>WP_016138940.1</v>
      </c>
    </row>
    <row r="166" spans="1:5">
      <c r="A166" s="4" t="s">
        <v>1529</v>
      </c>
      <c r="B166" s="9">
        <v>0.99</v>
      </c>
      <c r="C166" s="10">
        <v>2E-180</v>
      </c>
      <c r="D166" s="5">
        <v>60.95</v>
      </c>
      <c r="E166" s="4" t="str">
        <f>HYPERLINK("https://www.ncbi.nlm.nih.gov/protein/WP_092818747.1?report=genbank&amp;log$=prottop&amp;blast_rank=66&amp;RID=92EWBNK7013","WP_092818747.1")</f>
        <v>WP_092818747.1</v>
      </c>
    </row>
    <row r="167" spans="1:5">
      <c r="A167" s="4" t="s">
        <v>129</v>
      </c>
      <c r="B167" s="9">
        <v>1</v>
      </c>
      <c r="C167" s="10">
        <v>3E-175</v>
      </c>
      <c r="D167" s="5">
        <v>60.87</v>
      </c>
      <c r="E167" s="4" t="str">
        <f>HYPERLINK("https://www.ncbi.nlm.nih.gov/protein/MDV7412130.1?report=genbank&amp;log$=prottop&amp;blast_rank=167&amp;RID=92EWBNK7013","MDV7412130.1")</f>
        <v>MDV7412130.1</v>
      </c>
    </row>
    <row r="168" spans="1:5">
      <c r="A168" s="4" t="s">
        <v>1530</v>
      </c>
      <c r="B168" s="9">
        <v>1</v>
      </c>
      <c r="C168" s="10">
        <v>8E-175</v>
      </c>
      <c r="D168" s="5">
        <v>60.87</v>
      </c>
      <c r="E168" s="4" t="str">
        <f>HYPERLINK("https://www.ncbi.nlm.nih.gov/protein/WP_213688735.1?report=genbank&amp;log$=prottop&amp;blast_rank=169&amp;RID=92EWBNK7013","WP_213688735.1")</f>
        <v>WP_213688735.1</v>
      </c>
    </row>
    <row r="169" spans="1:5">
      <c r="A169" s="4" t="s">
        <v>129</v>
      </c>
      <c r="B169" s="9">
        <v>1</v>
      </c>
      <c r="C169" s="10">
        <v>3.0000000000000002E-174</v>
      </c>
      <c r="D169" s="5">
        <v>60.87</v>
      </c>
      <c r="E169" s="4" t="str">
        <f>HYPERLINK("https://www.ncbi.nlm.nih.gov/protein/MDC5072601.1?report=genbank&amp;log$=prottop&amp;blast_rank=180&amp;RID=92EWBNK7013","MDC5072601.1")</f>
        <v>MDC5072601.1</v>
      </c>
    </row>
    <row r="170" spans="1:5">
      <c r="A170" s="4" t="s">
        <v>129</v>
      </c>
      <c r="B170" s="9">
        <v>1</v>
      </c>
      <c r="C170" s="10">
        <v>5.0000000000000002E-174</v>
      </c>
      <c r="D170" s="5">
        <v>60.87</v>
      </c>
      <c r="E170" s="4" t="str">
        <f>HYPERLINK("https://www.ncbi.nlm.nih.gov/protein/MES5770967.1?report=genbank&amp;log$=prottop&amp;blast_rank=181&amp;RID=92EWBNK7013","MES5770967.1")</f>
        <v>MES5770967.1</v>
      </c>
    </row>
    <row r="171" spans="1:5">
      <c r="A171" s="4" t="s">
        <v>129</v>
      </c>
      <c r="B171" s="9">
        <v>1</v>
      </c>
      <c r="C171" s="10">
        <v>2.0000000000000001E-173</v>
      </c>
      <c r="D171" s="5">
        <v>60.87</v>
      </c>
      <c r="E171" s="4" t="str">
        <f>HYPERLINK("https://www.ncbi.nlm.nih.gov/protein/MDC5151911.1?report=genbank&amp;log$=prottop&amp;blast_rank=187&amp;RID=92EWBNK7013","MDC5151911.1")</f>
        <v>MDC5151911.1</v>
      </c>
    </row>
    <row r="172" spans="1:5">
      <c r="A172" s="4" t="s">
        <v>1046</v>
      </c>
      <c r="B172" s="9">
        <v>0.99</v>
      </c>
      <c r="C172" s="10">
        <v>4.0000000000000001E-179</v>
      </c>
      <c r="D172" s="5">
        <v>60.73</v>
      </c>
      <c r="E172" s="4" t="str">
        <f>HYPERLINK("https://www.ncbi.nlm.nih.gov/protein/WP_216934005.1?report=genbank&amp;log$=prottop&amp;blast_rank=85&amp;RID=92EWBNK7013","WP_216934005.1")</f>
        <v>WP_216934005.1</v>
      </c>
    </row>
    <row r="173" spans="1:5">
      <c r="A173" s="4" t="s">
        <v>1531</v>
      </c>
      <c r="B173" s="9">
        <v>0.99</v>
      </c>
      <c r="C173" s="10">
        <v>3.9999999999999998E-177</v>
      </c>
      <c r="D173" s="5">
        <v>60.73</v>
      </c>
      <c r="E173" s="4" t="str">
        <f>HYPERLINK("https://www.ncbi.nlm.nih.gov/protein/WP_262472845.1?report=genbank&amp;log$=prottop&amp;blast_rank=115&amp;RID=92EWBNK7013","WP_262472845.1")</f>
        <v>WP_262472845.1</v>
      </c>
    </row>
    <row r="174" spans="1:5">
      <c r="A174" s="4" t="s">
        <v>1532</v>
      </c>
      <c r="B174" s="9">
        <v>0.99</v>
      </c>
      <c r="C174" s="10">
        <v>4.9999999999999999E-172</v>
      </c>
      <c r="D174" s="5">
        <v>60.58</v>
      </c>
      <c r="E174" s="4" t="str">
        <f>HYPERLINK("https://www.ncbi.nlm.nih.gov/protein/TCB75720.1?report=genbank&amp;log$=prottop&amp;blast_rank=200&amp;RID=92EWBNK7013","TCB75720.1")</f>
        <v>TCB75720.1</v>
      </c>
    </row>
    <row r="175" spans="1:5">
      <c r="A175" s="4" t="s">
        <v>1532</v>
      </c>
      <c r="B175" s="9">
        <v>0.99</v>
      </c>
      <c r="C175" s="10">
        <v>4.9999999999999999E-172</v>
      </c>
      <c r="D175" s="5">
        <v>60.58</v>
      </c>
      <c r="E175" s="4" t="str">
        <f>HYPERLINK("https://www.ncbi.nlm.nih.gov/protein/WP_171458861.1?report=genbank&amp;log$=prottop&amp;blast_rank=201&amp;RID=92EWBNK7013","WP_171458861.1")</f>
        <v>WP_171458861.1</v>
      </c>
    </row>
    <row r="176" spans="1:5">
      <c r="A176" s="4" t="s">
        <v>1533</v>
      </c>
      <c r="B176" s="9">
        <v>0.99</v>
      </c>
      <c r="C176" s="10">
        <v>9.9999999999999998E-172</v>
      </c>
      <c r="D176" s="5">
        <v>60.58</v>
      </c>
      <c r="E176" s="4" t="str">
        <f>HYPERLINK("https://www.ncbi.nlm.nih.gov/protein/WP_265464510.1?report=genbank&amp;log$=prottop&amp;blast_rank=206&amp;RID=92EWBNK7013","WP_265464510.1")</f>
        <v>WP_265464510.1</v>
      </c>
    </row>
    <row r="177" spans="1:5">
      <c r="A177" s="4" t="s">
        <v>94</v>
      </c>
      <c r="B177" s="9">
        <v>1</v>
      </c>
      <c r="C177" s="10">
        <v>1.9999999999999999E-178</v>
      </c>
      <c r="D177" s="5">
        <v>60.51</v>
      </c>
      <c r="E177" s="4" t="str">
        <f>HYPERLINK("https://www.ncbi.nlm.nih.gov/protein/WP_017397810.1?report=genbank&amp;log$=prottop&amp;blast_rank=96&amp;RID=92EWBNK7013","WP_017397810.1")</f>
        <v>WP_017397810.1</v>
      </c>
    </row>
    <row r="178" spans="1:5">
      <c r="A178" s="4" t="s">
        <v>1534</v>
      </c>
      <c r="B178" s="9">
        <v>1</v>
      </c>
      <c r="C178" s="10">
        <v>2.9999999999999999E-178</v>
      </c>
      <c r="D178" s="5">
        <v>60.51</v>
      </c>
      <c r="E178" s="4" t="str">
        <f>HYPERLINK("https://www.ncbi.nlm.nih.gov/protein/WP_005267113.1?report=genbank&amp;log$=prottop&amp;blast_rank=98&amp;RID=92EWBNK7013","WP_005267113.1")</f>
        <v>WP_005267113.1</v>
      </c>
    </row>
    <row r="179" spans="1:5">
      <c r="A179" s="4" t="s">
        <v>129</v>
      </c>
      <c r="B179" s="9">
        <v>1</v>
      </c>
      <c r="C179" s="10">
        <v>1E-174</v>
      </c>
      <c r="D179" s="5">
        <v>60.51</v>
      </c>
      <c r="E179" s="4" t="str">
        <f>HYPERLINK("https://www.ncbi.nlm.nih.gov/protein/MDC4328485.1?report=genbank&amp;log$=prottop&amp;blast_rank=172&amp;RID=92EWBNK7013","MDC4328485.1")</f>
        <v>MDC4328485.1</v>
      </c>
    </row>
    <row r="180" spans="1:5">
      <c r="A180" s="4" t="s">
        <v>1535</v>
      </c>
      <c r="B180" s="9">
        <v>0.98</v>
      </c>
      <c r="C180" s="10">
        <v>2.9999999999999998E-172</v>
      </c>
      <c r="D180" s="5">
        <v>60.44</v>
      </c>
      <c r="E180" s="4" t="str">
        <f>HYPERLINK("https://www.ncbi.nlm.nih.gov/protein/WP_078744848.1?report=genbank&amp;log$=prottop&amp;blast_rank=198&amp;RID=92EWBNK7013","WP_078744848.1")</f>
        <v>WP_078744848.1</v>
      </c>
    </row>
    <row r="181" spans="1:5">
      <c r="A181" s="4" t="s">
        <v>64</v>
      </c>
      <c r="B181" s="9">
        <v>1</v>
      </c>
      <c r="C181" s="5">
        <v>0</v>
      </c>
      <c r="D181" s="5">
        <v>60.14</v>
      </c>
      <c r="E181" s="4" t="str">
        <f>HYPERLINK("https://www.ncbi.nlm.nih.gov/protein/WP_104510440.1?report=genbank&amp;log$=prottop&amp;blast_rank=36&amp;RID=92EWBNK7013","WP_104510440.1")</f>
        <v>WP_104510440.1</v>
      </c>
    </row>
    <row r="182" spans="1:5">
      <c r="A182" s="4" t="s">
        <v>119</v>
      </c>
      <c r="B182" s="9">
        <v>1</v>
      </c>
      <c r="C182" s="5">
        <v>0</v>
      </c>
      <c r="D182" s="5">
        <v>60.14</v>
      </c>
      <c r="E182" s="4" t="str">
        <f>HYPERLINK("https://www.ncbi.nlm.nih.gov/protein/WP_125274052.1?report=genbank&amp;log$=prottop&amp;blast_rank=54&amp;RID=92EWBNK7013","WP_125274052.1")</f>
        <v>WP_125274052.1</v>
      </c>
    </row>
    <row r="183" spans="1:5">
      <c r="A183" s="4" t="s">
        <v>64</v>
      </c>
      <c r="B183" s="9">
        <v>1</v>
      </c>
      <c r="C183" s="5">
        <v>0</v>
      </c>
      <c r="D183" s="5">
        <v>60.14</v>
      </c>
      <c r="E183" s="4" t="str">
        <f>HYPERLINK("https://www.ncbi.nlm.nih.gov/protein/WP_168406681.1?report=genbank&amp;log$=prottop&amp;blast_rank=56&amp;RID=92EWBNK7013","WP_168406681.1")</f>
        <v>WP_168406681.1</v>
      </c>
    </row>
    <row r="184" spans="1:5">
      <c r="A184" s="4" t="s">
        <v>1046</v>
      </c>
      <c r="B184" s="9">
        <v>1</v>
      </c>
      <c r="C184" s="10">
        <v>1E-180</v>
      </c>
      <c r="D184" s="5">
        <v>60.14</v>
      </c>
      <c r="E184" s="4" t="str">
        <f>HYPERLINK("https://www.ncbi.nlm.nih.gov/protein/WP_166137052.1?report=genbank&amp;log$=prottop&amp;blast_rank=60&amp;RID=92EWBNK7013","WP_166137052.1")</f>
        <v>WP_166137052.1</v>
      </c>
    </row>
    <row r="185" spans="1:5">
      <c r="A185" s="4" t="s">
        <v>68</v>
      </c>
      <c r="B185" s="9">
        <v>1</v>
      </c>
      <c r="C185" s="10">
        <v>1E-180</v>
      </c>
      <c r="D185" s="5">
        <v>60.14</v>
      </c>
      <c r="E185" s="4" t="str">
        <f>HYPERLINK("https://www.ncbi.nlm.nih.gov/protein/WP_125279212.1?report=genbank&amp;log$=prottop&amp;blast_rank=61&amp;RID=92EWBNK7013","WP_125279212.1")</f>
        <v>WP_125279212.1</v>
      </c>
    </row>
    <row r="186" spans="1:5">
      <c r="A186" s="4" t="s">
        <v>68</v>
      </c>
      <c r="B186" s="9">
        <v>1</v>
      </c>
      <c r="C186" s="10">
        <v>1E-180</v>
      </c>
      <c r="D186" s="5">
        <v>60.14</v>
      </c>
      <c r="E186" s="4" t="str">
        <f>HYPERLINK("https://www.ncbi.nlm.nih.gov/protein/WP_340833789.1?report=genbank&amp;log$=prottop&amp;blast_rank=62&amp;RID=92EWBNK7013","WP_340833789.1")</f>
        <v>WP_340833789.1</v>
      </c>
    </row>
    <row r="187" spans="1:5">
      <c r="A187" s="4" t="s">
        <v>1517</v>
      </c>
      <c r="B187" s="9">
        <v>1</v>
      </c>
      <c r="C187" s="5">
        <v>0</v>
      </c>
      <c r="D187" s="5">
        <v>59.78</v>
      </c>
      <c r="E187" s="4" t="str">
        <f>HYPERLINK("https://www.ncbi.nlm.nih.gov/protein/WP_321089577.1?report=genbank&amp;log$=prottop&amp;blast_rank=57&amp;RID=92EWBNK7013","WP_321089577.1")</f>
        <v>WP_321089577.1</v>
      </c>
    </row>
    <row r="188" spans="1:5">
      <c r="A188" s="4" t="s">
        <v>1536</v>
      </c>
      <c r="B188" s="9">
        <v>1</v>
      </c>
      <c r="C188" s="5">
        <v>0</v>
      </c>
      <c r="D188" s="5">
        <v>59.78</v>
      </c>
      <c r="E188" s="4" t="str">
        <f>HYPERLINK("https://www.ncbi.nlm.nih.gov/protein/WP_180033969.1?report=genbank&amp;log$=prottop&amp;blast_rank=58&amp;RID=92EWBNK7013","WP_180033969.1")</f>
        <v>WP_180033969.1</v>
      </c>
    </row>
    <row r="189" spans="1:5">
      <c r="A189" s="4" t="s">
        <v>1517</v>
      </c>
      <c r="B189" s="9">
        <v>1</v>
      </c>
      <c r="C189" s="10">
        <v>2E-180</v>
      </c>
      <c r="D189" s="5">
        <v>59.78</v>
      </c>
      <c r="E189" s="4" t="str">
        <f>HYPERLINK("https://www.ncbi.nlm.nih.gov/protein/WP_321104442.1?report=genbank&amp;log$=prottop&amp;blast_rank=67&amp;RID=92EWBNK7013","WP_321104442.1")</f>
        <v>WP_321104442.1</v>
      </c>
    </row>
    <row r="190" spans="1:5">
      <c r="A190" s="4" t="s">
        <v>1537</v>
      </c>
      <c r="B190" s="9">
        <v>1</v>
      </c>
      <c r="C190" s="10">
        <v>3.0000000000000001E-180</v>
      </c>
      <c r="D190" s="5">
        <v>59.78</v>
      </c>
      <c r="E190" s="4" t="str">
        <f>HYPERLINK("https://www.ncbi.nlm.nih.gov/protein/WP_180104491.1?report=genbank&amp;log$=prottop&amp;blast_rank=69&amp;RID=92EWBNK7013","WP_180104491.1")</f>
        <v>WP_180104491.1</v>
      </c>
    </row>
    <row r="191" spans="1:5">
      <c r="A191" s="4" t="s">
        <v>119</v>
      </c>
      <c r="B191" s="9">
        <v>1</v>
      </c>
      <c r="C191" s="10">
        <v>6.0000000000000001E-180</v>
      </c>
      <c r="D191" s="5">
        <v>59.78</v>
      </c>
      <c r="E191" s="4" t="str">
        <f>HYPERLINK("https://www.ncbi.nlm.nih.gov/protein/WP_108619275.1?report=genbank&amp;log$=prottop&amp;blast_rank=72&amp;RID=92EWBNK7013","WP_108619275.1")</f>
        <v>WP_108619275.1</v>
      </c>
    </row>
    <row r="192" spans="1:5">
      <c r="A192" s="4" t="s">
        <v>1046</v>
      </c>
      <c r="B192" s="9">
        <v>1</v>
      </c>
      <c r="C192" s="10">
        <v>2E-179</v>
      </c>
      <c r="D192" s="5">
        <v>59.78</v>
      </c>
      <c r="E192" s="4" t="str">
        <f>HYPERLINK("https://www.ncbi.nlm.nih.gov/protein/WP_180115409.1?report=genbank&amp;log$=prottop&amp;blast_rank=78&amp;RID=92EWBNK7013","WP_180115409.1")</f>
        <v>WP_180115409.1</v>
      </c>
    </row>
    <row r="193" spans="1:5">
      <c r="A193" s="4" t="s">
        <v>1046</v>
      </c>
      <c r="B193" s="9">
        <v>1</v>
      </c>
      <c r="C193" s="10">
        <v>2.9999999999999999E-178</v>
      </c>
      <c r="D193" s="5">
        <v>59.78</v>
      </c>
      <c r="E193" s="4" t="str">
        <f>HYPERLINK("https://www.ncbi.nlm.nih.gov/protein/WP_180053107.1?report=genbank&amp;log$=prottop&amp;blast_rank=100&amp;RID=92EWBNK7013","WP_180053107.1")</f>
        <v>WP_180053107.1</v>
      </c>
    </row>
    <row r="194" spans="1:5">
      <c r="A194" s="4" t="s">
        <v>130</v>
      </c>
      <c r="B194" s="9">
        <v>0.99</v>
      </c>
      <c r="C194" s="10">
        <v>1E-173</v>
      </c>
      <c r="D194" s="5">
        <v>59.64</v>
      </c>
      <c r="E194" s="4" t="str">
        <f>HYPERLINK("https://www.ncbi.nlm.nih.gov/protein/WP_159884474.1?report=genbank&amp;log$=prottop&amp;blast_rank=186&amp;RID=92EWBNK7013","WP_159884474.1")</f>
        <v>WP_159884474.1</v>
      </c>
    </row>
    <row r="195" spans="1:5">
      <c r="A195" s="4" t="s">
        <v>1517</v>
      </c>
      <c r="B195" s="9">
        <v>1</v>
      </c>
      <c r="C195" s="10">
        <v>3.0000000000000001E-180</v>
      </c>
      <c r="D195" s="5">
        <v>59.42</v>
      </c>
      <c r="E195" s="4" t="str">
        <f>HYPERLINK("https://www.ncbi.nlm.nih.gov/protein/WP_321097130.1?report=genbank&amp;log$=prottop&amp;blast_rank=71&amp;RID=92EWBNK7013","WP_321097130.1")</f>
        <v>WP_321097130.1</v>
      </c>
    </row>
    <row r="196" spans="1:5">
      <c r="A196" s="4" t="s">
        <v>1538</v>
      </c>
      <c r="B196" s="9">
        <v>1</v>
      </c>
      <c r="C196" s="10">
        <v>1E-179</v>
      </c>
      <c r="D196" s="5">
        <v>59.42</v>
      </c>
      <c r="E196" s="4" t="str">
        <f>HYPERLINK("https://www.ncbi.nlm.nih.gov/protein/WP_311917729.1?report=genbank&amp;log$=prottop&amp;blast_rank=77&amp;RID=92EWBNK7013","WP_311917729.1")</f>
        <v>WP_311917729.1</v>
      </c>
    </row>
    <row r="197" spans="1:5">
      <c r="A197" s="4" t="s">
        <v>191</v>
      </c>
      <c r="B197" s="9">
        <v>1</v>
      </c>
      <c r="C197" s="10">
        <v>6E-176</v>
      </c>
      <c r="D197" s="5">
        <v>59.06</v>
      </c>
      <c r="E197" s="4" t="str">
        <f>HYPERLINK("https://www.ncbi.nlm.nih.gov/protein/WP_332622728.1?report=genbank&amp;log$=prottop&amp;blast_rank=153&amp;RID=92EWBNK7013","WP_332622728.1")</f>
        <v>WP_332622728.1</v>
      </c>
    </row>
    <row r="198" spans="1:5">
      <c r="A198" s="4" t="s">
        <v>1539</v>
      </c>
      <c r="B198" s="9">
        <v>0.96</v>
      </c>
      <c r="C198" s="10">
        <v>2.9999999999999999E-168</v>
      </c>
      <c r="D198" s="5">
        <v>57.36</v>
      </c>
      <c r="E198" s="4" t="str">
        <f>HYPERLINK("https://www.ncbi.nlm.nih.gov/protein/MDD3269057.1?report=genbank&amp;log$=prottop&amp;blast_rank=298&amp;RID=92EWBNK7013","MDD3269057.1")</f>
        <v>MDD3269057.1</v>
      </c>
    </row>
    <row r="199" spans="1:5">
      <c r="A199" s="4" t="s">
        <v>1503</v>
      </c>
      <c r="B199" s="9">
        <v>0.97</v>
      </c>
      <c r="C199" s="10">
        <v>2E-174</v>
      </c>
      <c r="D199" s="5">
        <v>56.83</v>
      </c>
      <c r="E199" s="4" t="str">
        <f>HYPERLINK("https://www.ncbi.nlm.nih.gov/protein/MBC8359252.1?report=genbank&amp;log$=prottop&amp;blast_rank=177&amp;RID=92EWBNK7013","MBC8359252.1")</f>
        <v>MBC8359252.1</v>
      </c>
    </row>
    <row r="200" spans="1:5">
      <c r="A200" s="4" t="s">
        <v>1540</v>
      </c>
      <c r="B200" s="9">
        <v>0.94</v>
      </c>
      <c r="C200" s="10">
        <v>8.0000000000000004E-168</v>
      </c>
      <c r="D200" s="5">
        <v>56.7</v>
      </c>
      <c r="E200" s="4" t="str">
        <f>HYPERLINK("https://www.ncbi.nlm.nih.gov/protein/MCO6490845.1?report=genbank&amp;log$=prottop&amp;blast_rank=318&amp;RID=92EWBNK7013","MCO6490845.1")</f>
        <v>MCO6490845.1</v>
      </c>
    </row>
    <row r="201" spans="1:5">
      <c r="A201" s="4" t="s">
        <v>433</v>
      </c>
      <c r="B201" s="9">
        <v>0.97</v>
      </c>
      <c r="C201" s="10">
        <v>1E-174</v>
      </c>
      <c r="D201" s="5">
        <v>56.51</v>
      </c>
      <c r="E201" s="4" t="str">
        <f>HYPERLINK("https://www.ncbi.nlm.nih.gov/protein/MEA3460194.1?report=genbank&amp;log$=prottop&amp;blast_rank=171&amp;RID=92EWBNK7013","MEA3460194.1")</f>
        <v>MEA3460194.1</v>
      </c>
    </row>
    <row r="202" spans="1:5">
      <c r="A202" s="4" t="s">
        <v>1541</v>
      </c>
      <c r="B202" s="9">
        <v>0.93</v>
      </c>
      <c r="C202" s="10">
        <v>1.9999999999999998E-163</v>
      </c>
      <c r="D202" s="5">
        <v>55.81</v>
      </c>
      <c r="E202" s="4" t="str">
        <f>HYPERLINK("https://www.ncbi.nlm.nih.gov/protein/WP_087562617.1?report=genbank&amp;log$=prottop&amp;blast_rank=487&amp;RID=92EWBNK7013","WP_087562617.1")</f>
        <v>WP_087562617.1</v>
      </c>
    </row>
    <row r="203" spans="1:5">
      <c r="A203" s="4" t="s">
        <v>1542</v>
      </c>
      <c r="B203" s="9">
        <v>0.97</v>
      </c>
      <c r="C203" s="10">
        <v>1E-174</v>
      </c>
      <c r="D203" s="5">
        <v>55.76</v>
      </c>
      <c r="E203" s="4" t="str">
        <f>HYPERLINK("https://www.ncbi.nlm.nih.gov/protein/MDA2923305.1?report=genbank&amp;log$=prottop&amp;blast_rank=173&amp;RID=92EWBNK7013","MDA2923305.1")</f>
        <v>MDA2923305.1</v>
      </c>
    </row>
    <row r="204" spans="1:5">
      <c r="A204" s="4" t="s">
        <v>425</v>
      </c>
      <c r="B204" s="9">
        <v>0.97</v>
      </c>
      <c r="C204" s="10">
        <v>9.0000000000000008E-171</v>
      </c>
      <c r="D204" s="5">
        <v>55.39</v>
      </c>
      <c r="E204" s="4" t="str">
        <f>HYPERLINK("https://www.ncbi.nlm.nih.gov/protein/HUI90373.1?report=genbank&amp;log$=prottop&amp;blast_rank=221&amp;RID=92EWBNK7013","HUI90373.1")</f>
        <v>HUI90373.1</v>
      </c>
    </row>
    <row r="205" spans="1:5">
      <c r="A205" s="4" t="s">
        <v>368</v>
      </c>
      <c r="B205" s="9">
        <v>0.97</v>
      </c>
      <c r="C205" s="10">
        <v>2.0000000000000001E-168</v>
      </c>
      <c r="D205" s="5">
        <v>55.39</v>
      </c>
      <c r="E205" s="4" t="str">
        <f>HYPERLINK("https://www.ncbi.nlm.nih.gov/protein/MBN1568518.1?report=genbank&amp;log$=prottop&amp;blast_rank=293&amp;RID=92EWBNK7013","MBN1568518.1")</f>
        <v>MBN1568518.1</v>
      </c>
    </row>
    <row r="206" spans="1:5">
      <c r="A206" s="4" t="s">
        <v>1543</v>
      </c>
      <c r="B206" s="9">
        <v>1</v>
      </c>
      <c r="C206" s="10">
        <v>3.0000000000000001E-179</v>
      </c>
      <c r="D206" s="5">
        <v>55.27</v>
      </c>
      <c r="E206" s="4" t="str">
        <f>HYPERLINK("https://www.ncbi.nlm.nih.gov/protein/WP_022853963.1?report=genbank&amp;log$=prottop&amp;blast_rank=84&amp;RID=92EWBNK7013","WP_022853963.1")</f>
        <v>WP_022853963.1</v>
      </c>
    </row>
    <row r="207" spans="1:5">
      <c r="A207" s="4" t="s">
        <v>1544</v>
      </c>
      <c r="B207" s="9">
        <v>0.97</v>
      </c>
      <c r="C207" s="10">
        <v>5.0000000000000002E-169</v>
      </c>
      <c r="D207" s="5">
        <v>55.22</v>
      </c>
      <c r="E207" s="4" t="str">
        <f>HYPERLINK("https://www.ncbi.nlm.nih.gov/protein/PIW20493.1?report=genbank&amp;log$=prottop&amp;blast_rank=270&amp;RID=92EWBNK7013","PIW20493.1")</f>
        <v>PIW20493.1</v>
      </c>
    </row>
    <row r="208" spans="1:5">
      <c r="A208" s="4" t="s">
        <v>1201</v>
      </c>
      <c r="B208" s="9">
        <v>0.97</v>
      </c>
      <c r="C208" s="10">
        <v>2E-167</v>
      </c>
      <c r="D208" s="5">
        <v>55.22</v>
      </c>
      <c r="E208" s="4" t="str">
        <f>HYPERLINK("https://www.ncbi.nlm.nih.gov/protein/MDD2307217.1?report=genbank&amp;log$=prottop&amp;blast_rank=335&amp;RID=92EWBNK7013","MDD2307217.1")</f>
        <v>MDD2307217.1</v>
      </c>
    </row>
    <row r="209" spans="1:5">
      <c r="A209" s="4" t="s">
        <v>1148</v>
      </c>
      <c r="B209" s="9">
        <v>0.97</v>
      </c>
      <c r="C209" s="10">
        <v>1E-169</v>
      </c>
      <c r="D209" s="5">
        <v>55.19</v>
      </c>
      <c r="E209" s="4" t="str">
        <f>HYPERLINK("https://www.ncbi.nlm.nih.gov/protein/MEE8471500.1?report=genbank&amp;log$=prottop&amp;blast_rank=252&amp;RID=92EWBNK7013","MEE8471500.1")</f>
        <v>MEE8471500.1</v>
      </c>
    </row>
    <row r="210" spans="1:5">
      <c r="A210" s="4" t="s">
        <v>1545</v>
      </c>
      <c r="B210" s="9">
        <v>0.98</v>
      </c>
      <c r="C210" s="10">
        <v>5.9999999999999998E-169</v>
      </c>
      <c r="D210" s="5">
        <v>55.15</v>
      </c>
      <c r="E210" s="4" t="str">
        <f>HYPERLINK("https://www.ncbi.nlm.nih.gov/protein/WP_089407553.1?report=genbank&amp;log$=prottop&amp;blast_rank=272&amp;RID=92EWBNK7013","WP_089407553.1")</f>
        <v>WP_089407553.1</v>
      </c>
    </row>
    <row r="211" spans="1:5">
      <c r="A211" s="4" t="s">
        <v>1546</v>
      </c>
      <c r="B211" s="9">
        <v>0.97</v>
      </c>
      <c r="C211" s="10">
        <v>3.0000000000000002E-174</v>
      </c>
      <c r="D211" s="5">
        <v>55.02</v>
      </c>
      <c r="E211" s="4" t="str">
        <f>HYPERLINK("https://www.ncbi.nlm.nih.gov/protein/RLI52479.1?report=genbank&amp;log$=prottop&amp;blast_rank=178&amp;RID=92EWBNK7013","RLI52479.1")</f>
        <v>RLI52479.1</v>
      </c>
    </row>
    <row r="212" spans="1:5">
      <c r="A212" s="4" t="s">
        <v>637</v>
      </c>
      <c r="B212" s="9">
        <v>0.99</v>
      </c>
      <c r="C212" s="10">
        <v>2.0000000000000001E-168</v>
      </c>
      <c r="D212" s="5">
        <v>54.87</v>
      </c>
      <c r="E212" s="4" t="str">
        <f>HYPERLINK("https://www.ncbi.nlm.nih.gov/protein/MBI9047008.1?report=genbank&amp;log$=prottop&amp;blast_rank=285&amp;RID=92EWBNK7013","MBI9047008.1")</f>
        <v>MBI9047008.1</v>
      </c>
    </row>
    <row r="213" spans="1:5">
      <c r="A213" s="4" t="s">
        <v>1547</v>
      </c>
      <c r="B213" s="9">
        <v>0.94</v>
      </c>
      <c r="C213" s="10">
        <v>5.9999999999999996E-165</v>
      </c>
      <c r="D213" s="5">
        <v>54.62</v>
      </c>
      <c r="E213" s="4" t="str">
        <f>HYPERLINK("https://www.ncbi.nlm.nih.gov/protein/WP_023579833.1?report=genbank&amp;log$=prottop&amp;blast_rank=444&amp;RID=92EWBNK7013","WP_023579833.1")</f>
        <v>WP_023579833.1</v>
      </c>
    </row>
    <row r="214" spans="1:5">
      <c r="A214" s="4" t="s">
        <v>1201</v>
      </c>
      <c r="B214" s="9">
        <v>0.97</v>
      </c>
      <c r="C214" s="10">
        <v>1E-165</v>
      </c>
      <c r="D214" s="5">
        <v>54.48</v>
      </c>
      <c r="E214" s="4" t="str">
        <f>HYPERLINK("https://www.ncbi.nlm.nih.gov/protein/HAQ18271.1?report=genbank&amp;log$=prottop&amp;blast_rank=406&amp;RID=92EWBNK7013","HAQ18271.1")</f>
        <v>HAQ18271.1</v>
      </c>
    </row>
    <row r="215" spans="1:5">
      <c r="A215" s="4" t="s">
        <v>1548</v>
      </c>
      <c r="B215" s="9">
        <v>0.97</v>
      </c>
      <c r="C215" s="10">
        <v>2.9999999999999998E-165</v>
      </c>
      <c r="D215" s="5">
        <v>54.48</v>
      </c>
      <c r="E215" s="4" t="str">
        <f>HYPERLINK("https://www.ncbi.nlm.nih.gov/protein/MBN2597794.1?report=genbank&amp;log$=prottop&amp;blast_rank=430&amp;RID=92EWBNK7013","MBN2597794.1")</f>
        <v>MBN2597794.1</v>
      </c>
    </row>
    <row r="216" spans="1:5">
      <c r="A216" s="4" t="s">
        <v>34</v>
      </c>
      <c r="B216" s="9">
        <v>0.97</v>
      </c>
      <c r="C216" s="10">
        <v>4.0000000000000002E-166</v>
      </c>
      <c r="D216" s="5">
        <v>54.28</v>
      </c>
      <c r="E216" s="4" t="str">
        <f>HYPERLINK("https://www.ncbi.nlm.nih.gov/protein/MDQ7794548.1?report=genbank&amp;log$=prottop&amp;blast_rank=394&amp;RID=92EWBNK7013","MDQ7794548.1")</f>
        <v>MDQ7794548.1</v>
      </c>
    </row>
    <row r="217" spans="1:5">
      <c r="A217" s="4" t="s">
        <v>1549</v>
      </c>
      <c r="B217" s="9">
        <v>0.97</v>
      </c>
      <c r="C217" s="10">
        <v>4.9999999999999996E-164</v>
      </c>
      <c r="D217" s="5">
        <v>54.24</v>
      </c>
      <c r="E217" s="4" t="str">
        <f>HYPERLINK("https://www.ncbi.nlm.nih.gov/protein/HML39851.1?report=genbank&amp;log$=prottop&amp;blast_rank=468&amp;RID=92EWBNK7013","HML39851.1")</f>
        <v>HML39851.1</v>
      </c>
    </row>
    <row r="218" spans="1:5">
      <c r="A218" s="4" t="s">
        <v>368</v>
      </c>
      <c r="B218" s="9">
        <v>0.97</v>
      </c>
      <c r="C218" s="10">
        <v>8E-174</v>
      </c>
      <c r="D218" s="5">
        <v>54.1</v>
      </c>
      <c r="E218" s="4" t="str">
        <f>HYPERLINK("https://www.ncbi.nlm.nih.gov/protein/MBI4454773.1?report=genbank&amp;log$=prottop&amp;blast_rank=183&amp;RID=92EWBNK7013","MBI4454773.1")</f>
        <v>MBI4454773.1</v>
      </c>
    </row>
    <row r="219" spans="1:5">
      <c r="A219" s="4" t="s">
        <v>1550</v>
      </c>
      <c r="B219" s="9">
        <v>0.97</v>
      </c>
      <c r="C219" s="10">
        <v>5E-166</v>
      </c>
      <c r="D219" s="5">
        <v>54.07</v>
      </c>
      <c r="E219" s="4" t="str">
        <f>HYPERLINK("https://www.ncbi.nlm.nih.gov/protein/NJN66685.1?report=genbank&amp;log$=prottop&amp;blast_rank=395&amp;RID=92EWBNK7013","NJN66685.1")</f>
        <v>NJN66685.1</v>
      </c>
    </row>
    <row r="220" spans="1:5">
      <c r="A220" s="4" t="s">
        <v>1551</v>
      </c>
      <c r="B220" s="9">
        <v>0.94</v>
      </c>
      <c r="C220" s="10">
        <v>6.0000000000000005E-166</v>
      </c>
      <c r="D220" s="5">
        <v>54.05</v>
      </c>
      <c r="E220" s="4" t="str">
        <f>HYPERLINK("https://www.ncbi.nlm.nih.gov/protein/PLX06281.1?report=genbank&amp;log$=prottop&amp;blast_rank=398&amp;RID=92EWBNK7013","PLX06281.1")</f>
        <v>PLX06281.1</v>
      </c>
    </row>
    <row r="221" spans="1:5">
      <c r="A221" s="4" t="s">
        <v>452</v>
      </c>
      <c r="B221" s="9">
        <v>0.97</v>
      </c>
      <c r="C221" s="10">
        <v>2.9999999999999998E-165</v>
      </c>
      <c r="D221" s="5">
        <v>53.18</v>
      </c>
      <c r="E221" s="4" t="str">
        <f>HYPERLINK("https://www.ncbi.nlm.nih.gov/protein/HSW92343.1?report=genbank&amp;log$=prottop&amp;blast_rank=432&amp;RID=92EWBNK7013","HSW92343.1")</f>
        <v>HSW92343.1</v>
      </c>
    </row>
    <row r="222" spans="1:5">
      <c r="A222" s="4" t="s">
        <v>122</v>
      </c>
      <c r="B222" s="9">
        <v>0.94</v>
      </c>
      <c r="C222" s="10">
        <v>3.0000000000000002E-163</v>
      </c>
      <c r="D222" s="5">
        <v>52.87</v>
      </c>
      <c r="E222" s="4" t="str">
        <f>HYPERLINK("https://www.ncbi.nlm.nih.gov/protein/MEN9909976.1?report=genbank&amp;log$=prottop&amp;blast_rank=492&amp;RID=92EWBNK7013","MEN9909976.1")</f>
        <v>MEN9909976.1</v>
      </c>
    </row>
    <row r="223" spans="1:5">
      <c r="A223" s="4" t="s">
        <v>310</v>
      </c>
      <c r="B223" s="9">
        <v>0.96</v>
      </c>
      <c r="C223" s="10">
        <v>2.0000000000000001E-168</v>
      </c>
      <c r="D223" s="5">
        <v>52.81</v>
      </c>
      <c r="E223" s="4" t="str">
        <f>HYPERLINK("https://www.ncbi.nlm.nih.gov/protein/MCH7914905.1?report=genbank&amp;log$=prottop&amp;blast_rank=283&amp;RID=92EWBNK7013","MCH7914905.1")</f>
        <v>MCH7914905.1</v>
      </c>
    </row>
    <row r="224" spans="1:5">
      <c r="A224" s="4" t="s">
        <v>1552</v>
      </c>
      <c r="B224" s="9">
        <v>0.96</v>
      </c>
      <c r="C224" s="10">
        <v>2E-167</v>
      </c>
      <c r="D224" s="5">
        <v>52.61</v>
      </c>
      <c r="E224" s="4" t="str">
        <f>HYPERLINK("https://www.ncbi.nlm.nih.gov/protein/MBN1887478.1?report=genbank&amp;log$=prottop&amp;blast_rank=340&amp;RID=92EWBNK7013","MBN1887478.1")</f>
        <v>MBN1887478.1</v>
      </c>
    </row>
    <row r="225" spans="1:5">
      <c r="A225" s="4" t="s">
        <v>1553</v>
      </c>
      <c r="B225" s="9">
        <v>0.96</v>
      </c>
      <c r="C225" s="10">
        <v>9.9999999999999996E-165</v>
      </c>
      <c r="D225" s="5">
        <v>52.61</v>
      </c>
      <c r="E225" s="4" t="str">
        <f>HYPERLINK("https://www.ncbi.nlm.nih.gov/protein/NUN23849.1?report=genbank&amp;log$=prottop&amp;blast_rank=449&amp;RID=92EWBNK7013","NUN23849.1")</f>
        <v>NUN23849.1</v>
      </c>
    </row>
    <row r="226" spans="1:5">
      <c r="A226" s="4" t="s">
        <v>1146</v>
      </c>
      <c r="B226" s="9">
        <v>0.94</v>
      </c>
      <c r="C226" s="10">
        <v>6.0000000000000002E-164</v>
      </c>
      <c r="D226" s="5">
        <v>52.51</v>
      </c>
      <c r="E226" s="4" t="str">
        <f>HYPERLINK("https://www.ncbi.nlm.nih.gov/protein/NOT38772.1?report=genbank&amp;log$=prottop&amp;blast_rank=472&amp;RID=92EWBNK7013","NOT38772.1")</f>
        <v>NOT38772.1</v>
      </c>
    </row>
    <row r="227" spans="1:5">
      <c r="A227" s="4" t="s">
        <v>1554</v>
      </c>
      <c r="B227" s="9">
        <v>0.98</v>
      </c>
      <c r="C227" s="10">
        <v>2.9999999999999998E-167</v>
      </c>
      <c r="D227" s="5">
        <v>52.21</v>
      </c>
      <c r="E227" s="4" t="str">
        <f>HYPERLINK("https://www.ncbi.nlm.nih.gov/protein/MCK2127564.1?report=genbank&amp;log$=prottop&amp;blast_rank=348&amp;RID=92EWBNK7013","MCK2127564.1")</f>
        <v>MCK2127564.1</v>
      </c>
    </row>
    <row r="228" spans="1:5">
      <c r="A228" s="4" t="s">
        <v>1100</v>
      </c>
      <c r="B228" s="9">
        <v>0.97</v>
      </c>
      <c r="C228" s="10">
        <v>1E-166</v>
      </c>
      <c r="D228" s="5">
        <v>51.85</v>
      </c>
      <c r="E228" s="4" t="str">
        <f>HYPERLINK("https://www.ncbi.nlm.nih.gov/protein/HKQ93557.1?report=genbank&amp;log$=prottop&amp;blast_rank=377&amp;RID=92EWBNK7013","HKQ93557.1")</f>
        <v>HKQ93557.1</v>
      </c>
    </row>
    <row r="229" spans="1:5">
      <c r="A229" s="4" t="s">
        <v>1555</v>
      </c>
      <c r="B229" s="9">
        <v>0.97</v>
      </c>
      <c r="C229" s="10">
        <v>6.9999999999999999E-171</v>
      </c>
      <c r="D229" s="5">
        <v>51.67</v>
      </c>
      <c r="E229" s="4" t="str">
        <f>HYPERLINK("https://www.ncbi.nlm.nih.gov/protein/WP_075071322.1?report=genbank&amp;log$=prottop&amp;blast_rank=219&amp;RID=92EWBNK7013","WP_075071322.1")</f>
        <v>WP_075071322.1</v>
      </c>
    </row>
    <row r="230" spans="1:5">
      <c r="A230" s="4" t="s">
        <v>1556</v>
      </c>
      <c r="B230" s="9">
        <v>0.97</v>
      </c>
      <c r="C230" s="10">
        <v>9.0000000000000002E-168</v>
      </c>
      <c r="D230" s="5">
        <v>51.49</v>
      </c>
      <c r="E230" s="4" t="str">
        <f>HYPERLINK("https://www.ncbi.nlm.nih.gov/protein/WP_090375228.1?report=genbank&amp;log$=prottop&amp;blast_rank=324&amp;RID=92EWBNK7013","WP_090375228.1")</f>
        <v>WP_090375228.1</v>
      </c>
    </row>
    <row r="231" spans="1:5">
      <c r="A231" s="4" t="s">
        <v>1557</v>
      </c>
      <c r="B231" s="9">
        <v>0.97</v>
      </c>
      <c r="C231" s="10">
        <v>2.0000000000000001E-168</v>
      </c>
      <c r="D231" s="5">
        <v>51.47</v>
      </c>
      <c r="E231" s="4" t="str">
        <f>HYPERLINK("https://www.ncbi.nlm.nih.gov/protein/HEY3443620.1?report=genbank&amp;log$=prottop&amp;blast_rank=287&amp;RID=92EWBNK7013","HEY3443620.1")</f>
        <v>HEY3443620.1</v>
      </c>
    </row>
    <row r="232" spans="1:5">
      <c r="A232" s="4" t="s">
        <v>1558</v>
      </c>
      <c r="B232" s="9">
        <v>0.94</v>
      </c>
      <c r="C232" s="10">
        <v>8.9999999999999995E-164</v>
      </c>
      <c r="D232" s="5">
        <v>50.97</v>
      </c>
      <c r="E232" s="4" t="str">
        <f>HYPERLINK("https://www.ncbi.nlm.nih.gov/protein/QJQ97182.1?report=genbank&amp;log$=prottop&amp;blast_rank=475&amp;RID=92EWBNK7013","QJQ97182.1")</f>
        <v>QJQ97182.1</v>
      </c>
    </row>
    <row r="233" spans="1:5">
      <c r="A233" s="4" t="s">
        <v>425</v>
      </c>
      <c r="B233" s="9">
        <v>0.97</v>
      </c>
      <c r="C233" s="10">
        <v>9.9999999999999998E-171</v>
      </c>
      <c r="D233" s="5">
        <v>50.93</v>
      </c>
      <c r="E233" s="4" t="str">
        <f>HYPERLINK("https://www.ncbi.nlm.nih.gov/protein/MBN2550306.1?report=genbank&amp;log$=prottop&amp;blast_rank=228&amp;RID=92EWBNK7013","MBN2550306.1")</f>
        <v>MBN2550306.1</v>
      </c>
    </row>
    <row r="234" spans="1:5">
      <c r="A234" s="4" t="s">
        <v>368</v>
      </c>
      <c r="B234" s="9">
        <v>0.97</v>
      </c>
      <c r="C234" s="10">
        <v>9.9999999999999996E-165</v>
      </c>
      <c r="D234" s="5">
        <v>50.74</v>
      </c>
      <c r="E234" s="4" t="str">
        <f>HYPERLINK("https://www.ncbi.nlm.nih.gov/protein/MDQ3668392.1?report=genbank&amp;log$=prottop&amp;blast_rank=453&amp;RID=92EWBNK7013","MDQ3668392.1")</f>
        <v>MDQ3668392.1</v>
      </c>
    </row>
    <row r="235" spans="1:5">
      <c r="A235" s="4" t="s">
        <v>1018</v>
      </c>
      <c r="B235" s="9">
        <v>0.96</v>
      </c>
      <c r="C235" s="10">
        <v>6.9999999999999997E-170</v>
      </c>
      <c r="D235" s="5">
        <v>50.19</v>
      </c>
      <c r="E235" s="4" t="str">
        <f>HYPERLINK("https://www.ncbi.nlm.nih.gov/protein/WP_123890687.1?report=genbank&amp;log$=prottop&amp;blast_rank=246&amp;RID=92EWBNK7013","WP_123890687.1")</f>
        <v>WP_123890687.1</v>
      </c>
    </row>
    <row r="236" spans="1:5">
      <c r="A236" s="4" t="s">
        <v>1559</v>
      </c>
      <c r="B236" s="9">
        <v>0.96</v>
      </c>
      <c r="C236" s="10">
        <v>5.0000000000000002E-169</v>
      </c>
      <c r="D236" s="5">
        <v>50.19</v>
      </c>
      <c r="E236" s="4" t="str">
        <f>HYPERLINK("https://www.ncbi.nlm.nih.gov/protein/WP_011716326.1?report=genbank&amp;log$=prottop&amp;blast_rank=269&amp;RID=92EWBNK7013","WP_011716326.1")</f>
        <v>WP_011716326.1</v>
      </c>
    </row>
    <row r="237" spans="1:5">
      <c r="A237" s="4" t="s">
        <v>323</v>
      </c>
      <c r="B237" s="9">
        <v>0.96</v>
      </c>
      <c r="C237" s="10">
        <v>8.0000000000000004E-168</v>
      </c>
      <c r="D237" s="5">
        <v>50.19</v>
      </c>
      <c r="E237" s="4" t="str">
        <f>HYPERLINK("https://www.ncbi.nlm.nih.gov/protein/MBH1640327.1?report=genbank&amp;log$=prottop&amp;blast_rank=321&amp;RID=92EWBNK7013","MBH1640327.1")</f>
        <v>MBH1640327.1</v>
      </c>
    </row>
    <row r="238" spans="1:5">
      <c r="A238" s="4" t="s">
        <v>1069</v>
      </c>
      <c r="B238" s="9">
        <v>0.94</v>
      </c>
      <c r="C238" s="10">
        <v>3.0000000000000002E-163</v>
      </c>
      <c r="D238" s="5">
        <v>50.19</v>
      </c>
      <c r="E238" s="4" t="str">
        <f>HYPERLINK("https://www.ncbi.nlm.nih.gov/protein/WP_310362514.1?report=genbank&amp;log$=prottop&amp;blast_rank=491&amp;RID=92EWBNK7013","WP_310362514.1")</f>
        <v>WP_310362514.1</v>
      </c>
    </row>
    <row r="239" spans="1:5">
      <c r="A239" s="4" t="s">
        <v>1030</v>
      </c>
      <c r="B239" s="9">
        <v>0.98</v>
      </c>
      <c r="C239" s="10">
        <v>9.0000000000000002E-167</v>
      </c>
      <c r="D239" s="5">
        <v>50.18</v>
      </c>
      <c r="E239" s="4" t="str">
        <f>HYPERLINK("https://www.ncbi.nlm.nih.gov/protein/WP_305315018.1?report=genbank&amp;log$=prottop&amp;blast_rank=367&amp;RID=92EWBNK7013","WP_305315018.1")</f>
        <v>WP_305315018.1</v>
      </c>
    </row>
    <row r="240" spans="1:5">
      <c r="A240" s="4" t="s">
        <v>1560</v>
      </c>
      <c r="B240" s="9">
        <v>0.96</v>
      </c>
      <c r="C240" s="10">
        <v>9.9999999999999992E-164</v>
      </c>
      <c r="D240" s="5">
        <v>50</v>
      </c>
      <c r="E240" s="4" t="str">
        <f>HYPERLINK("https://www.ncbi.nlm.nih.gov/protein/WP_132109822.1?report=genbank&amp;log$=prottop&amp;blast_rank=477&amp;RID=92EWBNK7013","WP_132109822.1")</f>
        <v>WP_132109822.1</v>
      </c>
    </row>
    <row r="241" spans="1:5">
      <c r="A241" s="4" t="s">
        <v>1561</v>
      </c>
      <c r="B241" s="9">
        <v>0.98</v>
      </c>
      <c r="C241" s="10">
        <v>2.0000000000000001E-168</v>
      </c>
      <c r="D241" s="5">
        <v>49.82</v>
      </c>
      <c r="E241" s="4" t="str">
        <f>HYPERLINK("https://www.ncbi.nlm.nih.gov/protein/WP_182246419.1?report=genbank&amp;log$=prottop&amp;blast_rank=289&amp;RID=92EWBNK7013","WP_182246419.1")</f>
        <v>WP_182246419.1</v>
      </c>
    </row>
    <row r="242" spans="1:5">
      <c r="A242" s="4" t="s">
        <v>249</v>
      </c>
      <c r="B242" s="9">
        <v>0.97</v>
      </c>
      <c r="C242" s="10">
        <v>2.0000000000000001E-173</v>
      </c>
      <c r="D242" s="5">
        <v>49.81</v>
      </c>
      <c r="E242" s="4" t="str">
        <f>HYPERLINK("https://www.ncbi.nlm.nih.gov/protein/AIO34665.1?report=genbank&amp;log$=prottop&amp;blast_rank=189&amp;RID=92EWBNK7013","AIO34665.1")</f>
        <v>AIO34665.1</v>
      </c>
    </row>
    <row r="243" spans="1:5">
      <c r="A243" s="4" t="s">
        <v>1562</v>
      </c>
      <c r="B243" s="9">
        <v>0.97</v>
      </c>
      <c r="C243" s="10">
        <v>2.9999999999999998E-172</v>
      </c>
      <c r="D243" s="5">
        <v>49.81</v>
      </c>
      <c r="E243" s="4" t="str">
        <f>HYPERLINK("https://www.ncbi.nlm.nih.gov/protein/MBU9233201.1?report=genbank&amp;log$=prottop&amp;blast_rank=195&amp;RID=92EWBNK7013","MBU9233201.1")</f>
        <v>MBU9233201.1</v>
      </c>
    </row>
    <row r="244" spans="1:5">
      <c r="A244" s="4" t="s">
        <v>1562</v>
      </c>
      <c r="B244" s="9">
        <v>0.97</v>
      </c>
      <c r="C244" s="10">
        <v>2.9999999999999998E-172</v>
      </c>
      <c r="D244" s="5">
        <v>49.81</v>
      </c>
      <c r="E244" s="4" t="str">
        <f>HYPERLINK("https://www.ncbi.nlm.nih.gov/protein/WP_155822949.1?report=genbank&amp;log$=prottop&amp;blast_rank=196&amp;RID=92EWBNK7013","WP_155822949.1")</f>
        <v>WP_155822949.1</v>
      </c>
    </row>
    <row r="245" spans="1:5">
      <c r="A245" s="4" t="s">
        <v>1562</v>
      </c>
      <c r="B245" s="9">
        <v>0.97</v>
      </c>
      <c r="C245" s="10">
        <v>2E-171</v>
      </c>
      <c r="D245" s="5">
        <v>49.81</v>
      </c>
      <c r="E245" s="4" t="str">
        <f>HYPERLINK("https://www.ncbi.nlm.nih.gov/protein/WP_105803399.1?report=genbank&amp;log$=prottop&amp;blast_rank=209&amp;RID=92EWBNK7013","WP_105803399.1")</f>
        <v>WP_105803399.1</v>
      </c>
    </row>
    <row r="246" spans="1:5">
      <c r="A246" s="4" t="s">
        <v>1563</v>
      </c>
      <c r="B246" s="9">
        <v>0.96</v>
      </c>
      <c r="C246" s="10">
        <v>5.9999999999999996E-167</v>
      </c>
      <c r="D246" s="5">
        <v>49.81</v>
      </c>
      <c r="E246" s="4" t="str">
        <f>HYPERLINK("https://www.ncbi.nlm.nih.gov/protein/WP_028624270.1?report=genbank&amp;log$=prottop&amp;blast_rank=359&amp;RID=92EWBNK7013","WP_028624270.1")</f>
        <v>WP_028624270.1</v>
      </c>
    </row>
    <row r="247" spans="1:5">
      <c r="A247" s="4" t="s">
        <v>1564</v>
      </c>
      <c r="B247" s="9">
        <v>0.96</v>
      </c>
      <c r="C247" s="10">
        <v>2.0000000000000001E-166</v>
      </c>
      <c r="D247" s="5">
        <v>49.81</v>
      </c>
      <c r="E247" s="4" t="str">
        <f>HYPERLINK("https://www.ncbi.nlm.nih.gov/protein/WP_198497791.1?report=genbank&amp;log$=prottop&amp;blast_rank=379&amp;RID=92EWBNK7013","WP_198497791.1")</f>
        <v>WP_198497791.1</v>
      </c>
    </row>
    <row r="248" spans="1:5">
      <c r="A248" s="4" t="s">
        <v>1565</v>
      </c>
      <c r="B248" s="9">
        <v>0.96</v>
      </c>
      <c r="C248" s="10">
        <v>2.0000000000000001E-166</v>
      </c>
      <c r="D248" s="5">
        <v>49.81</v>
      </c>
      <c r="E248" s="4" t="str">
        <f>HYPERLINK("https://www.ncbi.nlm.nih.gov/protein/WP_317338638.1?report=genbank&amp;log$=prottop&amp;blast_rank=382&amp;RID=92EWBNK7013","WP_317338638.1")</f>
        <v>WP_317338638.1</v>
      </c>
    </row>
    <row r="249" spans="1:5">
      <c r="A249" s="4" t="s">
        <v>1566</v>
      </c>
      <c r="B249" s="9">
        <v>0.98</v>
      </c>
      <c r="C249" s="10">
        <v>7.0000000000000003E-173</v>
      </c>
      <c r="D249" s="5">
        <v>49.63</v>
      </c>
      <c r="E249" s="4" t="str">
        <f>HYPERLINK("https://www.ncbi.nlm.nih.gov/protein/WP_237052853.1?report=genbank&amp;log$=prottop&amp;blast_rank=194&amp;RID=92EWBNK7013","WP_237052853.1")</f>
        <v>WP_237052853.1</v>
      </c>
    </row>
    <row r="250" spans="1:5">
      <c r="A250" s="4" t="s">
        <v>1567</v>
      </c>
      <c r="B250" s="9">
        <v>0.97</v>
      </c>
      <c r="C250" s="10">
        <v>2.0000000000000001E-168</v>
      </c>
      <c r="D250" s="5">
        <v>49.63</v>
      </c>
      <c r="E250" s="4" t="str">
        <f>HYPERLINK("https://www.ncbi.nlm.nih.gov/protein/WP_121696355.1?report=genbank&amp;log$=prottop&amp;blast_rank=282&amp;RID=92EWBNK7013","WP_121696355.1")</f>
        <v>WP_121696355.1</v>
      </c>
    </row>
    <row r="251" spans="1:5">
      <c r="A251" s="4" t="s">
        <v>1568</v>
      </c>
      <c r="B251" s="9">
        <v>0.96</v>
      </c>
      <c r="C251" s="10">
        <v>4E-167</v>
      </c>
      <c r="D251" s="5">
        <v>49.62</v>
      </c>
      <c r="E251" s="4" t="str">
        <f>HYPERLINK("https://www.ncbi.nlm.nih.gov/protein/PVY34874.1?report=genbank&amp;log$=prottop&amp;blast_rank=352&amp;RID=92EWBNK7013","PVY34874.1")</f>
        <v>PVY34874.1</v>
      </c>
    </row>
    <row r="252" spans="1:5">
      <c r="A252" s="4" t="s">
        <v>1569</v>
      </c>
      <c r="B252" s="9">
        <v>0.96</v>
      </c>
      <c r="C252" s="10">
        <v>3.0000000000000002E-163</v>
      </c>
      <c r="D252" s="5">
        <v>49.62</v>
      </c>
      <c r="E252" s="4" t="str">
        <f>HYPERLINK("https://www.ncbi.nlm.nih.gov/protein/WP_339546649.1?report=genbank&amp;log$=prottop&amp;blast_rank=494&amp;RID=92EWBNK7013","WP_339546649.1")</f>
        <v>WP_339546649.1</v>
      </c>
    </row>
    <row r="253" spans="1:5">
      <c r="A253" s="4" t="s">
        <v>1132</v>
      </c>
      <c r="B253" s="9">
        <v>0.96</v>
      </c>
      <c r="C253" s="10">
        <v>3.9999999999999997E-163</v>
      </c>
      <c r="D253" s="5">
        <v>49.62</v>
      </c>
      <c r="E253" s="4" t="str">
        <f>HYPERLINK("https://www.ncbi.nlm.nih.gov/protein/WP_147673594.1?report=genbank&amp;log$=prottop&amp;blast_rank=498&amp;RID=92EWBNK7013","WP_147673594.1")</f>
        <v>WP_147673594.1</v>
      </c>
    </row>
    <row r="254" spans="1:5">
      <c r="A254" s="4" t="s">
        <v>1564</v>
      </c>
      <c r="B254" s="9">
        <v>0.98</v>
      </c>
      <c r="C254" s="10">
        <v>6.9999999999999996E-168</v>
      </c>
      <c r="D254" s="5">
        <v>49.45</v>
      </c>
      <c r="E254" s="4" t="str">
        <f>HYPERLINK("https://www.ncbi.nlm.nih.gov/protein/WP_023660035.1?report=genbank&amp;log$=prottop&amp;blast_rank=317&amp;RID=92EWBNK7013","WP_023660035.1")</f>
        <v>WP_023660035.1</v>
      </c>
    </row>
    <row r="255" spans="1:5">
      <c r="A255" s="4" t="s">
        <v>1570</v>
      </c>
      <c r="B255" s="9">
        <v>0.97</v>
      </c>
      <c r="C255" s="10">
        <v>5.0000000000000002E-173</v>
      </c>
      <c r="D255" s="5">
        <v>49.44</v>
      </c>
      <c r="E255" s="4" t="str">
        <f>HYPERLINK("https://www.ncbi.nlm.nih.gov/protein/WP_200661370.1?report=genbank&amp;log$=prottop&amp;blast_rank=193&amp;RID=92EWBNK7013","WP_200661370.1")</f>
        <v>WP_200661370.1</v>
      </c>
    </row>
    <row r="256" spans="1:5">
      <c r="A256" s="4" t="s">
        <v>245</v>
      </c>
      <c r="B256" s="9">
        <v>0.97</v>
      </c>
      <c r="C256" s="10">
        <v>8.0000000000000003E-172</v>
      </c>
      <c r="D256" s="5">
        <v>49.44</v>
      </c>
      <c r="E256" s="4" t="str">
        <f>HYPERLINK("https://www.ncbi.nlm.nih.gov/protein/WP_105821467.1?report=genbank&amp;log$=prottop&amp;blast_rank=203&amp;RID=92EWBNK7013","WP_105821467.1")</f>
        <v>WP_105821467.1</v>
      </c>
    </row>
    <row r="257" spans="1:5">
      <c r="A257" s="4" t="s">
        <v>245</v>
      </c>
      <c r="B257" s="9">
        <v>0.97</v>
      </c>
      <c r="C257" s="10">
        <v>2E-171</v>
      </c>
      <c r="D257" s="5">
        <v>49.44</v>
      </c>
      <c r="E257" s="4" t="str">
        <f>HYPERLINK("https://www.ncbi.nlm.nih.gov/protein/MBJ9662196.1?report=genbank&amp;log$=prottop&amp;blast_rank=208&amp;RID=92EWBNK7013","MBJ9662196.1")</f>
        <v>MBJ9662196.1</v>
      </c>
    </row>
    <row r="258" spans="1:5">
      <c r="A258" s="4" t="s">
        <v>1571</v>
      </c>
      <c r="B258" s="9">
        <v>0.97</v>
      </c>
      <c r="C258" s="10">
        <v>4.9999999999999999E-171</v>
      </c>
      <c r="D258" s="5">
        <v>49.44</v>
      </c>
      <c r="E258" s="4" t="str">
        <f>HYPERLINK("https://www.ncbi.nlm.nih.gov/protein/MBF3411156.1?report=genbank&amp;log$=prottop&amp;blast_rank=217&amp;RID=92EWBNK7013","MBF3411156.1")</f>
        <v>MBF3411156.1</v>
      </c>
    </row>
    <row r="259" spans="1:5">
      <c r="A259" s="4" t="s">
        <v>1572</v>
      </c>
      <c r="B259" s="9">
        <v>0.97</v>
      </c>
      <c r="C259" s="10">
        <v>5.9999999999999999E-171</v>
      </c>
      <c r="D259" s="5">
        <v>49.44</v>
      </c>
      <c r="E259" s="4" t="str">
        <f>HYPERLINK("https://www.ncbi.nlm.nih.gov/protein/WP_228977542.1?report=genbank&amp;log$=prottop&amp;blast_rank=218&amp;RID=92EWBNK7013","WP_228977542.1")</f>
        <v>WP_228977542.1</v>
      </c>
    </row>
    <row r="260" spans="1:5">
      <c r="A260" s="4" t="s">
        <v>1573</v>
      </c>
      <c r="B260" s="9">
        <v>0.97</v>
      </c>
      <c r="C260" s="10">
        <v>1E-169</v>
      </c>
      <c r="D260" s="5">
        <v>49.44</v>
      </c>
      <c r="E260" s="4" t="str">
        <f>HYPERLINK("https://www.ncbi.nlm.nih.gov/protein/WP_093385896.1?report=genbank&amp;log$=prottop&amp;blast_rank=253&amp;RID=92EWBNK7013","WP_093385896.1")</f>
        <v>WP_093385896.1</v>
      </c>
    </row>
    <row r="261" spans="1:5">
      <c r="A261" s="4" t="s">
        <v>1573</v>
      </c>
      <c r="B261" s="9">
        <v>0.97</v>
      </c>
      <c r="C261" s="10">
        <v>2E-169</v>
      </c>
      <c r="D261" s="5">
        <v>49.44</v>
      </c>
      <c r="E261" s="4" t="str">
        <f>HYPERLINK("https://www.ncbi.nlm.nih.gov/protein/SFL78946.1?report=genbank&amp;log$=prottop&amp;blast_rank=259&amp;RID=92EWBNK7013","SFL78946.1")</f>
        <v>SFL78946.1</v>
      </c>
    </row>
    <row r="262" spans="1:5">
      <c r="A262" s="4" t="s">
        <v>1574</v>
      </c>
      <c r="B262" s="9">
        <v>0.97</v>
      </c>
      <c r="C262" s="10">
        <v>2.9999999999999999E-169</v>
      </c>
      <c r="D262" s="5">
        <v>49.44</v>
      </c>
      <c r="E262" s="4" t="str">
        <f>HYPERLINK("https://www.ncbi.nlm.nih.gov/protein/WP_315255928.1?report=genbank&amp;log$=prottop&amp;blast_rank=260&amp;RID=92EWBNK7013","WP_315255928.1")</f>
        <v>WP_315255928.1</v>
      </c>
    </row>
    <row r="263" spans="1:5">
      <c r="A263" s="4" t="s">
        <v>373</v>
      </c>
      <c r="B263" s="9">
        <v>0.97</v>
      </c>
      <c r="C263" s="10">
        <v>5.0000000000000002E-169</v>
      </c>
      <c r="D263" s="5">
        <v>49.44</v>
      </c>
      <c r="E263" s="4" t="str">
        <f>HYPERLINK("https://www.ncbi.nlm.nih.gov/protein/WP_264974151.1?report=genbank&amp;log$=prottop&amp;blast_rank=268&amp;RID=92EWBNK7013","WP_264974151.1")</f>
        <v>WP_264974151.1</v>
      </c>
    </row>
    <row r="264" spans="1:5">
      <c r="A264" s="4" t="s">
        <v>1575</v>
      </c>
      <c r="B264" s="9">
        <v>0.97</v>
      </c>
      <c r="C264" s="10">
        <v>1E-167</v>
      </c>
      <c r="D264" s="5">
        <v>49.44</v>
      </c>
      <c r="E264" s="4" t="str">
        <f>HYPERLINK("https://www.ncbi.nlm.nih.gov/protein/WP_291329479.1?report=genbank&amp;log$=prottop&amp;blast_rank=330&amp;RID=92EWBNK7013","WP_291329479.1")</f>
        <v>WP_291329479.1</v>
      </c>
    </row>
    <row r="265" spans="1:5">
      <c r="A265" s="4" t="s">
        <v>1576</v>
      </c>
      <c r="B265" s="9">
        <v>0.96</v>
      </c>
      <c r="C265" s="10">
        <v>2E-167</v>
      </c>
      <c r="D265" s="5">
        <v>49.44</v>
      </c>
      <c r="E265" s="4" t="str">
        <f>HYPERLINK("https://www.ncbi.nlm.nih.gov/protein/WP_068134900.1?report=genbank&amp;log$=prottop&amp;blast_rank=343&amp;RID=92EWBNK7013","WP_068134900.1")</f>
        <v>WP_068134900.1</v>
      </c>
    </row>
    <row r="266" spans="1:5">
      <c r="A266" s="4" t="s">
        <v>1577</v>
      </c>
      <c r="B266" s="9">
        <v>0.97</v>
      </c>
      <c r="C266" s="10">
        <v>5.9999999999999996E-167</v>
      </c>
      <c r="D266" s="5">
        <v>49.44</v>
      </c>
      <c r="E266" s="4" t="str">
        <f>HYPERLINK("https://www.ncbi.nlm.nih.gov/protein/MBF0235114.1?report=genbank&amp;log$=prottop&amp;blast_rank=357&amp;RID=92EWBNK7013","MBF0235114.1")</f>
        <v>MBF0235114.1</v>
      </c>
    </row>
    <row r="267" spans="1:5">
      <c r="A267" s="4" t="s">
        <v>1294</v>
      </c>
      <c r="B267" s="9">
        <v>0.96</v>
      </c>
      <c r="C267" s="10">
        <v>6.0000000000000005E-166</v>
      </c>
      <c r="D267" s="5">
        <v>49.44</v>
      </c>
      <c r="E267" s="4" t="str">
        <f>HYPERLINK("https://www.ncbi.nlm.nih.gov/protein/WP_248111606.1?report=genbank&amp;log$=prottop&amp;blast_rank=397&amp;RID=92EWBNK7013","WP_248111606.1")</f>
        <v>WP_248111606.1</v>
      </c>
    </row>
    <row r="268" spans="1:5">
      <c r="A268" s="4" t="s">
        <v>1578</v>
      </c>
      <c r="B268" s="9">
        <v>0.96</v>
      </c>
      <c r="C268" s="10">
        <v>1E-165</v>
      </c>
      <c r="D268" s="5">
        <v>49.44</v>
      </c>
      <c r="E268" s="4" t="str">
        <f>HYPERLINK("https://www.ncbi.nlm.nih.gov/protein/WP_349870258.1?report=genbank&amp;log$=prottop&amp;blast_rank=409&amp;RID=92EWBNK7013","WP_349870258.1")</f>
        <v>WP_349870258.1</v>
      </c>
    </row>
    <row r="269" spans="1:5">
      <c r="A269" s="4" t="s">
        <v>1295</v>
      </c>
      <c r="B269" s="9">
        <v>0.96</v>
      </c>
      <c r="C269" s="10">
        <v>2E-165</v>
      </c>
      <c r="D269" s="5">
        <v>49.44</v>
      </c>
      <c r="E269" s="4" t="str">
        <f>HYPERLINK("https://www.ncbi.nlm.nih.gov/protein/WP_039311427.1?report=genbank&amp;log$=prottop&amp;blast_rank=424&amp;RID=92EWBNK7013","WP_039311427.1")</f>
        <v>WP_039311427.1</v>
      </c>
    </row>
    <row r="270" spans="1:5">
      <c r="A270" s="4" t="s">
        <v>373</v>
      </c>
      <c r="B270" s="9">
        <v>0.96</v>
      </c>
      <c r="C270" s="10">
        <v>3.0000000000000001E-164</v>
      </c>
      <c r="D270" s="5">
        <v>49.44</v>
      </c>
      <c r="E270" s="4" t="str">
        <f>HYPERLINK("https://www.ncbi.nlm.nih.gov/protein/MER1208903.1?report=genbank&amp;log$=prottop&amp;blast_rank=465&amp;RID=92EWBNK7013","MER1208903.1")</f>
        <v>MER1208903.1</v>
      </c>
    </row>
    <row r="271" spans="1:5">
      <c r="A271" s="4" t="s">
        <v>1018</v>
      </c>
      <c r="B271" s="9">
        <v>0.96</v>
      </c>
      <c r="C271" s="10">
        <v>6.0000000000000002E-164</v>
      </c>
      <c r="D271" s="5">
        <v>49.44</v>
      </c>
      <c r="E271" s="4" t="str">
        <f>HYPERLINK("https://www.ncbi.nlm.nih.gov/protein/WP_124213908.1?report=genbank&amp;log$=prottop&amp;blast_rank=471&amp;RID=92EWBNK7013","WP_124213908.1")</f>
        <v>WP_124213908.1</v>
      </c>
    </row>
    <row r="272" spans="1:5">
      <c r="A272" s="4" t="s">
        <v>245</v>
      </c>
      <c r="B272" s="9">
        <v>0.96</v>
      </c>
      <c r="C272" s="10">
        <v>2.9999999999999998E-167</v>
      </c>
      <c r="D272" s="5">
        <v>49.43</v>
      </c>
      <c r="E272" s="4" t="str">
        <f>HYPERLINK("https://www.ncbi.nlm.nih.gov/protein/WP_186039807.1?report=genbank&amp;log$=prottop&amp;blast_rank=344&amp;RID=92EWBNK7013","WP_186039807.1")</f>
        <v>WP_186039807.1</v>
      </c>
    </row>
    <row r="273" spans="1:5">
      <c r="A273" s="4" t="s">
        <v>1018</v>
      </c>
      <c r="B273" s="9">
        <v>0.94</v>
      </c>
      <c r="C273" s="10">
        <v>3.0000000000000002E-163</v>
      </c>
      <c r="D273" s="5">
        <v>49.43</v>
      </c>
      <c r="E273" s="4" t="str">
        <f>HYPERLINK("https://www.ncbi.nlm.nih.gov/protein/WP_140669710.1?report=genbank&amp;log$=prottop&amp;blast_rank=493&amp;RID=92EWBNK7013","WP_140669710.1")</f>
        <v>WP_140669710.1</v>
      </c>
    </row>
    <row r="274" spans="1:5">
      <c r="A274" s="4" t="s">
        <v>323</v>
      </c>
      <c r="B274" s="9">
        <v>0.98</v>
      </c>
      <c r="C274" s="10">
        <v>6.9999999999999997E-174</v>
      </c>
      <c r="D274" s="5">
        <v>49.26</v>
      </c>
      <c r="E274" s="4" t="str">
        <f>HYPERLINK("https://www.ncbi.nlm.nih.gov/protein/PSD16111.1?report=genbank&amp;log$=prottop&amp;blast_rank=182&amp;RID=92EWBNK7013","PSD16111.1")</f>
        <v>PSD16111.1</v>
      </c>
    </row>
    <row r="275" spans="1:5">
      <c r="A275" s="4" t="s">
        <v>323</v>
      </c>
      <c r="B275" s="9">
        <v>0.98</v>
      </c>
      <c r="C275" s="10">
        <v>3.0000000000000001E-173</v>
      </c>
      <c r="D275" s="5">
        <v>49.26</v>
      </c>
      <c r="E275" s="4" t="str">
        <f>HYPERLINK("https://www.ncbi.nlm.nih.gov/protein/HEL4114948.1?report=genbank&amp;log$=prottop&amp;blast_rank=191&amp;RID=92EWBNK7013","HEL4114948.1")</f>
        <v>HEL4114948.1</v>
      </c>
    </row>
    <row r="276" spans="1:5">
      <c r="A276" s="4" t="s">
        <v>373</v>
      </c>
      <c r="B276" s="9">
        <v>0.98</v>
      </c>
      <c r="C276" s="10">
        <v>4.0000000000000002E-168</v>
      </c>
      <c r="D276" s="5">
        <v>49.26</v>
      </c>
      <c r="E276" s="4" t="str">
        <f>HYPERLINK("https://www.ncbi.nlm.nih.gov/protein/WP_057379179.1?report=genbank&amp;log$=prottop&amp;blast_rank=306&amp;RID=92EWBNK7013","WP_057379179.1")</f>
        <v>WP_057379179.1</v>
      </c>
    </row>
    <row r="277" spans="1:5">
      <c r="A277" s="4" t="s">
        <v>373</v>
      </c>
      <c r="B277" s="9">
        <v>0.98</v>
      </c>
      <c r="C277" s="10">
        <v>5.9999999999999998E-168</v>
      </c>
      <c r="D277" s="5">
        <v>49.26</v>
      </c>
      <c r="E277" s="4" t="str">
        <f>HYPERLINK("https://www.ncbi.nlm.nih.gov/protein/MDI3598797.1?report=genbank&amp;log$=prottop&amp;blast_rank=314&amp;RID=92EWBNK7013","MDI3598797.1")</f>
        <v>MDI3598797.1</v>
      </c>
    </row>
    <row r="278" spans="1:5">
      <c r="A278" s="4" t="s">
        <v>373</v>
      </c>
      <c r="B278" s="9">
        <v>0.98</v>
      </c>
      <c r="C278" s="10">
        <v>2.9999999999999998E-167</v>
      </c>
      <c r="D278" s="5">
        <v>49.26</v>
      </c>
      <c r="E278" s="4" t="str">
        <f>HYPERLINK("https://www.ncbi.nlm.nih.gov/protein/WP_317811547.1?report=genbank&amp;log$=prottop&amp;blast_rank=349&amp;RID=92EWBNK7013","WP_317811547.1")</f>
        <v>WP_317811547.1</v>
      </c>
    </row>
    <row r="279" spans="1:5">
      <c r="A279" s="4" t="s">
        <v>1018</v>
      </c>
      <c r="B279" s="9">
        <v>0.98</v>
      </c>
      <c r="C279" s="10">
        <v>2.0000000000000001E-166</v>
      </c>
      <c r="D279" s="5">
        <v>49.26</v>
      </c>
      <c r="E279" s="4" t="str">
        <f>HYPERLINK("https://www.ncbi.nlm.nih.gov/protein/WP_034070667.1?report=genbank&amp;log$=prottop&amp;blast_rank=385&amp;RID=92EWBNK7013","WP_034070667.1")</f>
        <v>WP_034070667.1</v>
      </c>
    </row>
    <row r="280" spans="1:5">
      <c r="A280" s="4" t="s">
        <v>1579</v>
      </c>
      <c r="B280" s="9">
        <v>0.97</v>
      </c>
      <c r="C280" s="10">
        <v>2E-170</v>
      </c>
      <c r="D280" s="5">
        <v>49.25</v>
      </c>
      <c r="E280" s="4" t="str">
        <f>HYPERLINK("https://www.ncbi.nlm.nih.gov/protein/SEG21682.1?report=genbank&amp;log$=prottop&amp;blast_rank=235&amp;RID=92EWBNK7013","SEG21682.1")</f>
        <v>SEG21682.1</v>
      </c>
    </row>
    <row r="281" spans="1:5">
      <c r="A281" s="4" t="s">
        <v>1580</v>
      </c>
      <c r="B281" s="9">
        <v>0.97</v>
      </c>
      <c r="C281" s="10">
        <v>3.0000000000000001E-170</v>
      </c>
      <c r="D281" s="5">
        <v>49.25</v>
      </c>
      <c r="E281" s="4" t="str">
        <f>HYPERLINK("https://www.ncbi.nlm.nih.gov/protein/GLT22176.1?report=genbank&amp;log$=prottop&amp;blast_rank=239&amp;RID=92EWBNK7013","GLT22176.1")</f>
        <v>GLT22176.1</v>
      </c>
    </row>
    <row r="282" spans="1:5">
      <c r="A282" s="4" t="s">
        <v>1581</v>
      </c>
      <c r="B282" s="9">
        <v>0.96</v>
      </c>
      <c r="C282" s="10">
        <v>8.0000000000000002E-169</v>
      </c>
      <c r="D282" s="5">
        <v>49.25</v>
      </c>
      <c r="E282" s="4" t="str">
        <f>HYPERLINK("https://www.ncbi.nlm.nih.gov/protein/OZB53382.1?report=genbank&amp;log$=prottop&amp;blast_rank=274&amp;RID=92EWBNK7013","OZB53382.1")</f>
        <v>OZB53382.1</v>
      </c>
    </row>
    <row r="283" spans="1:5">
      <c r="A283" s="4" t="s">
        <v>1582</v>
      </c>
      <c r="B283" s="9">
        <v>0.96</v>
      </c>
      <c r="C283" s="10">
        <v>8.9999999999999997E-169</v>
      </c>
      <c r="D283" s="5">
        <v>49.25</v>
      </c>
      <c r="E283" s="4" t="str">
        <f>HYPERLINK("https://www.ncbi.nlm.nih.gov/protein/MBP7137091.1?report=genbank&amp;log$=prottop&amp;blast_rank=276&amp;RID=92EWBNK7013","MBP7137091.1")</f>
        <v>MBP7137091.1</v>
      </c>
    </row>
    <row r="284" spans="1:5">
      <c r="A284" s="4" t="s">
        <v>373</v>
      </c>
      <c r="B284" s="9">
        <v>0.97</v>
      </c>
      <c r="C284" s="10">
        <v>1E-168</v>
      </c>
      <c r="D284" s="5">
        <v>49.25</v>
      </c>
      <c r="E284" s="4" t="str">
        <f>HYPERLINK("https://www.ncbi.nlm.nih.gov/protein/WP_033942190.1?report=genbank&amp;log$=prottop&amp;blast_rank=280&amp;RID=92EWBNK7013","WP_033942190.1")</f>
        <v>WP_033942190.1</v>
      </c>
    </row>
    <row r="285" spans="1:5">
      <c r="A285" s="4" t="s">
        <v>373</v>
      </c>
      <c r="B285" s="9">
        <v>0.97</v>
      </c>
      <c r="C285" s="10">
        <v>2.9999999999999999E-168</v>
      </c>
      <c r="D285" s="5">
        <v>49.25</v>
      </c>
      <c r="E285" s="4" t="str">
        <f>HYPERLINK("https://www.ncbi.nlm.nih.gov/protein/MCO1754904.1?report=genbank&amp;log$=prottop&amp;blast_rank=299&amp;RID=92EWBNK7013","MCO1754904.1")</f>
        <v>MCO1754904.1</v>
      </c>
    </row>
    <row r="286" spans="1:5">
      <c r="A286" s="4" t="s">
        <v>1583</v>
      </c>
      <c r="B286" s="9">
        <v>0.97</v>
      </c>
      <c r="C286" s="10">
        <v>5E-168</v>
      </c>
      <c r="D286" s="5">
        <v>49.25</v>
      </c>
      <c r="E286" s="4" t="str">
        <f>HYPERLINK("https://www.ncbi.nlm.nih.gov/protein/WP_232116225.1?report=genbank&amp;log$=prottop&amp;blast_rank=310&amp;RID=92EWBNK7013","WP_232116225.1")</f>
        <v>WP_232116225.1</v>
      </c>
    </row>
    <row r="287" spans="1:5">
      <c r="A287" s="4" t="s">
        <v>1584</v>
      </c>
      <c r="B287" s="9">
        <v>0.96</v>
      </c>
      <c r="C287" s="10">
        <v>5E-168</v>
      </c>
      <c r="D287" s="5">
        <v>49.25</v>
      </c>
      <c r="E287" s="4" t="str">
        <f>HYPERLINK("https://www.ncbi.nlm.nih.gov/protein/WP_153099618.1?report=genbank&amp;log$=prottop&amp;blast_rank=311&amp;RID=92EWBNK7013","WP_153099618.1")</f>
        <v>WP_153099618.1</v>
      </c>
    </row>
    <row r="288" spans="1:5">
      <c r="A288" s="4" t="s">
        <v>362</v>
      </c>
      <c r="B288" s="9">
        <v>0.97</v>
      </c>
      <c r="C288" s="10">
        <v>1E-166</v>
      </c>
      <c r="D288" s="5">
        <v>49.25</v>
      </c>
      <c r="E288" s="4" t="str">
        <f>HYPERLINK("https://www.ncbi.nlm.nih.gov/protein/WP_296821130.1?report=genbank&amp;log$=prottop&amp;blast_rank=371&amp;RID=92EWBNK7013","WP_296821130.1")</f>
        <v>WP_296821130.1</v>
      </c>
    </row>
    <row r="289" spans="1:5">
      <c r="A289" s="4" t="s">
        <v>1562</v>
      </c>
      <c r="B289" s="9">
        <v>0.93</v>
      </c>
      <c r="C289" s="10">
        <v>9.9999999999999992E-164</v>
      </c>
      <c r="D289" s="5">
        <v>49.22</v>
      </c>
      <c r="E289" s="4" t="str">
        <f>HYPERLINK("https://www.ncbi.nlm.nih.gov/protein/MBY4793925.1?report=genbank&amp;log$=prottop&amp;blast_rank=479&amp;RID=92EWBNK7013","MBY4793925.1")</f>
        <v>MBY4793925.1</v>
      </c>
    </row>
    <row r="290" spans="1:5">
      <c r="A290" s="4" t="s">
        <v>362</v>
      </c>
      <c r="B290" s="9">
        <v>0.98</v>
      </c>
      <c r="C290" s="10">
        <v>8.9999999999999997E-169</v>
      </c>
      <c r="D290" s="5">
        <v>49.08</v>
      </c>
      <c r="E290" s="4" t="str">
        <f>HYPERLINK("https://www.ncbi.nlm.nih.gov/protein/QLQ02659.1?report=genbank&amp;log$=prottop&amp;blast_rank=275&amp;RID=92EWBNK7013","QLQ02659.1")</f>
        <v>QLQ02659.1</v>
      </c>
    </row>
    <row r="291" spans="1:5">
      <c r="A291" s="4" t="s">
        <v>1564</v>
      </c>
      <c r="B291" s="9">
        <v>0.98</v>
      </c>
      <c r="C291" s="10">
        <v>2.0000000000000001E-168</v>
      </c>
      <c r="D291" s="5">
        <v>49.08</v>
      </c>
      <c r="E291" s="4" t="str">
        <f>HYPERLINK("https://www.ncbi.nlm.nih.gov/protein/WP_123108852.1?report=genbank&amp;log$=prottop&amp;blast_rank=291&amp;RID=92EWBNK7013","WP_123108852.1")</f>
        <v>WP_123108852.1</v>
      </c>
    </row>
    <row r="292" spans="1:5">
      <c r="A292" s="4" t="s">
        <v>373</v>
      </c>
      <c r="B292" s="9">
        <v>0.98</v>
      </c>
      <c r="C292" s="10">
        <v>4.0000000000000002E-168</v>
      </c>
      <c r="D292" s="5">
        <v>49.08</v>
      </c>
      <c r="E292" s="4" t="str">
        <f>HYPERLINK("https://www.ncbi.nlm.nih.gov/protein/WP_303698424.1?report=genbank&amp;log$=prottop&amp;blast_rank=304&amp;RID=92EWBNK7013","WP_303698424.1")</f>
        <v>WP_303698424.1</v>
      </c>
    </row>
    <row r="293" spans="1:5">
      <c r="A293" s="4" t="s">
        <v>1564</v>
      </c>
      <c r="B293" s="9">
        <v>0.98</v>
      </c>
      <c r="C293" s="10">
        <v>1E-167</v>
      </c>
      <c r="D293" s="5">
        <v>49.08</v>
      </c>
      <c r="E293" s="4" t="str">
        <f>HYPERLINK("https://www.ncbi.nlm.nih.gov/protein/WP_058172875.1?report=genbank&amp;log$=prottop&amp;blast_rank=326&amp;RID=92EWBNK7013","WP_058172875.1")</f>
        <v>WP_058172875.1</v>
      </c>
    </row>
    <row r="294" spans="1:5">
      <c r="A294" s="4" t="s">
        <v>990</v>
      </c>
      <c r="B294" s="9">
        <v>0.98</v>
      </c>
      <c r="C294" s="10">
        <v>6.9999999999999998E-167</v>
      </c>
      <c r="D294" s="5">
        <v>49.08</v>
      </c>
      <c r="E294" s="4" t="str">
        <f>HYPERLINK("https://www.ncbi.nlm.nih.gov/protein/HEH9395030.1?report=genbank&amp;log$=prottop&amp;blast_rank=360&amp;RID=92EWBNK7013","HEH9395030.1")</f>
        <v>HEH9395030.1</v>
      </c>
    </row>
    <row r="295" spans="1:5">
      <c r="A295" s="4" t="s">
        <v>1585</v>
      </c>
      <c r="B295" s="9">
        <v>0.98</v>
      </c>
      <c r="C295" s="10">
        <v>2.0000000000000001E-166</v>
      </c>
      <c r="D295" s="5">
        <v>49.08</v>
      </c>
      <c r="E295" s="4" t="str">
        <f>HYPERLINK("https://www.ncbi.nlm.nih.gov/protein/WP_174349431.1?report=genbank&amp;log$=prottop&amp;blast_rank=381&amp;RID=92EWBNK7013","WP_174349431.1")</f>
        <v>WP_174349431.1</v>
      </c>
    </row>
    <row r="296" spans="1:5">
      <c r="A296" s="4" t="s">
        <v>1586</v>
      </c>
      <c r="B296" s="9">
        <v>0.97</v>
      </c>
      <c r="C296" s="10">
        <v>1E-174</v>
      </c>
      <c r="D296" s="5">
        <v>49.06</v>
      </c>
      <c r="E296" s="4" t="str">
        <f>HYPERLINK("https://www.ncbi.nlm.nih.gov/protein/WP_175824507.1?report=genbank&amp;log$=prottop&amp;blast_rank=170&amp;RID=92EWBNK7013","WP_175824507.1")</f>
        <v>WP_175824507.1</v>
      </c>
    </row>
    <row r="297" spans="1:5">
      <c r="A297" s="4" t="s">
        <v>1587</v>
      </c>
      <c r="B297" s="9">
        <v>0.97</v>
      </c>
      <c r="C297" s="10">
        <v>9.9999999999999998E-172</v>
      </c>
      <c r="D297" s="5">
        <v>49.06</v>
      </c>
      <c r="E297" s="4" t="str">
        <f>HYPERLINK("https://www.ncbi.nlm.nih.gov/protein/WP_291469980.1?report=genbank&amp;log$=prottop&amp;blast_rank=205&amp;RID=92EWBNK7013","WP_291469980.1")</f>
        <v>WP_291469980.1</v>
      </c>
    </row>
    <row r="298" spans="1:5">
      <c r="A298" s="4" t="s">
        <v>1588</v>
      </c>
      <c r="B298" s="9">
        <v>0.97</v>
      </c>
      <c r="C298" s="10">
        <v>3.9999999999999999E-171</v>
      </c>
      <c r="D298" s="5">
        <v>49.06</v>
      </c>
      <c r="E298" s="4" t="str">
        <f>HYPERLINK("https://www.ncbi.nlm.nih.gov/protein/MBK9219555.1?report=genbank&amp;log$=prottop&amp;blast_rank=214&amp;RID=92EWBNK7013","MBK9219555.1")</f>
        <v>MBK9219555.1</v>
      </c>
    </row>
    <row r="299" spans="1:5">
      <c r="A299" s="4" t="s">
        <v>1589</v>
      </c>
      <c r="B299" s="9">
        <v>0.97</v>
      </c>
      <c r="C299" s="10">
        <v>9.9999999999999998E-171</v>
      </c>
      <c r="D299" s="5">
        <v>49.06</v>
      </c>
      <c r="E299" s="4" t="str">
        <f>HYPERLINK("https://www.ncbi.nlm.nih.gov/protein/WP_321857979.1?report=genbank&amp;log$=prottop&amp;blast_rank=225&amp;RID=92EWBNK7013","WP_321857979.1")</f>
        <v>WP_321857979.1</v>
      </c>
    </row>
    <row r="300" spans="1:5">
      <c r="A300" s="4" t="s">
        <v>1073</v>
      </c>
      <c r="B300" s="9">
        <v>0.97</v>
      </c>
      <c r="C300" s="10">
        <v>9.9999999999999998E-171</v>
      </c>
      <c r="D300" s="5">
        <v>49.06</v>
      </c>
      <c r="E300" s="4" t="str">
        <f>HYPERLINK("https://www.ncbi.nlm.nih.gov/protein/WP_166768556.1?report=genbank&amp;log$=prottop&amp;blast_rank=226&amp;RID=92EWBNK7013","WP_166768556.1")</f>
        <v>WP_166768556.1</v>
      </c>
    </row>
    <row r="301" spans="1:5">
      <c r="A301" s="4" t="s">
        <v>1018</v>
      </c>
      <c r="B301" s="9">
        <v>0.97</v>
      </c>
      <c r="C301" s="10">
        <v>6.0000000000000003E-170</v>
      </c>
      <c r="D301" s="5">
        <v>49.06</v>
      </c>
      <c r="E301" s="4" t="str">
        <f>HYPERLINK("https://www.ncbi.nlm.nih.gov/protein/WP_042852617.1?report=genbank&amp;log$=prottop&amp;blast_rank=245&amp;RID=92EWBNK7013","WP_042852617.1")</f>
        <v>WP_042852617.1</v>
      </c>
    </row>
    <row r="302" spans="1:5">
      <c r="A302" s="4" t="s">
        <v>884</v>
      </c>
      <c r="B302" s="9">
        <v>0.97</v>
      </c>
      <c r="C302" s="10">
        <v>1E-169</v>
      </c>
      <c r="D302" s="5">
        <v>49.06</v>
      </c>
      <c r="E302" s="4" t="str">
        <f>HYPERLINK("https://www.ncbi.nlm.nih.gov/protein/WP_166748686.1?report=genbank&amp;log$=prottop&amp;blast_rank=250&amp;RID=92EWBNK7013","WP_166748686.1")</f>
        <v>WP_166748686.1</v>
      </c>
    </row>
    <row r="303" spans="1:5">
      <c r="A303" s="4" t="s">
        <v>1589</v>
      </c>
      <c r="B303" s="9">
        <v>0.97</v>
      </c>
      <c r="C303" s="10">
        <v>2.0000000000000001E-168</v>
      </c>
      <c r="D303" s="5">
        <v>49.06</v>
      </c>
      <c r="E303" s="4" t="str">
        <f>HYPERLINK("https://www.ncbi.nlm.nih.gov/protein/WP_321942198.1?report=genbank&amp;log$=prottop&amp;blast_rank=294&amp;RID=92EWBNK7013","WP_321942198.1")</f>
        <v>WP_321942198.1</v>
      </c>
    </row>
    <row r="304" spans="1:5">
      <c r="A304" s="4" t="s">
        <v>1589</v>
      </c>
      <c r="B304" s="9">
        <v>0.97</v>
      </c>
      <c r="C304" s="10">
        <v>8.0000000000000004E-168</v>
      </c>
      <c r="D304" s="5">
        <v>49.06</v>
      </c>
      <c r="E304" s="4" t="str">
        <f>HYPERLINK("https://www.ncbi.nlm.nih.gov/protein/WP_321958954.1?report=genbank&amp;log$=prottop&amp;blast_rank=319&amp;RID=92EWBNK7013","WP_321958954.1")</f>
        <v>WP_321958954.1</v>
      </c>
    </row>
    <row r="305" spans="1:5">
      <c r="A305" s="4" t="s">
        <v>1590</v>
      </c>
      <c r="B305" s="9">
        <v>0.96</v>
      </c>
      <c r="C305" s="10">
        <v>4E-165</v>
      </c>
      <c r="D305" s="5">
        <v>49.06</v>
      </c>
      <c r="E305" s="4" t="str">
        <f>HYPERLINK("https://www.ncbi.nlm.nih.gov/protein/WP_320765379.1?report=genbank&amp;log$=prottop&amp;blast_rank=435&amp;RID=92EWBNK7013","WP_320765379.1")</f>
        <v>WP_320765379.1</v>
      </c>
    </row>
    <row r="306" spans="1:5">
      <c r="A306" s="4" t="s">
        <v>373</v>
      </c>
      <c r="B306" s="9">
        <v>0.96</v>
      </c>
      <c r="C306" s="10">
        <v>1.9999999999999999E-164</v>
      </c>
      <c r="D306" s="5">
        <v>49.06</v>
      </c>
      <c r="E306" s="4" t="str">
        <f>HYPERLINK("https://www.ncbi.nlm.nih.gov/protein/WP_058136997.1?report=genbank&amp;log$=prottop&amp;blast_rank=462&amp;RID=92EWBNK7013","WP_058136997.1")</f>
        <v>WP_058136997.1</v>
      </c>
    </row>
    <row r="307" spans="1:5">
      <c r="A307" s="4" t="s">
        <v>373</v>
      </c>
      <c r="B307" s="9">
        <v>0.96</v>
      </c>
      <c r="C307" s="10">
        <v>3.9999999999999998E-164</v>
      </c>
      <c r="D307" s="5">
        <v>49.06</v>
      </c>
      <c r="E307" s="4" t="str">
        <f>HYPERLINK("https://www.ncbi.nlm.nih.gov/protein/WP_034017336.1?report=genbank&amp;log$=prottop&amp;blast_rank=467&amp;RID=92EWBNK7013","WP_034017336.1")</f>
        <v>WP_034017336.1</v>
      </c>
    </row>
    <row r="308" spans="1:5">
      <c r="A308" s="4" t="s">
        <v>1591</v>
      </c>
      <c r="B308" s="9">
        <v>0.96</v>
      </c>
      <c r="C308" s="10">
        <v>9.9999999999999992E-164</v>
      </c>
      <c r="D308" s="5">
        <v>49.06</v>
      </c>
      <c r="E308" s="4" t="str">
        <f>HYPERLINK("https://www.ncbi.nlm.nih.gov/protein/MCK0125101.1?report=genbank&amp;log$=prottop&amp;blast_rank=478&amp;RID=92EWBNK7013","MCK0125101.1")</f>
        <v>MCK0125101.1</v>
      </c>
    </row>
    <row r="309" spans="1:5">
      <c r="A309" s="4" t="s">
        <v>373</v>
      </c>
      <c r="B309" s="9">
        <v>0.98</v>
      </c>
      <c r="C309" s="10">
        <v>2.9999999999999998E-172</v>
      </c>
      <c r="D309" s="5">
        <v>48.89</v>
      </c>
      <c r="E309" s="4" t="str">
        <f>HYPERLINK("https://www.ncbi.nlm.nih.gov/protein/MCO2376548.1?report=genbank&amp;log$=prottop&amp;blast_rank=197&amp;RID=92EWBNK7013","MCO2376548.1")</f>
        <v>MCO2376548.1</v>
      </c>
    </row>
    <row r="310" spans="1:5">
      <c r="A310" s="4" t="s">
        <v>1592</v>
      </c>
      <c r="B310" s="9">
        <v>0.98</v>
      </c>
      <c r="C310" s="10">
        <v>3E-171</v>
      </c>
      <c r="D310" s="5">
        <v>48.89</v>
      </c>
      <c r="E310" s="4" t="str">
        <f>HYPERLINK("https://www.ncbi.nlm.nih.gov/protein/OJV61401.1?report=genbank&amp;log$=prottop&amp;blast_rank=212&amp;RID=92EWBNK7013","OJV61401.1")</f>
        <v>OJV61401.1</v>
      </c>
    </row>
    <row r="311" spans="1:5">
      <c r="A311" s="4" t="s">
        <v>1593</v>
      </c>
      <c r="B311" s="9">
        <v>0.98</v>
      </c>
      <c r="C311" s="10">
        <v>9.9999999999999998E-171</v>
      </c>
      <c r="D311" s="5">
        <v>48.89</v>
      </c>
      <c r="E311" s="4" t="str">
        <f>HYPERLINK("https://www.ncbi.nlm.nih.gov/protein/WP_286987143.1?report=genbank&amp;log$=prottop&amp;blast_rank=227&amp;RID=92EWBNK7013","WP_286987143.1")</f>
        <v>WP_286987143.1</v>
      </c>
    </row>
    <row r="312" spans="1:5">
      <c r="A312" s="4" t="s">
        <v>392</v>
      </c>
      <c r="B312" s="9">
        <v>0.98</v>
      </c>
      <c r="C312" s="10">
        <v>9.9999999999999998E-171</v>
      </c>
      <c r="D312" s="5">
        <v>48.89</v>
      </c>
      <c r="E312" s="4" t="str">
        <f>HYPERLINK("https://www.ncbi.nlm.nih.gov/protein/WP_263088741.1?report=genbank&amp;log$=prottop&amp;blast_rank=229&amp;RID=92EWBNK7013","WP_263088741.1")</f>
        <v>WP_263088741.1</v>
      </c>
    </row>
    <row r="313" spans="1:5">
      <c r="A313" s="4" t="s">
        <v>1594</v>
      </c>
      <c r="B313" s="9">
        <v>0.97</v>
      </c>
      <c r="C313" s="10">
        <v>3.9999999999999999E-170</v>
      </c>
      <c r="D313" s="5">
        <v>48.89</v>
      </c>
      <c r="E313" s="4" t="str">
        <f>HYPERLINK("https://www.ncbi.nlm.nih.gov/protein/WP_071507907.1?report=genbank&amp;log$=prottop&amp;blast_rank=241&amp;RID=92EWBNK7013","WP_071507907.1")</f>
        <v>WP_071507907.1</v>
      </c>
    </row>
    <row r="314" spans="1:5">
      <c r="A314" s="4" t="s">
        <v>1595</v>
      </c>
      <c r="B314" s="9">
        <v>0.97</v>
      </c>
      <c r="C314" s="10">
        <v>9.0000000000000002E-168</v>
      </c>
      <c r="D314" s="5">
        <v>48.88</v>
      </c>
      <c r="E314" s="4" t="str">
        <f>HYPERLINK("https://www.ncbi.nlm.nih.gov/protein/WP_003296372.1?report=genbank&amp;log$=prottop&amp;blast_rank=325&amp;RID=92EWBNK7013","WP_003296372.1")</f>
        <v>WP_003296372.1</v>
      </c>
    </row>
    <row r="315" spans="1:5">
      <c r="A315" s="4" t="s">
        <v>1596</v>
      </c>
      <c r="B315" s="9">
        <v>0.97</v>
      </c>
      <c r="C315" s="10">
        <v>1E-167</v>
      </c>
      <c r="D315" s="5">
        <v>48.88</v>
      </c>
      <c r="E315" s="4" t="str">
        <f>HYPERLINK("https://www.ncbi.nlm.nih.gov/protein/WP_026435718.1?report=genbank&amp;log$=prottop&amp;blast_rank=329&amp;RID=92EWBNK7013","WP_026435718.1")</f>
        <v>WP_026435718.1</v>
      </c>
    </row>
    <row r="316" spans="1:5">
      <c r="A316" s="4" t="s">
        <v>1597</v>
      </c>
      <c r="B316" s="9">
        <v>0.97</v>
      </c>
      <c r="C316" s="10">
        <v>5.0000000000000002E-167</v>
      </c>
      <c r="D316" s="5">
        <v>48.88</v>
      </c>
      <c r="E316" s="4" t="str">
        <f>HYPERLINK("https://www.ncbi.nlm.nih.gov/protein/WP_056581607.1?report=genbank&amp;log$=prottop&amp;blast_rank=354&amp;RID=92EWBNK7013","WP_056581607.1")</f>
        <v>WP_056581607.1</v>
      </c>
    </row>
    <row r="317" spans="1:5">
      <c r="A317" s="4" t="s">
        <v>373</v>
      </c>
      <c r="B317" s="9">
        <v>0.97</v>
      </c>
      <c r="C317" s="10">
        <v>1E-166</v>
      </c>
      <c r="D317" s="5">
        <v>48.88</v>
      </c>
      <c r="E317" s="4" t="str">
        <f>HYPERLINK("https://www.ncbi.nlm.nih.gov/protein/WP_203315301.1?report=genbank&amp;log$=prottop&amp;blast_rank=368&amp;RID=92EWBNK7013","WP_203315301.1")</f>
        <v>WP_203315301.1</v>
      </c>
    </row>
    <row r="318" spans="1:5">
      <c r="A318" s="4" t="s">
        <v>373</v>
      </c>
      <c r="B318" s="9">
        <v>0.97</v>
      </c>
      <c r="C318" s="10">
        <v>1E-166</v>
      </c>
      <c r="D318" s="5">
        <v>48.88</v>
      </c>
      <c r="E318" s="4" t="str">
        <f>HYPERLINK("https://www.ncbi.nlm.nih.gov/protein/WP_320524474.1?report=genbank&amp;log$=prottop&amp;blast_rank=378&amp;RID=92EWBNK7013","WP_320524474.1")</f>
        <v>WP_320524474.1</v>
      </c>
    </row>
    <row r="319" spans="1:5">
      <c r="A319" s="4" t="s">
        <v>1598</v>
      </c>
      <c r="B319" s="9">
        <v>0.96</v>
      </c>
      <c r="C319" s="10">
        <v>3.9999999999999999E-170</v>
      </c>
      <c r="D319" s="5">
        <v>48.87</v>
      </c>
      <c r="E319" s="4" t="str">
        <f>HYPERLINK("https://www.ncbi.nlm.nih.gov/protein/UJB63426.1?report=genbank&amp;log$=prottop&amp;blast_rank=243&amp;RID=92EWBNK7013","UJB63426.1")</f>
        <v>UJB63426.1</v>
      </c>
    </row>
    <row r="320" spans="1:5">
      <c r="A320" s="4" t="s">
        <v>245</v>
      </c>
      <c r="B320" s="9">
        <v>0.96</v>
      </c>
      <c r="C320" s="10">
        <v>1E-167</v>
      </c>
      <c r="D320" s="5">
        <v>48.87</v>
      </c>
      <c r="E320" s="4" t="str">
        <f>HYPERLINK("https://www.ncbi.nlm.nih.gov/protein/WP_301867459.1?report=genbank&amp;log$=prottop&amp;blast_rank=328&amp;RID=92EWBNK7013","WP_301867459.1")</f>
        <v>WP_301867459.1</v>
      </c>
    </row>
    <row r="321" spans="1:5">
      <c r="A321" s="4" t="s">
        <v>72</v>
      </c>
      <c r="B321" s="9">
        <v>0.96</v>
      </c>
      <c r="C321" s="10">
        <v>6.9999999999999998E-166</v>
      </c>
      <c r="D321" s="5">
        <v>48.87</v>
      </c>
      <c r="E321" s="4" t="str">
        <f>HYPERLINK("https://www.ncbi.nlm.nih.gov/protein/WP_307010766.1?report=genbank&amp;log$=prottop&amp;blast_rank=401&amp;RID=92EWBNK7013","WP_307010766.1")</f>
        <v>WP_307010766.1</v>
      </c>
    </row>
    <row r="322" spans="1:5">
      <c r="A322" s="4" t="s">
        <v>129</v>
      </c>
      <c r="B322" s="9">
        <v>0.96</v>
      </c>
      <c r="C322" s="10">
        <v>2E-165</v>
      </c>
      <c r="D322" s="5">
        <v>48.87</v>
      </c>
      <c r="E322" s="4" t="str">
        <f>HYPERLINK("https://www.ncbi.nlm.nih.gov/protein/WP_279984919.1?report=genbank&amp;log$=prottop&amp;blast_rank=419&amp;RID=92EWBNK7013","WP_279984919.1")</f>
        <v>WP_279984919.1</v>
      </c>
    </row>
    <row r="323" spans="1:5">
      <c r="A323" s="4" t="s">
        <v>1564</v>
      </c>
      <c r="B323" s="9">
        <v>0.98</v>
      </c>
      <c r="C323" s="10">
        <v>6.9999999999999996E-168</v>
      </c>
      <c r="D323" s="5">
        <v>48.72</v>
      </c>
      <c r="E323" s="4" t="str">
        <f>HYPERLINK("https://www.ncbi.nlm.nih.gov/protein/WP_029306235.1?report=genbank&amp;log$=prottop&amp;blast_rank=316&amp;RID=92EWBNK7013","WP_029306235.1")</f>
        <v>WP_029306235.1</v>
      </c>
    </row>
    <row r="324" spans="1:5">
      <c r="A324" s="4" t="s">
        <v>1594</v>
      </c>
      <c r="B324" s="9">
        <v>0.98</v>
      </c>
      <c r="C324" s="10">
        <v>3E-171</v>
      </c>
      <c r="D324" s="5">
        <v>48.71</v>
      </c>
      <c r="E324" s="4" t="str">
        <f>HYPERLINK("https://www.ncbi.nlm.nih.gov/protein/MCK4150566.1?report=genbank&amp;log$=prottop&amp;blast_rank=213&amp;RID=92EWBNK7013","MCK4150566.1")</f>
        <v>MCK4150566.1</v>
      </c>
    </row>
    <row r="325" spans="1:5">
      <c r="A325" s="4" t="s">
        <v>1594</v>
      </c>
      <c r="B325" s="9">
        <v>0.98</v>
      </c>
      <c r="C325" s="10">
        <v>3.9999999999999999E-171</v>
      </c>
      <c r="D325" s="5">
        <v>48.71</v>
      </c>
      <c r="E325" s="4" t="str">
        <f>HYPERLINK("https://www.ncbi.nlm.nih.gov/protein/MCK4144369.1?report=genbank&amp;log$=prottop&amp;blast_rank=215&amp;RID=92EWBNK7013","MCK4144369.1")</f>
        <v>MCK4144369.1</v>
      </c>
    </row>
    <row r="326" spans="1:5">
      <c r="A326" s="4" t="s">
        <v>1563</v>
      </c>
      <c r="B326" s="9">
        <v>0.98</v>
      </c>
      <c r="C326" s="10">
        <v>9.9999999999999998E-171</v>
      </c>
      <c r="D326" s="5">
        <v>48.71</v>
      </c>
      <c r="E326" s="4" t="str">
        <f>HYPERLINK("https://www.ncbi.nlm.nih.gov/protein/WP_041105696.1?report=genbank&amp;log$=prottop&amp;blast_rank=223&amp;RID=92EWBNK7013","WP_041105696.1")</f>
        <v>WP_041105696.1</v>
      </c>
    </row>
    <row r="327" spans="1:5">
      <c r="A327" s="4" t="s">
        <v>1018</v>
      </c>
      <c r="B327" s="9">
        <v>0.98</v>
      </c>
      <c r="C327" s="10">
        <v>2.0000000000000001E-168</v>
      </c>
      <c r="D327" s="5">
        <v>48.71</v>
      </c>
      <c r="E327" s="4" t="str">
        <f>HYPERLINK("https://www.ncbi.nlm.nih.gov/protein/WP_115759682.1?report=genbank&amp;log$=prottop&amp;blast_rank=284&amp;RID=92EWBNK7013","WP_115759682.1")</f>
        <v>WP_115759682.1</v>
      </c>
    </row>
    <row r="328" spans="1:5">
      <c r="A328" s="4" t="s">
        <v>1363</v>
      </c>
      <c r="B328" s="9">
        <v>0.98</v>
      </c>
      <c r="C328" s="10">
        <v>2.0000000000000001E-168</v>
      </c>
      <c r="D328" s="5">
        <v>48.71</v>
      </c>
      <c r="E328" s="4" t="str">
        <f>HYPERLINK("https://www.ncbi.nlm.nih.gov/protein/WP_077933493.1?report=genbank&amp;log$=prottop&amp;blast_rank=286&amp;RID=92EWBNK7013","WP_077933493.1")</f>
        <v>WP_077933493.1</v>
      </c>
    </row>
    <row r="329" spans="1:5">
      <c r="A329" s="4" t="s">
        <v>373</v>
      </c>
      <c r="B329" s="9">
        <v>0.98</v>
      </c>
      <c r="C329" s="10">
        <v>2.9999999999999999E-168</v>
      </c>
      <c r="D329" s="5">
        <v>48.71</v>
      </c>
      <c r="E329" s="4" t="str">
        <f>HYPERLINK("https://www.ncbi.nlm.nih.gov/protein/WP_021018477.1?report=genbank&amp;log$=prottop&amp;blast_rank=302&amp;RID=92EWBNK7013","WP_021018477.1")</f>
        <v>WP_021018477.1</v>
      </c>
    </row>
    <row r="330" spans="1:5">
      <c r="A330" s="4" t="s">
        <v>373</v>
      </c>
      <c r="B330" s="9">
        <v>0.98</v>
      </c>
      <c r="C330" s="10">
        <v>4.0000000000000002E-168</v>
      </c>
      <c r="D330" s="5">
        <v>48.71</v>
      </c>
      <c r="E330" s="4" t="str">
        <f>HYPERLINK("https://www.ncbi.nlm.nih.gov/protein/WP_058178641.1?report=genbank&amp;log$=prottop&amp;blast_rank=305&amp;RID=92EWBNK7013","WP_058178641.1")</f>
        <v>WP_058178641.1</v>
      </c>
    </row>
    <row r="331" spans="1:5">
      <c r="A331" s="4" t="s">
        <v>1563</v>
      </c>
      <c r="B331" s="9">
        <v>0.98</v>
      </c>
      <c r="C331" s="10">
        <v>2E-167</v>
      </c>
      <c r="D331" s="5">
        <v>48.71</v>
      </c>
      <c r="E331" s="4" t="str">
        <f>HYPERLINK("https://www.ncbi.nlm.nih.gov/protein/WP_124084164.1?report=genbank&amp;log$=prottop&amp;blast_rank=336&amp;RID=92EWBNK7013","WP_124084164.1")</f>
        <v>WP_124084164.1</v>
      </c>
    </row>
    <row r="332" spans="1:5">
      <c r="A332" s="4" t="s">
        <v>1599</v>
      </c>
      <c r="B332" s="9">
        <v>0.98</v>
      </c>
      <c r="C332" s="10">
        <v>2E-167</v>
      </c>
      <c r="D332" s="5">
        <v>48.71</v>
      </c>
      <c r="E332" s="4" t="str">
        <f>HYPERLINK("https://www.ncbi.nlm.nih.gov/protein/WP_133489893.1?report=genbank&amp;log$=prottop&amp;blast_rank=338&amp;RID=92EWBNK7013","WP_133489893.1")</f>
        <v>WP_133489893.1</v>
      </c>
    </row>
    <row r="333" spans="1:5">
      <c r="A333" s="4" t="s">
        <v>373</v>
      </c>
      <c r="B333" s="9">
        <v>0.98</v>
      </c>
      <c r="C333" s="10">
        <v>2.9999999999999998E-167</v>
      </c>
      <c r="D333" s="5">
        <v>48.71</v>
      </c>
      <c r="E333" s="4" t="str">
        <f>HYPERLINK("https://www.ncbi.nlm.nih.gov/protein/ORL54876.1?report=genbank&amp;log$=prottop&amp;blast_rank=350&amp;RID=92EWBNK7013","ORL54876.1")</f>
        <v>ORL54876.1</v>
      </c>
    </row>
    <row r="334" spans="1:5">
      <c r="A334" s="4" t="s">
        <v>1600</v>
      </c>
      <c r="B334" s="9">
        <v>0.98</v>
      </c>
      <c r="C334" s="10">
        <v>2E-165</v>
      </c>
      <c r="D334" s="5">
        <v>48.71</v>
      </c>
      <c r="E334" s="4" t="str">
        <f>HYPERLINK("https://www.ncbi.nlm.nih.gov/protein/WP_312417876.1?report=genbank&amp;log$=prottop&amp;blast_rank=420&amp;RID=92EWBNK7013","WP_312417876.1")</f>
        <v>WP_312417876.1</v>
      </c>
    </row>
    <row r="335" spans="1:5">
      <c r="A335" s="4" t="s">
        <v>373</v>
      </c>
      <c r="B335" s="9">
        <v>0.97</v>
      </c>
      <c r="C335" s="10">
        <v>2.0000000000000001E-168</v>
      </c>
      <c r="D335" s="5">
        <v>48.7</v>
      </c>
      <c r="E335" s="4" t="str">
        <f>HYPERLINK("https://www.ncbi.nlm.nih.gov/protein/WP_058167624.1?report=genbank&amp;log$=prottop&amp;blast_rank=290&amp;RID=92EWBNK7013","WP_058167624.1")</f>
        <v>WP_058167624.1</v>
      </c>
    </row>
    <row r="336" spans="1:5">
      <c r="A336" s="4" t="s">
        <v>1562</v>
      </c>
      <c r="B336" s="9">
        <v>0.97</v>
      </c>
      <c r="C336" s="10">
        <v>8.0000000000000003E-172</v>
      </c>
      <c r="D336" s="5">
        <v>48.69</v>
      </c>
      <c r="E336" s="4" t="str">
        <f>HYPERLINK("https://www.ncbi.nlm.nih.gov/protein/WP_261526658.1?report=genbank&amp;log$=prottop&amp;blast_rank=204&amp;RID=92EWBNK7013","WP_261526658.1")</f>
        <v>WP_261526658.1</v>
      </c>
    </row>
    <row r="337" spans="1:5">
      <c r="A337" s="4" t="s">
        <v>1562</v>
      </c>
      <c r="B337" s="9">
        <v>0.97</v>
      </c>
      <c r="C337" s="10">
        <v>2E-171</v>
      </c>
      <c r="D337" s="5">
        <v>48.69</v>
      </c>
      <c r="E337" s="4" t="str">
        <f>HYPERLINK("https://www.ncbi.nlm.nih.gov/protein/MDR9173366.1?report=genbank&amp;log$=prottop&amp;blast_rank=210&amp;RID=92EWBNK7013","MDR9173366.1")</f>
        <v>MDR9173366.1</v>
      </c>
    </row>
    <row r="338" spans="1:5">
      <c r="A338" s="4" t="s">
        <v>1562</v>
      </c>
      <c r="B338" s="9">
        <v>0.97</v>
      </c>
      <c r="C338" s="10">
        <v>4.9999999999999999E-171</v>
      </c>
      <c r="D338" s="5">
        <v>48.69</v>
      </c>
      <c r="E338" s="4" t="str">
        <f>HYPERLINK("https://www.ncbi.nlm.nih.gov/protein/WP_088925353.1?report=genbank&amp;log$=prottop&amp;blast_rank=216&amp;RID=92EWBNK7013","WP_088925353.1")</f>
        <v>WP_088925353.1</v>
      </c>
    </row>
    <row r="339" spans="1:5">
      <c r="A339" s="4" t="s">
        <v>1587</v>
      </c>
      <c r="B339" s="9">
        <v>0.97</v>
      </c>
      <c r="C339" s="10">
        <v>7.9999999999999999E-171</v>
      </c>
      <c r="D339" s="5">
        <v>48.69</v>
      </c>
      <c r="E339" s="4" t="str">
        <f>HYPERLINK("https://www.ncbi.nlm.nih.gov/protein/WP_291476900.1?report=genbank&amp;log$=prottop&amp;blast_rank=220&amp;RID=92EWBNK7013","WP_291476900.1")</f>
        <v>WP_291476900.1</v>
      </c>
    </row>
    <row r="340" spans="1:5">
      <c r="A340" s="4" t="s">
        <v>279</v>
      </c>
      <c r="B340" s="9">
        <v>0.97</v>
      </c>
      <c r="C340" s="10">
        <v>3.0000000000000001E-170</v>
      </c>
      <c r="D340" s="5">
        <v>48.69</v>
      </c>
      <c r="E340" s="4" t="str">
        <f>HYPERLINK("https://www.ncbi.nlm.nih.gov/protein/WP_057441928.1?report=genbank&amp;log$=prottop&amp;blast_rank=238&amp;RID=92EWBNK7013","WP_057441928.1")</f>
        <v>WP_057441928.1</v>
      </c>
    </row>
    <row r="341" spans="1:5">
      <c r="A341" s="4" t="s">
        <v>373</v>
      </c>
      <c r="B341" s="9">
        <v>0.97</v>
      </c>
      <c r="C341" s="10">
        <v>1E-169</v>
      </c>
      <c r="D341" s="5">
        <v>48.69</v>
      </c>
      <c r="E341" s="4" t="str">
        <f>HYPERLINK("https://www.ncbi.nlm.nih.gov/protein/WP_079200019.1?report=genbank&amp;log$=prottop&amp;blast_rank=255&amp;RID=92EWBNK7013","WP_079200019.1")</f>
        <v>WP_079200019.1</v>
      </c>
    </row>
    <row r="342" spans="1:5">
      <c r="A342" s="4" t="s">
        <v>373</v>
      </c>
      <c r="B342" s="9">
        <v>0.97</v>
      </c>
      <c r="C342" s="10">
        <v>5.0000000000000002E-169</v>
      </c>
      <c r="D342" s="5">
        <v>48.69</v>
      </c>
      <c r="E342" s="4" t="str">
        <f>HYPERLINK("https://www.ncbi.nlm.nih.gov/protein/HEK3745030.1?report=genbank&amp;log$=prottop&amp;blast_rank=271&amp;RID=92EWBNK7013","HEK3745030.1")</f>
        <v>HEK3745030.1</v>
      </c>
    </row>
    <row r="343" spans="1:5">
      <c r="A343" s="4" t="s">
        <v>1601</v>
      </c>
      <c r="B343" s="9">
        <v>0.97</v>
      </c>
      <c r="C343" s="10">
        <v>2E-167</v>
      </c>
      <c r="D343" s="5">
        <v>48.69</v>
      </c>
      <c r="E343" s="4" t="str">
        <f>HYPERLINK("https://www.ncbi.nlm.nih.gov/protein/WP_296632413.1?report=genbank&amp;log$=prottop&amp;blast_rank=333&amp;RID=92EWBNK7013","WP_296632413.1")</f>
        <v>WP_296632413.1</v>
      </c>
    </row>
    <row r="344" spans="1:5">
      <c r="A344" s="4" t="s">
        <v>323</v>
      </c>
      <c r="B344" s="9">
        <v>0.97</v>
      </c>
      <c r="C344" s="10">
        <v>2E-167</v>
      </c>
      <c r="D344" s="5">
        <v>48.69</v>
      </c>
      <c r="E344" s="4" t="str">
        <f>HYPERLINK("https://www.ncbi.nlm.nih.gov/protein/HEL3809259.1?report=genbank&amp;log$=prottop&amp;blast_rank=339&amp;RID=92EWBNK7013","HEL3809259.1")</f>
        <v>HEL3809259.1</v>
      </c>
    </row>
    <row r="345" spans="1:5">
      <c r="A345" s="4" t="s">
        <v>1564</v>
      </c>
      <c r="B345" s="9">
        <v>0.96</v>
      </c>
      <c r="C345" s="10">
        <v>2.9999999999999998E-165</v>
      </c>
      <c r="D345" s="5">
        <v>48.69</v>
      </c>
      <c r="E345" s="4" t="str">
        <f>HYPERLINK("https://www.ncbi.nlm.nih.gov/protein/WP_273134117.1?report=genbank&amp;log$=prottop&amp;blast_rank=433&amp;RID=92EWBNK7013","WP_273134117.1")</f>
        <v>WP_273134117.1</v>
      </c>
    </row>
    <row r="346" spans="1:5">
      <c r="A346" s="4" t="s">
        <v>373</v>
      </c>
      <c r="B346" s="9">
        <v>0.96</v>
      </c>
      <c r="C346" s="10">
        <v>9.9999999999999996E-165</v>
      </c>
      <c r="D346" s="5">
        <v>48.69</v>
      </c>
      <c r="E346" s="4" t="str">
        <f>HYPERLINK("https://www.ncbi.nlm.nih.gov/protein/WP_272015478.1?report=genbank&amp;log$=prottop&amp;blast_rank=451&amp;RID=92EWBNK7013","WP_272015478.1")</f>
        <v>WP_272015478.1</v>
      </c>
    </row>
    <row r="347" spans="1:5">
      <c r="A347" s="4" t="s">
        <v>1602</v>
      </c>
      <c r="B347" s="9">
        <v>0.97</v>
      </c>
      <c r="C347" s="10">
        <v>1.9999999999999999E-164</v>
      </c>
      <c r="D347" s="5">
        <v>48.69</v>
      </c>
      <c r="E347" s="4" t="str">
        <f>HYPERLINK("https://www.ncbi.nlm.nih.gov/protein/WP_236884558.1?report=genbank&amp;log$=prottop&amp;blast_rank=460&amp;RID=92EWBNK7013","WP_236884558.1")</f>
        <v>WP_236884558.1</v>
      </c>
    </row>
    <row r="348" spans="1:5">
      <c r="A348" s="4" t="s">
        <v>373</v>
      </c>
      <c r="B348" s="9">
        <v>0.96</v>
      </c>
      <c r="C348" s="10">
        <v>1.9999999999999999E-164</v>
      </c>
      <c r="D348" s="5">
        <v>48.69</v>
      </c>
      <c r="E348" s="4" t="str">
        <f>HYPERLINK("https://www.ncbi.nlm.nih.gov/protein/NPW33425.1?report=genbank&amp;log$=prottop&amp;blast_rank=463&amp;RID=92EWBNK7013","NPW33425.1")</f>
        <v>NPW33425.1</v>
      </c>
    </row>
    <row r="349" spans="1:5">
      <c r="A349" s="4" t="s">
        <v>91</v>
      </c>
      <c r="B349" s="9">
        <v>0.96</v>
      </c>
      <c r="C349" s="10">
        <v>9.9999999999999992E-164</v>
      </c>
      <c r="D349" s="5">
        <v>48.69</v>
      </c>
      <c r="E349" s="4" t="str">
        <f>HYPERLINK("https://www.ncbi.nlm.nih.gov/protein/WP_312331300.1?report=genbank&amp;log$=prottop&amp;blast_rank=476&amp;RID=92EWBNK7013","WP_312331300.1")</f>
        <v>WP_312331300.1</v>
      </c>
    </row>
    <row r="350" spans="1:5">
      <c r="A350" s="4" t="s">
        <v>1564</v>
      </c>
      <c r="B350" s="9">
        <v>0.96</v>
      </c>
      <c r="C350" s="10">
        <v>9.9999999999999992E-164</v>
      </c>
      <c r="D350" s="5">
        <v>48.69</v>
      </c>
      <c r="E350" s="4" t="str">
        <f>HYPERLINK("https://www.ncbi.nlm.nih.gov/protein/WP_022987524.1?report=genbank&amp;log$=prottop&amp;blast_rank=481&amp;RID=92EWBNK7013","WP_022987524.1")</f>
        <v>WP_022987524.1</v>
      </c>
    </row>
    <row r="351" spans="1:5">
      <c r="A351" s="4" t="s">
        <v>1603</v>
      </c>
      <c r="B351" s="9">
        <v>0.96</v>
      </c>
      <c r="C351" s="10">
        <v>2.9999999999999999E-169</v>
      </c>
      <c r="D351" s="5">
        <v>48.68</v>
      </c>
      <c r="E351" s="4" t="str">
        <f>HYPERLINK("https://www.ncbi.nlm.nih.gov/protein/WP_209672971.1?report=genbank&amp;log$=prottop&amp;blast_rank=262&amp;RID=92EWBNK7013","WP_209672971.1")</f>
        <v>WP_209672971.1</v>
      </c>
    </row>
    <row r="352" spans="1:5">
      <c r="A352" s="4" t="s">
        <v>292</v>
      </c>
      <c r="B352" s="9">
        <v>0.96</v>
      </c>
      <c r="C352" s="10">
        <v>2.9999999999999999E-168</v>
      </c>
      <c r="D352" s="5">
        <v>48.68</v>
      </c>
      <c r="E352" s="4" t="str">
        <f>HYPERLINK("https://www.ncbi.nlm.nih.gov/protein/EKV4647568.1?report=genbank&amp;log$=prottop&amp;blast_rank=303&amp;RID=92EWBNK7013","EKV4647568.1")</f>
        <v>EKV4647568.1</v>
      </c>
    </row>
    <row r="353" spans="1:5">
      <c r="A353" s="4" t="s">
        <v>1604</v>
      </c>
      <c r="B353" s="9">
        <v>0.98</v>
      </c>
      <c r="C353" s="10">
        <v>4.0000000000000001E-169</v>
      </c>
      <c r="D353" s="5">
        <v>48.52</v>
      </c>
      <c r="E353" s="4" t="str">
        <f>HYPERLINK("https://www.ncbi.nlm.nih.gov/protein/WP_321801283.1?report=genbank&amp;log$=prottop&amp;blast_rank=265&amp;RID=92EWBNK7013","WP_321801283.1")</f>
        <v>WP_321801283.1</v>
      </c>
    </row>
    <row r="354" spans="1:5">
      <c r="A354" s="4" t="s">
        <v>1605</v>
      </c>
      <c r="B354" s="9">
        <v>0.97</v>
      </c>
      <c r="C354" s="10">
        <v>1E-167</v>
      </c>
      <c r="D354" s="5">
        <v>48.51</v>
      </c>
      <c r="E354" s="4" t="str">
        <f>HYPERLINK("https://www.ncbi.nlm.nih.gov/protein/WP_128897139.1?report=genbank&amp;log$=prottop&amp;blast_rank=331&amp;RID=92EWBNK7013","WP_128897139.1")</f>
        <v>WP_128897139.1</v>
      </c>
    </row>
    <row r="355" spans="1:5">
      <c r="A355" s="4" t="s">
        <v>327</v>
      </c>
      <c r="B355" s="9">
        <v>0.97</v>
      </c>
      <c r="C355" s="10">
        <v>8.9999999999999996E-166</v>
      </c>
      <c r="D355" s="5">
        <v>48.51</v>
      </c>
      <c r="E355" s="4" t="str">
        <f>HYPERLINK("https://www.ncbi.nlm.nih.gov/protein/MBX9906103.1?report=genbank&amp;log$=prottop&amp;blast_rank=405&amp;RID=92EWBNK7013","MBX9906103.1")</f>
        <v>MBX9906103.1</v>
      </c>
    </row>
    <row r="356" spans="1:5">
      <c r="A356" s="4" t="s">
        <v>373</v>
      </c>
      <c r="B356" s="9">
        <v>0.96</v>
      </c>
      <c r="C356" s="10">
        <v>1E-169</v>
      </c>
      <c r="D356" s="5">
        <v>48.5</v>
      </c>
      <c r="E356" s="4" t="str">
        <f>HYPERLINK("https://www.ncbi.nlm.nih.gov/protein/HBN9817931.1?report=genbank&amp;log$=prottop&amp;blast_rank=251&amp;RID=92EWBNK7013","HBN9817931.1")</f>
        <v>HBN9817931.1</v>
      </c>
    </row>
    <row r="357" spans="1:5">
      <c r="A357" s="4" t="s">
        <v>1606</v>
      </c>
      <c r="B357" s="9">
        <v>0.96</v>
      </c>
      <c r="C357" s="10">
        <v>5E-168</v>
      </c>
      <c r="D357" s="5">
        <v>48.5</v>
      </c>
      <c r="E357" s="4" t="str">
        <f>HYPERLINK("https://www.ncbi.nlm.nih.gov/protein/WP_087047747.1?report=genbank&amp;log$=prottop&amp;blast_rank=307&amp;RID=92EWBNK7013","WP_087047747.1")</f>
        <v>WP_087047747.1</v>
      </c>
    </row>
    <row r="358" spans="1:5">
      <c r="A358" s="4" t="s">
        <v>1607</v>
      </c>
      <c r="B358" s="9">
        <v>0.96</v>
      </c>
      <c r="C358" s="10">
        <v>5E-168</v>
      </c>
      <c r="D358" s="5">
        <v>48.5</v>
      </c>
      <c r="E358" s="4" t="str">
        <f>HYPERLINK("https://www.ncbi.nlm.nih.gov/protein/KUY74382.1?report=genbank&amp;log$=prottop&amp;blast_rank=309&amp;RID=92EWBNK7013","KUY74382.1")</f>
        <v>KUY74382.1</v>
      </c>
    </row>
    <row r="359" spans="1:5">
      <c r="A359" s="4" t="s">
        <v>460</v>
      </c>
      <c r="B359" s="9">
        <v>0.96</v>
      </c>
      <c r="C359" s="10">
        <v>2E-167</v>
      </c>
      <c r="D359" s="5">
        <v>48.5</v>
      </c>
      <c r="E359" s="4" t="str">
        <f>HYPERLINK("https://www.ncbi.nlm.nih.gov/protein/WP_232690846.1?report=genbank&amp;log$=prottop&amp;blast_rank=341&amp;RID=92EWBNK7013","WP_232690846.1")</f>
        <v>WP_232690846.1</v>
      </c>
    </row>
    <row r="360" spans="1:5">
      <c r="A360" s="4" t="s">
        <v>1291</v>
      </c>
      <c r="B360" s="9">
        <v>0.96</v>
      </c>
      <c r="C360" s="10">
        <v>5.0000000000000002E-167</v>
      </c>
      <c r="D360" s="5">
        <v>48.5</v>
      </c>
      <c r="E360" s="4" t="str">
        <f>HYPERLINK("https://www.ncbi.nlm.nih.gov/protein/WP_047727004.1?report=genbank&amp;log$=prottop&amp;blast_rank=356&amp;RID=92EWBNK7013","WP_047727004.1")</f>
        <v>WP_047727004.1</v>
      </c>
    </row>
    <row r="361" spans="1:5">
      <c r="A361" s="4" t="s">
        <v>262</v>
      </c>
      <c r="B361" s="9">
        <v>0.96</v>
      </c>
      <c r="C361" s="10">
        <v>5.9999999999999996E-167</v>
      </c>
      <c r="D361" s="5">
        <v>48.5</v>
      </c>
      <c r="E361" s="4" t="str">
        <f>HYPERLINK("https://www.ncbi.nlm.nih.gov/protein/WP_228992607.1?report=genbank&amp;log$=prottop&amp;blast_rank=358&amp;RID=92EWBNK7013","WP_228992607.1")</f>
        <v>WP_228992607.1</v>
      </c>
    </row>
    <row r="362" spans="1:5">
      <c r="A362" s="4" t="s">
        <v>347</v>
      </c>
      <c r="B362" s="9">
        <v>0.96</v>
      </c>
      <c r="C362" s="10">
        <v>2.0000000000000001E-166</v>
      </c>
      <c r="D362" s="5">
        <v>48.5</v>
      </c>
      <c r="E362" s="4" t="str">
        <f>HYPERLINK("https://www.ncbi.nlm.nih.gov/protein/ELY4568102.1?report=genbank&amp;log$=prottop&amp;blast_rank=383&amp;RID=92EWBNK7013","ELY4568102.1")</f>
        <v>ELY4568102.1</v>
      </c>
    </row>
    <row r="363" spans="1:5">
      <c r="A363" s="4" t="s">
        <v>262</v>
      </c>
      <c r="B363" s="9">
        <v>0.96</v>
      </c>
      <c r="C363" s="10">
        <v>3.0000000000000003E-166</v>
      </c>
      <c r="D363" s="5">
        <v>48.5</v>
      </c>
      <c r="E363" s="4" t="str">
        <f>HYPERLINK("https://www.ncbi.nlm.nih.gov/protein/HDZ1126431.1?report=genbank&amp;log$=prottop&amp;blast_rank=386&amp;RID=92EWBNK7013","HDZ1126431.1")</f>
        <v>HDZ1126431.1</v>
      </c>
    </row>
    <row r="364" spans="1:5">
      <c r="A364" s="4" t="s">
        <v>595</v>
      </c>
      <c r="B364" s="9">
        <v>0.96</v>
      </c>
      <c r="C364" s="10">
        <v>1E-165</v>
      </c>
      <c r="D364" s="5">
        <v>48.5</v>
      </c>
      <c r="E364" s="4" t="str">
        <f>HYPERLINK("https://www.ncbi.nlm.nih.gov/protein/MBK8131481.1?report=genbank&amp;log$=prottop&amp;blast_rank=408&amp;RID=92EWBNK7013","MBK8131481.1")</f>
        <v>MBK8131481.1</v>
      </c>
    </row>
    <row r="365" spans="1:5">
      <c r="A365" s="4" t="s">
        <v>262</v>
      </c>
      <c r="B365" s="9">
        <v>0.96</v>
      </c>
      <c r="C365" s="10">
        <v>2E-165</v>
      </c>
      <c r="D365" s="5">
        <v>48.5</v>
      </c>
      <c r="E365" s="4" t="str">
        <f>HYPERLINK("https://www.ncbi.nlm.nih.gov/protein/WP_094354353.1?report=genbank&amp;log$=prottop&amp;blast_rank=422&amp;RID=92EWBNK7013","WP_094354353.1")</f>
        <v>WP_094354353.1</v>
      </c>
    </row>
    <row r="366" spans="1:5">
      <c r="A366" s="4" t="s">
        <v>271</v>
      </c>
      <c r="B366" s="9">
        <v>0.96</v>
      </c>
      <c r="C366" s="10">
        <v>2.9999999999999998E-165</v>
      </c>
      <c r="D366" s="5">
        <v>48.5</v>
      </c>
      <c r="E366" s="4" t="str">
        <f>HYPERLINK("https://www.ncbi.nlm.nih.gov/protein/WP_192837244.1?report=genbank&amp;log$=prottop&amp;blast_rank=429&amp;RID=92EWBNK7013","WP_192837244.1")</f>
        <v>WP_192837244.1</v>
      </c>
    </row>
    <row r="367" spans="1:5">
      <c r="A367" s="4" t="s">
        <v>76</v>
      </c>
      <c r="B367" s="9">
        <v>0.96</v>
      </c>
      <c r="C367" s="10">
        <v>4.9999999999999998E-163</v>
      </c>
      <c r="D367" s="5">
        <v>48.5</v>
      </c>
      <c r="E367" s="4" t="str">
        <f>HYPERLINK("https://www.ncbi.nlm.nih.gov/protein/WP_149347384.1?report=genbank&amp;log$=prottop&amp;blast_rank=500&amp;RID=92EWBNK7013","WP_149347384.1")</f>
        <v>WP_149347384.1</v>
      </c>
    </row>
    <row r="368" spans="1:5">
      <c r="A368" s="4" t="s">
        <v>400</v>
      </c>
      <c r="B368" s="9">
        <v>0.96</v>
      </c>
      <c r="C368" s="10">
        <v>9.9999999999999992E-164</v>
      </c>
      <c r="D368" s="5">
        <v>48.48</v>
      </c>
      <c r="E368" s="4" t="str">
        <f>HYPERLINK("https://www.ncbi.nlm.nih.gov/protein/WP_210558354.1?report=genbank&amp;log$=prottop&amp;blast_rank=480&amp;RID=92EWBNK7013","WP_210558354.1")</f>
        <v>WP_210558354.1</v>
      </c>
    </row>
    <row r="369" spans="1:5">
      <c r="A369" s="4" t="s">
        <v>1564</v>
      </c>
      <c r="B369" s="9">
        <v>0.98</v>
      </c>
      <c r="C369" s="10">
        <v>6.9999999999999998E-167</v>
      </c>
      <c r="D369" s="5">
        <v>48.35</v>
      </c>
      <c r="E369" s="4" t="str">
        <f>HYPERLINK("https://www.ncbi.nlm.nih.gov/protein/WP_033959555.1?report=genbank&amp;log$=prottop&amp;blast_rank=361&amp;RID=92EWBNK7013","WP_033959555.1")</f>
        <v>WP_033959555.1</v>
      </c>
    </row>
    <row r="370" spans="1:5">
      <c r="A370" s="4" t="s">
        <v>1608</v>
      </c>
      <c r="B370" s="9">
        <v>0.98</v>
      </c>
      <c r="C370" s="10">
        <v>2E-169</v>
      </c>
      <c r="D370" s="5">
        <v>48.34</v>
      </c>
      <c r="E370" s="4" t="str">
        <f>HYPERLINK("https://www.ncbi.nlm.nih.gov/protein/TAH45075.1?report=genbank&amp;log$=prottop&amp;blast_rank=258&amp;RID=92EWBNK7013","TAH45075.1")</f>
        <v>TAH45075.1</v>
      </c>
    </row>
    <row r="371" spans="1:5">
      <c r="A371" s="4" t="s">
        <v>1609</v>
      </c>
      <c r="B371" s="9">
        <v>0.98</v>
      </c>
      <c r="C371" s="10">
        <v>2.9999999999999999E-169</v>
      </c>
      <c r="D371" s="5">
        <v>48.34</v>
      </c>
      <c r="E371" s="4" t="str">
        <f>HYPERLINK("https://www.ncbi.nlm.nih.gov/protein/WP_121429395.1?report=genbank&amp;log$=prottop&amp;blast_rank=261&amp;RID=92EWBNK7013","WP_121429395.1")</f>
        <v>WP_121429395.1</v>
      </c>
    </row>
    <row r="372" spans="1:5">
      <c r="A372" s="4" t="s">
        <v>1610</v>
      </c>
      <c r="B372" s="9">
        <v>0.98</v>
      </c>
      <c r="C372" s="10">
        <v>2.0000000000000001E-168</v>
      </c>
      <c r="D372" s="5">
        <v>48.34</v>
      </c>
      <c r="E372" s="4" t="str">
        <f>HYPERLINK("https://www.ncbi.nlm.nih.gov/protein/WP_168941404.1?report=genbank&amp;log$=prottop&amp;blast_rank=288&amp;RID=92EWBNK7013","WP_168941404.1")</f>
        <v>WP_168941404.1</v>
      </c>
    </row>
    <row r="373" spans="1:5">
      <c r="A373" s="4" t="s">
        <v>373</v>
      </c>
      <c r="B373" s="9">
        <v>0.98</v>
      </c>
      <c r="C373" s="10">
        <v>2.9999999999999999E-168</v>
      </c>
      <c r="D373" s="5">
        <v>48.34</v>
      </c>
      <c r="E373" s="4" t="str">
        <f>HYPERLINK("https://www.ncbi.nlm.nih.gov/protein/HBO9772724.1?report=genbank&amp;log$=prottop&amp;blast_rank=300&amp;RID=92EWBNK7013","HBO9772724.1")</f>
        <v>HBO9772724.1</v>
      </c>
    </row>
    <row r="374" spans="1:5">
      <c r="A374" s="4" t="s">
        <v>1611</v>
      </c>
      <c r="B374" s="9">
        <v>0.98</v>
      </c>
      <c r="C374" s="10">
        <v>8.0000000000000004E-168</v>
      </c>
      <c r="D374" s="5">
        <v>48.34</v>
      </c>
      <c r="E374" s="4" t="str">
        <f>HYPERLINK("https://www.ncbi.nlm.nih.gov/protein/WP_293707360.1?report=genbank&amp;log$=prottop&amp;blast_rank=320&amp;RID=92EWBNK7013","WP_293707360.1")</f>
        <v>WP_293707360.1</v>
      </c>
    </row>
    <row r="375" spans="1:5">
      <c r="A375" s="4" t="s">
        <v>1586</v>
      </c>
      <c r="B375" s="9">
        <v>0.98</v>
      </c>
      <c r="C375" s="10">
        <v>2E-167</v>
      </c>
      <c r="D375" s="5">
        <v>48.34</v>
      </c>
      <c r="E375" s="4" t="str">
        <f>HYPERLINK("https://www.ncbi.nlm.nih.gov/protein/MBJ9756374.1?report=genbank&amp;log$=prottop&amp;blast_rank=337&amp;RID=92EWBNK7013","MBJ9756374.1")</f>
        <v>MBJ9756374.1</v>
      </c>
    </row>
    <row r="376" spans="1:5">
      <c r="A376" s="4" t="s">
        <v>400</v>
      </c>
      <c r="B376" s="9">
        <v>0.97</v>
      </c>
      <c r="C376" s="10">
        <v>1E-168</v>
      </c>
      <c r="D376" s="5">
        <v>48.33</v>
      </c>
      <c r="E376" s="4" t="str">
        <f>HYPERLINK("https://www.ncbi.nlm.nih.gov/protein/WP_279903975.1?report=genbank&amp;log$=prottop&amp;blast_rank=279&amp;RID=92EWBNK7013","WP_279903975.1")</f>
        <v>WP_279903975.1</v>
      </c>
    </row>
    <row r="377" spans="1:5">
      <c r="A377" s="4" t="s">
        <v>345</v>
      </c>
      <c r="B377" s="9">
        <v>0.97</v>
      </c>
      <c r="C377" s="10">
        <v>2.0000000000000001E-168</v>
      </c>
      <c r="D377" s="5">
        <v>48.33</v>
      </c>
      <c r="E377" s="4" t="str">
        <f>HYPERLINK("https://www.ncbi.nlm.nih.gov/protein/MDN2614442.1?report=genbank&amp;log$=prottop&amp;blast_rank=296&amp;RID=92EWBNK7013","MDN2614442.1")</f>
        <v>MDN2614442.1</v>
      </c>
    </row>
    <row r="378" spans="1:5">
      <c r="A378" s="4" t="s">
        <v>1612</v>
      </c>
      <c r="B378" s="9">
        <v>0.97</v>
      </c>
      <c r="C378" s="10">
        <v>6.9999999999999999E-164</v>
      </c>
      <c r="D378" s="5">
        <v>48.33</v>
      </c>
      <c r="E378" s="4" t="str">
        <f>HYPERLINK("https://www.ncbi.nlm.nih.gov/protein/WP_169138899.1?report=genbank&amp;log$=prottop&amp;blast_rank=473&amp;RID=92EWBNK7013","WP_169138899.1")</f>
        <v>WP_169138899.1</v>
      </c>
    </row>
    <row r="379" spans="1:5">
      <c r="A379" s="4" t="s">
        <v>1586</v>
      </c>
      <c r="B379" s="9">
        <v>0.97</v>
      </c>
      <c r="C379" s="10">
        <v>4.0000000000000002E-172</v>
      </c>
      <c r="D379" s="5">
        <v>48.31</v>
      </c>
      <c r="E379" s="4" t="str">
        <f>HYPERLINK("https://www.ncbi.nlm.nih.gov/protein/WP_301856098.1?report=genbank&amp;log$=prottop&amp;blast_rank=199&amp;RID=92EWBNK7013","WP_301856098.1")</f>
        <v>WP_301856098.1</v>
      </c>
    </row>
    <row r="380" spans="1:5">
      <c r="A380" s="4" t="s">
        <v>1594</v>
      </c>
      <c r="B380" s="9">
        <v>0.97</v>
      </c>
      <c r="C380" s="10">
        <v>5.9999999999999997E-172</v>
      </c>
      <c r="D380" s="5">
        <v>48.31</v>
      </c>
      <c r="E380" s="4" t="str">
        <f>HYPERLINK("https://www.ncbi.nlm.nih.gov/protein/WP_029240303.1?report=genbank&amp;log$=prottop&amp;blast_rank=202&amp;RID=92EWBNK7013","WP_029240303.1")</f>
        <v>WP_029240303.1</v>
      </c>
    </row>
    <row r="381" spans="1:5">
      <c r="A381" s="4" t="s">
        <v>245</v>
      </c>
      <c r="B381" s="9">
        <v>0.97</v>
      </c>
      <c r="C381" s="10">
        <v>2E-170</v>
      </c>
      <c r="D381" s="5">
        <v>48.31</v>
      </c>
      <c r="E381" s="4" t="str">
        <f>HYPERLINK("https://www.ncbi.nlm.nih.gov/protein/WP_186072211.1?report=genbank&amp;log$=prottop&amp;blast_rank=234&amp;RID=92EWBNK7013","WP_186072211.1")</f>
        <v>WP_186072211.1</v>
      </c>
    </row>
    <row r="382" spans="1:5">
      <c r="A382" s="4" t="s">
        <v>1613</v>
      </c>
      <c r="B382" s="9">
        <v>0.97</v>
      </c>
      <c r="C382" s="10">
        <v>2E-170</v>
      </c>
      <c r="D382" s="5">
        <v>48.31</v>
      </c>
      <c r="E382" s="4" t="str">
        <f>HYPERLINK("https://www.ncbi.nlm.nih.gov/protein/WP_200160735.1?report=genbank&amp;log$=prottop&amp;blast_rank=236&amp;RID=92EWBNK7013","WP_200160735.1")</f>
        <v>WP_200160735.1</v>
      </c>
    </row>
    <row r="383" spans="1:5">
      <c r="A383" s="4" t="s">
        <v>1614</v>
      </c>
      <c r="B383" s="9">
        <v>0.97</v>
      </c>
      <c r="C383" s="10">
        <v>5.0000000000000002E-169</v>
      </c>
      <c r="D383" s="5">
        <v>48.31</v>
      </c>
      <c r="E383" s="4" t="str">
        <f>HYPERLINK("https://www.ncbi.nlm.nih.gov/protein/WP_150686543.1?report=genbank&amp;log$=prottop&amp;blast_rank=266&amp;RID=92EWBNK7013","WP_150686543.1")</f>
        <v>WP_150686543.1</v>
      </c>
    </row>
    <row r="384" spans="1:5">
      <c r="A384" s="4" t="s">
        <v>1563</v>
      </c>
      <c r="B384" s="9">
        <v>0.97</v>
      </c>
      <c r="C384" s="10">
        <v>1.9999999999999998E-163</v>
      </c>
      <c r="D384" s="5">
        <v>48.31</v>
      </c>
      <c r="E384" s="4" t="str">
        <f>HYPERLINK("https://www.ncbi.nlm.nih.gov/protein/WP_240503010.1?report=genbank&amp;log$=prottop&amp;blast_rank=488&amp;RID=92EWBNK7013","WP_240503010.1")</f>
        <v>WP_240503010.1</v>
      </c>
    </row>
    <row r="385" spans="1:5">
      <c r="A385" s="4" t="s">
        <v>1615</v>
      </c>
      <c r="B385" s="9">
        <v>0.96</v>
      </c>
      <c r="C385" s="10">
        <v>1.9999999999999998E-163</v>
      </c>
      <c r="D385" s="5">
        <v>48.31</v>
      </c>
      <c r="E385" s="4" t="str">
        <f>HYPERLINK("https://www.ncbi.nlm.nih.gov/protein/WP_016255058.1?report=genbank&amp;log$=prottop&amp;blast_rank=489&amp;RID=92EWBNK7013","WP_016255058.1")</f>
        <v>WP_016255058.1</v>
      </c>
    </row>
    <row r="386" spans="1:5">
      <c r="A386" s="4" t="s">
        <v>392</v>
      </c>
      <c r="B386" s="9">
        <v>0.96</v>
      </c>
      <c r="C386" s="10">
        <v>2.0000000000000001E-166</v>
      </c>
      <c r="D386" s="5">
        <v>48.3</v>
      </c>
      <c r="E386" s="4" t="str">
        <f>HYPERLINK("https://www.ncbi.nlm.nih.gov/protein/MBO9328637.1?report=genbank&amp;log$=prottop&amp;blast_rank=384&amp;RID=92EWBNK7013","MBO9328637.1")</f>
        <v>MBO9328637.1</v>
      </c>
    </row>
    <row r="387" spans="1:5">
      <c r="A387" s="4" t="s">
        <v>1605</v>
      </c>
      <c r="B387" s="9">
        <v>0.98</v>
      </c>
      <c r="C387" s="10">
        <v>3.0000000000000001E-173</v>
      </c>
      <c r="D387" s="5">
        <v>48.15</v>
      </c>
      <c r="E387" s="4" t="str">
        <f>HYPERLINK("https://www.ncbi.nlm.nih.gov/protein/WP_128897236.1?report=genbank&amp;log$=prottop&amp;blast_rank=190&amp;RID=92EWBNK7013","WP_128897236.1")</f>
        <v>WP_128897236.1</v>
      </c>
    </row>
    <row r="388" spans="1:5">
      <c r="A388" s="4" t="s">
        <v>1616</v>
      </c>
      <c r="B388" s="9">
        <v>0.98</v>
      </c>
      <c r="C388" s="10">
        <v>9.0000000000000008E-171</v>
      </c>
      <c r="D388" s="5">
        <v>48.15</v>
      </c>
      <c r="E388" s="4" t="str">
        <f>HYPERLINK("https://www.ncbi.nlm.nih.gov/protein/WP_205782397.1?report=genbank&amp;log$=prottop&amp;blast_rank=222&amp;RID=92EWBNK7013","WP_205782397.1")</f>
        <v>WP_205782397.1</v>
      </c>
    </row>
    <row r="389" spans="1:5">
      <c r="A389" s="4" t="s">
        <v>595</v>
      </c>
      <c r="B389" s="9">
        <v>0.98</v>
      </c>
      <c r="C389" s="10">
        <v>9.9999999999999998E-171</v>
      </c>
      <c r="D389" s="5">
        <v>48.15</v>
      </c>
      <c r="E389" s="4" t="str">
        <f>HYPERLINK("https://www.ncbi.nlm.nih.gov/protein/MCX7070136.1?report=genbank&amp;log$=prottop&amp;blast_rank=224&amp;RID=92EWBNK7013","MCX7070136.1")</f>
        <v>MCX7070136.1</v>
      </c>
    </row>
    <row r="390" spans="1:5">
      <c r="A390" s="4" t="s">
        <v>373</v>
      </c>
      <c r="B390" s="9">
        <v>0.98</v>
      </c>
      <c r="C390" s="10">
        <v>9.9999999999999998E-171</v>
      </c>
      <c r="D390" s="5">
        <v>48.15</v>
      </c>
      <c r="E390" s="4" t="str">
        <f>HYPERLINK("https://www.ncbi.nlm.nih.gov/protein/WP_222200170.1?report=genbank&amp;log$=prottop&amp;blast_rank=230&amp;RID=92EWBNK7013","WP_222200170.1")</f>
        <v>WP_222200170.1</v>
      </c>
    </row>
    <row r="391" spans="1:5">
      <c r="A391" s="4" t="s">
        <v>1617</v>
      </c>
      <c r="B391" s="9">
        <v>0.98</v>
      </c>
      <c r="C391" s="10">
        <v>6.0000000000000005E-166</v>
      </c>
      <c r="D391" s="5">
        <v>48.15</v>
      </c>
      <c r="E391" s="4" t="str">
        <f>HYPERLINK("https://www.ncbi.nlm.nih.gov/protein/HMM44865.1?report=genbank&amp;log$=prottop&amp;blast_rank=399&amp;RID=92EWBNK7013","HMM44865.1")</f>
        <v>HMM44865.1</v>
      </c>
    </row>
    <row r="392" spans="1:5">
      <c r="A392" s="4" t="s">
        <v>1618</v>
      </c>
      <c r="B392" s="9">
        <v>0.97</v>
      </c>
      <c r="C392" s="10">
        <v>3.0000000000000001E-164</v>
      </c>
      <c r="D392" s="5">
        <v>48.13</v>
      </c>
      <c r="E392" s="4" t="str">
        <f>HYPERLINK("https://www.ncbi.nlm.nih.gov/protein/WP_272766008.1?report=genbank&amp;log$=prottop&amp;blast_rank=464&amp;RID=92EWBNK7013","WP_272766008.1")</f>
        <v>WP_272766008.1</v>
      </c>
    </row>
    <row r="393" spans="1:5">
      <c r="A393" s="4" t="s">
        <v>280</v>
      </c>
      <c r="B393" s="9">
        <v>0.96</v>
      </c>
      <c r="C393" s="10">
        <v>1E-167</v>
      </c>
      <c r="D393" s="5">
        <v>48.12</v>
      </c>
      <c r="E393" s="4" t="str">
        <f>HYPERLINK("https://www.ncbi.nlm.nih.gov/protein/EKL8317234.1?report=genbank&amp;log$=prottop&amp;blast_rank=327&amp;RID=92EWBNK7013","EKL8317234.1")</f>
        <v>EKL8317234.1</v>
      </c>
    </row>
    <row r="394" spans="1:5">
      <c r="A394" s="4" t="s">
        <v>1571</v>
      </c>
      <c r="B394" s="9">
        <v>0.96</v>
      </c>
      <c r="C394" s="10">
        <v>2E-167</v>
      </c>
      <c r="D394" s="5">
        <v>48.12</v>
      </c>
      <c r="E394" s="4" t="str">
        <f>HYPERLINK("https://www.ncbi.nlm.nih.gov/protein/WP_085546469.1?report=genbank&amp;log$=prottop&amp;blast_rank=334&amp;RID=92EWBNK7013","WP_085546469.1")</f>
        <v>WP_085546469.1</v>
      </c>
    </row>
    <row r="395" spans="1:5">
      <c r="A395" s="4" t="s">
        <v>1291</v>
      </c>
      <c r="B395" s="9">
        <v>0.96</v>
      </c>
      <c r="C395" s="10">
        <v>2.9999999999999998E-167</v>
      </c>
      <c r="D395" s="5">
        <v>48.12</v>
      </c>
      <c r="E395" s="4" t="str">
        <f>HYPERLINK("https://www.ncbi.nlm.nih.gov/protein/WP_003036327.1?report=genbank&amp;log$=prottop&amp;blast_rank=346&amp;RID=92EWBNK7013","WP_003036327.1")</f>
        <v>WP_003036327.1</v>
      </c>
    </row>
    <row r="396" spans="1:5">
      <c r="A396" s="4" t="s">
        <v>1291</v>
      </c>
      <c r="B396" s="9">
        <v>0.96</v>
      </c>
      <c r="C396" s="10">
        <v>4E-167</v>
      </c>
      <c r="D396" s="5">
        <v>48.12</v>
      </c>
      <c r="E396" s="4" t="str">
        <f>HYPERLINK("https://www.ncbi.nlm.nih.gov/protein/WP_047063039.1?report=genbank&amp;log$=prottop&amp;blast_rank=351&amp;RID=92EWBNK7013","WP_047063039.1")</f>
        <v>WP_047063039.1</v>
      </c>
    </row>
    <row r="397" spans="1:5">
      <c r="A397" s="4" t="s">
        <v>1619</v>
      </c>
      <c r="B397" s="9">
        <v>0.96</v>
      </c>
      <c r="C397" s="10">
        <v>4E-167</v>
      </c>
      <c r="D397" s="5">
        <v>48.12</v>
      </c>
      <c r="E397" s="4" t="str">
        <f>HYPERLINK("https://www.ncbi.nlm.nih.gov/protein/MDU6717328.1?report=genbank&amp;log$=prottop&amp;blast_rank=353&amp;RID=92EWBNK7013","MDU6717328.1")</f>
        <v>MDU6717328.1</v>
      </c>
    </row>
    <row r="398" spans="1:5">
      <c r="A398" s="4" t="s">
        <v>340</v>
      </c>
      <c r="B398" s="9">
        <v>0.96</v>
      </c>
      <c r="C398" s="10">
        <v>5.0000000000000002E-167</v>
      </c>
      <c r="D398" s="5">
        <v>48.12</v>
      </c>
      <c r="E398" s="4" t="str">
        <f>HYPERLINK("https://www.ncbi.nlm.nih.gov/protein/WP_353429060.1?report=genbank&amp;log$=prottop&amp;blast_rank=355&amp;RID=92EWBNK7013","WP_353429060.1")</f>
        <v>WP_353429060.1</v>
      </c>
    </row>
    <row r="399" spans="1:5">
      <c r="A399" s="4" t="s">
        <v>1372</v>
      </c>
      <c r="B399" s="9">
        <v>0.96</v>
      </c>
      <c r="C399" s="10">
        <v>6.9999999999999998E-167</v>
      </c>
      <c r="D399" s="5">
        <v>48.12</v>
      </c>
      <c r="E399" s="4" t="str">
        <f>HYPERLINK("https://www.ncbi.nlm.nih.gov/protein/WP_116690183.1?report=genbank&amp;log$=prottop&amp;blast_rank=362&amp;RID=92EWBNK7013","WP_116690183.1")</f>
        <v>WP_116690183.1</v>
      </c>
    </row>
    <row r="400" spans="1:5">
      <c r="A400" s="4" t="s">
        <v>460</v>
      </c>
      <c r="B400" s="9">
        <v>0.96</v>
      </c>
      <c r="C400" s="10">
        <v>6.9999999999999998E-167</v>
      </c>
      <c r="D400" s="5">
        <v>48.12</v>
      </c>
      <c r="E400" s="4" t="str">
        <f>HYPERLINK("https://www.ncbi.nlm.nih.gov/protein/WP_255990231.1?report=genbank&amp;log$=prottop&amp;blast_rank=363&amp;RID=92EWBNK7013","WP_255990231.1")</f>
        <v>WP_255990231.1</v>
      </c>
    </row>
    <row r="401" spans="1:5">
      <c r="A401" s="4" t="s">
        <v>1571</v>
      </c>
      <c r="B401" s="9">
        <v>0.96</v>
      </c>
      <c r="C401" s="10">
        <v>8E-167</v>
      </c>
      <c r="D401" s="5">
        <v>48.12</v>
      </c>
      <c r="E401" s="4" t="str">
        <f>HYPERLINK("https://www.ncbi.nlm.nih.gov/protein/WP_122825857.1?report=genbank&amp;log$=prottop&amp;blast_rank=365&amp;RID=92EWBNK7013","WP_122825857.1")</f>
        <v>WP_122825857.1</v>
      </c>
    </row>
    <row r="402" spans="1:5">
      <c r="A402" s="4" t="s">
        <v>1620</v>
      </c>
      <c r="B402" s="9">
        <v>0.96</v>
      </c>
      <c r="C402" s="10">
        <v>1E-166</v>
      </c>
      <c r="D402" s="5">
        <v>48.12</v>
      </c>
      <c r="E402" s="4" t="str">
        <f>HYPERLINK("https://www.ncbi.nlm.nih.gov/protein/WP_250099154.1?report=genbank&amp;log$=prottop&amp;blast_rank=372&amp;RID=92EWBNK7013","WP_250099154.1")</f>
        <v>WP_250099154.1</v>
      </c>
    </row>
    <row r="403" spans="1:5">
      <c r="A403" s="4" t="s">
        <v>262</v>
      </c>
      <c r="B403" s="9">
        <v>0.96</v>
      </c>
      <c r="C403" s="10">
        <v>3.0000000000000003E-166</v>
      </c>
      <c r="D403" s="5">
        <v>48.12</v>
      </c>
      <c r="E403" s="4" t="str">
        <f>HYPERLINK("https://www.ncbi.nlm.nih.gov/protein/HDZ1234803.1?report=genbank&amp;log$=prottop&amp;blast_rank=387&amp;RID=92EWBNK7013","HDZ1234803.1")</f>
        <v>HDZ1234803.1</v>
      </c>
    </row>
    <row r="404" spans="1:5">
      <c r="A404" s="4" t="s">
        <v>262</v>
      </c>
      <c r="B404" s="9">
        <v>0.96</v>
      </c>
      <c r="C404" s="10">
        <v>3.0000000000000003E-166</v>
      </c>
      <c r="D404" s="5">
        <v>48.12</v>
      </c>
      <c r="E404" s="4" t="str">
        <f>HYPERLINK("https://www.ncbi.nlm.nih.gov/protein/HEL4609610.1?report=genbank&amp;log$=prottop&amp;blast_rank=391&amp;RID=92EWBNK7013","HEL4609610.1")</f>
        <v>HEL4609610.1</v>
      </c>
    </row>
    <row r="405" spans="1:5">
      <c r="A405" s="4" t="s">
        <v>262</v>
      </c>
      <c r="B405" s="9">
        <v>0.96</v>
      </c>
      <c r="C405" s="10">
        <v>5E-166</v>
      </c>
      <c r="D405" s="5">
        <v>48.12</v>
      </c>
      <c r="E405" s="4" t="str">
        <f>HYPERLINK("https://www.ncbi.nlm.nih.gov/protein/HCD1767592.1?report=genbank&amp;log$=prottop&amp;blast_rank=396&amp;RID=92EWBNK7013","HCD1767592.1")</f>
        <v>HCD1767592.1</v>
      </c>
    </row>
    <row r="406" spans="1:5">
      <c r="A406" s="4" t="s">
        <v>1291</v>
      </c>
      <c r="B406" s="9">
        <v>0.96</v>
      </c>
      <c r="C406" s="10">
        <v>2E-165</v>
      </c>
      <c r="D406" s="5">
        <v>48.12</v>
      </c>
      <c r="E406" s="4" t="str">
        <f>HYPERLINK("https://www.ncbi.nlm.nih.gov/protein/WP_145542523.1?report=genbank&amp;log$=prottop&amp;blast_rank=421&amp;RID=92EWBNK7013","WP_145542523.1")</f>
        <v>WP_145542523.1</v>
      </c>
    </row>
    <row r="407" spans="1:5">
      <c r="A407" s="4" t="s">
        <v>958</v>
      </c>
      <c r="B407" s="9">
        <v>0.98</v>
      </c>
      <c r="C407" s="10">
        <v>1E-169</v>
      </c>
      <c r="D407" s="5">
        <v>47.97</v>
      </c>
      <c r="E407" s="4" t="str">
        <f>HYPERLINK("https://www.ncbi.nlm.nih.gov/protein/WP_275115848.1?report=genbank&amp;log$=prottop&amp;blast_rank=248&amp;RID=92EWBNK7013","WP_275115848.1")</f>
        <v>WP_275115848.1</v>
      </c>
    </row>
    <row r="408" spans="1:5">
      <c r="A408" s="4" t="s">
        <v>1621</v>
      </c>
      <c r="B408" s="9">
        <v>0.98</v>
      </c>
      <c r="C408" s="10">
        <v>2.9999999999999999E-169</v>
      </c>
      <c r="D408" s="5">
        <v>47.97</v>
      </c>
      <c r="E408" s="4" t="str">
        <f>HYPERLINK("https://www.ncbi.nlm.nih.gov/protein/MDS4026162.1?report=genbank&amp;log$=prottop&amp;blast_rank=263&amp;RID=92EWBNK7013","MDS4026162.1")</f>
        <v>MDS4026162.1</v>
      </c>
    </row>
    <row r="409" spans="1:5">
      <c r="A409" s="4" t="s">
        <v>1622</v>
      </c>
      <c r="B409" s="9">
        <v>0.98</v>
      </c>
      <c r="C409" s="10">
        <v>5.9999999999999998E-169</v>
      </c>
      <c r="D409" s="5">
        <v>47.97</v>
      </c>
      <c r="E409" s="4" t="str">
        <f>HYPERLINK("https://www.ncbi.nlm.nih.gov/protein/PPV42039.1?report=genbank&amp;log$=prottop&amp;blast_rank=273&amp;RID=92EWBNK7013","PPV42039.1")</f>
        <v>PPV42039.1</v>
      </c>
    </row>
    <row r="410" spans="1:5">
      <c r="A410" s="4" t="s">
        <v>1489</v>
      </c>
      <c r="B410" s="9">
        <v>0.98</v>
      </c>
      <c r="C410" s="10">
        <v>1E-168</v>
      </c>
      <c r="D410" s="5">
        <v>47.97</v>
      </c>
      <c r="E410" s="4" t="str">
        <f>HYPERLINK("https://www.ncbi.nlm.nih.gov/protein/WP_261730432.1?report=genbank&amp;log$=prottop&amp;blast_rank=281&amp;RID=92EWBNK7013","WP_261730432.1")</f>
        <v>WP_261730432.1</v>
      </c>
    </row>
    <row r="411" spans="1:5">
      <c r="A411" s="4" t="s">
        <v>1623</v>
      </c>
      <c r="B411" s="9">
        <v>0.98</v>
      </c>
      <c r="C411" s="10">
        <v>2.0000000000000001E-168</v>
      </c>
      <c r="D411" s="5">
        <v>47.97</v>
      </c>
      <c r="E411" s="4" t="str">
        <f>HYPERLINK("https://www.ncbi.nlm.nih.gov/protein/WP_239871812.1?report=genbank&amp;log$=prottop&amp;blast_rank=297&amp;RID=92EWBNK7013","WP_239871812.1")</f>
        <v>WP_239871812.1</v>
      </c>
    </row>
    <row r="412" spans="1:5">
      <c r="A412" s="4" t="s">
        <v>1594</v>
      </c>
      <c r="B412" s="9">
        <v>0.98</v>
      </c>
      <c r="C412" s="10">
        <v>9.0000000000000002E-168</v>
      </c>
      <c r="D412" s="5">
        <v>47.97</v>
      </c>
      <c r="E412" s="4" t="str">
        <f>HYPERLINK("https://www.ncbi.nlm.nih.gov/protein/QOK92227.1?report=genbank&amp;log$=prottop&amp;blast_rank=322&amp;RID=92EWBNK7013","QOK92227.1")</f>
        <v>QOK92227.1</v>
      </c>
    </row>
    <row r="413" spans="1:5">
      <c r="A413" s="4" t="s">
        <v>1624</v>
      </c>
      <c r="B413" s="9">
        <v>0.98</v>
      </c>
      <c r="C413" s="10">
        <v>9.0000000000000002E-168</v>
      </c>
      <c r="D413" s="5">
        <v>47.97</v>
      </c>
      <c r="E413" s="4" t="str">
        <f>HYPERLINK("https://www.ncbi.nlm.nih.gov/protein/WP_167681803.1?report=genbank&amp;log$=prottop&amp;blast_rank=323&amp;RID=92EWBNK7013","WP_167681803.1")</f>
        <v>WP_167681803.1</v>
      </c>
    </row>
    <row r="414" spans="1:5">
      <c r="A414" s="4" t="s">
        <v>1563</v>
      </c>
      <c r="B414" s="9">
        <v>0.98</v>
      </c>
      <c r="C414" s="10">
        <v>1E-167</v>
      </c>
      <c r="D414" s="5">
        <v>47.97</v>
      </c>
      <c r="E414" s="4" t="str">
        <f>HYPERLINK("https://www.ncbi.nlm.nih.gov/protein/WP_014703510.1?report=genbank&amp;log$=prottop&amp;blast_rank=332&amp;RID=92EWBNK7013","WP_014703510.1")</f>
        <v>WP_014703510.1</v>
      </c>
    </row>
    <row r="415" spans="1:5">
      <c r="A415" s="4" t="s">
        <v>340</v>
      </c>
      <c r="B415" s="9">
        <v>0.98</v>
      </c>
      <c r="C415" s="10">
        <v>2.9999999999999998E-167</v>
      </c>
      <c r="D415" s="5">
        <v>47.97</v>
      </c>
      <c r="E415" s="4" t="str">
        <f>HYPERLINK("https://www.ncbi.nlm.nih.gov/protein/HCQ7224169.1?report=genbank&amp;log$=prottop&amp;blast_rank=347&amp;RID=92EWBNK7013","HCQ7224169.1")</f>
        <v>HCQ7224169.1</v>
      </c>
    </row>
    <row r="416" spans="1:5">
      <c r="A416" s="4" t="s">
        <v>1594</v>
      </c>
      <c r="B416" s="9">
        <v>0.98</v>
      </c>
      <c r="C416" s="10">
        <v>1E-166</v>
      </c>
      <c r="D416" s="5">
        <v>47.97</v>
      </c>
      <c r="E416" s="4" t="str">
        <f>HYPERLINK("https://www.ncbi.nlm.nih.gov/protein/QCX48125.1?report=genbank&amp;log$=prottop&amp;blast_rank=375&amp;RID=92EWBNK7013","QCX48125.1")</f>
        <v>QCX48125.1</v>
      </c>
    </row>
    <row r="417" spans="1:5">
      <c r="A417" s="4" t="s">
        <v>1594</v>
      </c>
      <c r="B417" s="9">
        <v>0.98</v>
      </c>
      <c r="C417" s="10">
        <v>4E-165</v>
      </c>
      <c r="D417" s="5">
        <v>47.97</v>
      </c>
      <c r="E417" s="4" t="str">
        <f>HYPERLINK("https://www.ncbi.nlm.nih.gov/protein/WP_043897682.1?report=genbank&amp;log$=prottop&amp;blast_rank=436&amp;RID=92EWBNK7013","WP_043897682.1")</f>
        <v>WP_043897682.1</v>
      </c>
    </row>
    <row r="418" spans="1:5">
      <c r="A418" s="4" t="s">
        <v>1625</v>
      </c>
      <c r="B418" s="9">
        <v>0.98</v>
      </c>
      <c r="C418" s="10">
        <v>4E-165</v>
      </c>
      <c r="D418" s="5">
        <v>47.97</v>
      </c>
      <c r="E418" s="4" t="str">
        <f>HYPERLINK("https://www.ncbi.nlm.nih.gov/protein/AKU66576.1?report=genbank&amp;log$=prottop&amp;blast_rank=438&amp;RID=92EWBNK7013","AKU66576.1")</f>
        <v>AKU66576.1</v>
      </c>
    </row>
    <row r="419" spans="1:5">
      <c r="A419" s="4" t="s">
        <v>373</v>
      </c>
      <c r="B419" s="9">
        <v>0.97</v>
      </c>
      <c r="C419" s="10">
        <v>2.9999999999999998E-167</v>
      </c>
      <c r="D419" s="5">
        <v>47.96</v>
      </c>
      <c r="E419" s="4" t="str">
        <f>HYPERLINK("https://www.ncbi.nlm.nih.gov/protein/WP_043101901.1?report=genbank&amp;log$=prottop&amp;blast_rank=345&amp;RID=92EWBNK7013","WP_043101901.1")</f>
        <v>WP_043101901.1</v>
      </c>
    </row>
    <row r="420" spans="1:5">
      <c r="A420" s="4" t="s">
        <v>440</v>
      </c>
      <c r="B420" s="9">
        <v>0.97</v>
      </c>
      <c r="C420" s="10">
        <v>1.9999999999999998E-163</v>
      </c>
      <c r="D420" s="5">
        <v>47.96</v>
      </c>
      <c r="E420" s="4" t="str">
        <f>HYPERLINK("https://www.ncbi.nlm.nih.gov/protein/MCH8080257.1?report=genbank&amp;log$=prottop&amp;blast_rank=485&amp;RID=92EWBNK7013","MCH8080257.1")</f>
        <v>MCH8080257.1</v>
      </c>
    </row>
    <row r="421" spans="1:5">
      <c r="A421" s="4" t="s">
        <v>373</v>
      </c>
      <c r="B421" s="9">
        <v>0.97</v>
      </c>
      <c r="C421" s="10">
        <v>8E-167</v>
      </c>
      <c r="D421" s="5">
        <v>47.94</v>
      </c>
      <c r="E421" s="4" t="str">
        <f>HYPERLINK("https://www.ncbi.nlm.nih.gov/protein/HCF4374378.1?report=genbank&amp;log$=prottop&amp;blast_rank=366&amp;RID=92EWBNK7013","HCF4374378.1")</f>
        <v>HCF4374378.1</v>
      </c>
    </row>
    <row r="422" spans="1:5">
      <c r="A422" s="4" t="s">
        <v>309</v>
      </c>
      <c r="B422" s="9">
        <v>0.97</v>
      </c>
      <c r="C422" s="10">
        <v>3.0000000000000003E-166</v>
      </c>
      <c r="D422" s="5">
        <v>47.94</v>
      </c>
      <c r="E422" s="4" t="str">
        <f>HYPERLINK("https://www.ncbi.nlm.nih.gov/protein/MDA8136534.1?report=genbank&amp;log$=prottop&amp;blast_rank=388&amp;RID=92EWBNK7013","MDA8136534.1")</f>
        <v>MDA8136534.1</v>
      </c>
    </row>
    <row r="423" spans="1:5">
      <c r="A423" s="4" t="s">
        <v>1626</v>
      </c>
      <c r="B423" s="9">
        <v>0.97</v>
      </c>
      <c r="C423" s="10">
        <v>4.9999999999999998E-163</v>
      </c>
      <c r="D423" s="5">
        <v>47.94</v>
      </c>
      <c r="E423" s="4" t="str">
        <f>HYPERLINK("https://www.ncbi.nlm.nih.gov/protein/WP_227874107.1?report=genbank&amp;log$=prottop&amp;blast_rank=499&amp;RID=92EWBNK7013","WP_227874107.1")</f>
        <v>WP_227874107.1</v>
      </c>
    </row>
    <row r="424" spans="1:5">
      <c r="A424" s="4" t="s">
        <v>424</v>
      </c>
      <c r="B424" s="9">
        <v>0.98</v>
      </c>
      <c r="C424" s="10">
        <v>2E-170</v>
      </c>
      <c r="D424" s="5">
        <v>47.78</v>
      </c>
      <c r="E424" s="4" t="str">
        <f>HYPERLINK("https://www.ncbi.nlm.nih.gov/protein/WP_109105147.1?report=genbank&amp;log$=prottop&amp;blast_rank=233&amp;RID=92EWBNK7013","WP_109105147.1")</f>
        <v>WP_109105147.1</v>
      </c>
    </row>
    <row r="425" spans="1:5">
      <c r="A425" s="4" t="s">
        <v>424</v>
      </c>
      <c r="B425" s="9">
        <v>0.98</v>
      </c>
      <c r="C425" s="10">
        <v>3.9999999999999999E-170</v>
      </c>
      <c r="D425" s="5">
        <v>47.78</v>
      </c>
      <c r="E425" s="4" t="str">
        <f>HYPERLINK("https://www.ncbi.nlm.nih.gov/protein/WP_029729676.1?report=genbank&amp;log$=prottop&amp;blast_rank=240&amp;RID=92EWBNK7013","WP_029729676.1")</f>
        <v>WP_029729676.1</v>
      </c>
    </row>
    <row r="426" spans="1:5">
      <c r="A426" s="4" t="s">
        <v>424</v>
      </c>
      <c r="B426" s="9">
        <v>0.98</v>
      </c>
      <c r="C426" s="10">
        <v>6.9999999999999997E-170</v>
      </c>
      <c r="D426" s="5">
        <v>47.78</v>
      </c>
      <c r="E426" s="4" t="str">
        <f>HYPERLINK("https://www.ncbi.nlm.nih.gov/protein/WP_242746486.1?report=genbank&amp;log$=prottop&amp;blast_rank=247&amp;RID=92EWBNK7013","WP_242746486.1")</f>
        <v>WP_242746486.1</v>
      </c>
    </row>
    <row r="427" spans="1:5">
      <c r="A427" s="4" t="s">
        <v>373</v>
      </c>
      <c r="B427" s="9">
        <v>0.98</v>
      </c>
      <c r="C427" s="10">
        <v>1E-169</v>
      </c>
      <c r="D427" s="5">
        <v>47.78</v>
      </c>
      <c r="E427" s="4" t="str">
        <f>HYPERLINK("https://www.ncbi.nlm.nih.gov/protein/EMA4528523.1?report=genbank&amp;log$=prottop&amp;blast_rank=254&amp;RID=92EWBNK7013","EMA4528523.1")</f>
        <v>EMA4528523.1</v>
      </c>
    </row>
    <row r="428" spans="1:5">
      <c r="A428" s="4" t="s">
        <v>1627</v>
      </c>
      <c r="B428" s="9">
        <v>0.98</v>
      </c>
      <c r="C428" s="10">
        <v>1E-169</v>
      </c>
      <c r="D428" s="5">
        <v>47.78</v>
      </c>
      <c r="E428" s="4" t="str">
        <f>HYPERLINK("https://www.ncbi.nlm.nih.gov/protein/WP_179588000.1?report=genbank&amp;log$=prottop&amp;blast_rank=256&amp;RID=92EWBNK7013","WP_179588000.1")</f>
        <v>WP_179588000.1</v>
      </c>
    </row>
    <row r="429" spans="1:5">
      <c r="A429" s="4" t="s">
        <v>440</v>
      </c>
      <c r="B429" s="9">
        <v>0.98</v>
      </c>
      <c r="C429" s="10">
        <v>1E-169</v>
      </c>
      <c r="D429" s="5">
        <v>47.78</v>
      </c>
      <c r="E429" s="4" t="str">
        <f>HYPERLINK("https://www.ncbi.nlm.nih.gov/protein/MEN9491331.1?report=genbank&amp;log$=prottop&amp;blast_rank=257&amp;RID=92EWBNK7013","MEN9491331.1")</f>
        <v>MEN9491331.1</v>
      </c>
    </row>
    <row r="430" spans="1:5">
      <c r="A430" s="4" t="s">
        <v>1628</v>
      </c>
      <c r="B430" s="9">
        <v>0.98</v>
      </c>
      <c r="C430" s="10">
        <v>4.0000000000000001E-169</v>
      </c>
      <c r="D430" s="5">
        <v>47.78</v>
      </c>
      <c r="E430" s="4" t="str">
        <f>HYPERLINK("https://www.ncbi.nlm.nih.gov/protein/WP_282343609.1?report=genbank&amp;log$=prottop&amp;blast_rank=264&amp;RID=92EWBNK7013","WP_282343609.1")</f>
        <v>WP_282343609.1</v>
      </c>
    </row>
    <row r="431" spans="1:5">
      <c r="A431" s="4" t="s">
        <v>1629</v>
      </c>
      <c r="B431" s="9">
        <v>0.98</v>
      </c>
      <c r="C431" s="10">
        <v>5.0000000000000002E-169</v>
      </c>
      <c r="D431" s="5">
        <v>47.78</v>
      </c>
      <c r="E431" s="4" t="str">
        <f>HYPERLINK("https://www.ncbi.nlm.nih.gov/protein/WP_274110830.1?report=genbank&amp;log$=prottop&amp;blast_rank=267&amp;RID=92EWBNK7013","WP_274110830.1")</f>
        <v>WP_274110830.1</v>
      </c>
    </row>
    <row r="432" spans="1:5">
      <c r="A432" s="4" t="s">
        <v>1630</v>
      </c>
      <c r="B432" s="9">
        <v>0.98</v>
      </c>
      <c r="C432" s="10">
        <v>2.0000000000000001E-168</v>
      </c>
      <c r="D432" s="5">
        <v>47.78</v>
      </c>
      <c r="E432" s="4" t="str">
        <f>HYPERLINK("https://www.ncbi.nlm.nih.gov/protein/WP_271462791.1?report=genbank&amp;log$=prottop&amp;blast_rank=295&amp;RID=92EWBNK7013","WP_271462791.1")</f>
        <v>WP_271462791.1</v>
      </c>
    </row>
    <row r="433" spans="1:5">
      <c r="A433" s="4" t="s">
        <v>1631</v>
      </c>
      <c r="B433" s="9">
        <v>0.98</v>
      </c>
      <c r="C433" s="10">
        <v>5.9999999999999998E-168</v>
      </c>
      <c r="D433" s="5">
        <v>47.78</v>
      </c>
      <c r="E433" s="4" t="str">
        <f>HYPERLINK("https://www.ncbi.nlm.nih.gov/protein/MBC6941373.1?report=genbank&amp;log$=prottop&amp;blast_rank=312&amp;RID=92EWBNK7013","MBC6941373.1")</f>
        <v>MBC6941373.1</v>
      </c>
    </row>
    <row r="434" spans="1:5">
      <c r="A434" s="4" t="s">
        <v>1575</v>
      </c>
      <c r="B434" s="9">
        <v>0.98</v>
      </c>
      <c r="C434" s="10">
        <v>2E-167</v>
      </c>
      <c r="D434" s="5">
        <v>47.78</v>
      </c>
      <c r="E434" s="4" t="str">
        <f>HYPERLINK("https://www.ncbi.nlm.nih.gov/protein/WP_218300126.1?report=genbank&amp;log$=prottop&amp;blast_rank=342&amp;RID=92EWBNK7013","WP_218300126.1")</f>
        <v>WP_218300126.1</v>
      </c>
    </row>
    <row r="435" spans="1:5">
      <c r="A435" s="4" t="s">
        <v>262</v>
      </c>
      <c r="B435" s="9">
        <v>0.98</v>
      </c>
      <c r="C435" s="10">
        <v>8E-167</v>
      </c>
      <c r="D435" s="5">
        <v>47.78</v>
      </c>
      <c r="E435" s="4" t="str">
        <f>HYPERLINK("https://www.ncbi.nlm.nih.gov/protein/WP_194524168.1?report=genbank&amp;log$=prottop&amp;blast_rank=364&amp;RID=92EWBNK7013","WP_194524168.1")</f>
        <v>WP_194524168.1</v>
      </c>
    </row>
    <row r="436" spans="1:5">
      <c r="A436" s="4" t="s">
        <v>392</v>
      </c>
      <c r="B436" s="9">
        <v>0.97</v>
      </c>
      <c r="C436" s="10">
        <v>4.9999999999999996E-164</v>
      </c>
      <c r="D436" s="5">
        <v>47.76</v>
      </c>
      <c r="E436" s="4" t="str">
        <f>HYPERLINK("https://www.ncbi.nlm.nih.gov/protein/WP_107316601.1?report=genbank&amp;log$=prottop&amp;blast_rank=470&amp;RID=92EWBNK7013","WP_107316601.1")</f>
        <v>WP_107316601.1</v>
      </c>
    </row>
    <row r="437" spans="1:5">
      <c r="A437" s="4" t="s">
        <v>280</v>
      </c>
      <c r="B437" s="9">
        <v>0.96</v>
      </c>
      <c r="C437" s="10">
        <v>1E-166</v>
      </c>
      <c r="D437" s="5">
        <v>47.74</v>
      </c>
      <c r="E437" s="4" t="str">
        <f>HYPERLINK("https://www.ncbi.nlm.nih.gov/protein/ENJ1148065.1?report=genbank&amp;log$=prottop&amp;blast_rank=376&amp;RID=92EWBNK7013","ENJ1148065.1")</f>
        <v>ENJ1148065.1</v>
      </c>
    </row>
    <row r="438" spans="1:5">
      <c r="A438" s="4" t="s">
        <v>460</v>
      </c>
      <c r="B438" s="9">
        <v>0.96</v>
      </c>
      <c r="C438" s="10">
        <v>1E-165</v>
      </c>
      <c r="D438" s="5">
        <v>47.74</v>
      </c>
      <c r="E438" s="4" t="str">
        <f>HYPERLINK("https://www.ncbi.nlm.nih.gov/protein/WP_110217848.1?report=genbank&amp;log$=prottop&amp;blast_rank=412&amp;RID=92EWBNK7013","WP_110217848.1")</f>
        <v>WP_110217848.1</v>
      </c>
    </row>
    <row r="439" spans="1:5">
      <c r="A439" s="4" t="s">
        <v>1291</v>
      </c>
      <c r="B439" s="9">
        <v>0.96</v>
      </c>
      <c r="C439" s="10">
        <v>2E-165</v>
      </c>
      <c r="D439" s="5">
        <v>47.74</v>
      </c>
      <c r="E439" s="4" t="str">
        <f>HYPERLINK("https://www.ncbi.nlm.nih.gov/protein/WP_097734718.1?report=genbank&amp;log$=prottop&amp;blast_rank=417&amp;RID=92EWBNK7013","WP_097734718.1")</f>
        <v>WP_097734718.1</v>
      </c>
    </row>
    <row r="440" spans="1:5">
      <c r="A440" s="4" t="s">
        <v>337</v>
      </c>
      <c r="B440" s="9">
        <v>0.96</v>
      </c>
      <c r="C440" s="10">
        <v>2E-165</v>
      </c>
      <c r="D440" s="5">
        <v>47.74</v>
      </c>
      <c r="E440" s="4" t="str">
        <f>HYPERLINK("https://www.ncbi.nlm.nih.gov/protein/HEP0827379.1?report=genbank&amp;log$=prottop&amp;blast_rank=426&amp;RID=92EWBNK7013","HEP0827379.1")</f>
        <v>HEP0827379.1</v>
      </c>
    </row>
    <row r="441" spans="1:5">
      <c r="A441" s="4" t="s">
        <v>262</v>
      </c>
      <c r="B441" s="9">
        <v>0.96</v>
      </c>
      <c r="C441" s="10">
        <v>4.9999999999999998E-165</v>
      </c>
      <c r="D441" s="5">
        <v>47.74</v>
      </c>
      <c r="E441" s="4" t="str">
        <f>HYPERLINK("https://www.ncbi.nlm.nih.gov/protein/MCE0081311.1?report=genbank&amp;log$=prottop&amp;blast_rank=443&amp;RID=92EWBNK7013","MCE0081311.1")</f>
        <v>MCE0081311.1</v>
      </c>
    </row>
    <row r="442" spans="1:5">
      <c r="A442" s="4" t="s">
        <v>1632</v>
      </c>
      <c r="B442" s="9">
        <v>0.96</v>
      </c>
      <c r="C442" s="10">
        <v>1.9999999999999999E-164</v>
      </c>
      <c r="D442" s="5">
        <v>47.74</v>
      </c>
      <c r="E442" s="4" t="str">
        <f>HYPERLINK("https://www.ncbi.nlm.nih.gov/protein/WP_286539542.1?report=genbank&amp;log$=prottop&amp;blast_rank=457&amp;RID=92EWBNK7013","WP_286539542.1")</f>
        <v>WP_286539542.1</v>
      </c>
    </row>
    <row r="443" spans="1:5">
      <c r="A443" s="4" t="s">
        <v>1295</v>
      </c>
      <c r="B443" s="9">
        <v>0.96</v>
      </c>
      <c r="C443" s="10">
        <v>3.9999999999999997E-163</v>
      </c>
      <c r="D443" s="5">
        <v>47.74</v>
      </c>
      <c r="E443" s="4" t="str">
        <f>HYPERLINK("https://www.ncbi.nlm.nih.gov/protein/WP_052903491.1?report=genbank&amp;log$=prottop&amp;blast_rank=497&amp;RID=92EWBNK7013","WP_052903491.1")</f>
        <v>WP_052903491.1</v>
      </c>
    </row>
    <row r="444" spans="1:5">
      <c r="A444" s="4" t="s">
        <v>440</v>
      </c>
      <c r="B444" s="9">
        <v>0.98</v>
      </c>
      <c r="C444" s="10">
        <v>1E-168</v>
      </c>
      <c r="D444" s="5">
        <v>47.6</v>
      </c>
      <c r="E444" s="4" t="str">
        <f>HYPERLINK("https://www.ncbi.nlm.nih.gov/protein/MBS0291789.1?report=genbank&amp;log$=prottop&amp;blast_rank=277&amp;RID=92EWBNK7013","MBS0291789.1")</f>
        <v>MBS0291789.1</v>
      </c>
    </row>
    <row r="445" spans="1:5">
      <c r="A445" s="4" t="s">
        <v>1633</v>
      </c>
      <c r="B445" s="9">
        <v>0.98</v>
      </c>
      <c r="C445" s="10">
        <v>2.0000000000000001E-168</v>
      </c>
      <c r="D445" s="5">
        <v>47.6</v>
      </c>
      <c r="E445" s="4" t="str">
        <f>HYPERLINK("https://www.ncbi.nlm.nih.gov/protein/BBP05141.1?report=genbank&amp;log$=prottop&amp;blast_rank=292&amp;RID=92EWBNK7013","BBP05141.1")</f>
        <v>BBP05141.1</v>
      </c>
    </row>
    <row r="446" spans="1:5">
      <c r="A446" s="4" t="s">
        <v>1257</v>
      </c>
      <c r="B446" s="9">
        <v>0.98</v>
      </c>
      <c r="C446" s="10">
        <v>5.9999999999999998E-168</v>
      </c>
      <c r="D446" s="5">
        <v>47.6</v>
      </c>
      <c r="E446" s="4" t="str">
        <f>HYPERLINK("https://www.ncbi.nlm.nih.gov/protein/NYT83922.1?report=genbank&amp;log$=prottop&amp;blast_rank=315&amp;RID=92EWBNK7013","NYT83922.1")</f>
        <v>NYT83922.1</v>
      </c>
    </row>
    <row r="447" spans="1:5">
      <c r="A447" s="4" t="s">
        <v>292</v>
      </c>
      <c r="B447" s="9">
        <v>0.98</v>
      </c>
      <c r="C447" s="10">
        <v>4.0000000000000002E-166</v>
      </c>
      <c r="D447" s="5">
        <v>47.6</v>
      </c>
      <c r="E447" s="4" t="str">
        <f>HYPERLINK("https://www.ncbi.nlm.nih.gov/protein/WP_238795308.1?report=genbank&amp;log$=prottop&amp;blast_rank=393&amp;RID=92EWBNK7013","WP_238795308.1")</f>
        <v>WP_238795308.1</v>
      </c>
    </row>
    <row r="448" spans="1:5">
      <c r="A448" s="4" t="s">
        <v>245</v>
      </c>
      <c r="B448" s="9">
        <v>0.97</v>
      </c>
      <c r="C448" s="10">
        <v>9.9999999999999998E-171</v>
      </c>
      <c r="D448" s="5">
        <v>47.57</v>
      </c>
      <c r="E448" s="4" t="str">
        <f>HYPERLINK("https://www.ncbi.nlm.nih.gov/protein/WP_036050924.1?report=genbank&amp;log$=prottop&amp;blast_rank=231&amp;RID=92EWBNK7013","WP_036050924.1")</f>
        <v>WP_036050924.1</v>
      </c>
    </row>
    <row r="449" spans="1:5">
      <c r="A449" s="4" t="s">
        <v>1343</v>
      </c>
      <c r="B449" s="9">
        <v>0.97</v>
      </c>
      <c r="C449" s="10">
        <v>9.9999999999999998E-171</v>
      </c>
      <c r="D449" s="5">
        <v>47.57</v>
      </c>
      <c r="E449" s="4" t="str">
        <f>HYPERLINK("https://www.ncbi.nlm.nih.gov/protein/WP_164062974.1?report=genbank&amp;log$=prottop&amp;blast_rank=232&amp;RID=92EWBNK7013","WP_164062974.1")</f>
        <v>WP_164062974.1</v>
      </c>
    </row>
    <row r="450" spans="1:5">
      <c r="A450" s="4" t="s">
        <v>1634</v>
      </c>
      <c r="B450" s="9">
        <v>0.97</v>
      </c>
      <c r="C450" s="10">
        <v>1E-168</v>
      </c>
      <c r="D450" s="5">
        <v>47.57</v>
      </c>
      <c r="E450" s="4" t="str">
        <f>HYPERLINK("https://www.ncbi.nlm.nih.gov/protein/WP_168728028.1?report=genbank&amp;log$=prottop&amp;blast_rank=278&amp;RID=92EWBNK7013","WP_168728028.1")</f>
        <v>WP_168728028.1</v>
      </c>
    </row>
    <row r="451" spans="1:5">
      <c r="A451" s="4" t="s">
        <v>350</v>
      </c>
      <c r="B451" s="9">
        <v>0.97</v>
      </c>
      <c r="C451" s="10">
        <v>2.9999999999999999E-168</v>
      </c>
      <c r="D451" s="5">
        <v>47.57</v>
      </c>
      <c r="E451" s="4" t="str">
        <f>HYPERLINK("https://www.ncbi.nlm.nih.gov/protein/WP_232045324.1?report=genbank&amp;log$=prottop&amp;blast_rank=301&amp;RID=92EWBNK7013","WP_232045324.1")</f>
        <v>WP_232045324.1</v>
      </c>
    </row>
    <row r="452" spans="1:5">
      <c r="A452" s="4" t="s">
        <v>262</v>
      </c>
      <c r="B452" s="9">
        <v>0.97</v>
      </c>
      <c r="C452" s="10">
        <v>1E-166</v>
      </c>
      <c r="D452" s="5">
        <v>47.57</v>
      </c>
      <c r="E452" s="4" t="str">
        <f>HYPERLINK("https://www.ncbi.nlm.nih.gov/protein/EKM6192659.1?report=genbank&amp;log$=prottop&amp;blast_rank=374&amp;RID=92EWBNK7013","EKM6192659.1")</f>
        <v>EKM6192659.1</v>
      </c>
    </row>
    <row r="453" spans="1:5">
      <c r="A453" s="4" t="s">
        <v>1635</v>
      </c>
      <c r="B453" s="9">
        <v>0.97</v>
      </c>
      <c r="C453" s="10">
        <v>9.9999999999999996E-165</v>
      </c>
      <c r="D453" s="5">
        <v>47.57</v>
      </c>
      <c r="E453" s="4" t="str">
        <f>HYPERLINK("https://www.ncbi.nlm.nih.gov/protein/MDA2918846.1?report=genbank&amp;log$=prottop&amp;blast_rank=450&amp;RID=92EWBNK7013","MDA2918846.1")</f>
        <v>MDA2918846.1</v>
      </c>
    </row>
    <row r="454" spans="1:5">
      <c r="A454" s="4" t="s">
        <v>424</v>
      </c>
      <c r="B454" s="9">
        <v>0.98</v>
      </c>
      <c r="C454" s="10">
        <v>3.9999999999999999E-170</v>
      </c>
      <c r="D454" s="5">
        <v>47.41</v>
      </c>
      <c r="E454" s="4" t="str">
        <f>HYPERLINK("https://www.ncbi.nlm.nih.gov/protein/WP_024110115.1?report=genbank&amp;log$=prottop&amp;blast_rank=242&amp;RID=92EWBNK7013","WP_024110115.1")</f>
        <v>WP_024110115.1</v>
      </c>
    </row>
    <row r="455" spans="1:5">
      <c r="A455" s="4" t="s">
        <v>424</v>
      </c>
      <c r="B455" s="9">
        <v>0.98</v>
      </c>
      <c r="C455" s="10">
        <v>1E-169</v>
      </c>
      <c r="D455" s="5">
        <v>47.41</v>
      </c>
      <c r="E455" s="4" t="str">
        <f>HYPERLINK("https://www.ncbi.nlm.nih.gov/protein/WP_024106825.1?report=genbank&amp;log$=prottop&amp;blast_rank=249&amp;RID=92EWBNK7013","WP_024106825.1")</f>
        <v>WP_024106825.1</v>
      </c>
    </row>
    <row r="456" spans="1:5">
      <c r="A456" s="4" t="s">
        <v>1633</v>
      </c>
      <c r="B456" s="9">
        <v>0.97</v>
      </c>
      <c r="C456" s="10">
        <v>5E-168</v>
      </c>
      <c r="D456" s="5">
        <v>47.39</v>
      </c>
      <c r="E456" s="4" t="str">
        <f>HYPERLINK("https://www.ncbi.nlm.nih.gov/protein/WP_147071442.1?report=genbank&amp;log$=prottop&amp;blast_rank=308&amp;RID=92EWBNK7013","WP_147071442.1")</f>
        <v>WP_147071442.1</v>
      </c>
    </row>
    <row r="457" spans="1:5">
      <c r="A457" s="4" t="s">
        <v>1636</v>
      </c>
      <c r="B457" s="9">
        <v>0.97</v>
      </c>
      <c r="C457" s="10">
        <v>9.9999999999999992E-164</v>
      </c>
      <c r="D457" s="5">
        <v>47.23</v>
      </c>
      <c r="E457" s="4" t="str">
        <f>HYPERLINK("https://www.ncbi.nlm.nih.gov/protein/MBL8880484.1?report=genbank&amp;log$=prottop&amp;blast_rank=482&amp;RID=92EWBNK7013","MBL8880484.1")</f>
        <v>MBL8880484.1</v>
      </c>
    </row>
    <row r="458" spans="1:5">
      <c r="A458" s="4" t="s">
        <v>1637</v>
      </c>
      <c r="B458" s="9">
        <v>0.97</v>
      </c>
      <c r="C458" s="10">
        <v>5.0000000000000001E-170</v>
      </c>
      <c r="D458" s="5">
        <v>47.19</v>
      </c>
      <c r="E458" s="4" t="str">
        <f>HYPERLINK("https://www.ncbi.nlm.nih.gov/protein/WP_271125395.1?report=genbank&amp;log$=prottop&amp;blast_rank=244&amp;RID=92EWBNK7013","WP_271125395.1")</f>
        <v>WP_271125395.1</v>
      </c>
    </row>
    <row r="459" spans="1:5">
      <c r="A459" s="4" t="s">
        <v>340</v>
      </c>
      <c r="B459" s="9">
        <v>0.95</v>
      </c>
      <c r="C459" s="10">
        <v>8.0000000000000003E-166</v>
      </c>
      <c r="D459" s="5">
        <v>47.15</v>
      </c>
      <c r="E459" s="4" t="str">
        <f>HYPERLINK("https://www.ncbi.nlm.nih.gov/protein/MCM8067819.1?report=genbank&amp;log$=prottop&amp;blast_rank=403&amp;RID=92EWBNK7013","MCM8067819.1")</f>
        <v>MCM8067819.1</v>
      </c>
    </row>
    <row r="460" spans="1:5">
      <c r="A460" s="4" t="s">
        <v>280</v>
      </c>
      <c r="B460" s="9">
        <v>0.95</v>
      </c>
      <c r="C460" s="10">
        <v>2.9999999999999998E-165</v>
      </c>
      <c r="D460" s="5">
        <v>47.15</v>
      </c>
      <c r="E460" s="4" t="str">
        <f>HYPERLINK("https://www.ncbi.nlm.nih.gov/protein/MEB5957360.1?report=genbank&amp;log$=prottop&amp;blast_rank=427&amp;RID=92EWBNK7013","MEB5957360.1")</f>
        <v>MEB5957360.1</v>
      </c>
    </row>
    <row r="461" spans="1:5">
      <c r="A461" s="4" t="s">
        <v>280</v>
      </c>
      <c r="B461" s="9">
        <v>0.95</v>
      </c>
      <c r="C461" s="10">
        <v>2.9999999999999998E-165</v>
      </c>
      <c r="D461" s="5">
        <v>47.15</v>
      </c>
      <c r="E461" s="4" t="str">
        <f>HYPERLINK("https://www.ncbi.nlm.nih.gov/protein/WP_089582206.1?report=genbank&amp;log$=prottop&amp;blast_rank=428&amp;RID=92EWBNK7013","WP_089582206.1")</f>
        <v>WP_089582206.1</v>
      </c>
    </row>
    <row r="462" spans="1:5">
      <c r="A462" s="4" t="s">
        <v>275</v>
      </c>
      <c r="B462" s="9">
        <v>0.95</v>
      </c>
      <c r="C462" s="10">
        <v>4E-165</v>
      </c>
      <c r="D462" s="5">
        <v>47.15</v>
      </c>
      <c r="E462" s="4" t="str">
        <f>HYPERLINK("https://www.ncbi.nlm.nih.gov/protein/WP_039268887.1?report=genbank&amp;log$=prottop&amp;blast_rank=437&amp;RID=92EWBNK7013","WP_039268887.1")</f>
        <v>WP_039268887.1</v>
      </c>
    </row>
    <row r="463" spans="1:5">
      <c r="A463" s="4" t="s">
        <v>310</v>
      </c>
      <c r="B463" s="9">
        <v>0.97</v>
      </c>
      <c r="C463" s="10">
        <v>4.9999999999999996E-164</v>
      </c>
      <c r="D463" s="5">
        <v>47.01</v>
      </c>
      <c r="E463" s="4" t="str">
        <f>HYPERLINK("https://www.ncbi.nlm.nih.gov/protein/MBW2345643.1?report=genbank&amp;log$=prottop&amp;blast_rank=469&amp;RID=92EWBNK7013","MBW2345643.1")</f>
        <v>MBW2345643.1</v>
      </c>
    </row>
    <row r="464" spans="1:5">
      <c r="A464" s="4" t="s">
        <v>475</v>
      </c>
      <c r="B464" s="9">
        <v>0.96</v>
      </c>
      <c r="C464" s="10">
        <v>5.9999999999999998E-168</v>
      </c>
      <c r="D464" s="5">
        <v>46.99</v>
      </c>
      <c r="E464" s="4" t="str">
        <f>HYPERLINK("https://www.ncbi.nlm.nih.gov/protein/WP_094898003.1?report=genbank&amp;log$=prottop&amp;blast_rank=313&amp;RID=92EWBNK7013","WP_094898003.1")</f>
        <v>WP_094898003.1</v>
      </c>
    </row>
    <row r="465" spans="1:5">
      <c r="A465" s="4" t="s">
        <v>1638</v>
      </c>
      <c r="B465" s="9">
        <v>0.96</v>
      </c>
      <c r="C465" s="10">
        <v>1E-166</v>
      </c>
      <c r="D465" s="5">
        <v>46.99</v>
      </c>
      <c r="E465" s="4" t="str">
        <f>HYPERLINK("https://www.ncbi.nlm.nih.gov/protein/WP_093212472.1?report=genbank&amp;log$=prottop&amp;blast_rank=369&amp;RID=92EWBNK7013","WP_093212472.1")</f>
        <v>WP_093212472.1</v>
      </c>
    </row>
    <row r="466" spans="1:5">
      <c r="A466" s="4" t="s">
        <v>1639</v>
      </c>
      <c r="B466" s="9">
        <v>0.96</v>
      </c>
      <c r="C466" s="10">
        <v>1E-166</v>
      </c>
      <c r="D466" s="5">
        <v>46.99</v>
      </c>
      <c r="E466" s="4" t="str">
        <f>HYPERLINK("https://www.ncbi.nlm.nih.gov/protein/WP_160183569.1?report=genbank&amp;log$=prottop&amp;blast_rank=373&amp;RID=92EWBNK7013","WP_160183569.1")</f>
        <v>WP_160183569.1</v>
      </c>
    </row>
    <row r="467" spans="1:5">
      <c r="A467" s="4" t="s">
        <v>1640</v>
      </c>
      <c r="B467" s="9">
        <v>0.96</v>
      </c>
      <c r="C467" s="10">
        <v>2.0000000000000001E-166</v>
      </c>
      <c r="D467" s="5">
        <v>46.99</v>
      </c>
      <c r="E467" s="4" t="str">
        <f>HYPERLINK("https://www.ncbi.nlm.nih.gov/protein/WP_060430217.1?report=genbank&amp;log$=prottop&amp;blast_rank=380&amp;RID=92EWBNK7013","WP_060430217.1")</f>
        <v>WP_060430217.1</v>
      </c>
    </row>
    <row r="468" spans="1:5">
      <c r="A468" s="4" t="s">
        <v>280</v>
      </c>
      <c r="B468" s="9">
        <v>0.96</v>
      </c>
      <c r="C468" s="10">
        <v>1E-165</v>
      </c>
      <c r="D468" s="5">
        <v>46.99</v>
      </c>
      <c r="E468" s="4" t="str">
        <f>HYPERLINK("https://www.ncbi.nlm.nih.gov/protein/MDD8140972.1?report=genbank&amp;log$=prottop&amp;blast_rank=413&amp;RID=92EWBNK7013","MDD8140972.1")</f>
        <v>MDD8140972.1</v>
      </c>
    </row>
    <row r="469" spans="1:5">
      <c r="A469" s="4" t="s">
        <v>1641</v>
      </c>
      <c r="B469" s="9">
        <v>0.96</v>
      </c>
      <c r="C469" s="10">
        <v>2E-165</v>
      </c>
      <c r="D469" s="5">
        <v>46.99</v>
      </c>
      <c r="E469" s="4" t="str">
        <f>HYPERLINK("https://www.ncbi.nlm.nih.gov/protein/WP_285097526.1?report=genbank&amp;log$=prottop&amp;blast_rank=416&amp;RID=92EWBNK7013","WP_285097526.1")</f>
        <v>WP_285097526.1</v>
      </c>
    </row>
    <row r="470" spans="1:5">
      <c r="A470" s="4" t="s">
        <v>1642</v>
      </c>
      <c r="B470" s="9">
        <v>0.99</v>
      </c>
      <c r="C470" s="10">
        <v>2E-165</v>
      </c>
      <c r="D470" s="5">
        <v>46.91</v>
      </c>
      <c r="E470" s="4" t="str">
        <f>HYPERLINK("https://www.ncbi.nlm.nih.gov/protein/WP_128421943.1?report=genbank&amp;log$=prottop&amp;blast_rank=414&amp;RID=92EWBNK7013","WP_128421943.1")</f>
        <v>WP_128421943.1</v>
      </c>
    </row>
    <row r="471" spans="1:5">
      <c r="A471" s="4" t="s">
        <v>1643</v>
      </c>
      <c r="B471" s="9">
        <v>0.98</v>
      </c>
      <c r="C471" s="10">
        <v>1.9999999999999999E-164</v>
      </c>
      <c r="D471" s="5">
        <v>46.86</v>
      </c>
      <c r="E471" s="4" t="str">
        <f>HYPERLINK("https://www.ncbi.nlm.nih.gov/protein/WP_092578346.1?report=genbank&amp;log$=prottop&amp;blast_rank=458&amp;RID=92EWBNK7013","WP_092578346.1")</f>
        <v>WP_092578346.1</v>
      </c>
    </row>
    <row r="472" spans="1:5">
      <c r="A472" s="4" t="s">
        <v>280</v>
      </c>
      <c r="B472" s="9">
        <v>0.95</v>
      </c>
      <c r="C472" s="10">
        <v>9.9999999999999992E-164</v>
      </c>
      <c r="D472" s="5">
        <v>46.77</v>
      </c>
      <c r="E472" s="4" t="str">
        <f>HYPERLINK("https://www.ncbi.nlm.nih.gov/protein/EIL3113748.1?report=genbank&amp;log$=prottop&amp;blast_rank=484&amp;RID=92EWBNK7013","EIL3113748.1")</f>
        <v>EIL3113748.1</v>
      </c>
    </row>
    <row r="473" spans="1:5">
      <c r="A473" s="4" t="s">
        <v>1644</v>
      </c>
      <c r="B473" s="9">
        <v>0.98</v>
      </c>
      <c r="C473" s="10">
        <v>1E-166</v>
      </c>
      <c r="D473" s="5">
        <v>46.69</v>
      </c>
      <c r="E473" s="4" t="str">
        <f>HYPERLINK("https://www.ncbi.nlm.nih.gov/protein/OGS00026.1?report=genbank&amp;log$=prottop&amp;blast_rank=370&amp;RID=92EWBNK7013","OGS00026.1")</f>
        <v>OGS00026.1</v>
      </c>
    </row>
    <row r="474" spans="1:5">
      <c r="A474" s="4" t="s">
        <v>1291</v>
      </c>
      <c r="B474" s="9">
        <v>0.97</v>
      </c>
      <c r="C474" s="10">
        <v>3.0000000000000003E-166</v>
      </c>
      <c r="D474" s="5">
        <v>46.64</v>
      </c>
      <c r="E474" s="4" t="str">
        <f>HYPERLINK("https://www.ncbi.nlm.nih.gov/protein/WP_032724439.1?report=genbank&amp;log$=prottop&amp;blast_rank=392&amp;RID=92EWBNK7013","WP_032724439.1")</f>
        <v>WP_032724439.1</v>
      </c>
    </row>
    <row r="475" spans="1:5">
      <c r="A475" s="4" t="s">
        <v>440</v>
      </c>
      <c r="B475" s="9">
        <v>0.97</v>
      </c>
      <c r="C475" s="10">
        <v>2E-165</v>
      </c>
      <c r="D475" s="5">
        <v>46.64</v>
      </c>
      <c r="E475" s="4" t="str">
        <f>HYPERLINK("https://www.ncbi.nlm.nih.gov/protein/MES2251667.1?report=genbank&amp;log$=prottop&amp;blast_rank=425&amp;RID=92EWBNK7013","MES2251667.1")</f>
        <v>MES2251667.1</v>
      </c>
    </row>
    <row r="476" spans="1:5">
      <c r="A476" s="4" t="s">
        <v>340</v>
      </c>
      <c r="B476" s="9">
        <v>0.96</v>
      </c>
      <c r="C476" s="10">
        <v>3.0000000000000003E-166</v>
      </c>
      <c r="D476" s="5">
        <v>46.62</v>
      </c>
      <c r="E476" s="4" t="str">
        <f>HYPERLINK("https://www.ncbi.nlm.nih.gov/protein/WP_096904977.1?report=genbank&amp;log$=prottop&amp;blast_rank=389&amp;RID=92EWBNK7013","WP_096904977.1")</f>
        <v>WP_096904977.1</v>
      </c>
    </row>
    <row r="477" spans="1:5">
      <c r="A477" s="4" t="s">
        <v>448</v>
      </c>
      <c r="B477" s="9">
        <v>0.96</v>
      </c>
      <c r="C477" s="10">
        <v>3.0000000000000003E-166</v>
      </c>
      <c r="D477" s="5">
        <v>46.62</v>
      </c>
      <c r="E477" s="4" t="str">
        <f>HYPERLINK("https://www.ncbi.nlm.nih.gov/protein/WP_224394084.1?report=genbank&amp;log$=prottop&amp;blast_rank=390&amp;RID=92EWBNK7013","WP_224394084.1")</f>
        <v>WP_224394084.1</v>
      </c>
    </row>
    <row r="478" spans="1:5">
      <c r="A478" s="4" t="s">
        <v>402</v>
      </c>
      <c r="B478" s="9">
        <v>0.96</v>
      </c>
      <c r="C478" s="10">
        <v>6.9999999999999998E-166</v>
      </c>
      <c r="D478" s="5">
        <v>46.62</v>
      </c>
      <c r="E478" s="4" t="str">
        <f>HYPERLINK("https://www.ncbi.nlm.nih.gov/protein/WP_045349958.1?report=genbank&amp;log$=prottop&amp;blast_rank=400&amp;RID=92EWBNK7013","WP_045349958.1")</f>
        <v>WP_045349958.1</v>
      </c>
    </row>
    <row r="479" spans="1:5">
      <c r="A479" s="4" t="s">
        <v>1645</v>
      </c>
      <c r="B479" s="9">
        <v>0.96</v>
      </c>
      <c r="C479" s="10">
        <v>8.0000000000000003E-166</v>
      </c>
      <c r="D479" s="5">
        <v>46.62</v>
      </c>
      <c r="E479" s="4" t="str">
        <f>HYPERLINK("https://www.ncbi.nlm.nih.gov/protein/MBT1903102.1?report=genbank&amp;log$=prottop&amp;blast_rank=404&amp;RID=92EWBNK7013","MBT1903102.1")</f>
        <v>MBT1903102.1</v>
      </c>
    </row>
    <row r="480" spans="1:5">
      <c r="A480" s="4" t="s">
        <v>1291</v>
      </c>
      <c r="B480" s="9">
        <v>0.96</v>
      </c>
      <c r="C480" s="10">
        <v>1E-165</v>
      </c>
      <c r="D480" s="5">
        <v>46.62</v>
      </c>
      <c r="E480" s="4" t="str">
        <f>HYPERLINK("https://www.ncbi.nlm.nih.gov/protein/WP_000619352.1?report=genbank&amp;log$=prottop&amp;blast_rank=407&amp;RID=92EWBNK7013","WP_000619352.1")</f>
        <v>WP_000619352.1</v>
      </c>
    </row>
    <row r="481" spans="1:5">
      <c r="A481" s="4" t="s">
        <v>280</v>
      </c>
      <c r="B481" s="9">
        <v>0.96</v>
      </c>
      <c r="C481" s="10">
        <v>1E-165</v>
      </c>
      <c r="D481" s="5">
        <v>46.62</v>
      </c>
      <c r="E481" s="4" t="str">
        <f>HYPERLINK("https://www.ncbi.nlm.nih.gov/protein/HAN6813774.1?report=genbank&amp;log$=prottop&amp;blast_rank=411&amp;RID=92EWBNK7013","HAN6813774.1")</f>
        <v>HAN6813774.1</v>
      </c>
    </row>
    <row r="482" spans="1:5">
      <c r="A482" s="4" t="s">
        <v>280</v>
      </c>
      <c r="B482" s="9">
        <v>0.96</v>
      </c>
      <c r="C482" s="10">
        <v>2E-165</v>
      </c>
      <c r="D482" s="5">
        <v>46.62</v>
      </c>
      <c r="E482" s="4" t="str">
        <f>HYPERLINK("https://www.ncbi.nlm.nih.gov/protein/HCB3056139.1?report=genbank&amp;log$=prottop&amp;blast_rank=415&amp;RID=92EWBNK7013","HCB3056139.1")</f>
        <v>HCB3056139.1</v>
      </c>
    </row>
    <row r="483" spans="1:5">
      <c r="A483" s="4" t="s">
        <v>280</v>
      </c>
      <c r="B483" s="9">
        <v>0.96</v>
      </c>
      <c r="C483" s="10">
        <v>2E-165</v>
      </c>
      <c r="D483" s="5">
        <v>46.62</v>
      </c>
      <c r="E483" s="4" t="str">
        <f>HYPERLINK("https://www.ncbi.nlm.nih.gov/protein/HDR0411922.1?report=genbank&amp;log$=prottop&amp;blast_rank=418&amp;RID=92EWBNK7013","HDR0411922.1")</f>
        <v>HDR0411922.1</v>
      </c>
    </row>
    <row r="484" spans="1:5">
      <c r="A484" s="4" t="s">
        <v>280</v>
      </c>
      <c r="B484" s="9">
        <v>0.96</v>
      </c>
      <c r="C484" s="10">
        <v>2E-165</v>
      </c>
      <c r="D484" s="5">
        <v>46.62</v>
      </c>
      <c r="E484" s="4" t="str">
        <f>HYPERLINK("https://www.ncbi.nlm.nih.gov/protein/WP_239353333.1?report=genbank&amp;log$=prottop&amp;blast_rank=423&amp;RID=92EWBNK7013","WP_239353333.1")</f>
        <v>WP_239353333.1</v>
      </c>
    </row>
    <row r="485" spans="1:5">
      <c r="A485" s="4" t="s">
        <v>280</v>
      </c>
      <c r="B485" s="9">
        <v>0.96</v>
      </c>
      <c r="C485" s="10">
        <v>2.9999999999999998E-165</v>
      </c>
      <c r="D485" s="5">
        <v>46.62</v>
      </c>
      <c r="E485" s="4" t="str">
        <f>HYPERLINK("https://www.ncbi.nlm.nih.gov/protein/WP_255399250.1?report=genbank&amp;log$=prottop&amp;blast_rank=431&amp;RID=92EWBNK7013","WP_255399250.1")</f>
        <v>WP_255399250.1</v>
      </c>
    </row>
    <row r="486" spans="1:5">
      <c r="A486" s="4" t="s">
        <v>340</v>
      </c>
      <c r="B486" s="9">
        <v>0.96</v>
      </c>
      <c r="C486" s="10">
        <v>2.9999999999999998E-165</v>
      </c>
      <c r="D486" s="5">
        <v>46.62</v>
      </c>
      <c r="E486" s="4" t="str">
        <f>HYPERLINK("https://www.ncbi.nlm.nih.gov/protein/EIY1342618.1?report=genbank&amp;log$=prottop&amp;blast_rank=434&amp;RID=92EWBNK7013","EIY1342618.1")</f>
        <v>EIY1342618.1</v>
      </c>
    </row>
    <row r="487" spans="1:5">
      <c r="A487" s="4" t="s">
        <v>280</v>
      </c>
      <c r="B487" s="9">
        <v>0.96</v>
      </c>
      <c r="C487" s="10">
        <v>4E-165</v>
      </c>
      <c r="D487" s="5">
        <v>46.62</v>
      </c>
      <c r="E487" s="4" t="str">
        <f>HYPERLINK("https://www.ncbi.nlm.nih.gov/protein/EHZ5979799.1?report=genbank&amp;log$=prottop&amp;blast_rank=439&amp;RID=92EWBNK7013","EHZ5979799.1")</f>
        <v>EHZ5979799.1</v>
      </c>
    </row>
    <row r="488" spans="1:5">
      <c r="A488" s="4" t="s">
        <v>280</v>
      </c>
      <c r="B488" s="9">
        <v>0.96</v>
      </c>
      <c r="C488" s="10">
        <v>4E-165</v>
      </c>
      <c r="D488" s="5">
        <v>46.62</v>
      </c>
      <c r="E488" s="4" t="str">
        <f>HYPERLINK("https://www.ncbi.nlm.nih.gov/protein/EFH5884770.1?report=genbank&amp;log$=prottop&amp;blast_rank=440&amp;RID=92EWBNK7013","EFH5884770.1")</f>
        <v>EFH5884770.1</v>
      </c>
    </row>
    <row r="489" spans="1:5">
      <c r="A489" s="4" t="s">
        <v>460</v>
      </c>
      <c r="B489" s="9">
        <v>0.96</v>
      </c>
      <c r="C489" s="10">
        <v>8.0000000000000001E-165</v>
      </c>
      <c r="D489" s="5">
        <v>46.62</v>
      </c>
      <c r="E489" s="4" t="str">
        <f>HYPERLINK("https://www.ncbi.nlm.nih.gov/protein/WP_087498495.1?report=genbank&amp;log$=prottop&amp;blast_rank=446&amp;RID=92EWBNK7013","WP_087498495.1")</f>
        <v>WP_087498495.1</v>
      </c>
    </row>
    <row r="490" spans="1:5">
      <c r="A490" s="4" t="s">
        <v>280</v>
      </c>
      <c r="B490" s="9">
        <v>0.96</v>
      </c>
      <c r="C490" s="10">
        <v>8.0000000000000001E-165</v>
      </c>
      <c r="D490" s="5">
        <v>46.62</v>
      </c>
      <c r="E490" s="4" t="str">
        <f>HYPERLINK("https://www.ncbi.nlm.nih.gov/protein/HAM4643299.1?report=genbank&amp;log$=prottop&amp;blast_rank=447&amp;RID=92EWBNK7013","HAM4643299.1")</f>
        <v>HAM4643299.1</v>
      </c>
    </row>
    <row r="491" spans="1:5">
      <c r="A491" s="4" t="s">
        <v>280</v>
      </c>
      <c r="B491" s="9">
        <v>0.96</v>
      </c>
      <c r="C491" s="10">
        <v>8.9999999999999998E-165</v>
      </c>
      <c r="D491" s="5">
        <v>46.62</v>
      </c>
      <c r="E491" s="4" t="str">
        <f>HYPERLINK("https://www.ncbi.nlm.nih.gov/protein/EJE3980057.1?report=genbank&amp;log$=prottop&amp;blast_rank=448&amp;RID=92EWBNK7013","EJE3980057.1")</f>
        <v>EJE3980057.1</v>
      </c>
    </row>
    <row r="492" spans="1:5">
      <c r="A492" s="4" t="s">
        <v>280</v>
      </c>
      <c r="B492" s="9">
        <v>0.96</v>
      </c>
      <c r="C492" s="10">
        <v>9.9999999999999996E-165</v>
      </c>
      <c r="D492" s="5">
        <v>46.62</v>
      </c>
      <c r="E492" s="4" t="str">
        <f>HYPERLINK("https://www.ncbi.nlm.nih.gov/protein/WP_134237424.1?report=genbank&amp;log$=prottop&amp;blast_rank=452&amp;RID=92EWBNK7013","WP_134237424.1")</f>
        <v>WP_134237424.1</v>
      </c>
    </row>
    <row r="493" spans="1:5">
      <c r="A493" s="4" t="s">
        <v>340</v>
      </c>
      <c r="B493" s="9">
        <v>0.96</v>
      </c>
      <c r="C493" s="10">
        <v>9.9999999999999996E-165</v>
      </c>
      <c r="D493" s="5">
        <v>46.62</v>
      </c>
      <c r="E493" s="4" t="str">
        <f>HYPERLINK("https://www.ncbi.nlm.nih.gov/protein/WP_193900768.1?report=genbank&amp;log$=prottop&amp;blast_rank=454&amp;RID=92EWBNK7013","WP_193900768.1")</f>
        <v>WP_193900768.1</v>
      </c>
    </row>
    <row r="494" spans="1:5">
      <c r="A494" s="4" t="s">
        <v>1646</v>
      </c>
      <c r="B494" s="9">
        <v>0.97</v>
      </c>
      <c r="C494" s="10">
        <v>1.9999999999999999E-164</v>
      </c>
      <c r="D494" s="5">
        <v>46.44</v>
      </c>
      <c r="E494" s="4" t="str">
        <f>HYPERLINK("https://www.ncbi.nlm.nih.gov/protein/WP_046521014.1?report=genbank&amp;log$=prottop&amp;blast_rank=461&amp;RID=92EWBNK7013","WP_046521014.1")</f>
        <v>WP_046521014.1</v>
      </c>
    </row>
    <row r="495" spans="1:5">
      <c r="A495" s="4" t="s">
        <v>280</v>
      </c>
      <c r="B495" s="9">
        <v>0.96</v>
      </c>
      <c r="C495" s="10">
        <v>8.0000000000000003E-166</v>
      </c>
      <c r="D495" s="5">
        <v>46.24</v>
      </c>
      <c r="E495" s="4" t="str">
        <f>HYPERLINK("https://www.ncbi.nlm.nih.gov/protein/WP_116835924.1?report=genbank&amp;log$=prottop&amp;blast_rank=402&amp;RID=92EWBNK7013","WP_116835924.1")</f>
        <v>WP_116835924.1</v>
      </c>
    </row>
    <row r="496" spans="1:5">
      <c r="A496" s="4" t="s">
        <v>280</v>
      </c>
      <c r="B496" s="9">
        <v>0.96</v>
      </c>
      <c r="C496" s="10">
        <v>4.9999999999999998E-165</v>
      </c>
      <c r="D496" s="5">
        <v>46.24</v>
      </c>
      <c r="E496" s="4" t="str">
        <f>HYPERLINK("https://www.ncbi.nlm.nih.gov/protein/ELM7939921.1?report=genbank&amp;log$=prottop&amp;blast_rank=441&amp;RID=92EWBNK7013","ELM7939921.1")</f>
        <v>ELM7939921.1</v>
      </c>
    </row>
    <row r="497" spans="1:5">
      <c r="A497" s="4" t="s">
        <v>1647</v>
      </c>
      <c r="B497" s="9">
        <v>0.96</v>
      </c>
      <c r="C497" s="10">
        <v>4.9999999999999998E-165</v>
      </c>
      <c r="D497" s="5">
        <v>46.24</v>
      </c>
      <c r="E497" s="4" t="str">
        <f>HYPERLINK("https://www.ncbi.nlm.nih.gov/protein/WP_286592106.1?report=genbank&amp;log$=prottop&amp;blast_rank=442&amp;RID=92EWBNK7013","WP_286592106.1")</f>
        <v>WP_286592106.1</v>
      </c>
    </row>
    <row r="498" spans="1:5">
      <c r="A498" s="4" t="s">
        <v>262</v>
      </c>
      <c r="B498" s="9">
        <v>0.96</v>
      </c>
      <c r="C498" s="10">
        <v>5.9999999999999996E-165</v>
      </c>
      <c r="D498" s="5">
        <v>46.24</v>
      </c>
      <c r="E498" s="4" t="str">
        <f>HYPERLINK("https://www.ncbi.nlm.nih.gov/protein/EKL1180016.1?report=genbank&amp;log$=prottop&amp;blast_rank=445&amp;RID=92EWBNK7013","EKL1180016.1")</f>
        <v>EKL1180016.1</v>
      </c>
    </row>
    <row r="499" spans="1:5">
      <c r="A499" s="4" t="s">
        <v>280</v>
      </c>
      <c r="B499" s="9">
        <v>0.96</v>
      </c>
      <c r="C499" s="10">
        <v>1.9999999999999999E-164</v>
      </c>
      <c r="D499" s="5">
        <v>46.24</v>
      </c>
      <c r="E499" s="4" t="str">
        <f>HYPERLINK("https://www.ncbi.nlm.nih.gov/protein/WP_353939881.1?report=genbank&amp;log$=prottop&amp;blast_rank=455&amp;RID=92EWBNK7013","WP_353939881.1")</f>
        <v>WP_353939881.1</v>
      </c>
    </row>
    <row r="500" spans="1:5">
      <c r="A500" s="4" t="s">
        <v>418</v>
      </c>
      <c r="B500" s="9">
        <v>0.96</v>
      </c>
      <c r="C500" s="10">
        <v>1.9999999999999999E-164</v>
      </c>
      <c r="D500" s="5">
        <v>46.24</v>
      </c>
      <c r="E500" s="4" t="str">
        <f>HYPERLINK("https://www.ncbi.nlm.nih.gov/protein/WP_257662411.1?report=genbank&amp;log$=prottop&amp;blast_rank=459&amp;RID=92EWBNK7013","WP_257662411.1")</f>
        <v>WP_257662411.1</v>
      </c>
    </row>
    <row r="501" spans="1:5">
      <c r="A501" s="4" t="s">
        <v>280</v>
      </c>
      <c r="B501" s="9">
        <v>0.96</v>
      </c>
      <c r="C501" s="10">
        <v>7.9999999999999997E-164</v>
      </c>
      <c r="D501" s="5">
        <v>46.24</v>
      </c>
      <c r="E501" s="4" t="str">
        <f>HYPERLINK("https://www.ncbi.nlm.nih.gov/protein/EFJ2698558.1?report=genbank&amp;log$=prottop&amp;blast_rank=474&amp;RID=92EWBNK7013","EFJ2698558.1")</f>
        <v>EFJ2698558.1</v>
      </c>
    </row>
    <row r="502" spans="1:5">
      <c r="A502" s="4" t="s">
        <v>293</v>
      </c>
      <c r="B502" s="9">
        <v>0.96</v>
      </c>
      <c r="C502" s="10">
        <v>3.0000000000000002E-163</v>
      </c>
      <c r="D502" s="5">
        <v>46.24</v>
      </c>
      <c r="E502" s="4" t="str">
        <f>HYPERLINK("https://www.ncbi.nlm.nih.gov/protein/WP_126656584.1?report=genbank&amp;log$=prottop&amp;blast_rank=495&amp;RID=92EWBNK7013","WP_126656584.1")</f>
        <v>WP_126656584.1</v>
      </c>
    </row>
    <row r="503" spans="1:5">
      <c r="A503" s="4" t="s">
        <v>337</v>
      </c>
      <c r="B503" s="9">
        <v>0.96</v>
      </c>
      <c r="C503" s="10">
        <v>3.9999999999999997E-163</v>
      </c>
      <c r="D503" s="5">
        <v>46.24</v>
      </c>
      <c r="E503" s="4" t="str">
        <f>HYPERLINK("https://www.ncbi.nlm.nih.gov/protein/HAV1824687.1?report=genbank&amp;log$=prottop&amp;blast_rank=496&amp;RID=92EWBNK7013","HAV1824687.1")</f>
        <v>HAV1824687.1</v>
      </c>
    </row>
    <row r="504" spans="1:5">
      <c r="A504" s="4" t="s">
        <v>1648</v>
      </c>
      <c r="B504" s="9">
        <v>0.96</v>
      </c>
      <c r="C504" s="10">
        <v>3.9999999999999998E-164</v>
      </c>
      <c r="D504" s="5">
        <v>46.21</v>
      </c>
      <c r="E504" s="4" t="str">
        <f>HYPERLINK("https://www.ncbi.nlm.nih.gov/protein/QDZ93242.2?report=genbank&amp;log$=prottop&amp;blast_rank=466&amp;RID=92EWBNK7013","QDZ93242.2")</f>
        <v>QDZ93242.2</v>
      </c>
    </row>
    <row r="505" spans="1:5">
      <c r="A505" s="4" t="s">
        <v>967</v>
      </c>
      <c r="B505" s="9">
        <v>0.96</v>
      </c>
      <c r="C505" s="10">
        <v>9.9999999999999992E-164</v>
      </c>
      <c r="D505" s="5">
        <v>46.21</v>
      </c>
      <c r="E505" s="4" t="str">
        <f>HYPERLINK("https://www.ncbi.nlm.nih.gov/protein/WP_342176664.1?report=genbank&amp;log$=prottop&amp;blast_rank=483&amp;RID=92EWBNK7013","WP_342176664.1")</f>
        <v>WP_342176664.1</v>
      </c>
    </row>
    <row r="506" spans="1:5">
      <c r="A506" s="4" t="s">
        <v>1019</v>
      </c>
      <c r="B506" s="9">
        <v>0.96</v>
      </c>
      <c r="C506" s="10">
        <v>1.9999999999999998E-163</v>
      </c>
      <c r="D506" s="5">
        <v>46.21</v>
      </c>
      <c r="E506" s="4" t="str">
        <f>HYPERLINK("https://www.ncbi.nlm.nih.gov/protein/WP_226565785.1?report=genbank&amp;log$=prottop&amp;blast_rank=486&amp;RID=92EWBNK7013","WP_226565785.1")</f>
        <v>WP_226565785.1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Summary of Systems over 70% Seq</vt:lpstr>
      <vt:lpstr>VP1796</vt:lpstr>
      <vt:lpstr>VP1817</vt:lpstr>
      <vt:lpstr>VP1823</vt:lpstr>
      <vt:lpstr>VP1826</vt:lpstr>
      <vt:lpstr>VP1839</vt:lpstr>
      <vt:lpstr>VP1840</vt:lpstr>
      <vt:lpstr>VP1848</vt:lpstr>
      <vt:lpstr>VP1851</vt:lpstr>
      <vt:lpstr>VP1853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Maxwell</dc:creator>
  <cp:lastModifiedBy>Karen Maxwell</cp:lastModifiedBy>
  <dcterms:created xsi:type="dcterms:W3CDTF">2024-07-10T17:29:00Z</dcterms:created>
  <dcterms:modified xsi:type="dcterms:W3CDTF">2024-07-15T15:01:14Z</dcterms:modified>
</cp:coreProperties>
</file>